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66" codeName="{F2B83AC3-3A92-4FF1-8D57-CA5CB3A19BB1}"/>
  <workbookPr codeName="ThisWorkbook"/>
  <mc:AlternateContent xmlns:mc="http://schemas.openxmlformats.org/markup-compatibility/2006">
    <mc:Choice Requires="x15">
      <x15ac:absPath xmlns:x15ac="http://schemas.microsoft.com/office/spreadsheetml/2010/11/ac" url="E:\Data Journalism\Data Story II\"/>
    </mc:Choice>
  </mc:AlternateContent>
  <bookViews>
    <workbookView xWindow="0" yWindow="0" windowWidth="21570" windowHeight="8055" activeTab="1"/>
  </bookViews>
  <sheets>
    <sheet name="Settings and Instructions" sheetId="33" r:id="rId1"/>
    <sheet name="Geocode" sheetId="32" r:id="rId2"/>
  </sheets>
  <functionGroups builtInGroupCount="18"/>
  <definedNames>
    <definedName name="bingMapsKey">'Settings and Instructions'!$C$7</definedName>
    <definedName name="debugMode">'Settings and Instructions'!$C$15</definedName>
    <definedName name="geocoderToUse">'Settings and Instructions'!$C$4</definedName>
    <definedName name="proxyIP">'Settings and Instructions'!$C$13</definedName>
    <definedName name="useProxy">'Settings and Instructions'!$C$12</definedName>
  </definedNames>
  <calcPr calcId="162913" concurrentCalc="0"/>
</workbook>
</file>

<file path=xl/calcChain.xml><?xml version="1.0" encoding="utf-8"?>
<calcChain xmlns="http://schemas.openxmlformats.org/spreadsheetml/2006/main">
  <c r="G13617" i="32" l="1"/>
  <c r="G13616" i="32"/>
  <c r="G13615" i="32"/>
  <c r="G13614" i="32"/>
  <c r="G13613" i="32"/>
  <c r="G13612" i="32"/>
  <c r="G13611" i="32"/>
  <c r="G13610" i="32"/>
  <c r="G13604" i="32"/>
  <c r="G13603" i="32"/>
  <c r="G13602" i="32"/>
  <c r="G13601" i="32"/>
  <c r="G13600" i="32"/>
  <c r="G13597" i="32"/>
  <c r="G13596" i="32"/>
  <c r="G13595" i="32"/>
  <c r="G13594" i="32"/>
  <c r="G13593" i="32"/>
  <c r="G13592" i="32"/>
  <c r="G13591" i="32"/>
  <c r="G13590" i="32"/>
  <c r="G13589" i="32"/>
  <c r="G13588" i="32"/>
  <c r="G13586" i="32"/>
  <c r="G13584" i="32"/>
  <c r="G13583" i="32"/>
  <c r="G13582" i="32"/>
  <c r="G13581" i="32"/>
  <c r="G13580" i="32"/>
  <c r="G13579" i="32"/>
  <c r="G13578" i="32"/>
  <c r="G13577" i="32"/>
  <c r="G13576" i="32"/>
  <c r="G13575" i="32"/>
  <c r="G13574" i="32"/>
  <c r="G13573" i="32"/>
  <c r="G13572" i="32"/>
  <c r="G13571" i="32"/>
  <c r="G13567" i="32"/>
  <c r="G13565" i="32"/>
  <c r="G13564" i="32"/>
  <c r="G13563" i="32"/>
  <c r="G13562" i="32"/>
  <c r="G13561" i="32"/>
  <c r="G13560" i="32"/>
  <c r="G13558" i="32"/>
  <c r="G13557" i="32"/>
  <c r="G13552" i="32"/>
  <c r="G13551" i="32"/>
  <c r="G13550" i="32"/>
  <c r="G13549" i="32"/>
  <c r="G13548" i="32"/>
  <c r="G13547" i="32"/>
  <c r="G13546" i="32"/>
  <c r="G13545" i="32"/>
  <c r="G13543" i="32"/>
  <c r="G13542" i="32"/>
  <c r="G13540" i="32"/>
  <c r="G13539" i="32"/>
  <c r="G13538" i="32"/>
  <c r="G13537" i="32"/>
  <c r="G13536" i="32"/>
  <c r="G13535" i="32"/>
  <c r="G13534" i="32"/>
  <c r="G13533" i="32"/>
  <c r="G13532" i="32"/>
  <c r="G13531" i="32"/>
  <c r="G13530" i="32"/>
  <c r="G13529" i="32"/>
  <c r="G13528" i="32"/>
  <c r="G13527" i="32"/>
  <c r="G13526" i="32"/>
  <c r="G13525" i="32"/>
  <c r="G13524" i="32"/>
  <c r="G13523" i="32"/>
  <c r="G13522" i="32"/>
  <c r="G13521" i="32"/>
  <c r="G13519" i="32"/>
  <c r="G13517" i="32"/>
  <c r="G13516" i="32"/>
  <c r="G13515" i="32"/>
  <c r="G13514" i="32"/>
  <c r="G13513" i="32"/>
  <c r="G13512" i="32"/>
  <c r="G13510" i="32"/>
  <c r="G13507" i="32"/>
  <c r="G13506" i="32"/>
  <c r="G13505" i="32"/>
  <c r="G13504" i="32"/>
  <c r="G13502" i="32"/>
  <c r="G13500" i="32"/>
  <c r="G13499" i="32"/>
  <c r="G13498" i="32"/>
  <c r="G13497" i="32"/>
  <c r="G13493" i="32"/>
  <c r="G13492" i="32"/>
  <c r="G13491" i="32"/>
  <c r="G13490" i="32"/>
  <c r="G13489" i="32"/>
  <c r="G13488" i="32"/>
  <c r="G13487" i="32"/>
  <c r="G13486" i="32"/>
  <c r="G13484" i="32"/>
  <c r="G13483" i="32"/>
  <c r="G13482" i="32"/>
  <c r="G13481" i="32"/>
  <c r="G13480" i="32"/>
  <c r="G13478" i="32"/>
  <c r="G13477" i="32"/>
  <c r="G13476" i="32"/>
  <c r="G13475" i="32"/>
  <c r="G13474" i="32"/>
  <c r="G13473" i="32"/>
  <c r="G13472" i="32"/>
  <c r="G13471" i="32"/>
  <c r="G13470" i="32"/>
  <c r="G13468" i="32"/>
  <c r="G13467" i="32"/>
  <c r="G13466" i="32"/>
  <c r="G13465" i="32"/>
  <c r="G13464" i="32"/>
  <c r="G13463" i="32"/>
  <c r="G13462" i="32"/>
  <c r="G13461" i="32"/>
  <c r="G13460" i="32"/>
  <c r="G13459" i="32"/>
  <c r="G13458" i="32"/>
  <c r="G13457" i="32"/>
  <c r="G13456" i="32"/>
  <c r="G13455" i="32"/>
  <c r="G13454" i="32"/>
  <c r="G13453" i="32"/>
  <c r="G13452" i="32"/>
  <c r="G13451" i="32"/>
  <c r="G13448" i="32"/>
  <c r="G13447" i="32"/>
  <c r="G13446" i="32"/>
  <c r="G13445" i="32"/>
  <c r="G13444" i="32"/>
  <c r="G13443" i="32"/>
  <c r="G13442" i="32"/>
  <c r="G13438" i="32"/>
  <c r="G13436" i="32"/>
  <c r="G13435" i="32"/>
  <c r="G13434" i="32"/>
  <c r="G13433" i="32"/>
  <c r="G13432" i="32"/>
  <c r="G13431" i="32"/>
  <c r="G13430" i="32"/>
  <c r="G13429" i="32"/>
  <c r="G13427" i="32"/>
  <c r="G13422" i="32"/>
  <c r="G13421" i="32"/>
  <c r="G13419" i="32"/>
  <c r="G13418" i="32"/>
  <c r="G13417" i="32"/>
  <c r="G13416" i="32"/>
  <c r="G13415" i="32"/>
  <c r="G13414" i="32"/>
  <c r="G13413" i="32"/>
  <c r="G13412" i="32"/>
  <c r="G13411" i="32"/>
  <c r="G13410" i="32"/>
  <c r="G13409" i="32"/>
  <c r="G13408" i="32"/>
  <c r="G13407" i="32"/>
  <c r="G13406" i="32"/>
  <c r="G13405" i="32"/>
  <c r="G13404" i="32"/>
  <c r="G13403" i="32"/>
  <c r="G13402" i="32"/>
  <c r="G13401" i="32"/>
  <c r="G13400" i="32"/>
  <c r="G13399" i="32"/>
  <c r="G13397" i="32"/>
  <c r="G13396" i="32"/>
  <c r="G13395" i="32"/>
  <c r="G13393" i="32"/>
  <c r="G13392" i="32"/>
  <c r="G13391" i="32"/>
  <c r="G13390" i="32"/>
  <c r="G13389" i="32"/>
  <c r="G13388" i="32"/>
  <c r="G13386" i="32"/>
  <c r="G13385" i="32"/>
  <c r="G13384" i="32"/>
  <c r="G13383" i="32"/>
  <c r="G13382" i="32"/>
  <c r="G13381" i="32"/>
  <c r="G13380" i="32"/>
  <c r="G13379" i="32"/>
  <c r="G13378" i="32"/>
  <c r="G13377" i="32"/>
  <c r="G13376" i="32"/>
  <c r="G13375" i="32"/>
  <c r="G13374" i="32"/>
  <c r="G13373" i="32"/>
  <c r="G13372" i="32"/>
  <c r="G13369" i="32"/>
  <c r="G13367" i="32"/>
  <c r="G13366" i="32"/>
  <c r="G13365" i="32"/>
  <c r="G13364" i="32"/>
  <c r="G13363" i="32"/>
  <c r="G13362" i="32"/>
  <c r="G13361" i="32"/>
  <c r="G13360" i="32"/>
  <c r="G13359" i="32"/>
  <c r="G13358" i="32"/>
  <c r="G13357" i="32"/>
  <c r="G13356" i="32"/>
  <c r="G13355" i="32"/>
  <c r="G13354" i="32"/>
  <c r="G13352" i="32"/>
  <c r="G13351" i="32"/>
  <c r="G13350" i="32"/>
  <c r="G13349" i="32"/>
  <c r="G13348" i="32"/>
  <c r="G13347" i="32"/>
  <c r="G13346" i="32"/>
  <c r="G13345" i="32"/>
  <c r="G13343" i="32"/>
  <c r="G13342" i="32"/>
  <c r="G13341" i="32"/>
  <c r="G13338" i="32"/>
  <c r="G13337" i="32"/>
  <c r="G13336" i="32"/>
  <c r="G13335" i="32"/>
  <c r="G13334" i="32"/>
  <c r="G13332" i="32"/>
  <c r="G13331" i="32"/>
  <c r="G13330" i="32"/>
  <c r="G13329" i="32"/>
  <c r="G13328" i="32"/>
  <c r="G13327" i="32"/>
  <c r="G13326" i="32"/>
  <c r="G13325" i="32"/>
  <c r="G13324" i="32"/>
  <c r="G13323" i="32"/>
  <c r="G13321" i="32"/>
  <c r="G13320" i="32"/>
  <c r="G13319" i="32"/>
  <c r="G13318" i="32"/>
  <c r="G13317" i="32"/>
  <c r="G13316" i="32"/>
  <c r="G13315" i="32"/>
  <c r="G13314" i="32"/>
  <c r="G13313" i="32"/>
  <c r="G13311" i="32"/>
  <c r="G13310" i="32"/>
  <c r="G13308" i="32"/>
  <c r="G13305" i="32"/>
  <c r="G13304" i="32"/>
  <c r="G13303" i="32"/>
  <c r="G13302" i="32"/>
  <c r="G13301" i="32"/>
  <c r="G13300" i="32"/>
  <c r="G13298" i="32"/>
  <c r="G13297" i="32"/>
  <c r="G13295" i="32"/>
  <c r="G13294" i="32"/>
  <c r="G13293" i="32"/>
  <c r="G13292" i="32"/>
  <c r="G13291" i="32"/>
  <c r="G13290" i="32"/>
  <c r="G13289" i="32"/>
  <c r="G13288" i="32"/>
  <c r="G13287" i="32"/>
  <c r="G13286" i="32"/>
  <c r="G13285" i="32"/>
  <c r="G13283" i="32"/>
  <c r="G13281" i="32"/>
  <c r="G13280" i="32"/>
  <c r="G13279" i="32"/>
  <c r="G13278" i="32"/>
  <c r="G13277" i="32"/>
  <c r="G13276" i="32"/>
  <c r="G13275" i="32"/>
  <c r="G13274" i="32"/>
  <c r="G13273" i="32"/>
  <c r="G13272" i="32"/>
  <c r="G13271" i="32"/>
  <c r="G13270" i="32"/>
  <c r="G13269" i="32"/>
  <c r="G13268" i="32"/>
  <c r="G13267" i="32"/>
  <c r="G13266" i="32"/>
  <c r="G13265" i="32"/>
  <c r="G13263" i="32"/>
  <c r="G13262" i="32"/>
  <c r="G13261" i="32"/>
  <c r="G13260" i="32"/>
  <c r="G13259" i="32"/>
  <c r="G13258" i="32"/>
  <c r="G13257" i="32"/>
  <c r="G13256" i="32"/>
  <c r="G13255" i="32"/>
  <c r="G13254" i="32"/>
  <c r="G13253" i="32"/>
  <c r="G13252" i="32"/>
  <c r="G13250" i="32"/>
  <c r="G13248" i="32"/>
  <c r="G13247" i="32"/>
  <c r="G13246" i="32"/>
  <c r="G13245" i="32"/>
  <c r="G13243" i="32"/>
  <c r="G13242" i="32"/>
  <c r="G13241" i="32"/>
  <c r="G13240" i="32"/>
  <c r="G13237" i="32"/>
  <c r="G13236" i="32"/>
  <c r="G13235" i="32"/>
  <c r="G13234" i="32"/>
  <c r="G13232" i="32"/>
  <c r="G13230" i="32"/>
  <c r="G13229" i="32"/>
  <c r="G13228" i="32"/>
  <c r="G13227" i="32"/>
  <c r="G13226" i="32"/>
  <c r="G13224" i="32"/>
  <c r="G13223" i="32"/>
  <c r="G13222" i="32"/>
  <c r="G13219" i="32"/>
  <c r="G13218" i="32"/>
  <c r="G13217" i="32"/>
  <c r="G13216" i="32"/>
  <c r="G13215" i="32"/>
  <c r="G13214" i="32"/>
  <c r="G13213" i="32"/>
  <c r="G13210" i="32"/>
  <c r="G13209" i="32"/>
  <c r="G13208" i="32"/>
  <c r="G13207" i="32"/>
  <c r="G13206" i="32"/>
  <c r="G13205" i="32"/>
  <c r="G13203" i="32"/>
  <c r="G13202" i="32"/>
  <c r="G13201" i="32"/>
  <c r="G13200" i="32"/>
  <c r="G13199" i="32"/>
  <c r="G13198" i="32"/>
  <c r="G13197" i="32"/>
  <c r="G13196" i="32"/>
  <c r="G13195" i="32"/>
  <c r="G13194" i="32"/>
  <c r="G13193" i="32"/>
  <c r="G13191" i="32"/>
  <c r="G13190" i="32"/>
  <c r="G13189" i="32"/>
  <c r="G13188" i="32"/>
  <c r="G13186" i="32"/>
  <c r="G13185" i="32"/>
  <c r="G13184" i="32"/>
  <c r="G13183" i="32"/>
  <c r="G13182" i="32"/>
  <c r="G13181" i="32"/>
  <c r="G13180" i="32"/>
  <c r="G13179" i="32"/>
  <c r="G13178" i="32"/>
  <c r="G13177" i="32"/>
  <c r="G13176" i="32"/>
  <c r="G13175" i="32"/>
  <c r="G13174" i="32"/>
  <c r="G13172" i="32"/>
  <c r="G13171" i="32"/>
  <c r="G13170" i="32"/>
  <c r="G13169" i="32"/>
  <c r="G13168" i="32"/>
  <c r="G13167" i="32"/>
  <c r="G13166" i="32"/>
  <c r="G13165" i="32"/>
  <c r="G13164" i="32"/>
  <c r="G13163" i="32"/>
  <c r="G13162" i="32"/>
  <c r="G13161" i="32"/>
  <c r="G13160" i="32"/>
  <c r="G13159" i="32"/>
  <c r="G13158" i="32"/>
  <c r="G13157" i="32"/>
  <c r="G13156" i="32"/>
  <c r="G13155" i="32"/>
  <c r="G13154" i="32"/>
  <c r="G13153" i="32"/>
  <c r="G13152" i="32"/>
  <c r="G13151" i="32"/>
  <c r="G13150" i="32"/>
  <c r="G13149" i="32"/>
  <c r="G13148" i="32"/>
  <c r="G13147" i="32"/>
  <c r="G13146" i="32"/>
  <c r="G13145" i="32"/>
  <c r="G13144" i="32"/>
  <c r="G13141" i="32"/>
  <c r="G13139" i="32"/>
  <c r="G13137" i="32"/>
  <c r="G13135" i="32"/>
  <c r="G13134" i="32"/>
  <c r="G13133" i="32"/>
  <c r="G13132" i="32"/>
  <c r="G13131" i="32"/>
  <c r="G13130" i="32"/>
  <c r="G13129" i="32"/>
  <c r="G13127" i="32"/>
  <c r="G13126" i="32"/>
  <c r="G13125" i="32"/>
  <c r="G13124" i="32"/>
  <c r="G13123" i="32"/>
  <c r="G13122" i="32"/>
  <c r="G13120" i="32"/>
  <c r="G13119" i="32"/>
  <c r="G13118" i="32"/>
  <c r="G13117" i="32"/>
  <c r="G13116" i="32"/>
  <c r="G13115" i="32"/>
  <c r="G13114" i="32"/>
  <c r="G13112" i="32"/>
  <c r="G13111" i="32"/>
  <c r="G13110" i="32"/>
  <c r="G13108" i="32"/>
  <c r="G13107" i="32"/>
  <c r="G13105" i="32"/>
  <c r="G13102" i="32"/>
  <c r="G13101" i="32"/>
  <c r="G13100" i="32"/>
  <c r="G13099" i="32"/>
  <c r="G13098" i="32"/>
  <c r="G13097" i="32"/>
  <c r="G13096" i="32"/>
  <c r="G13095" i="32"/>
  <c r="G13094" i="32"/>
  <c r="G13093" i="32"/>
  <c r="G13092" i="32"/>
  <c r="G13091" i="32"/>
  <c r="G13090" i="32"/>
  <c r="G13089" i="32"/>
  <c r="G13087" i="32"/>
  <c r="G13086" i="32"/>
  <c r="G13085" i="32"/>
  <c r="G13084" i="32"/>
  <c r="G13081" i="32"/>
  <c r="G13080" i="32"/>
  <c r="G13079" i="32"/>
  <c r="G13078" i="32"/>
  <c r="G13077" i="32"/>
  <c r="G13076" i="32"/>
  <c r="G13075" i="32"/>
  <c r="G13074" i="32"/>
  <c r="G13073" i="32"/>
  <c r="G13072" i="32"/>
  <c r="G13071" i="32"/>
  <c r="G13070" i="32"/>
  <c r="G13069" i="32"/>
  <c r="G13068" i="32"/>
  <c r="G13067" i="32"/>
  <c r="G13066" i="32"/>
  <c r="G13065" i="32"/>
  <c r="G13064" i="32"/>
  <c r="G13063" i="32"/>
  <c r="G13062" i="32"/>
  <c r="G13061" i="32"/>
  <c r="G13060" i="32"/>
  <c r="G13059" i="32"/>
  <c r="G13058" i="32"/>
  <c r="G13057" i="32"/>
  <c r="G13055" i="32"/>
  <c r="G13054" i="32"/>
  <c r="G13053" i="32"/>
  <c r="G13052" i="32"/>
  <c r="G13051" i="32"/>
  <c r="G13050" i="32"/>
  <c r="G13049" i="32"/>
  <c r="G13048" i="32"/>
  <c r="G13047" i="32"/>
  <c r="G13046" i="32"/>
  <c r="G13044" i="32"/>
  <c r="G13043" i="32"/>
  <c r="G13042" i="32"/>
  <c r="G13041" i="32"/>
  <c r="G13040" i="32"/>
  <c r="G13039" i="32"/>
  <c r="G13038" i="32"/>
  <c r="G13037" i="32"/>
  <c r="G13036" i="32"/>
  <c r="G13035" i="32"/>
  <c r="G13034" i="32"/>
  <c r="G13033" i="32"/>
  <c r="G13032" i="32"/>
  <c r="G13031" i="32"/>
  <c r="G13030" i="32"/>
  <c r="G13028" i="32"/>
  <c r="G13027" i="32"/>
  <c r="G13026" i="32"/>
  <c r="G13025" i="32"/>
  <c r="G13024" i="32"/>
  <c r="G13023" i="32"/>
  <c r="G13022" i="32"/>
  <c r="G13021" i="32"/>
  <c r="G13020" i="32"/>
  <c r="G13019" i="32"/>
  <c r="G13018" i="32"/>
  <c r="G13017" i="32"/>
  <c r="G13015" i="32"/>
  <c r="G13014" i="32"/>
  <c r="G13013" i="32"/>
  <c r="G13012" i="32"/>
  <c r="G13011" i="32"/>
  <c r="G13010" i="32"/>
  <c r="G13009" i="32"/>
  <c r="G13008" i="32"/>
  <c r="G13007" i="32"/>
  <c r="G13006" i="32"/>
  <c r="G13005" i="32"/>
  <c r="G13004" i="32"/>
  <c r="G13003" i="32"/>
  <c r="G13002" i="32"/>
  <c r="G13001" i="32"/>
  <c r="G13000" i="32"/>
  <c r="G12999" i="32"/>
  <c r="G12998" i="32"/>
  <c r="G12997" i="32"/>
  <c r="G12996" i="32"/>
  <c r="G12995" i="32"/>
  <c r="G12993" i="32"/>
  <c r="G12992" i="32"/>
  <c r="G12991" i="32"/>
  <c r="G12990" i="32"/>
  <c r="G12989" i="32"/>
  <c r="G12988" i="32"/>
  <c r="G12987" i="32"/>
  <c r="G12986" i="32"/>
  <c r="G12985" i="32"/>
  <c r="G12984" i="32"/>
  <c r="G12983" i="32"/>
  <c r="G12982" i="32"/>
  <c r="G12981" i="32"/>
  <c r="G12980" i="32"/>
  <c r="G12979" i="32"/>
  <c r="G12978" i="32"/>
  <c r="G12977" i="32"/>
  <c r="G12976" i="32"/>
  <c r="G12975" i="32"/>
  <c r="G12974" i="32"/>
  <c r="G12973" i="32"/>
  <c r="G12972" i="32"/>
  <c r="G12971" i="32"/>
  <c r="G12970" i="32"/>
  <c r="G12969" i="32"/>
  <c r="G12968" i="32"/>
  <c r="G12967" i="32"/>
  <c r="G12966" i="32"/>
  <c r="G12965" i="32"/>
  <c r="G12964" i="32"/>
  <c r="G12963" i="32"/>
  <c r="G12962" i="32"/>
  <c r="G12961" i="32"/>
  <c r="G12960" i="32"/>
  <c r="G12959" i="32"/>
  <c r="G12958" i="32"/>
  <c r="G12957" i="32"/>
  <c r="G12956" i="32"/>
  <c r="G12955" i="32"/>
  <c r="G12954" i="32"/>
  <c r="G12953" i="32"/>
  <c r="G12952" i="32"/>
  <c r="G12951" i="32"/>
  <c r="G12950" i="32"/>
  <c r="G12949" i="32"/>
  <c r="G12948" i="32"/>
  <c r="G12947" i="32"/>
  <c r="G12946" i="32"/>
  <c r="G12945" i="32"/>
  <c r="G12944" i="32"/>
  <c r="G12943" i="32"/>
  <c r="G12942" i="32"/>
  <c r="G12941" i="32"/>
  <c r="G12940" i="32"/>
  <c r="G12939" i="32"/>
  <c r="G12938" i="32"/>
  <c r="G12935" i="32"/>
  <c r="G12934" i="32"/>
  <c r="G12933" i="32"/>
  <c r="G12932" i="32"/>
  <c r="G12930" i="32"/>
  <c r="G12929" i="32"/>
  <c r="G12928" i="32"/>
  <c r="G12927" i="32"/>
  <c r="G12925" i="32"/>
  <c r="G12924" i="32"/>
  <c r="G12923" i="32"/>
  <c r="G12922" i="32"/>
  <c r="G12921" i="32"/>
  <c r="G12920" i="32"/>
  <c r="G12919" i="32"/>
  <c r="G12918" i="32"/>
  <c r="G12917" i="32"/>
  <c r="G12916" i="32"/>
  <c r="G12915" i="32"/>
  <c r="G12912" i="32"/>
  <c r="G12911" i="32"/>
  <c r="G12910" i="32"/>
  <c r="G12909" i="32"/>
  <c r="G12908" i="32"/>
  <c r="G12907" i="32"/>
  <c r="G12906" i="32"/>
  <c r="G12905" i="32"/>
  <c r="G12904" i="32"/>
  <c r="G12903" i="32"/>
  <c r="G12902" i="32"/>
  <c r="G12901" i="32"/>
  <c r="G12900" i="32"/>
  <c r="G12899" i="32"/>
  <c r="G12898" i="32"/>
  <c r="G12897" i="32"/>
  <c r="G12896" i="32"/>
  <c r="G12895" i="32"/>
  <c r="G12894" i="32"/>
  <c r="G12892" i="32"/>
  <c r="G12891" i="32"/>
  <c r="G12890" i="32"/>
  <c r="G12889" i="32"/>
  <c r="G12888" i="32"/>
  <c r="G12886" i="32"/>
  <c r="G12885" i="32"/>
  <c r="G12884" i="32"/>
  <c r="G12883" i="32"/>
  <c r="G12882" i="32"/>
  <c r="G12881" i="32"/>
  <c r="G12880" i="32"/>
  <c r="G12879" i="32"/>
  <c r="G12878" i="32"/>
  <c r="G12877" i="32"/>
  <c r="G12875" i="32"/>
  <c r="G12874" i="32"/>
  <c r="G12873" i="32"/>
  <c r="G12872" i="32"/>
  <c r="G12870" i="32"/>
  <c r="G12869" i="32"/>
  <c r="G12868" i="32"/>
  <c r="G12867" i="32"/>
  <c r="G12865" i="32"/>
  <c r="G12864" i="32"/>
  <c r="G12863" i="32"/>
  <c r="G12862" i="32"/>
  <c r="G12861" i="32"/>
  <c r="G12860" i="32"/>
  <c r="G12859" i="32"/>
  <c r="G12858" i="32"/>
  <c r="G12857" i="32"/>
  <c r="G12855" i="32"/>
  <c r="G12854" i="32"/>
  <c r="G12853" i="32"/>
  <c r="G12850" i="32"/>
  <c r="G12849" i="32"/>
  <c r="G12848" i="32"/>
  <c r="G12847" i="32"/>
  <c r="G12846" i="32"/>
  <c r="G12845" i="32"/>
  <c r="G12844" i="32"/>
  <c r="G12843" i="32"/>
  <c r="G12842" i="32"/>
  <c r="G12841" i="32"/>
  <c r="G12840" i="32"/>
  <c r="G12839" i="32"/>
  <c r="G12838" i="32"/>
  <c r="G12837" i="32"/>
  <c r="G12836" i="32"/>
  <c r="G12835" i="32"/>
  <c r="G12834" i="32"/>
  <c r="G12833" i="32"/>
  <c r="G12832" i="32"/>
  <c r="G12831" i="32"/>
  <c r="G12830" i="32"/>
  <c r="G12829" i="32"/>
  <c r="G12828" i="32"/>
  <c r="G12826" i="32"/>
  <c r="G12825" i="32"/>
  <c r="G12824" i="32"/>
  <c r="G12823" i="32"/>
  <c r="G12822" i="32"/>
  <c r="G12821" i="32"/>
  <c r="G12820" i="32"/>
  <c r="G12819" i="32"/>
  <c r="G12818" i="32"/>
  <c r="G12816" i="32"/>
  <c r="G12815" i="32"/>
  <c r="G12814" i="32"/>
  <c r="G12813" i="32"/>
  <c r="G12812" i="32"/>
  <c r="G12811" i="32"/>
  <c r="G12810" i="32"/>
  <c r="G12809" i="32"/>
  <c r="G12808" i="32"/>
  <c r="G12807" i="32"/>
  <c r="G12805" i="32"/>
  <c r="G12804" i="32"/>
  <c r="G12803" i="32"/>
  <c r="G12802" i="32"/>
  <c r="G12801" i="32"/>
  <c r="G12800" i="32"/>
  <c r="G12799" i="32"/>
  <c r="G12797" i="32"/>
  <c r="G12792" i="32"/>
  <c r="G12791" i="32"/>
  <c r="G12790" i="32"/>
  <c r="G12788" i="32"/>
  <c r="G12787" i="32"/>
  <c r="G12786" i="32"/>
  <c r="G12782" i="32"/>
  <c r="G12781" i="32"/>
  <c r="G12780" i="32"/>
  <c r="G12779" i="32"/>
  <c r="G12778" i="32"/>
  <c r="G12777" i="32"/>
  <c r="G12776" i="32"/>
  <c r="G12775" i="32"/>
  <c r="G12774" i="32"/>
  <c r="G12773" i="32"/>
  <c r="G12772" i="32"/>
  <c r="G12771" i="32"/>
  <c r="G12769" i="32"/>
  <c r="G12767" i="32"/>
  <c r="G12766" i="32"/>
  <c r="G12765" i="32"/>
  <c r="G12764" i="32"/>
  <c r="G12763" i="32"/>
  <c r="G12762" i="32"/>
  <c r="G12761" i="32"/>
  <c r="G12760" i="32"/>
  <c r="G12759" i="32"/>
  <c r="G12758" i="32"/>
  <c r="G12756" i="32"/>
  <c r="G12755" i="32"/>
  <c r="G12753" i="32"/>
  <c r="G12752" i="32"/>
  <c r="G12751" i="32"/>
  <c r="G12750" i="32"/>
  <c r="G12749" i="32"/>
  <c r="G12748" i="32"/>
  <c r="G12747" i="32"/>
  <c r="G12746" i="32"/>
  <c r="G12745" i="32"/>
  <c r="G12744" i="32"/>
  <c r="G12743" i="32"/>
  <c r="G12742" i="32"/>
  <c r="G12740" i="32"/>
  <c r="G12739" i="32"/>
  <c r="G12738" i="32"/>
  <c r="G12737" i="32"/>
  <c r="G12736" i="32"/>
  <c r="G12735" i="32"/>
  <c r="G12734" i="32"/>
  <c r="G12733" i="32"/>
  <c r="G12732" i="32"/>
  <c r="G12730" i="32"/>
  <c r="G12729" i="32"/>
  <c r="G12728" i="32"/>
  <c r="G12727" i="32"/>
  <c r="G12726" i="32"/>
  <c r="G12725" i="32"/>
  <c r="G12724" i="32"/>
  <c r="G12723" i="32"/>
  <c r="G12722" i="32"/>
  <c r="G12721" i="32"/>
  <c r="G12720" i="32"/>
  <c r="G12719" i="32"/>
  <c r="G12718" i="32"/>
  <c r="G12717" i="32"/>
  <c r="G12716" i="32"/>
  <c r="G12715" i="32"/>
  <c r="G12714" i="32"/>
  <c r="G12713" i="32"/>
  <c r="G12712" i="32"/>
  <c r="G12711" i="32"/>
  <c r="G12710" i="32"/>
  <c r="G12709" i="32"/>
  <c r="G12708" i="32"/>
  <c r="G12707" i="32"/>
  <c r="G12706" i="32"/>
  <c r="G12705" i="32"/>
  <c r="G12704" i="32"/>
  <c r="G12703" i="32"/>
  <c r="G12702" i="32"/>
  <c r="G12701" i="32"/>
  <c r="G12700" i="32"/>
  <c r="G12699" i="32"/>
  <c r="G12698" i="32"/>
  <c r="G12697" i="32"/>
  <c r="G12696" i="32"/>
  <c r="G12695" i="32"/>
  <c r="G12694" i="32"/>
  <c r="G12693" i="32"/>
  <c r="G12692" i="32"/>
  <c r="G12691" i="32"/>
  <c r="G12690" i="32"/>
  <c r="G12689" i="32"/>
  <c r="G12687" i="32"/>
  <c r="G12686" i="32"/>
  <c r="G12685" i="32"/>
  <c r="G12684" i="32"/>
  <c r="G12683" i="32"/>
  <c r="G12682" i="32"/>
  <c r="G12681" i="32"/>
  <c r="G12680" i="32"/>
  <c r="G12679" i="32"/>
  <c r="G12678" i="32"/>
  <c r="G12677" i="32"/>
  <c r="G12676" i="32"/>
  <c r="G12675" i="32"/>
  <c r="G12674" i="32"/>
  <c r="G12673" i="32"/>
  <c r="G12672" i="32"/>
  <c r="G12671" i="32"/>
  <c r="G12670" i="32"/>
  <c r="G12669" i="32"/>
  <c r="G12668" i="32"/>
  <c r="G12667" i="32"/>
  <c r="G12666" i="32"/>
  <c r="G12665" i="32"/>
  <c r="G12664" i="32"/>
  <c r="G12663" i="32"/>
  <c r="G12662" i="32"/>
  <c r="G12661" i="32"/>
  <c r="G12660" i="32"/>
  <c r="G12659" i="32"/>
  <c r="G12658" i="32"/>
  <c r="G12657" i="32"/>
  <c r="G12655" i="32"/>
  <c r="G12654" i="32"/>
  <c r="G12652" i="32"/>
  <c r="G12650" i="32"/>
  <c r="G12649" i="32"/>
  <c r="G12648" i="32"/>
  <c r="G12647" i="32"/>
  <c r="G12646" i="32"/>
  <c r="G12645" i="32"/>
  <c r="G12644" i="32"/>
  <c r="G12643" i="32"/>
  <c r="G12642" i="32"/>
  <c r="G12641" i="32"/>
  <c r="G12640" i="32"/>
  <c r="G12639" i="32"/>
  <c r="G12638" i="32"/>
  <c r="G12637" i="32"/>
  <c r="G12636" i="32"/>
  <c r="G12635" i="32"/>
  <c r="G12634" i="32"/>
  <c r="G12633" i="32"/>
  <c r="G12632" i="32"/>
  <c r="G12631" i="32"/>
  <c r="G12630" i="32"/>
  <c r="G12629" i="32"/>
  <c r="G12628" i="32"/>
  <c r="G12627" i="32"/>
  <c r="G12626" i="32"/>
  <c r="G12625" i="32"/>
  <c r="G12624" i="32"/>
  <c r="G12623" i="32"/>
  <c r="G12622" i="32"/>
  <c r="G12621" i="32"/>
  <c r="G12620" i="32"/>
  <c r="G12619" i="32"/>
  <c r="G12618" i="32"/>
  <c r="G12617" i="32"/>
  <c r="G12616" i="32"/>
  <c r="G12615" i="32"/>
  <c r="G12614" i="32"/>
  <c r="G12613" i="32"/>
  <c r="G12612" i="32"/>
  <c r="G12610" i="32"/>
  <c r="G12608" i="32"/>
  <c r="G12607" i="32"/>
  <c r="G12606" i="32"/>
  <c r="G12605" i="32"/>
  <c r="G12604" i="32"/>
  <c r="G12603" i="32"/>
  <c r="G12602" i="32"/>
  <c r="G12601" i="32"/>
  <c r="G12600" i="32"/>
  <c r="G12599" i="32"/>
  <c r="G12598" i="32"/>
  <c r="G12597" i="32"/>
  <c r="G12596" i="32"/>
  <c r="G12595" i="32"/>
  <c r="G12594" i="32"/>
  <c r="G12593" i="32"/>
  <c r="G12592" i="32"/>
  <c r="G12591" i="32"/>
  <c r="G12590" i="32"/>
  <c r="G12589" i="32"/>
  <c r="G12588" i="32"/>
  <c r="G12587" i="32"/>
  <c r="G12586" i="32"/>
  <c r="G12585" i="32"/>
  <c r="G12582" i="32"/>
  <c r="G12581" i="32"/>
  <c r="G12580" i="32"/>
  <c r="G12578" i="32"/>
  <c r="G12577" i="32"/>
  <c r="G12576" i="32"/>
  <c r="G12575" i="32"/>
  <c r="G12574" i="32"/>
  <c r="G12573" i="32"/>
  <c r="G12572" i="32"/>
  <c r="G12571" i="32"/>
  <c r="G12570" i="32"/>
  <c r="G12569" i="32"/>
  <c r="G12568" i="32"/>
  <c r="G12567" i="32"/>
  <c r="G12566" i="32"/>
  <c r="G12565" i="32"/>
  <c r="G12564" i="32"/>
  <c r="G12562" i="32"/>
  <c r="G12561" i="32"/>
  <c r="G12560" i="32"/>
  <c r="G12559" i="32"/>
  <c r="G12558" i="32"/>
  <c r="G12557" i="32"/>
  <c r="G12556" i="32"/>
  <c r="G12555" i="32"/>
  <c r="G12554" i="32"/>
  <c r="G12553" i="32"/>
  <c r="G12552" i="32"/>
  <c r="G12551" i="32"/>
  <c r="G12550" i="32"/>
  <c r="G12549" i="32"/>
  <c r="G12547" i="32"/>
  <c r="G12546" i="32"/>
  <c r="G12545" i="32"/>
  <c r="G12544" i="32"/>
  <c r="G12543" i="32"/>
  <c r="G12542" i="32"/>
  <c r="G12541" i="32"/>
  <c r="G12540" i="32"/>
  <c r="G12539" i="32"/>
  <c r="G12538" i="32"/>
  <c r="G12537" i="32"/>
  <c r="G12536" i="32"/>
  <c r="G12535" i="32"/>
  <c r="G12534" i="32"/>
  <c r="G12533" i="32"/>
  <c r="G12532" i="32"/>
  <c r="G12531" i="32"/>
  <c r="G12530" i="32"/>
  <c r="G12527" i="32"/>
  <c r="G12526" i="32"/>
  <c r="G12525" i="32"/>
  <c r="G12524" i="32"/>
  <c r="G12523" i="32"/>
  <c r="G12522" i="32"/>
  <c r="G12521" i="32"/>
  <c r="G12520" i="32"/>
  <c r="G12519" i="32"/>
  <c r="G12518" i="32"/>
  <c r="G12517" i="32"/>
  <c r="G12516" i="32"/>
  <c r="G12515" i="32"/>
  <c r="G12514" i="32"/>
  <c r="G12513" i="32"/>
  <c r="G12512" i="32"/>
  <c r="G12511" i="32"/>
  <c r="G12510" i="32"/>
  <c r="G12509" i="32"/>
  <c r="G12508" i="32"/>
  <c r="G12507" i="32"/>
  <c r="G12506" i="32"/>
  <c r="G12505" i="32"/>
  <c r="G12504" i="32"/>
  <c r="G12503" i="32"/>
  <c r="G12502" i="32"/>
  <c r="G12501" i="32"/>
  <c r="G12500" i="32"/>
  <c r="G12499" i="32"/>
  <c r="G12498" i="32"/>
  <c r="G12497" i="32"/>
  <c r="G12496" i="32"/>
  <c r="G12495" i="32"/>
  <c r="G12494" i="32"/>
  <c r="G12493" i="32"/>
  <c r="G12492" i="32"/>
  <c r="G12491" i="32"/>
  <c r="G12490" i="32"/>
  <c r="G12489" i="32"/>
  <c r="G12488" i="32"/>
  <c r="G12487" i="32"/>
  <c r="G12486" i="32"/>
  <c r="G12485" i="32"/>
  <c r="G12484" i="32"/>
  <c r="G12483" i="32"/>
  <c r="G12482" i="32"/>
  <c r="G12481" i="32"/>
  <c r="G12480" i="32"/>
  <c r="G12479" i="32"/>
  <c r="G12478" i="32"/>
  <c r="G12477" i="32"/>
  <c r="G12476" i="32"/>
  <c r="G12475" i="32"/>
  <c r="G12474" i="32"/>
  <c r="G12473" i="32"/>
  <c r="G12472" i="32"/>
  <c r="G12471" i="32"/>
  <c r="G12470" i="32"/>
  <c r="G12469" i="32"/>
  <c r="G12468" i="32"/>
  <c r="G12466" i="32"/>
  <c r="G12465" i="32"/>
  <c r="G12464" i="32"/>
  <c r="G12463" i="32"/>
  <c r="G12462" i="32"/>
  <c r="G12461" i="32"/>
  <c r="G12460" i="32"/>
  <c r="G12459" i="32"/>
  <c r="G12458" i="32"/>
  <c r="G12457" i="32"/>
  <c r="G12456" i="32"/>
  <c r="G12455" i="32"/>
  <c r="G12454" i="32"/>
  <c r="G12453" i="32"/>
  <c r="G12452" i="32"/>
  <c r="G12451" i="32"/>
  <c r="G12450" i="32"/>
  <c r="G12449" i="32"/>
  <c r="G12448" i="32"/>
  <c r="G12447" i="32"/>
  <c r="G12446" i="32"/>
  <c r="G12445" i="32"/>
  <c r="G12444" i="32"/>
  <c r="G12443" i="32"/>
  <c r="G12441" i="32"/>
  <c r="G12440" i="32"/>
  <c r="G12439" i="32"/>
  <c r="G12438" i="32"/>
  <c r="G12437" i="32"/>
  <c r="G12436" i="32"/>
  <c r="G12435" i="32"/>
  <c r="G12434" i="32"/>
  <c r="G12433" i="32"/>
  <c r="G12432" i="32"/>
  <c r="G12431" i="32"/>
  <c r="G12430" i="32"/>
  <c r="G12429" i="32"/>
  <c r="G12428" i="32"/>
  <c r="G12427" i="32"/>
  <c r="G12426" i="32"/>
  <c r="G12425" i="32"/>
  <c r="G12424" i="32"/>
  <c r="G12423" i="32"/>
  <c r="G12422" i="32"/>
  <c r="G12421" i="32"/>
  <c r="G12420" i="32"/>
  <c r="G12419" i="32"/>
  <c r="G12418" i="32"/>
  <c r="G12417" i="32"/>
  <c r="G12416" i="32"/>
  <c r="G12415" i="32"/>
  <c r="G12414" i="32"/>
  <c r="G12412" i="32"/>
  <c r="G12411" i="32"/>
  <c r="G12410" i="32"/>
  <c r="G12409" i="32"/>
  <c r="G12407" i="32"/>
  <c r="G12406" i="32"/>
  <c r="G12405" i="32"/>
  <c r="G12404" i="32"/>
  <c r="G12403" i="32"/>
  <c r="G12402" i="32"/>
  <c r="G12401" i="32"/>
  <c r="G12399" i="32"/>
  <c r="G12398" i="32"/>
  <c r="G12397" i="32"/>
  <c r="G12396" i="32"/>
  <c r="G12395" i="32"/>
  <c r="G12392" i="32"/>
  <c r="G12390" i="32"/>
  <c r="G12389" i="32"/>
  <c r="G12388" i="32"/>
  <c r="G12387" i="32"/>
  <c r="G12386" i="32"/>
  <c r="G12385" i="32"/>
  <c r="G12383" i="32"/>
  <c r="G12382" i="32"/>
  <c r="G12381" i="32"/>
  <c r="G12380" i="32"/>
  <c r="G12379" i="32"/>
  <c r="G12378" i="32"/>
  <c r="G12377" i="32"/>
  <c r="G12376" i="32"/>
  <c r="G12375" i="32"/>
  <c r="G12374" i="32"/>
  <c r="G12373" i="32"/>
  <c r="G12372" i="32"/>
  <c r="G12371" i="32"/>
  <c r="G12370" i="32"/>
  <c r="G12369" i="32"/>
  <c r="G12368" i="32"/>
  <c r="G12367" i="32"/>
  <c r="G12366" i="32"/>
  <c r="G12365" i="32"/>
  <c r="G12364" i="32"/>
  <c r="G12363" i="32"/>
  <c r="G12362" i="32"/>
  <c r="G12361" i="32"/>
  <c r="G12360" i="32"/>
  <c r="G12358" i="32"/>
  <c r="G12357" i="32"/>
  <c r="G12355" i="32"/>
  <c r="G12354" i="32"/>
  <c r="G12353" i="32"/>
  <c r="G12352" i="32"/>
  <c r="G12351" i="32"/>
  <c r="G12348" i="32"/>
  <c r="G12347" i="32"/>
  <c r="G12346" i="32"/>
  <c r="G12345" i="32"/>
  <c r="G12344" i="32"/>
  <c r="G12343" i="32"/>
  <c r="G12342" i="32"/>
  <c r="G12341" i="32"/>
  <c r="G12340" i="32"/>
  <c r="G12339" i="32"/>
  <c r="G12337" i="32"/>
  <c r="G12335" i="32"/>
  <c r="G12334" i="32"/>
  <c r="G12333" i="32"/>
  <c r="G12332" i="32"/>
  <c r="G12331" i="32"/>
  <c r="G12329" i="32"/>
  <c r="G12328" i="32"/>
  <c r="G12327" i="32"/>
  <c r="G12326" i="32"/>
  <c r="G12325" i="32"/>
  <c r="G12324" i="32"/>
  <c r="G12323" i="32"/>
  <c r="G12322" i="32"/>
  <c r="G12321" i="32"/>
  <c r="G12320" i="32"/>
  <c r="G12319" i="32"/>
  <c r="G12318" i="32"/>
  <c r="G12317" i="32"/>
  <c r="G12316" i="32"/>
  <c r="G12315" i="32"/>
  <c r="G12314" i="32"/>
  <c r="G12313" i="32"/>
  <c r="G12312" i="32"/>
  <c r="G12311" i="32"/>
  <c r="G12310" i="32"/>
  <c r="G12309" i="32"/>
  <c r="G12308" i="32"/>
  <c r="G12307" i="32"/>
  <c r="G12306" i="32"/>
  <c r="G12305" i="32"/>
  <c r="G12303" i="32"/>
  <c r="G12302" i="32"/>
  <c r="G12301" i="32"/>
  <c r="G12300" i="32"/>
  <c r="G12299" i="32"/>
  <c r="G12298" i="32"/>
  <c r="G12297" i="32"/>
  <c r="G12296" i="32"/>
  <c r="G12295" i="32"/>
  <c r="G12293" i="32"/>
  <c r="G12292" i="32"/>
  <c r="G12291" i="32"/>
  <c r="G12290" i="32"/>
  <c r="G12289" i="32"/>
  <c r="G12288" i="32"/>
  <c r="G12287" i="32"/>
  <c r="G12286" i="32"/>
  <c r="G12285" i="32"/>
  <c r="G12284" i="32"/>
  <c r="G12283" i="32"/>
  <c r="G12282" i="32"/>
  <c r="G12281" i="32"/>
  <c r="G12280" i="32"/>
  <c r="G12279" i="32"/>
  <c r="G12278" i="32"/>
  <c r="G12276" i="32"/>
  <c r="G12274" i="32"/>
  <c r="G12271" i="32"/>
  <c r="G12270" i="32"/>
  <c r="G12269" i="32"/>
  <c r="G12268" i="32"/>
  <c r="G12267" i="32"/>
  <c r="G12266" i="32"/>
  <c r="G12264" i="32"/>
  <c r="G12263" i="32"/>
  <c r="G12262" i="32"/>
  <c r="G12261" i="32"/>
  <c r="G12260" i="32"/>
  <c r="G12258" i="32"/>
  <c r="G12257" i="32"/>
  <c r="G12256" i="32"/>
  <c r="G12254" i="32"/>
  <c r="G12253" i="32"/>
  <c r="G12252" i="32"/>
  <c r="G12251" i="32"/>
  <c r="G12250" i="32"/>
  <c r="G12249" i="32"/>
  <c r="G12248" i="32"/>
  <c r="G12247" i="32"/>
  <c r="G12246" i="32"/>
  <c r="G12245" i="32"/>
  <c r="G12244" i="32"/>
  <c r="G12243" i="32"/>
  <c r="G12242" i="32"/>
  <c r="G12241" i="32"/>
  <c r="G12240" i="32"/>
  <c r="G12239" i="32"/>
  <c r="G12238" i="32"/>
  <c r="G12237" i="32"/>
  <c r="G12236" i="32"/>
  <c r="G12235" i="32"/>
  <c r="G12234" i="32"/>
  <c r="G12233" i="32"/>
  <c r="G12232" i="32"/>
  <c r="G12231" i="32"/>
  <c r="G12230" i="32"/>
  <c r="G12229" i="32"/>
  <c r="G12228" i="32"/>
  <c r="G12227" i="32"/>
  <c r="G12226" i="32"/>
  <c r="G12225" i="32"/>
  <c r="G12224" i="32"/>
  <c r="G12223" i="32"/>
  <c r="G12222" i="32"/>
  <c r="G12221" i="32"/>
  <c r="G12220" i="32"/>
  <c r="G12219" i="32"/>
  <c r="G12217" i="32"/>
  <c r="G12216" i="32"/>
  <c r="G12215" i="32"/>
  <c r="G12213" i="32"/>
  <c r="G12212" i="32"/>
  <c r="G12211" i="32"/>
  <c r="G12210" i="32"/>
  <c r="G12209" i="32"/>
  <c r="G12208" i="32"/>
  <c r="G12207" i="32"/>
  <c r="G12206" i="32"/>
  <c r="G12205" i="32"/>
  <c r="G12204" i="32"/>
  <c r="G12203" i="32"/>
  <c r="G12202" i="32"/>
  <c r="G12201" i="32"/>
  <c r="G12200" i="32"/>
  <c r="G12199" i="32"/>
  <c r="G12198" i="32"/>
  <c r="G12197" i="32"/>
  <c r="G12196" i="32"/>
  <c r="G12195" i="32"/>
  <c r="G12194" i="32"/>
  <c r="G12193" i="32"/>
  <c r="G12192" i="32"/>
  <c r="G12191" i="32"/>
  <c r="G12190" i="32"/>
  <c r="G12189" i="32"/>
  <c r="G12188" i="32"/>
  <c r="G12186" i="32"/>
  <c r="G12185" i="32"/>
  <c r="G12184" i="32"/>
  <c r="G12183" i="32"/>
  <c r="G12182" i="32"/>
  <c r="G12180" i="32"/>
  <c r="G12178" i="32"/>
  <c r="G12177" i="32"/>
  <c r="G12176" i="32"/>
  <c r="G12175" i="32"/>
  <c r="G12174" i="32"/>
  <c r="G12173" i="32"/>
  <c r="G12171" i="32"/>
  <c r="G12170" i="32"/>
  <c r="G12169" i="32"/>
  <c r="G12168" i="32"/>
  <c r="G12167" i="32"/>
  <c r="G12166" i="32"/>
  <c r="G12165" i="32"/>
  <c r="G12164" i="32"/>
  <c r="G12163" i="32"/>
  <c r="G12162" i="32"/>
  <c r="G12161" i="32"/>
  <c r="G12160" i="32"/>
  <c r="G12159" i="32"/>
  <c r="G12158" i="32"/>
  <c r="G12157" i="32"/>
  <c r="G12156" i="32"/>
  <c r="G12155" i="32"/>
  <c r="G12154" i="32"/>
  <c r="G12153" i="32"/>
  <c r="G12152" i="32"/>
  <c r="G12151" i="32"/>
  <c r="G12150" i="32"/>
  <c r="G12149" i="32"/>
  <c r="G12147" i="32"/>
  <c r="G12146" i="32"/>
  <c r="G12145" i="32"/>
  <c r="G12144" i="32"/>
  <c r="G12143" i="32"/>
  <c r="G12142" i="32"/>
  <c r="G12141" i="32"/>
  <c r="G12140" i="32"/>
  <c r="G12139" i="32"/>
  <c r="G12136" i="32"/>
  <c r="G12135" i="32"/>
  <c r="G12134" i="32"/>
  <c r="G12132" i="32"/>
  <c r="G12131" i="32"/>
  <c r="G12130" i="32"/>
  <c r="G12129" i="32"/>
  <c r="G12128" i="32"/>
  <c r="G12127" i="32"/>
  <c r="G12126" i="32"/>
  <c r="G12125" i="32"/>
  <c r="G12123" i="32"/>
  <c r="G12122" i="32"/>
  <c r="G12121" i="32"/>
  <c r="G12120" i="32"/>
  <c r="G12119" i="32"/>
  <c r="G12118" i="32"/>
  <c r="G12117" i="32"/>
  <c r="G12116" i="32"/>
  <c r="G12115" i="32"/>
  <c r="G12114" i="32"/>
  <c r="G12113" i="32"/>
  <c r="G12109" i="32"/>
  <c r="G12108" i="32"/>
  <c r="G12107" i="32"/>
  <c r="G12106" i="32"/>
  <c r="G12105" i="32"/>
  <c r="G12104" i="32"/>
  <c r="G12103" i="32"/>
  <c r="G12102" i="32"/>
  <c r="G12101" i="32"/>
  <c r="G12100" i="32"/>
  <c r="G12099" i="32"/>
  <c r="G12096" i="32"/>
  <c r="G12095" i="32"/>
  <c r="G12094" i="32"/>
  <c r="G12093" i="32"/>
  <c r="G12092" i="32"/>
  <c r="G12091" i="32"/>
  <c r="G12090" i="32"/>
  <c r="G12089" i="32"/>
  <c r="G12088" i="32"/>
  <c r="G12087" i="32"/>
  <c r="G12086" i="32"/>
  <c r="G12085" i="32"/>
  <c r="G12084" i="32"/>
  <c r="G12083" i="32"/>
  <c r="G12082" i="32"/>
  <c r="G12081" i="32"/>
  <c r="G12080" i="32"/>
  <c r="G12079" i="32"/>
  <c r="G12078" i="32"/>
  <c r="G12077" i="32"/>
  <c r="G12075" i="32"/>
  <c r="G12074" i="32"/>
  <c r="G12073" i="32"/>
  <c r="G12072" i="32"/>
  <c r="G12070" i="32"/>
  <c r="G12068" i="32"/>
  <c r="G12066" i="32"/>
  <c r="G12065" i="32"/>
  <c r="G12064" i="32"/>
  <c r="G12063" i="32"/>
  <c r="G12062" i="32"/>
  <c r="G12061" i="32"/>
  <c r="G12060" i="32"/>
  <c r="G12059" i="32"/>
  <c r="G12058" i="32"/>
  <c r="G12057" i="32"/>
  <c r="G12056" i="32"/>
  <c r="G12055" i="32"/>
  <c r="G12054" i="32"/>
  <c r="G12053" i="32"/>
  <c r="G12052" i="32"/>
  <c r="G12051" i="32"/>
  <c r="G12050" i="32"/>
  <c r="G12049" i="32"/>
  <c r="G12047" i="32"/>
  <c r="G12046" i="32"/>
  <c r="G12045" i="32"/>
  <c r="G12044" i="32"/>
  <c r="G12043" i="32"/>
  <c r="G12042" i="32"/>
  <c r="G12041" i="32"/>
  <c r="G12040" i="32"/>
  <c r="G12039" i="32"/>
  <c r="G12038" i="32"/>
  <c r="G12037" i="32"/>
  <c r="G12036" i="32"/>
  <c r="G12035" i="32"/>
  <c r="G12034" i="32"/>
  <c r="G12033" i="32"/>
  <c r="G12031" i="32"/>
  <c r="G12030" i="32"/>
  <c r="G12029" i="32"/>
  <c r="G12028" i="32"/>
  <c r="G12027" i="32"/>
  <c r="G12026" i="32"/>
  <c r="G12025" i="32"/>
  <c r="G12024" i="32"/>
  <c r="G12023" i="32"/>
  <c r="G12022" i="32"/>
  <c r="G12021" i="32"/>
  <c r="G12020" i="32"/>
  <c r="G12019" i="32"/>
  <c r="G12018" i="32"/>
  <c r="G12017" i="32"/>
  <c r="G12016" i="32"/>
  <c r="G12015" i="32"/>
  <c r="G12013" i="32"/>
  <c r="G12012" i="32"/>
  <c r="G12011" i="32"/>
  <c r="G12010" i="32"/>
  <c r="G12009" i="32"/>
  <c r="G12008" i="32"/>
  <c r="G12007" i="32"/>
  <c r="G12006" i="32"/>
  <c r="G12005" i="32"/>
  <c r="G12004" i="32"/>
  <c r="G12003" i="32"/>
  <c r="G12002" i="32"/>
  <c r="G12001" i="32"/>
  <c r="G12000" i="32"/>
  <c r="G11999" i="32"/>
  <c r="G11998" i="32"/>
  <c r="G11997" i="32"/>
  <c r="G11996" i="32"/>
  <c r="G11995" i="32"/>
  <c r="G11994" i="32"/>
  <c r="G11993" i="32"/>
  <c r="G11992" i="32"/>
  <c r="G11991" i="32"/>
  <c r="G11990" i="32"/>
  <c r="G11989" i="32"/>
  <c r="G11988" i="32"/>
  <c r="G11987" i="32"/>
  <c r="G11986" i="32"/>
  <c r="G11985" i="32"/>
  <c r="G11984" i="32"/>
  <c r="G11983" i="32"/>
  <c r="G11982" i="32"/>
  <c r="G11981" i="32"/>
  <c r="G11980" i="32"/>
  <c r="G11979" i="32"/>
  <c r="G11978" i="32"/>
  <c r="G11977" i="32"/>
  <c r="G11976" i="32"/>
  <c r="G11975" i="32"/>
  <c r="G11974" i="32"/>
  <c r="G11973" i="32"/>
  <c r="G11972" i="32"/>
  <c r="G11971" i="32"/>
  <c r="G11970" i="32"/>
  <c r="G11969" i="32"/>
  <c r="G11968" i="32"/>
  <c r="G11967" i="32"/>
  <c r="G11966" i="32"/>
  <c r="G11965" i="32"/>
  <c r="G11964" i="32"/>
  <c r="G11963" i="32"/>
  <c r="G11962" i="32"/>
  <c r="G11961" i="32"/>
  <c r="G11960" i="32"/>
  <c r="G11959" i="32"/>
  <c r="G11958" i="32"/>
  <c r="G11957" i="32"/>
  <c r="G11956" i="32"/>
  <c r="G11955" i="32"/>
  <c r="G11954" i="32"/>
  <c r="G11949" i="32"/>
  <c r="G11948" i="32"/>
  <c r="G11947" i="32"/>
  <c r="G11945" i="32"/>
  <c r="G11944" i="32"/>
  <c r="G11943" i="32"/>
  <c r="G11941" i="32"/>
  <c r="G11940" i="32"/>
  <c r="G11939" i="32"/>
  <c r="G11938" i="32"/>
  <c r="G11937" i="32"/>
  <c r="G11936" i="32"/>
  <c r="G11935" i="32"/>
  <c r="G11932" i="32"/>
  <c r="G11930" i="32"/>
  <c r="G11929" i="32"/>
  <c r="G11928" i="32"/>
  <c r="G11927" i="32"/>
  <c r="G11926" i="32"/>
  <c r="G11925" i="32"/>
  <c r="G11924" i="32"/>
  <c r="G11922" i="32"/>
  <c r="G11921" i="32"/>
  <c r="G11920" i="32"/>
  <c r="G11919" i="32"/>
  <c r="G11918" i="32"/>
  <c r="G11917" i="32"/>
  <c r="G11916" i="32"/>
  <c r="G11915" i="32"/>
  <c r="G11914" i="32"/>
  <c r="G11912" i="32"/>
  <c r="G11911" i="32"/>
  <c r="G11910" i="32"/>
  <c r="G11909" i="32"/>
  <c r="G11908" i="32"/>
  <c r="G11907" i="32"/>
  <c r="G11906" i="32"/>
  <c r="G11905" i="32"/>
  <c r="G11904" i="32"/>
  <c r="G11903" i="32"/>
  <c r="G11901" i="32"/>
  <c r="G11900" i="32"/>
  <c r="G11899" i="32"/>
  <c r="G11898" i="32"/>
  <c r="G11897" i="32"/>
  <c r="G11896" i="32"/>
  <c r="G11895" i="32"/>
  <c r="G11894" i="32"/>
  <c r="G11893" i="32"/>
  <c r="G11892" i="32"/>
  <c r="G11891" i="32"/>
  <c r="G11890" i="32"/>
  <c r="G11889" i="32"/>
  <c r="G11887" i="32"/>
  <c r="G11886" i="32"/>
  <c r="G11885" i="32"/>
  <c r="G11884" i="32"/>
  <c r="G11883" i="32"/>
  <c r="G11882" i="32"/>
  <c r="G11881" i="32"/>
  <c r="G11880" i="32"/>
  <c r="G11879" i="32"/>
  <c r="G11878" i="32"/>
  <c r="G11877" i="32"/>
  <c r="G11875" i="32"/>
  <c r="G11874" i="32"/>
  <c r="G11873" i="32"/>
  <c r="G11872" i="32"/>
  <c r="G11871" i="32"/>
  <c r="G11870" i="32"/>
  <c r="G11869" i="32"/>
  <c r="G11868" i="32"/>
  <c r="G11867" i="32"/>
  <c r="G11866" i="32"/>
  <c r="G11865" i="32"/>
  <c r="G11861" i="32"/>
  <c r="G11860" i="32"/>
  <c r="G11859" i="32"/>
  <c r="G11858" i="32"/>
  <c r="G11857" i="32"/>
  <c r="G11856" i="32"/>
  <c r="G11855" i="32"/>
  <c r="G11854" i="32"/>
  <c r="G11851" i="32"/>
  <c r="G11849" i="32"/>
  <c r="G11848" i="32"/>
  <c r="G11847" i="32"/>
  <c r="G11846" i="32"/>
  <c r="G11845" i="32"/>
  <c r="G11844" i="32"/>
  <c r="G11843" i="32"/>
  <c r="G11842" i="32"/>
  <c r="G11841" i="32"/>
  <c r="G11840" i="32"/>
  <c r="G11839" i="32"/>
  <c r="G11838" i="32"/>
  <c r="G11837" i="32"/>
  <c r="G11836" i="32"/>
  <c r="G11835" i="32"/>
  <c r="G11834" i="32"/>
  <c r="G11833" i="32"/>
  <c r="G11832" i="32"/>
  <c r="G11831" i="32"/>
  <c r="G11830" i="32"/>
  <c r="G11829" i="32"/>
  <c r="G11828" i="32"/>
  <c r="G11827" i="32"/>
  <c r="G11826" i="32"/>
  <c r="G11825" i="32"/>
  <c r="G11824" i="32"/>
  <c r="G11821" i="32"/>
  <c r="G11820" i="32"/>
  <c r="G11819" i="32"/>
  <c r="G11818" i="32"/>
  <c r="G11817" i="32"/>
  <c r="G11816" i="32"/>
  <c r="G11815" i="32"/>
  <c r="G11814" i="32"/>
  <c r="G11813" i="32"/>
  <c r="G11812" i="32"/>
  <c r="G11811" i="32"/>
  <c r="G11810" i="32"/>
  <c r="G11809" i="32"/>
  <c r="G11808" i="32"/>
  <c r="G11807" i="32"/>
  <c r="G11806" i="32"/>
  <c r="G11805" i="32"/>
  <c r="G11804" i="32"/>
  <c r="G11803" i="32"/>
  <c r="G11802" i="32"/>
  <c r="G11801" i="32"/>
  <c r="G11800" i="32"/>
  <c r="G11799" i="32"/>
  <c r="G11798" i="32"/>
  <c r="G11797" i="32"/>
  <c r="G11796" i="32"/>
  <c r="G11795" i="32"/>
  <c r="G11794" i="32"/>
  <c r="G11793" i="32"/>
  <c r="G11791" i="32"/>
  <c r="G11790" i="32"/>
  <c r="G11789" i="32"/>
  <c r="G11788" i="32"/>
  <c r="G11787" i="32"/>
  <c r="G11786" i="32"/>
  <c r="G11785" i="32"/>
  <c r="G11784" i="32"/>
  <c r="G11783" i="32"/>
  <c r="G11782" i="32"/>
  <c r="G11781" i="32"/>
  <c r="G11780" i="32"/>
  <c r="G11779" i="32"/>
  <c r="G11778" i="32"/>
  <c r="G11777" i="32"/>
  <c r="G11776" i="32"/>
  <c r="G11775" i="32"/>
  <c r="G11774" i="32"/>
  <c r="G11773" i="32"/>
  <c r="G11772" i="32"/>
  <c r="G11771" i="32"/>
  <c r="G11770" i="32"/>
  <c r="G11769" i="32"/>
  <c r="G11768" i="32"/>
  <c r="G11767" i="32"/>
  <c r="G11766" i="32"/>
  <c r="G11764" i="32"/>
  <c r="G11763" i="32"/>
  <c r="G11762" i="32"/>
  <c r="G11761" i="32"/>
  <c r="G11760" i="32"/>
  <c r="G11759" i="32"/>
  <c r="G11758" i="32"/>
  <c r="G11757" i="32"/>
  <c r="G11756" i="32"/>
  <c r="G11755" i="32"/>
  <c r="G11754" i="32"/>
  <c r="G11753" i="32"/>
  <c r="G11752" i="32"/>
  <c r="G11751" i="32"/>
  <c r="G11750" i="32"/>
  <c r="G11749" i="32"/>
  <c r="G11748" i="32"/>
  <c r="G11747" i="32"/>
  <c r="G11746" i="32"/>
  <c r="G11745" i="32"/>
  <c r="G11743" i="32"/>
  <c r="G11742" i="32"/>
  <c r="G11741" i="32"/>
  <c r="G11740" i="32"/>
  <c r="G11739" i="32"/>
  <c r="G11738" i="32"/>
  <c r="G11737" i="32"/>
  <c r="G11736" i="32"/>
  <c r="G11735" i="32"/>
  <c r="G11734" i="32"/>
  <c r="G11733" i="32"/>
  <c r="G11732" i="32"/>
  <c r="G11731" i="32"/>
  <c r="G11730" i="32"/>
  <c r="G11729" i="32"/>
  <c r="G11728" i="32"/>
  <c r="G11727" i="32"/>
  <c r="G11726" i="32"/>
  <c r="G11725" i="32"/>
  <c r="G11724" i="32"/>
  <c r="G11723" i="32"/>
  <c r="G11722" i="32"/>
  <c r="G11721" i="32"/>
  <c r="G11720" i="32"/>
  <c r="G11719" i="32"/>
  <c r="G11718" i="32"/>
  <c r="G11717" i="32"/>
  <c r="G11716" i="32"/>
  <c r="G11715" i="32"/>
  <c r="G11714" i="32"/>
  <c r="G11713" i="32"/>
  <c r="G11712" i="32"/>
  <c r="G11711" i="32"/>
  <c r="G11710" i="32"/>
  <c r="G11709" i="32"/>
  <c r="G11708" i="32"/>
  <c r="G11707" i="32"/>
  <c r="G11706" i="32"/>
  <c r="G11705" i="32"/>
  <c r="G11703" i="32"/>
  <c r="G11702" i="32"/>
  <c r="G11701" i="32"/>
  <c r="G11700" i="32"/>
  <c r="G11699" i="32"/>
  <c r="G11698" i="32"/>
  <c r="G11697" i="32"/>
  <c r="G11696" i="32"/>
  <c r="G11695" i="32"/>
  <c r="G11694" i="32"/>
  <c r="G11693" i="32"/>
  <c r="G11692" i="32"/>
  <c r="G11691" i="32"/>
  <c r="G11690" i="32"/>
  <c r="G11689" i="32"/>
  <c r="G11688" i="32"/>
  <c r="G11687" i="32"/>
  <c r="G11686" i="32"/>
  <c r="G11685" i="32"/>
  <c r="G11684" i="32"/>
  <c r="G11683" i="32"/>
  <c r="G11682" i="32"/>
  <c r="G11681" i="32"/>
  <c r="G11680" i="32"/>
  <c r="G11679" i="32"/>
  <c r="G11678" i="32"/>
  <c r="G11677" i="32"/>
  <c r="G11676" i="32"/>
  <c r="G11675" i="32"/>
  <c r="G11674" i="32"/>
  <c r="G11673" i="32"/>
  <c r="G11672" i="32"/>
  <c r="G11671" i="32"/>
  <c r="G11670" i="32"/>
  <c r="G11669" i="32"/>
  <c r="G11668" i="32"/>
  <c r="G11667" i="32"/>
  <c r="G11666" i="32"/>
  <c r="G11665" i="32"/>
  <c r="G11664" i="32"/>
  <c r="G11663" i="32"/>
  <c r="G11662" i="32"/>
  <c r="G11660" i="32"/>
  <c r="G11659" i="32"/>
  <c r="G11658" i="32"/>
  <c r="G11657" i="32"/>
  <c r="G11656" i="32"/>
  <c r="G11655" i="32"/>
  <c r="G11654" i="32"/>
  <c r="G11653" i="32"/>
  <c r="G11652" i="32"/>
  <c r="G11651" i="32"/>
  <c r="G11650" i="32"/>
  <c r="G11649" i="32"/>
  <c r="G11648" i="32"/>
  <c r="G11646" i="32"/>
  <c r="G11645" i="32"/>
  <c r="G11644" i="32"/>
  <c r="G11641" i="32"/>
  <c r="G11640" i="32"/>
  <c r="G11639" i="32"/>
  <c r="G11638" i="32"/>
  <c r="G11637" i="32"/>
  <c r="G11636" i="32"/>
  <c r="G11635" i="32"/>
  <c r="G11634" i="32"/>
  <c r="G11633" i="32"/>
  <c r="G11632" i="32"/>
  <c r="G11630" i="32"/>
  <c r="G11627" i="32"/>
  <c r="G11626" i="32"/>
  <c r="G11625" i="32"/>
  <c r="G11624" i="32"/>
  <c r="G11622" i="32"/>
  <c r="G11621" i="32"/>
  <c r="G11620" i="32"/>
  <c r="G11619" i="32"/>
  <c r="G11618" i="32"/>
  <c r="G11617" i="32"/>
  <c r="G11616" i="32"/>
  <c r="G11615" i="32"/>
  <c r="G11614" i="32"/>
  <c r="G11613" i="32"/>
  <c r="G11612" i="32"/>
  <c r="G11611" i="32"/>
  <c r="G11610" i="32"/>
  <c r="G11609" i="32"/>
  <c r="G11608" i="32"/>
  <c r="G11607" i="32"/>
  <c r="G11606" i="32"/>
  <c r="G11605" i="32"/>
  <c r="G11604" i="32"/>
  <c r="G11602" i="32"/>
  <c r="G11601" i="32"/>
  <c r="G11600" i="32"/>
  <c r="G11599" i="32"/>
  <c r="G11598" i="32"/>
  <c r="G11597" i="32"/>
  <c r="G11596" i="32"/>
  <c r="G11595" i="32"/>
  <c r="G11594" i="32"/>
  <c r="G11593" i="32"/>
  <c r="G11592" i="32"/>
  <c r="G11591" i="32"/>
  <c r="G11590" i="32"/>
  <c r="G11589" i="32"/>
  <c r="G11588" i="32"/>
  <c r="G11587" i="32"/>
  <c r="G11586" i="32"/>
  <c r="G11585" i="32"/>
  <c r="G11584" i="32"/>
  <c r="G11583" i="32"/>
  <c r="G11582" i="32"/>
  <c r="G11580" i="32"/>
  <c r="G11579" i="32"/>
  <c r="G11577" i="32"/>
  <c r="G11575" i="32"/>
  <c r="G11574" i="32"/>
  <c r="G11573" i="32"/>
  <c r="G11572" i="32"/>
  <c r="G11571" i="32"/>
  <c r="G11570" i="32"/>
  <c r="G11569" i="32"/>
  <c r="G11568" i="32"/>
  <c r="G11567" i="32"/>
  <c r="G11566" i="32"/>
  <c r="G11565" i="32"/>
  <c r="G11564" i="32"/>
  <c r="G11562" i="32"/>
  <c r="G11561" i="32"/>
  <c r="G11560" i="32"/>
  <c r="G11559" i="32"/>
  <c r="G11558" i="32"/>
  <c r="G11556" i="32"/>
  <c r="G11555" i="32"/>
  <c r="G11554" i="32"/>
  <c r="G11553" i="32"/>
  <c r="G11552" i="32"/>
  <c r="G11551" i="32"/>
  <c r="G11550" i="32"/>
  <c r="G11549" i="32"/>
  <c r="G11548" i="32"/>
  <c r="G11547" i="32"/>
  <c r="G11546" i="32"/>
  <c r="G11545" i="32"/>
  <c r="G11544" i="32"/>
  <c r="G11543" i="32"/>
  <c r="G11542" i="32"/>
  <c r="G11541" i="32"/>
  <c r="G11540" i="32"/>
  <c r="G11539" i="32"/>
  <c r="G11537" i="32"/>
  <c r="G11536" i="32"/>
  <c r="G11535" i="32"/>
  <c r="G11534" i="32"/>
  <c r="G11533" i="32"/>
  <c r="G11532" i="32"/>
  <c r="G11531" i="32"/>
  <c r="G11530" i="32"/>
  <c r="G11529" i="32"/>
  <c r="G11528" i="32"/>
  <c r="G11527" i="32"/>
  <c r="G11526" i="32"/>
  <c r="G11525" i="32"/>
  <c r="G11523" i="32"/>
  <c r="G11521" i="32"/>
  <c r="G11520" i="32"/>
  <c r="G11519" i="32"/>
  <c r="G11518" i="32"/>
  <c r="G11517" i="32"/>
  <c r="G11514" i="32"/>
  <c r="G11513" i="32"/>
  <c r="G11511" i="32"/>
  <c r="G11510" i="32"/>
  <c r="G11509" i="32"/>
  <c r="G11507" i="32"/>
  <c r="G11505" i="32"/>
  <c r="G11503" i="32"/>
  <c r="G11499" i="32"/>
  <c r="G11498" i="32"/>
  <c r="G11497" i="32"/>
  <c r="G11493" i="32"/>
  <c r="G11491" i="32"/>
  <c r="G11490" i="32"/>
  <c r="G11489" i="32"/>
  <c r="G11488" i="32"/>
  <c r="G11487" i="32"/>
  <c r="G11486" i="32"/>
  <c r="G11485" i="32"/>
  <c r="G11484" i="32"/>
  <c r="G11483" i="32"/>
  <c r="G11481" i="32"/>
  <c r="G11480" i="32"/>
  <c r="G11479" i="32"/>
  <c r="G11477" i="32"/>
  <c r="G11476" i="32"/>
  <c r="G11475" i="32"/>
  <c r="G11474" i="32"/>
  <c r="G11473" i="32"/>
  <c r="G11472" i="32"/>
  <c r="G11471" i="32"/>
  <c r="G11470" i="32"/>
  <c r="G11469" i="32"/>
  <c r="G11465" i="32"/>
  <c r="G11464" i="32"/>
  <c r="G11463" i="32"/>
  <c r="G11462" i="32"/>
  <c r="G11461" i="32"/>
  <c r="G11460" i="32"/>
  <c r="G11459" i="32"/>
  <c r="G11458" i="32"/>
  <c r="G11456" i="32"/>
  <c r="G11455" i="32"/>
  <c r="G11454" i="32"/>
  <c r="G11453" i="32"/>
  <c r="G11451" i="32"/>
  <c r="G11450" i="32"/>
  <c r="G11449" i="32"/>
  <c r="G11448" i="32"/>
  <c r="G11445" i="32"/>
  <c r="G11444" i="32"/>
  <c r="G11443" i="32"/>
  <c r="G11442" i="32"/>
  <c r="G11441" i="32"/>
  <c r="G11440" i="32"/>
  <c r="G11437" i="32"/>
  <c r="G11436" i="32"/>
  <c r="G11435" i="32"/>
  <c r="G11434" i="32"/>
  <c r="G11433" i="32"/>
  <c r="G11432" i="32"/>
  <c r="G11431" i="32"/>
  <c r="G11430" i="32"/>
  <c r="G11429" i="32"/>
  <c r="G11428" i="32"/>
  <c r="G11427" i="32"/>
  <c r="G11426" i="32"/>
  <c r="G11425" i="32"/>
  <c r="G11424" i="32"/>
  <c r="G11422" i="32"/>
  <c r="G11420" i="32"/>
  <c r="G11419" i="32"/>
  <c r="G11418" i="32"/>
  <c r="G11416" i="32"/>
  <c r="G11415" i="32"/>
  <c r="G11414" i="32"/>
  <c r="G11413" i="32"/>
  <c r="G11412" i="32"/>
  <c r="G11411" i="32"/>
  <c r="G11410" i="32"/>
  <c r="G11409" i="32"/>
  <c r="G11408" i="32"/>
  <c r="G11407" i="32"/>
  <c r="G11406" i="32"/>
  <c r="G11405" i="32"/>
  <c r="G11404" i="32"/>
  <c r="G11403" i="32"/>
  <c r="G11402" i="32"/>
  <c r="G11400" i="32"/>
  <c r="G11399" i="32"/>
  <c r="G11398" i="32"/>
  <c r="G11397" i="32"/>
  <c r="G11396" i="32"/>
  <c r="G11395" i="32"/>
  <c r="G11394" i="32"/>
  <c r="G11393" i="32"/>
  <c r="G11392" i="32"/>
  <c r="G11390" i="32"/>
  <c r="G11389" i="32"/>
  <c r="G11388" i="32"/>
  <c r="G11387" i="32"/>
  <c r="G11386" i="32"/>
  <c r="G11385" i="32"/>
  <c r="G11384" i="32"/>
  <c r="G11383" i="32"/>
  <c r="G11382" i="32"/>
  <c r="G11381" i="32"/>
  <c r="G11380" i="32"/>
  <c r="G11379" i="32"/>
  <c r="G11378" i="32"/>
  <c r="G11377" i="32"/>
  <c r="G11376" i="32"/>
  <c r="G11375" i="32"/>
  <c r="G11374" i="32"/>
  <c r="G11372" i="32"/>
  <c r="G11371" i="32"/>
  <c r="G11370" i="32"/>
  <c r="G11369" i="32"/>
  <c r="G11368" i="32"/>
  <c r="G11367" i="32"/>
  <c r="G11366" i="32"/>
  <c r="G11365" i="32"/>
  <c r="G11364" i="32"/>
  <c r="G11363" i="32"/>
  <c r="G11362" i="32"/>
  <c r="G11361" i="32"/>
  <c r="G11360" i="32"/>
  <c r="G11359" i="32"/>
  <c r="G11358" i="32"/>
  <c r="G11357" i="32"/>
  <c r="G11356" i="32"/>
  <c r="G11355" i="32"/>
  <c r="G11352" i="32"/>
  <c r="G11351" i="32"/>
  <c r="G11350" i="32"/>
  <c r="G11349" i="32"/>
  <c r="G11348" i="32"/>
  <c r="G11347" i="32"/>
  <c r="G11346" i="32"/>
  <c r="G11345" i="32"/>
  <c r="G11344" i="32"/>
  <c r="G11343" i="32"/>
  <c r="G11342" i="32"/>
  <c r="G11341" i="32"/>
  <c r="G11340" i="32"/>
  <c r="G11339" i="32"/>
  <c r="G11338" i="32"/>
  <c r="G11337" i="32"/>
  <c r="G11336" i="32"/>
  <c r="G11335" i="32"/>
  <c r="G11334" i="32"/>
  <c r="G11333" i="32"/>
  <c r="G11332" i="32"/>
  <c r="G11331" i="32"/>
  <c r="G11330" i="32"/>
  <c r="G11329" i="32"/>
  <c r="G11328" i="32"/>
  <c r="G11326" i="32"/>
  <c r="G11325" i="32"/>
  <c r="G11324" i="32"/>
  <c r="G11323" i="32"/>
  <c r="G11322" i="32"/>
  <c r="G11321" i="32"/>
  <c r="G11320" i="32"/>
  <c r="G11319" i="32"/>
  <c r="G11318" i="32"/>
  <c r="G11317" i="32"/>
  <c r="G11316" i="32"/>
  <c r="G11315" i="32"/>
  <c r="G11314" i="32"/>
  <c r="G11313" i="32"/>
  <c r="G11312" i="32"/>
  <c r="G11311" i="32"/>
  <c r="G11310" i="32"/>
  <c r="G11309" i="32"/>
  <c r="G11308" i="32"/>
  <c r="G11307" i="32"/>
  <c r="G11306" i="32"/>
  <c r="G11305" i="32"/>
  <c r="G11303" i="32"/>
  <c r="G11302" i="32"/>
  <c r="G11301" i="32"/>
  <c r="G11300" i="32"/>
  <c r="G11299" i="32"/>
  <c r="G11298" i="32"/>
  <c r="G11297" i="32"/>
  <c r="G11296" i="32"/>
  <c r="G11295" i="32"/>
  <c r="G11294" i="32"/>
  <c r="G11293" i="32"/>
  <c r="G11292" i="32"/>
  <c r="G11291" i="32"/>
  <c r="G11290" i="32"/>
  <c r="G11289" i="32"/>
  <c r="G11288" i="32"/>
  <c r="G11287" i="32"/>
  <c r="G11286" i="32"/>
  <c r="G11285" i="32"/>
  <c r="G11284" i="32"/>
  <c r="G11283" i="32"/>
  <c r="G11281" i="32"/>
  <c r="G11280" i="32"/>
  <c r="G11279" i="32"/>
  <c r="G11278" i="32"/>
  <c r="G11277" i="32"/>
  <c r="G11276" i="32"/>
  <c r="G11275" i="32"/>
  <c r="G11274" i="32"/>
  <c r="G11273" i="32"/>
  <c r="G11272" i="32"/>
  <c r="G11271" i="32"/>
  <c r="G11270" i="32"/>
  <c r="G11269" i="32"/>
  <c r="G11268" i="32"/>
  <c r="G11267" i="32"/>
  <c r="G11266" i="32"/>
  <c r="G11265" i="32"/>
  <c r="G11264" i="32"/>
  <c r="G11263" i="32"/>
  <c r="G11262" i="32"/>
  <c r="G11261" i="32"/>
  <c r="G11260" i="32"/>
  <c r="G11258" i="32"/>
  <c r="G11255" i="32"/>
  <c r="G11254" i="32"/>
  <c r="G11253" i="32"/>
  <c r="G11252" i="32"/>
  <c r="G11250" i="32"/>
  <c r="G11248" i="32"/>
  <c r="G11247" i="32"/>
  <c r="G11246" i="32"/>
  <c r="G11245" i="32"/>
  <c r="G11244" i="32"/>
  <c r="G11242" i="32"/>
  <c r="G11241" i="32"/>
  <c r="G11240" i="32"/>
  <c r="G11239" i="32"/>
  <c r="G11238" i="32"/>
  <c r="G11237" i="32"/>
  <c r="G11236" i="32"/>
  <c r="G11235" i="32"/>
  <c r="G11234" i="32"/>
  <c r="G11233" i="32"/>
  <c r="G11232" i="32"/>
  <c r="G11231" i="32"/>
  <c r="G11230" i="32"/>
  <c r="G11229" i="32"/>
  <c r="G11228" i="32"/>
  <c r="G11227" i="32"/>
  <c r="G11226" i="32"/>
  <c r="G11225" i="32"/>
  <c r="G11224" i="32"/>
  <c r="G11223" i="32"/>
  <c r="G11222" i="32"/>
  <c r="G11220" i="32"/>
  <c r="G11219" i="32"/>
  <c r="G11218" i="32"/>
  <c r="G11217" i="32"/>
  <c r="G11216" i="32"/>
  <c r="G11215" i="32"/>
  <c r="G11214" i="32"/>
  <c r="G11212" i="32"/>
  <c r="G11211" i="32"/>
  <c r="G11210" i="32"/>
  <c r="G11209" i="32"/>
  <c r="G11208" i="32"/>
  <c r="G11207" i="32"/>
  <c r="G11206" i="32"/>
  <c r="G11204" i="32"/>
  <c r="G11203" i="32"/>
  <c r="G11202" i="32"/>
  <c r="G11201" i="32"/>
  <c r="G11200" i="32"/>
  <c r="G11199" i="32"/>
  <c r="G11198" i="32"/>
  <c r="G11197" i="32"/>
  <c r="G11196" i="32"/>
  <c r="G11195" i="32"/>
  <c r="G11194" i="32"/>
  <c r="G11193" i="32"/>
  <c r="G11192" i="32"/>
  <c r="G11191" i="32"/>
  <c r="G11190" i="32"/>
  <c r="G11188" i="32"/>
  <c r="G11187" i="32"/>
  <c r="G11186" i="32"/>
  <c r="G11185" i="32"/>
  <c r="G11184" i="32"/>
  <c r="G11183" i="32"/>
  <c r="G11182" i="32"/>
  <c r="G11181" i="32"/>
  <c r="G11180" i="32"/>
  <c r="G11179" i="32"/>
  <c r="G11178" i="32"/>
  <c r="G11177" i="32"/>
  <c r="G11175" i="32"/>
  <c r="G11174" i="32"/>
  <c r="G11173" i="32"/>
  <c r="G11172" i="32"/>
  <c r="G11171" i="32"/>
  <c r="G11169" i="32"/>
  <c r="G11168" i="32"/>
  <c r="G11167" i="32"/>
  <c r="G11166" i="32"/>
  <c r="G11165" i="32"/>
  <c r="G11164" i="32"/>
  <c r="G11163" i="32"/>
  <c r="G11162" i="32"/>
  <c r="G11161" i="32"/>
  <c r="G11159" i="32"/>
  <c r="G11158" i="32"/>
  <c r="G11156" i="32"/>
  <c r="G11155" i="32"/>
  <c r="G11154" i="32"/>
  <c r="G11153" i="32"/>
  <c r="G11152" i="32"/>
  <c r="G11151" i="32"/>
  <c r="G11150" i="32"/>
  <c r="G11149" i="32"/>
  <c r="G11148" i="32"/>
  <c r="G11147" i="32"/>
  <c r="G11146" i="32"/>
  <c r="G11145" i="32"/>
  <c r="G11144" i="32"/>
  <c r="G11143" i="32"/>
  <c r="G11142" i="32"/>
  <c r="G11141" i="32"/>
  <c r="G11139" i="32"/>
  <c r="G11138" i="32"/>
  <c r="G11137" i="32"/>
  <c r="G11136" i="32"/>
  <c r="G11135" i="32"/>
  <c r="G11134" i="32"/>
  <c r="G11133" i="32"/>
  <c r="G11132" i="32"/>
  <c r="G11131" i="32"/>
  <c r="G11130" i="32"/>
  <c r="G11128" i="32"/>
  <c r="G11125" i="32"/>
  <c r="G11124" i="32"/>
  <c r="G11123" i="32"/>
  <c r="G11122" i="32"/>
  <c r="G11121" i="32"/>
  <c r="G11120" i="32"/>
  <c r="G11119" i="32"/>
  <c r="G11118" i="32"/>
  <c r="G11117" i="32"/>
  <c r="G11116" i="32"/>
  <c r="G11115" i="32"/>
  <c r="G11114" i="32"/>
  <c r="G11113" i="32"/>
  <c r="G11112" i="32"/>
  <c r="G11111" i="32"/>
  <c r="G11110" i="32"/>
  <c r="G11109" i="32"/>
  <c r="G11108" i="32"/>
  <c r="G11107" i="32"/>
  <c r="G11103" i="32"/>
  <c r="G11102" i="32"/>
  <c r="G11101" i="32"/>
  <c r="G11100" i="32"/>
  <c r="G11099" i="32"/>
  <c r="G11098" i="32"/>
  <c r="G11097" i="32"/>
  <c r="G11096" i="32"/>
  <c r="G11095" i="32"/>
  <c r="G11094" i="32"/>
  <c r="G11093" i="32"/>
  <c r="G11092" i="32"/>
  <c r="G11091" i="32"/>
  <c r="G11090" i="32"/>
  <c r="G11089" i="32"/>
  <c r="G11088" i="32"/>
  <c r="G11087" i="32"/>
  <c r="G11086" i="32"/>
  <c r="G11085" i="32"/>
  <c r="G11084" i="32"/>
  <c r="G11083" i="32"/>
  <c r="G11082" i="32"/>
  <c r="G11079" i="32"/>
  <c r="G11078" i="32"/>
  <c r="G11077" i="32"/>
  <c r="G11076" i="32"/>
  <c r="G11075" i="32"/>
  <c r="G11074" i="32"/>
  <c r="G11073" i="32"/>
  <c r="G11072" i="32"/>
  <c r="G11071" i="32"/>
  <c r="G11070" i="32"/>
  <c r="G11069" i="32"/>
  <c r="G11068" i="32"/>
  <c r="G11067" i="32"/>
  <c r="G11065" i="32"/>
  <c r="G11064" i="32"/>
  <c r="G11063" i="32"/>
  <c r="G11062" i="32"/>
  <c r="G11061" i="32"/>
  <c r="G11060" i="32"/>
  <c r="G11059" i="32"/>
  <c r="G11058" i="32"/>
  <c r="G11057" i="32"/>
  <c r="G11056" i="32"/>
  <c r="G11055" i="32"/>
  <c r="G11054" i="32"/>
  <c r="G11053" i="32"/>
  <c r="G11052" i="32"/>
  <c r="G11051" i="32"/>
  <c r="G11050" i="32"/>
  <c r="G11049" i="32"/>
  <c r="G11048" i="32"/>
  <c r="G11047" i="32"/>
  <c r="G11046" i="32"/>
  <c r="G11045" i="32"/>
  <c r="G11044" i="32"/>
  <c r="G11043" i="32"/>
  <c r="G11042" i="32"/>
  <c r="G11041" i="32"/>
  <c r="G11040" i="32"/>
  <c r="G11039" i="32"/>
  <c r="G11038" i="32"/>
  <c r="G11036" i="32"/>
  <c r="G11035" i="32"/>
  <c r="G11034" i="32"/>
  <c r="G11033" i="32"/>
  <c r="G11032" i="32"/>
  <c r="G11031" i="32"/>
  <c r="G11030" i="32"/>
  <c r="G11029" i="32"/>
  <c r="G11028" i="32"/>
  <c r="G11027" i="32"/>
  <c r="G11026" i="32"/>
  <c r="G11025" i="32"/>
  <c r="G11024" i="32"/>
  <c r="G11023" i="32"/>
  <c r="G11022" i="32"/>
  <c r="G11021" i="32"/>
  <c r="G11020" i="32"/>
  <c r="G11019" i="32"/>
  <c r="G11018" i="32"/>
  <c r="G11017" i="32"/>
  <c r="G11016" i="32"/>
  <c r="G11015" i="32"/>
  <c r="G11014" i="32"/>
  <c r="G11013" i="32"/>
  <c r="G11012" i="32"/>
  <c r="G11010" i="32"/>
  <c r="G11009" i="32"/>
  <c r="G11008" i="32"/>
  <c r="G11007" i="32"/>
  <c r="G11006" i="32"/>
  <c r="G11005" i="32"/>
  <c r="G11004" i="32"/>
  <c r="G11003" i="32"/>
  <c r="G11002" i="32"/>
  <c r="G11001" i="32"/>
  <c r="G11000" i="32"/>
  <c r="G10998" i="32"/>
  <c r="G10997" i="32"/>
  <c r="G10995" i="32"/>
  <c r="G10994" i="32"/>
  <c r="G10993" i="32"/>
  <c r="G10992" i="32"/>
  <c r="G10991" i="32"/>
  <c r="G10990" i="32"/>
  <c r="G10988" i="32"/>
  <c r="G10987" i="32"/>
  <c r="G10986" i="32"/>
  <c r="G10985" i="32"/>
  <c r="G10984" i="32"/>
  <c r="G10983" i="32"/>
  <c r="G10982" i="32"/>
  <c r="G10981" i="32"/>
  <c r="G10980" i="32"/>
  <c r="G10978" i="32"/>
  <c r="G10976" i="32"/>
  <c r="G10975" i="32"/>
  <c r="G10974" i="32"/>
  <c r="G10973" i="32"/>
  <c r="G10969" i="32"/>
  <c r="G10968" i="32"/>
  <c r="G10966" i="32"/>
  <c r="G10965" i="32"/>
  <c r="G10964" i="32"/>
  <c r="G10963" i="32"/>
  <c r="G10958" i="32"/>
  <c r="G10957" i="32"/>
  <c r="G10956" i="32"/>
  <c r="G10955" i="32"/>
  <c r="G10954" i="32"/>
  <c r="G10953" i="32"/>
  <c r="G10952" i="32"/>
  <c r="G10951" i="32"/>
  <c r="G10950" i="32"/>
  <c r="G10949" i="32"/>
  <c r="G10948" i="32"/>
  <c r="G10947" i="32"/>
  <c r="G10946" i="32"/>
  <c r="G10945" i="32"/>
  <c r="G10944" i="32"/>
  <c r="G10943" i="32"/>
  <c r="G10942" i="32"/>
  <c r="G10941" i="32"/>
  <c r="G10940" i="32"/>
  <c r="G10939" i="32"/>
  <c r="G10938" i="32"/>
  <c r="G10937" i="32"/>
  <c r="G10936" i="32"/>
  <c r="G10935" i="32"/>
  <c r="G10934" i="32"/>
  <c r="G10933" i="32"/>
  <c r="G10932" i="32"/>
  <c r="G10931" i="32"/>
  <c r="G10930" i="32"/>
  <c r="G10929" i="32"/>
  <c r="G10928" i="32"/>
  <c r="G10927" i="32"/>
  <c r="G10926" i="32"/>
  <c r="G10925" i="32"/>
  <c r="G10924" i="32"/>
  <c r="G10923" i="32"/>
  <c r="G10922" i="32"/>
  <c r="G10921" i="32"/>
  <c r="G10920" i="32"/>
  <c r="G10919" i="32"/>
  <c r="G10918" i="32"/>
  <c r="G10917" i="32"/>
  <c r="G10916" i="32"/>
  <c r="G10915" i="32"/>
  <c r="G10914" i="32"/>
  <c r="G10913" i="32"/>
  <c r="G10912" i="32"/>
  <c r="G10911" i="32"/>
  <c r="G10910" i="32"/>
  <c r="G10909" i="32"/>
  <c r="G10908" i="32"/>
  <c r="G10907" i="32"/>
  <c r="G10906" i="32"/>
  <c r="G10905" i="32"/>
  <c r="G10904" i="32"/>
  <c r="G10903" i="32"/>
  <c r="G10902" i="32"/>
  <c r="G10901" i="32"/>
  <c r="G10900" i="32"/>
  <c r="G10899" i="32"/>
  <c r="G10898" i="32"/>
  <c r="G10897" i="32"/>
  <c r="G10894" i="32"/>
  <c r="G10893" i="32"/>
  <c r="G10892" i="32"/>
  <c r="G10891" i="32"/>
  <c r="G10890" i="32"/>
  <c r="G10889" i="32"/>
  <c r="G10888" i="32"/>
  <c r="G10887" i="32"/>
  <c r="G10886" i="32"/>
  <c r="G10884" i="32"/>
  <c r="G10883" i="32"/>
  <c r="G10881" i="32"/>
  <c r="G10880" i="32"/>
  <c r="G10877" i="32"/>
  <c r="G10876" i="32"/>
  <c r="G10875" i="32"/>
  <c r="G10874" i="32"/>
  <c r="G10873" i="32"/>
  <c r="G10872" i="32"/>
  <c r="G10871" i="32"/>
  <c r="G10870" i="32"/>
  <c r="G10869" i="32"/>
  <c r="G10868" i="32"/>
  <c r="G10867" i="32"/>
  <c r="G10865" i="32"/>
  <c r="G10864" i="32"/>
  <c r="G10863" i="32"/>
  <c r="G10862" i="32"/>
  <c r="G10861" i="32"/>
  <c r="G10860" i="32"/>
  <c r="G10858" i="32"/>
  <c r="G10857" i="32"/>
  <c r="G10856" i="32"/>
  <c r="G10852" i="32"/>
  <c r="G10851" i="32"/>
  <c r="G10850" i="32"/>
  <c r="G10849" i="32"/>
  <c r="G10848" i="32"/>
  <c r="G10846" i="32"/>
  <c r="G10845" i="32"/>
  <c r="G10843" i="32"/>
  <c r="G10842" i="32"/>
  <c r="G10841" i="32"/>
  <c r="G10840" i="32"/>
  <c r="G10839" i="32"/>
  <c r="G10837" i="32"/>
  <c r="G10836" i="32"/>
  <c r="G10835" i="32"/>
  <c r="G10834" i="32"/>
  <c r="G10833" i="32"/>
  <c r="G10831" i="32"/>
  <c r="G10830" i="32"/>
  <c r="G10828" i="32"/>
  <c r="G10827" i="32"/>
  <c r="G10826" i="32"/>
  <c r="G10823" i="32"/>
  <c r="G10822" i="32"/>
  <c r="G10821" i="32"/>
  <c r="G10820" i="32"/>
  <c r="G10819" i="32"/>
  <c r="G10818" i="32"/>
  <c r="G10817" i="32"/>
  <c r="G10816" i="32"/>
  <c r="G10815" i="32"/>
  <c r="G10814" i="32"/>
  <c r="G10813" i="32"/>
  <c r="G10811" i="32"/>
  <c r="G10810" i="32"/>
  <c r="G10809" i="32"/>
  <c r="G10808" i="32"/>
  <c r="G10807" i="32"/>
  <c r="G10806" i="32"/>
  <c r="G10805" i="32"/>
  <c r="G10802" i="32"/>
  <c r="G10801" i="32"/>
  <c r="G10800" i="32"/>
  <c r="G10799" i="32"/>
  <c r="G10798" i="32"/>
  <c r="G10797" i="32"/>
  <c r="G10796" i="32"/>
  <c r="G10795" i="32"/>
  <c r="G10794" i="32"/>
  <c r="G10793" i="32"/>
  <c r="G10792" i="32"/>
  <c r="G10791" i="32"/>
  <c r="G10790" i="32"/>
  <c r="G10789" i="32"/>
  <c r="G10788" i="32"/>
  <c r="G10787" i="32"/>
  <c r="G10786" i="32"/>
  <c r="G10785" i="32"/>
  <c r="G10784" i="32"/>
  <c r="G10783" i="32"/>
  <c r="G10781" i="32"/>
  <c r="G10780" i="32"/>
  <c r="G10779" i="32"/>
  <c r="G10778" i="32"/>
  <c r="G10777" i="32"/>
  <c r="G10776" i="32"/>
  <c r="G10774" i="32"/>
  <c r="G10773" i="32"/>
  <c r="G10772" i="32"/>
  <c r="G10770" i="32"/>
  <c r="G10769" i="32"/>
  <c r="G10768" i="32"/>
  <c r="G10767" i="32"/>
  <c r="G10766" i="32"/>
  <c r="G10765" i="32"/>
  <c r="G10764" i="32"/>
  <c r="G10763" i="32"/>
  <c r="G10761" i="32"/>
  <c r="G10760" i="32"/>
  <c r="G10759" i="32"/>
  <c r="G10758" i="32"/>
  <c r="G10757" i="32"/>
  <c r="G10756" i="32"/>
  <c r="G10755" i="32"/>
  <c r="G10754" i="32"/>
  <c r="G10753" i="32"/>
  <c r="G10752" i="32"/>
  <c r="G10751" i="32"/>
  <c r="G10750" i="32"/>
  <c r="G10749" i="32"/>
  <c r="G10748" i="32"/>
  <c r="G10747" i="32"/>
  <c r="G10746" i="32"/>
  <c r="G10744" i="32"/>
  <c r="G10743" i="32"/>
  <c r="G10742" i="32"/>
  <c r="G10741" i="32"/>
  <c r="G10740" i="32"/>
  <c r="G10739" i="32"/>
  <c r="G10738" i="32"/>
  <c r="G10737" i="32"/>
  <c r="G10736" i="32"/>
  <c r="G10735" i="32"/>
  <c r="G10734" i="32"/>
  <c r="G10733" i="32"/>
  <c r="G10732" i="32"/>
  <c r="G10731" i="32"/>
  <c r="G10730" i="32"/>
  <c r="G10729" i="32"/>
  <c r="G10728" i="32"/>
  <c r="G10727" i="32"/>
  <c r="G10726" i="32"/>
  <c r="G10724" i="32"/>
  <c r="G10723" i="32"/>
  <c r="G10722" i="32"/>
  <c r="G10720" i="32"/>
  <c r="G10719" i="32"/>
  <c r="G10718" i="32"/>
  <c r="G10717" i="32"/>
  <c r="G10716" i="32"/>
  <c r="G10715" i="32"/>
  <c r="G10714" i="32"/>
  <c r="G10713" i="32"/>
  <c r="G10712" i="32"/>
  <c r="G10711" i="32"/>
  <c r="G10710" i="32"/>
  <c r="G10709" i="32"/>
  <c r="G10708" i="32"/>
  <c r="G10707" i="32"/>
  <c r="G10706" i="32"/>
  <c r="G10705" i="32"/>
  <c r="G10704" i="32"/>
  <c r="G10702" i="32"/>
  <c r="G10701" i="32"/>
  <c r="G10700" i="32"/>
  <c r="G10699" i="32"/>
  <c r="G10698" i="32"/>
  <c r="G10697" i="32"/>
  <c r="G10696" i="32"/>
  <c r="G10695" i="32"/>
  <c r="G10694" i="32"/>
  <c r="G10692" i="32"/>
  <c r="G10691" i="32"/>
  <c r="G10690" i="32"/>
  <c r="G10689" i="32"/>
  <c r="G10688" i="32"/>
  <c r="G10687" i="32"/>
  <c r="G10686" i="32"/>
  <c r="G10685" i="32"/>
  <c r="G10684" i="32"/>
  <c r="G10683" i="32"/>
  <c r="G10682" i="32"/>
  <c r="G10681" i="32"/>
  <c r="G10680" i="32"/>
  <c r="G10679" i="32"/>
  <c r="G10678" i="32"/>
  <c r="G10676" i="32"/>
  <c r="G10675" i="32"/>
  <c r="G10673" i="32"/>
  <c r="G10672" i="32"/>
  <c r="G10671" i="32"/>
  <c r="G10670" i="32"/>
  <c r="G10669" i="32"/>
  <c r="G10668" i="32"/>
  <c r="G10667" i="32"/>
  <c r="G10666" i="32"/>
  <c r="G10665" i="32"/>
  <c r="G10664" i="32"/>
  <c r="G10663" i="32"/>
  <c r="G10662" i="32"/>
  <c r="G10661" i="32"/>
  <c r="G10660" i="32"/>
  <c r="G10659" i="32"/>
  <c r="G10658" i="32"/>
  <c r="G10657" i="32"/>
  <c r="G10656" i="32"/>
  <c r="G10655" i="32"/>
  <c r="G10654" i="32"/>
  <c r="G10653" i="32"/>
  <c r="G10652" i="32"/>
  <c r="G10651" i="32"/>
  <c r="G10650" i="32"/>
  <c r="G10649" i="32"/>
  <c r="G10648" i="32"/>
  <c r="G10647" i="32"/>
  <c r="G10646" i="32"/>
  <c r="G10645" i="32"/>
  <c r="G10644" i="32"/>
  <c r="G10643" i="32"/>
  <c r="G10642" i="32"/>
  <c r="G10640" i="32"/>
  <c r="G10639" i="32"/>
  <c r="G10638" i="32"/>
  <c r="G10637" i="32"/>
  <c r="G10636" i="32"/>
  <c r="G10635" i="32"/>
  <c r="G10634" i="32"/>
  <c r="G10633" i="32"/>
  <c r="G10632" i="32"/>
  <c r="G10631" i="32"/>
  <c r="G10630" i="32"/>
  <c r="G10629" i="32"/>
  <c r="G10628" i="32"/>
  <c r="G10627" i="32"/>
  <c r="G10626" i="32"/>
  <c r="G10625" i="32"/>
  <c r="G10624" i="32"/>
  <c r="G10623" i="32"/>
  <c r="G10622" i="32"/>
  <c r="G10621" i="32"/>
  <c r="G10620" i="32"/>
  <c r="G10619" i="32"/>
  <c r="G10618" i="32"/>
  <c r="G10617" i="32"/>
  <c r="G10616" i="32"/>
  <c r="G10615" i="32"/>
  <c r="G10614" i="32"/>
  <c r="G10612" i="32"/>
  <c r="G10611" i="32"/>
  <c r="G10610" i="32"/>
  <c r="G10609" i="32"/>
  <c r="G10608" i="32"/>
  <c r="G10607" i="32"/>
  <c r="G10606" i="32"/>
  <c r="G10605" i="32"/>
  <c r="G10604" i="32"/>
  <c r="G10603" i="32"/>
  <c r="G10602" i="32"/>
  <c r="G10601" i="32"/>
  <c r="G10600" i="32"/>
  <c r="G10599" i="32"/>
  <c r="G10598" i="32"/>
  <c r="G10597" i="32"/>
  <c r="G10596" i="32"/>
  <c r="G10593" i="32"/>
  <c r="G10592" i="32"/>
  <c r="G10591" i="32"/>
  <c r="G10590" i="32"/>
  <c r="G10589" i="32"/>
  <c r="G10588" i="32"/>
  <c r="G10587" i="32"/>
  <c r="G10586" i="32"/>
  <c r="G10585" i="32"/>
  <c r="G10584" i="32"/>
  <c r="G10583" i="32"/>
  <c r="G10582" i="32"/>
  <c r="G10581" i="32"/>
  <c r="G10580" i="32"/>
  <c r="G10578" i="32"/>
  <c r="G10577" i="32"/>
  <c r="G10575" i="32"/>
  <c r="G10573" i="32"/>
  <c r="G10571" i="32"/>
  <c r="G10570" i="32"/>
  <c r="G10569" i="32"/>
  <c r="G10568" i="32"/>
  <c r="G10567" i="32"/>
  <c r="G10566" i="32"/>
  <c r="G10565" i="32"/>
  <c r="G10564" i="32"/>
  <c r="G10563" i="32"/>
  <c r="G10562" i="32"/>
  <c r="G10561" i="32"/>
  <c r="G10560" i="32"/>
  <c r="G10559" i="32"/>
  <c r="G10558" i="32"/>
  <c r="G10557" i="32"/>
  <c r="G10556" i="32"/>
  <c r="G10554" i="32"/>
  <c r="G10552" i="32"/>
  <c r="G10551" i="32"/>
  <c r="G10549" i="32"/>
  <c r="G10548" i="32"/>
  <c r="G10547" i="32"/>
  <c r="G10546" i="32"/>
  <c r="G10545" i="32"/>
  <c r="G10544" i="32"/>
  <c r="G10543" i="32"/>
  <c r="G10542" i="32"/>
  <c r="G10541" i="32"/>
  <c r="G10540" i="32"/>
  <c r="G10539" i="32"/>
  <c r="G10538" i="32"/>
  <c r="G10537" i="32"/>
  <c r="G10536" i="32"/>
  <c r="G10535" i="32"/>
  <c r="G10534" i="32"/>
  <c r="G10533" i="32"/>
  <c r="G10531" i="32"/>
  <c r="G10530" i="32"/>
  <c r="G10527" i="32"/>
  <c r="G10525" i="32"/>
  <c r="G10524" i="32"/>
  <c r="G10521" i="32"/>
  <c r="G10520" i="32"/>
  <c r="G10519" i="32"/>
  <c r="G10518" i="32"/>
  <c r="G10517" i="32"/>
  <c r="G10516" i="32"/>
  <c r="G10515" i="32"/>
  <c r="G10514" i="32"/>
  <c r="G10513" i="32"/>
  <c r="G10512" i="32"/>
  <c r="G10511" i="32"/>
  <c r="G10510" i="32"/>
  <c r="G10509" i="32"/>
  <c r="G10508" i="32"/>
  <c r="G10504" i="32"/>
  <c r="G10503" i="32"/>
  <c r="G10502" i="32"/>
  <c r="G10501" i="32"/>
  <c r="G10500" i="32"/>
  <c r="G10498" i="32"/>
  <c r="G10497" i="32"/>
  <c r="G10496" i="32"/>
  <c r="G10495" i="32"/>
  <c r="G10494" i="32"/>
  <c r="G10493" i="32"/>
  <c r="G10492" i="32"/>
  <c r="G10491" i="32"/>
  <c r="G10489" i="32"/>
  <c r="G10488" i="32"/>
  <c r="G10487" i="32"/>
  <c r="G10485" i="32"/>
  <c r="G10484" i="32"/>
  <c r="G10483" i="32"/>
  <c r="G10481" i="32"/>
  <c r="G10480" i="32"/>
  <c r="G10479" i="32"/>
  <c r="G10478" i="32"/>
  <c r="G10477" i="32"/>
  <c r="G10476" i="32"/>
  <c r="G10475" i="32"/>
  <c r="G10474" i="32"/>
  <c r="G10473" i="32"/>
  <c r="G10472" i="32"/>
  <c r="G10471" i="32"/>
  <c r="G10470" i="32"/>
  <c r="G10469" i="32"/>
  <c r="G10468" i="32"/>
  <c r="G10467" i="32"/>
  <c r="G10466" i="32"/>
  <c r="G10465" i="32"/>
  <c r="G10464" i="32"/>
  <c r="G10463" i="32"/>
  <c r="G10462" i="32"/>
  <c r="G10461" i="32"/>
  <c r="G10460" i="32"/>
  <c r="G10459" i="32"/>
  <c r="G10458" i="32"/>
  <c r="G10457" i="32"/>
  <c r="G10456" i="32"/>
  <c r="G10455" i="32"/>
  <c r="G10454" i="32"/>
  <c r="G10453" i="32"/>
  <c r="G10452" i="32"/>
  <c r="G10451" i="32"/>
  <c r="G10450" i="32"/>
  <c r="G10449" i="32"/>
  <c r="G10448" i="32"/>
  <c r="G10447" i="32"/>
  <c r="G10446" i="32"/>
  <c r="G10445" i="32"/>
  <c r="G10444" i="32"/>
  <c r="G10443" i="32"/>
  <c r="G10442" i="32"/>
  <c r="G10441" i="32"/>
  <c r="G10440" i="32"/>
  <c r="G10439" i="32"/>
  <c r="G10438" i="32"/>
  <c r="G10437" i="32"/>
  <c r="G10436" i="32"/>
  <c r="G10435" i="32"/>
  <c r="G10434" i="32"/>
  <c r="G10433" i="32"/>
  <c r="G10432" i="32"/>
  <c r="G10431" i="32"/>
  <c r="G10430" i="32"/>
  <c r="G10429" i="32"/>
  <c r="G10428" i="32"/>
  <c r="G10427" i="32"/>
  <c r="G10426" i="32"/>
  <c r="G10425" i="32"/>
  <c r="G10424" i="32"/>
  <c r="G10422" i="32"/>
  <c r="G10421" i="32"/>
  <c r="G10420" i="32"/>
  <c r="G10419" i="32"/>
  <c r="G10418" i="32"/>
  <c r="G10417" i="32"/>
  <c r="G10416" i="32"/>
  <c r="G10415" i="32"/>
  <c r="G10414" i="32"/>
  <c r="G10413" i="32"/>
  <c r="G10411" i="32"/>
  <c r="G10410" i="32"/>
  <c r="G10409" i="32"/>
  <c r="G10408" i="32"/>
  <c r="G10407" i="32"/>
  <c r="G10406" i="32"/>
  <c r="G10405" i="32"/>
  <c r="G10404" i="32"/>
  <c r="G10403" i="32"/>
  <c r="G10401" i="32"/>
  <c r="G10400" i="32"/>
  <c r="G10399" i="32"/>
  <c r="G10398" i="32"/>
  <c r="G10396" i="32"/>
  <c r="G10395" i="32"/>
  <c r="G10394" i="32"/>
  <c r="G10393" i="32"/>
  <c r="G10392" i="32"/>
  <c r="G10391" i="32"/>
  <c r="G10390" i="32"/>
  <c r="G10389" i="32"/>
  <c r="G10388" i="32"/>
  <c r="G10387" i="32"/>
  <c r="G10386" i="32"/>
  <c r="G10384" i="32"/>
  <c r="G10383" i="32"/>
  <c r="G10382" i="32"/>
  <c r="G10381" i="32"/>
  <c r="G10380" i="32"/>
  <c r="G10379" i="32"/>
  <c r="G10378" i="32"/>
  <c r="G10377" i="32"/>
  <c r="G10376" i="32"/>
  <c r="G10375" i="32"/>
  <c r="G10374" i="32"/>
  <c r="G10373" i="32"/>
  <c r="G10371" i="32"/>
  <c r="G10370" i="32"/>
  <c r="G10369" i="32"/>
  <c r="G10368" i="32"/>
  <c r="G10366" i="32"/>
  <c r="G10365" i="32"/>
  <c r="G10364" i="32"/>
  <c r="G10363" i="32"/>
  <c r="G10362" i="32"/>
  <c r="G10361" i="32"/>
  <c r="G10360" i="32"/>
  <c r="G10359" i="32"/>
  <c r="G10356" i="32"/>
  <c r="G10355" i="32"/>
  <c r="G10354" i="32"/>
  <c r="G10353" i="32"/>
  <c r="G10352" i="32"/>
  <c r="G10351" i="32"/>
  <c r="G10350" i="32"/>
  <c r="G10349" i="32"/>
  <c r="G10348" i="32"/>
  <c r="G10347" i="32"/>
  <c r="G10346" i="32"/>
  <c r="G10345" i="32"/>
  <c r="G10344" i="32"/>
  <c r="G10343" i="32"/>
  <c r="G10342" i="32"/>
  <c r="G10341" i="32"/>
  <c r="G10340" i="32"/>
  <c r="G10339" i="32"/>
  <c r="G10338" i="32"/>
  <c r="G10337" i="32"/>
  <c r="G10336" i="32"/>
  <c r="G10335" i="32"/>
  <c r="G10334" i="32"/>
  <c r="G10333" i="32"/>
  <c r="G10332" i="32"/>
  <c r="G10331" i="32"/>
  <c r="G10330" i="32"/>
  <c r="G10329" i="32"/>
  <c r="G10328" i="32"/>
  <c r="G10327" i="32"/>
  <c r="G10326" i="32"/>
  <c r="G10325" i="32"/>
  <c r="G10324" i="32"/>
  <c r="G10323" i="32"/>
  <c r="G10322" i="32"/>
  <c r="G10321" i="32"/>
  <c r="G10320" i="32"/>
  <c r="G10319" i="32"/>
  <c r="G10318" i="32"/>
  <c r="G10317" i="32"/>
  <c r="G10315" i="32"/>
  <c r="G10314" i="32"/>
  <c r="G10313" i="32"/>
  <c r="G10312" i="32"/>
  <c r="G10311" i="32"/>
  <c r="G10310" i="32"/>
  <c r="G10309" i="32"/>
  <c r="G10308" i="32"/>
  <c r="G10307" i="32"/>
  <c r="G10306" i="32"/>
  <c r="G10305" i="32"/>
  <c r="G10304" i="32"/>
  <c r="G10303" i="32"/>
  <c r="G10302" i="32"/>
  <c r="G10300" i="32"/>
  <c r="G10299" i="32"/>
  <c r="G10298" i="32"/>
  <c r="G10297" i="32"/>
  <c r="G10296" i="32"/>
  <c r="G10295" i="32"/>
  <c r="G10294" i="32"/>
  <c r="G10293" i="32"/>
  <c r="G10292" i="32"/>
  <c r="G10291" i="32"/>
  <c r="G10290" i="32"/>
  <c r="G10289" i="32"/>
  <c r="G10288" i="32"/>
  <c r="G10287" i="32"/>
  <c r="G10286" i="32"/>
  <c r="G10285" i="32"/>
  <c r="G10284" i="32"/>
  <c r="G10282" i="32"/>
  <c r="G10281" i="32"/>
  <c r="G10280" i="32"/>
  <c r="G10278" i="32"/>
  <c r="G10277" i="32"/>
  <c r="G10276" i="32"/>
  <c r="G10275" i="32"/>
  <c r="G10274" i="32"/>
  <c r="G10273" i="32"/>
  <c r="G10272" i="32"/>
  <c r="G10271" i="32"/>
  <c r="G10270" i="32"/>
  <c r="G10269" i="32"/>
  <c r="G10268" i="32"/>
  <c r="G10267" i="32"/>
  <c r="G10266" i="32"/>
  <c r="G10265" i="32"/>
  <c r="G10264" i="32"/>
  <c r="G10263" i="32"/>
  <c r="G10262" i="32"/>
  <c r="G10261" i="32"/>
  <c r="G10259" i="32"/>
  <c r="G10257" i="32"/>
  <c r="G10256" i="32"/>
  <c r="G10255" i="32"/>
  <c r="G10254" i="32"/>
  <c r="G10253" i="32"/>
  <c r="G10252" i="32"/>
  <c r="G10248" i="32"/>
  <c r="G10247" i="32"/>
  <c r="G10246" i="32"/>
  <c r="G10245" i="32"/>
  <c r="G10244" i="32"/>
  <c r="G10243" i="32"/>
  <c r="G10242" i="32"/>
  <c r="G10241" i="32"/>
  <c r="G10239" i="32"/>
  <c r="G10238" i="32"/>
  <c r="G10237" i="32"/>
  <c r="G10236" i="32"/>
  <c r="G10235" i="32"/>
  <c r="G10234" i="32"/>
  <c r="G10233" i="32"/>
  <c r="G10232" i="32"/>
  <c r="G10231" i="32"/>
  <c r="G10230" i="32"/>
  <c r="G10229" i="32"/>
  <c r="G10228" i="32"/>
  <c r="G10227" i="32"/>
  <c r="G10226" i="32"/>
  <c r="G10225" i="32"/>
  <c r="G10223" i="32"/>
  <c r="G10221" i="32"/>
  <c r="G10220" i="32"/>
  <c r="G10219" i="32"/>
  <c r="G10218" i="32"/>
  <c r="G10217" i="32"/>
  <c r="G10216" i="32"/>
  <c r="G10215" i="32"/>
  <c r="G10214" i="32"/>
  <c r="G10213" i="32"/>
  <c r="G10210" i="32"/>
  <c r="G10209" i="32"/>
  <c r="G10207" i="32"/>
  <c r="G10205" i="32"/>
  <c r="G10204" i="32"/>
  <c r="G10203" i="32"/>
  <c r="G10202" i="32"/>
  <c r="G10201" i="32"/>
  <c r="G10200" i="32"/>
  <c r="G10199" i="32"/>
  <c r="G10198" i="32"/>
  <c r="G10197" i="32"/>
  <c r="G10196" i="32"/>
  <c r="G10195" i="32"/>
  <c r="G10194" i="32"/>
  <c r="G10193" i="32"/>
  <c r="G10191" i="32"/>
  <c r="G10190" i="32"/>
  <c r="G10189" i="32"/>
  <c r="G10188" i="32"/>
  <c r="G10187" i="32"/>
  <c r="G10186" i="32"/>
  <c r="G10185" i="32"/>
  <c r="G10184" i="32"/>
  <c r="G10183" i="32"/>
  <c r="G10182" i="32"/>
  <c r="G10181" i="32"/>
  <c r="G10180" i="32"/>
  <c r="G10179" i="32"/>
  <c r="G10177" i="32"/>
  <c r="G10176" i="32"/>
  <c r="G10175" i="32"/>
  <c r="G10174" i="32"/>
  <c r="G10172" i="32"/>
  <c r="G10171" i="32"/>
  <c r="G10169" i="32"/>
  <c r="G10168" i="32"/>
  <c r="G10167" i="32"/>
  <c r="G10166" i="32"/>
  <c r="G10165" i="32"/>
  <c r="G10164" i="32"/>
  <c r="G10157" i="32"/>
  <c r="G10156" i="32"/>
  <c r="G10155" i="32"/>
  <c r="G10154" i="32"/>
  <c r="G10153" i="32"/>
  <c r="G10152" i="32"/>
  <c r="G10151" i="32"/>
  <c r="G10150" i="32"/>
  <c r="G10148" i="32"/>
  <c r="G10147" i="32"/>
  <c r="G10146" i="32"/>
  <c r="G10145" i="32"/>
  <c r="G10143" i="32"/>
  <c r="G10142" i="32"/>
  <c r="G10141" i="32"/>
  <c r="G10140" i="32"/>
  <c r="G10139" i="32"/>
  <c r="G10138" i="32"/>
  <c r="G10137" i="32"/>
  <c r="G10136" i="32"/>
  <c r="G10135" i="32"/>
  <c r="G10134" i="32"/>
  <c r="G10133" i="32"/>
  <c r="G10132" i="32"/>
  <c r="G10131" i="32"/>
  <c r="G10130" i="32"/>
  <c r="G10129" i="32"/>
  <c r="G10128" i="32"/>
  <c r="G10127" i="32"/>
  <c r="G10126" i="32"/>
  <c r="G10125" i="32"/>
  <c r="G10124" i="32"/>
  <c r="G10123" i="32"/>
  <c r="G10121" i="32"/>
  <c r="G10119" i="32"/>
  <c r="G10117" i="32"/>
  <c r="G10116" i="32"/>
  <c r="G10115" i="32"/>
  <c r="G10114" i="32"/>
  <c r="G10113" i="32"/>
  <c r="G10112" i="32"/>
  <c r="G10111" i="32"/>
  <c r="G10110" i="32"/>
  <c r="G10109" i="32"/>
  <c r="G10108" i="32"/>
  <c r="G10107" i="32"/>
  <c r="G10106" i="32"/>
  <c r="G10105" i="32"/>
  <c r="G10103" i="32"/>
  <c r="G10102" i="32"/>
  <c r="G10100" i="32"/>
  <c r="G10099" i="32"/>
  <c r="G10098" i="32"/>
  <c r="G10097" i="32"/>
  <c r="G10096" i="32"/>
  <c r="G10095" i="32"/>
  <c r="G10094" i="32"/>
  <c r="G10093" i="32"/>
  <c r="G10092" i="32"/>
  <c r="G10091" i="32"/>
  <c r="G10090" i="32"/>
  <c r="G10089" i="32"/>
  <c r="G10088" i="32"/>
  <c r="G10087" i="32"/>
  <c r="G10084" i="32"/>
  <c r="G10083" i="32"/>
  <c r="G10082" i="32"/>
  <c r="G10079" i="32"/>
  <c r="G10078" i="32"/>
  <c r="G10077" i="32"/>
  <c r="G10076" i="32"/>
  <c r="G10075" i="32"/>
  <c r="G10074" i="32"/>
  <c r="G10073" i="32"/>
  <c r="G10072" i="32"/>
  <c r="G10070" i="32"/>
  <c r="G10068" i="32"/>
  <c r="G10067" i="32"/>
  <c r="G10066" i="32"/>
  <c r="G10065" i="32"/>
  <c r="G10064" i="32"/>
  <c r="G10062" i="32"/>
  <c r="G10061" i="32"/>
  <c r="G10060" i="32"/>
  <c r="G10059" i="32"/>
  <c r="G10058" i="32"/>
  <c r="G10057" i="32"/>
  <c r="G10056" i="32"/>
  <c r="G10055" i="32"/>
  <c r="G10054" i="32"/>
  <c r="G10053" i="32"/>
  <c r="G10052" i="32"/>
  <c r="G10051" i="32"/>
  <c r="G10050" i="32"/>
  <c r="G10049" i="32"/>
  <c r="G10047" i="32"/>
  <c r="G10046" i="32"/>
  <c r="G10045" i="32"/>
  <c r="G10044" i="32"/>
  <c r="G10043" i="32"/>
  <c r="G10041" i="32"/>
  <c r="G10040" i="32"/>
  <c r="G10039" i="32"/>
  <c r="G10038" i="32"/>
  <c r="G10037" i="32"/>
  <c r="G10036" i="32"/>
  <c r="G10035" i="32"/>
  <c r="G10034" i="32"/>
  <c r="G10033" i="32"/>
  <c r="G10032" i="32"/>
  <c r="G10031" i="32"/>
  <c r="G10030" i="32"/>
  <c r="G10029" i="32"/>
  <c r="G10028" i="32"/>
  <c r="G10027" i="32"/>
  <c r="G10025" i="32"/>
  <c r="G10023" i="32"/>
  <c r="G10022" i="32"/>
  <c r="G10021" i="32"/>
  <c r="G10020" i="32"/>
  <c r="G10019" i="32"/>
  <c r="G10018" i="32"/>
  <c r="G10017" i="32"/>
  <c r="G10016" i="32"/>
  <c r="G10015" i="32"/>
  <c r="G10013" i="32"/>
  <c r="G10012" i="32"/>
  <c r="G10011" i="32"/>
  <c r="G10010" i="32"/>
  <c r="G10008" i="32"/>
  <c r="G10005" i="32"/>
  <c r="G10004" i="32"/>
  <c r="G10001" i="32"/>
  <c r="G10000" i="32"/>
  <c r="G9999" i="32"/>
  <c r="G9998" i="32"/>
  <c r="G9997" i="32"/>
  <c r="G9996" i="32"/>
  <c r="G9995" i="32"/>
  <c r="G9994" i="32"/>
  <c r="G9993" i="32"/>
  <c r="G9992" i="32"/>
  <c r="G9991" i="32"/>
  <c r="G9989" i="32"/>
  <c r="G9988" i="32"/>
  <c r="G9987" i="32"/>
  <c r="G9986" i="32"/>
  <c r="G9985" i="32"/>
  <c r="G9984" i="32"/>
  <c r="G9983" i="32"/>
  <c r="G9982" i="32"/>
  <c r="G9980" i="32"/>
  <c r="G9979" i="32"/>
  <c r="G9978" i="32"/>
  <c r="G9977" i="32"/>
  <c r="G9976" i="32"/>
  <c r="G9975" i="32"/>
  <c r="G9974" i="32"/>
  <c r="G9973" i="32"/>
  <c r="G9972" i="32"/>
  <c r="G9971" i="32"/>
  <c r="G9970" i="32"/>
  <c r="G9969" i="32"/>
  <c r="G9967" i="32"/>
  <c r="G9966" i="32"/>
  <c r="G9964" i="32"/>
  <c r="G9963" i="32"/>
  <c r="G9961" i="32"/>
  <c r="G9960" i="32"/>
  <c r="G9959" i="32"/>
  <c r="G9958" i="32"/>
  <c r="G9957" i="32"/>
  <c r="G9956" i="32"/>
  <c r="G9955" i="32"/>
  <c r="G9954" i="32"/>
  <c r="G9953" i="32"/>
  <c r="G9952" i="32"/>
  <c r="G9951" i="32"/>
  <c r="G9950" i="32"/>
  <c r="G9949" i="32"/>
  <c r="G9948" i="32"/>
  <c r="G9947" i="32"/>
  <c r="G9946" i="32"/>
  <c r="G9945" i="32"/>
  <c r="G9944" i="32"/>
  <c r="G9943" i="32"/>
  <c r="G9942" i="32"/>
  <c r="G9941" i="32"/>
  <c r="G9940" i="32"/>
  <c r="G9939" i="32"/>
  <c r="G9938" i="32"/>
  <c r="G9937" i="32"/>
  <c r="G9936" i="32"/>
  <c r="G9935" i="32"/>
  <c r="G9934" i="32"/>
  <c r="G9933" i="32"/>
  <c r="G9932" i="32"/>
  <c r="G9931" i="32"/>
  <c r="G9930" i="32"/>
  <c r="G9929" i="32"/>
  <c r="G9928" i="32"/>
  <c r="G9927" i="32"/>
  <c r="G9926" i="32"/>
  <c r="G9925" i="32"/>
  <c r="G9923" i="32"/>
  <c r="G9921" i="32"/>
  <c r="G9920" i="32"/>
  <c r="G9919" i="32"/>
  <c r="G9918" i="32"/>
  <c r="G9917" i="32"/>
  <c r="G9916" i="32"/>
  <c r="G9915" i="32"/>
  <c r="G9914" i="32"/>
  <c r="G9913" i="32"/>
  <c r="G9912" i="32"/>
  <c r="G9911" i="32"/>
  <c r="G9910" i="32"/>
  <c r="G9909" i="32"/>
  <c r="G9908" i="32"/>
  <c r="G9907" i="32"/>
  <c r="G9906" i="32"/>
  <c r="G9904" i="32"/>
  <c r="G9903" i="32"/>
  <c r="G9902" i="32"/>
  <c r="G9901" i="32"/>
  <c r="G9900" i="32"/>
  <c r="G9899" i="32"/>
  <c r="G9898" i="32"/>
  <c r="G9897" i="32"/>
  <c r="G9896" i="32"/>
  <c r="G9895" i="32"/>
  <c r="G9894" i="32"/>
  <c r="G9893" i="32"/>
  <c r="G9892" i="32"/>
  <c r="G9891" i="32"/>
  <c r="G9890" i="32"/>
  <c r="G9889" i="32"/>
  <c r="G9888" i="32"/>
  <c r="G9887" i="32"/>
  <c r="G9886" i="32"/>
  <c r="G9884" i="32"/>
  <c r="G9881" i="32"/>
  <c r="G9880" i="32"/>
  <c r="G9879" i="32"/>
  <c r="G9878" i="32"/>
  <c r="G9877" i="32"/>
  <c r="G9875" i="32"/>
  <c r="G9874" i="32"/>
  <c r="G9873" i="32"/>
  <c r="G9872" i="32"/>
  <c r="G9871" i="32"/>
  <c r="G9870" i="32"/>
  <c r="G9869" i="32"/>
  <c r="G9868" i="32"/>
  <c r="G9867" i="32"/>
  <c r="G9866" i="32"/>
  <c r="G9865" i="32"/>
  <c r="G9864" i="32"/>
  <c r="G9863" i="32"/>
  <c r="G9862" i="32"/>
  <c r="G9860" i="32"/>
  <c r="G9859" i="32"/>
  <c r="G9857" i="32"/>
  <c r="G9856" i="32"/>
  <c r="G9854" i="32"/>
  <c r="G9853" i="32"/>
  <c r="G9852" i="32"/>
  <c r="G9851" i="32"/>
  <c r="G9850" i="32"/>
  <c r="G9849" i="32"/>
  <c r="G9848" i="32"/>
  <c r="G9847" i="32"/>
  <c r="G9846" i="32"/>
  <c r="G9845" i="32"/>
  <c r="G9844" i="32"/>
  <c r="G9843" i="32"/>
  <c r="G9842" i="32"/>
  <c r="G9841" i="32"/>
  <c r="G9840" i="32"/>
  <c r="G9839" i="32"/>
  <c r="G9837" i="32"/>
  <c r="G9836" i="32"/>
  <c r="G9835" i="32"/>
  <c r="G9833" i="32"/>
  <c r="G9832" i="32"/>
  <c r="G9831" i="32"/>
  <c r="G9829" i="32"/>
  <c r="G9828" i="32"/>
  <c r="G9827" i="32"/>
  <c r="G9826" i="32"/>
  <c r="G9825" i="32"/>
  <c r="G9824" i="32"/>
  <c r="G9823" i="32"/>
  <c r="G9820" i="32"/>
  <c r="G9819" i="32"/>
  <c r="G9818" i="32"/>
  <c r="G9817" i="32"/>
  <c r="G9816" i="32"/>
  <c r="G9815" i="32"/>
  <c r="G9814" i="32"/>
  <c r="G9813" i="32"/>
  <c r="G9812" i="32"/>
  <c r="G9811" i="32"/>
  <c r="G9810" i="32"/>
  <c r="G9809" i="32"/>
  <c r="G9808" i="32"/>
  <c r="G9804" i="32"/>
  <c r="G9803" i="32"/>
  <c r="G9802" i="32"/>
  <c r="G9801" i="32"/>
  <c r="G9800" i="32"/>
  <c r="G9799" i="32"/>
  <c r="G9798" i="32"/>
  <c r="G9796" i="32"/>
  <c r="G9795" i="32"/>
  <c r="G9792" i="32"/>
  <c r="G9791" i="32"/>
  <c r="G9790" i="32"/>
  <c r="G9789" i="32"/>
  <c r="G9788" i="32"/>
  <c r="G9787" i="32"/>
  <c r="G9786" i="32"/>
  <c r="G9785" i="32"/>
  <c r="G9784" i="32"/>
  <c r="G9783" i="32"/>
  <c r="G9782" i="32"/>
  <c r="G9781" i="32"/>
  <c r="G9779" i="32"/>
  <c r="G9778" i="32"/>
  <c r="G9777" i="32"/>
  <c r="G9776" i="32"/>
  <c r="G9775" i="32"/>
  <c r="G9774" i="32"/>
  <c r="G9773" i="32"/>
  <c r="G9772" i="32"/>
  <c r="G9771" i="32"/>
  <c r="G9770" i="32"/>
  <c r="G9769" i="32"/>
  <c r="G9768" i="32"/>
  <c r="G9767" i="32"/>
  <c r="G9766" i="32"/>
  <c r="G9765" i="32"/>
  <c r="G9764" i="32"/>
  <c r="G9763" i="32"/>
  <c r="G9762" i="32"/>
  <c r="G9761" i="32"/>
  <c r="G9760" i="32"/>
  <c r="G9759" i="32"/>
  <c r="G9758" i="32"/>
  <c r="G9756" i="32"/>
  <c r="G9755" i="32"/>
  <c r="G9754" i="32"/>
  <c r="G9752" i="32"/>
  <c r="G9750" i="32"/>
  <c r="G9749" i="32"/>
  <c r="G9748" i="32"/>
  <c r="G9747" i="32"/>
  <c r="G9744" i="32"/>
  <c r="G9743" i="32"/>
  <c r="G9742" i="32"/>
  <c r="G9741" i="32"/>
  <c r="G9740" i="32"/>
  <c r="G9738" i="32"/>
  <c r="G9737" i="32"/>
  <c r="G9736" i="32"/>
  <c r="G9735" i="32"/>
  <c r="G9734" i="32"/>
  <c r="G9733" i="32"/>
  <c r="G9732" i="32"/>
  <c r="G9731" i="32"/>
  <c r="G9730" i="32"/>
  <c r="G9729" i="32"/>
  <c r="G9728" i="32"/>
  <c r="G9727" i="32"/>
  <c r="G9726" i="32"/>
  <c r="G9725" i="32"/>
  <c r="G9724" i="32"/>
  <c r="G9723" i="32"/>
  <c r="G9722" i="32"/>
  <c r="G9721" i="32"/>
  <c r="G9720" i="32"/>
  <c r="G9719" i="32"/>
  <c r="G9718" i="32"/>
  <c r="G9717" i="32"/>
  <c r="G9716" i="32"/>
  <c r="G9715" i="32"/>
  <c r="G9714" i="32"/>
  <c r="G9713" i="32"/>
  <c r="G9712" i="32"/>
  <c r="G9711" i="32"/>
  <c r="G9710" i="32"/>
  <c r="G9709" i="32"/>
  <c r="G9708" i="32"/>
  <c r="G9707" i="32"/>
  <c r="G9706" i="32"/>
  <c r="G9704" i="32"/>
  <c r="G9703" i="32"/>
  <c r="G9702" i="32"/>
  <c r="G9701" i="32"/>
  <c r="G9698" i="32"/>
  <c r="G9697" i="32"/>
  <c r="G9696" i="32"/>
  <c r="G9695" i="32"/>
  <c r="G9694" i="32"/>
  <c r="G9693" i="32"/>
  <c r="G9692" i="32"/>
  <c r="G9691" i="32"/>
  <c r="G9690" i="32"/>
  <c r="G9689" i="32"/>
  <c r="G9688" i="32"/>
  <c r="G9687" i="32"/>
  <c r="G9686" i="32"/>
  <c r="G9685" i="32"/>
  <c r="G9684" i="32"/>
  <c r="G9683" i="32"/>
  <c r="G9682" i="32"/>
  <c r="G9681" i="32"/>
  <c r="G9680" i="32"/>
  <c r="G9679" i="32"/>
  <c r="G9678" i="32"/>
  <c r="G9677" i="32"/>
  <c r="G9676" i="32"/>
  <c r="G9675" i="32"/>
  <c r="G9674" i="32"/>
  <c r="G9673" i="32"/>
  <c r="G9672" i="32"/>
  <c r="G9671" i="32"/>
  <c r="G9670" i="32"/>
  <c r="G9668" i="32"/>
  <c r="G9667" i="32"/>
  <c r="G9666" i="32"/>
  <c r="G9665" i="32"/>
  <c r="G9664" i="32"/>
  <c r="G9663" i="32"/>
  <c r="G9662" i="32"/>
  <c r="G9661" i="32"/>
  <c r="G9660" i="32"/>
  <c r="G9659" i="32"/>
  <c r="G9658" i="32"/>
  <c r="G9657" i="32"/>
  <c r="G9656" i="32"/>
  <c r="G9655" i="32"/>
  <c r="G9654" i="32"/>
  <c r="G9653" i="32"/>
  <c r="G9652" i="32"/>
  <c r="G9650" i="32"/>
  <c r="G9649" i="32"/>
  <c r="G9648" i="32"/>
  <c r="G9647" i="32"/>
  <c r="G9645" i="32"/>
  <c r="G9644" i="32"/>
  <c r="G9642" i="32"/>
  <c r="G9641" i="32"/>
  <c r="G9638" i="32"/>
  <c r="G9636" i="32"/>
  <c r="G9635" i="32"/>
  <c r="G9634" i="32"/>
  <c r="G9632" i="32"/>
  <c r="G9631" i="32"/>
  <c r="G9630" i="32"/>
  <c r="G9629" i="32"/>
  <c r="G9628" i="32"/>
  <c r="G9627" i="32"/>
  <c r="G9626" i="32"/>
  <c r="G9624" i="32"/>
  <c r="G9623" i="32"/>
  <c r="G9622" i="32"/>
  <c r="G9621" i="32"/>
  <c r="G9620" i="32"/>
  <c r="G9619" i="32"/>
  <c r="G9618" i="32"/>
  <c r="G9617" i="32"/>
  <c r="G9616" i="32"/>
  <c r="G9615" i="32"/>
  <c r="G9613" i="32"/>
  <c r="G9611" i="32"/>
  <c r="G9610" i="32"/>
  <c r="G9609" i="32"/>
  <c r="G9608" i="32"/>
  <c r="G9607" i="32"/>
  <c r="G9606" i="32"/>
  <c r="G9605" i="32"/>
  <c r="G9604" i="32"/>
  <c r="G9603" i="32"/>
  <c r="G9602" i="32"/>
  <c r="G9601" i="32"/>
  <c r="G9600" i="32"/>
  <c r="G9599" i="32"/>
  <c r="G9598" i="32"/>
  <c r="G9597" i="32"/>
  <c r="G9596" i="32"/>
  <c r="G9595" i="32"/>
  <c r="G9594" i="32"/>
  <c r="G9593" i="32"/>
  <c r="G9592" i="32"/>
  <c r="G9591" i="32"/>
  <c r="G9590" i="32"/>
  <c r="G9589" i="32"/>
  <c r="G9588" i="32"/>
  <c r="G9587" i="32"/>
  <c r="G9583" i="32"/>
  <c r="G9582" i="32"/>
  <c r="G9581" i="32"/>
  <c r="G9580" i="32"/>
  <c r="G9579" i="32"/>
  <c r="G9578" i="32"/>
  <c r="G9577" i="32"/>
  <c r="G9576" i="32"/>
  <c r="G9575" i="32"/>
  <c r="G9574" i="32"/>
  <c r="G9573" i="32"/>
  <c r="G9572" i="32"/>
  <c r="G9571" i="32"/>
  <c r="G9568" i="32"/>
  <c r="G9567" i="32"/>
  <c r="G9565" i="32"/>
  <c r="G9564" i="32"/>
  <c r="G9563" i="32"/>
  <c r="G9562" i="32"/>
  <c r="G9561" i="32"/>
  <c r="G9559" i="32"/>
  <c r="G9558" i="32"/>
  <c r="G9557" i="32"/>
  <c r="G9556" i="32"/>
  <c r="G9555" i="32"/>
  <c r="G9554" i="32"/>
  <c r="G9553" i="32"/>
  <c r="G9552" i="32"/>
  <c r="G9551" i="32"/>
  <c r="G9550" i="32"/>
  <c r="G9549" i="32"/>
  <c r="G9548" i="32"/>
  <c r="G9547" i="32"/>
  <c r="G9546" i="32"/>
  <c r="G9545" i="32"/>
  <c r="G9544" i="32"/>
  <c r="G9543" i="32"/>
  <c r="G9542" i="32"/>
  <c r="G9540" i="32"/>
  <c r="G9539" i="32"/>
  <c r="G9538" i="32"/>
  <c r="G9537" i="32"/>
  <c r="G9536" i="32"/>
  <c r="G9533" i="32"/>
  <c r="G9532" i="32"/>
  <c r="G9530" i="32"/>
  <c r="G9529" i="32"/>
  <c r="G9527" i="32"/>
  <c r="G9526" i="32"/>
  <c r="G9525" i="32"/>
  <c r="G9524" i="32"/>
  <c r="G9523" i="32"/>
  <c r="G9522" i="32"/>
  <c r="G9521" i="32"/>
  <c r="G9520" i="32"/>
  <c r="G9519" i="32"/>
  <c r="G9518" i="32"/>
  <c r="G9517" i="32"/>
  <c r="G9516" i="32"/>
  <c r="G9515" i="32"/>
  <c r="G9514" i="32"/>
  <c r="G9513" i="32"/>
  <c r="G9510" i="32"/>
  <c r="G9509" i="32"/>
  <c r="G9508" i="32"/>
  <c r="G9499" i="32"/>
  <c r="G9498" i="32"/>
  <c r="G9494" i="32"/>
  <c r="G9492" i="32"/>
  <c r="G9491" i="32"/>
  <c r="G9490" i="32"/>
  <c r="G9487" i="32"/>
  <c r="G9486" i="32"/>
  <c r="G9481" i="32"/>
  <c r="G9480" i="32"/>
  <c r="G9479" i="32"/>
  <c r="G9478" i="32"/>
  <c r="G9477" i="32"/>
  <c r="G9476" i="32"/>
  <c r="G9475" i="32"/>
  <c r="G9474" i="32"/>
  <c r="G9472" i="32"/>
  <c r="G9471" i="32"/>
  <c r="G9470" i="32"/>
  <c r="G9468" i="32"/>
  <c r="G9466" i="32"/>
  <c r="G9465" i="32"/>
  <c r="G9464" i="32"/>
  <c r="G9463" i="32"/>
  <c r="G9462" i="32"/>
  <c r="G9461" i="32"/>
  <c r="G9460" i="32"/>
  <c r="G9459" i="32"/>
  <c r="G9458" i="32"/>
  <c r="G9457" i="32"/>
  <c r="G9456" i="32"/>
  <c r="G9455" i="32"/>
  <c r="G9454" i="32"/>
  <c r="G9453" i="32"/>
  <c r="G9452" i="32"/>
  <c r="G9449" i="32"/>
  <c r="G9448" i="32"/>
  <c r="G9446" i="32"/>
  <c r="G9445" i="32"/>
  <c r="G9444" i="32"/>
  <c r="G9443" i="32"/>
  <c r="G9442" i="32"/>
  <c r="G9441" i="32"/>
  <c r="G9440" i="32"/>
  <c r="G9439" i="32"/>
  <c r="G9438" i="32"/>
  <c r="G9436" i="32"/>
  <c r="G9435" i="32"/>
  <c r="G9434" i="32"/>
  <c r="G9433" i="32"/>
  <c r="G9432" i="32"/>
  <c r="G9431" i="32"/>
  <c r="G9430" i="32"/>
  <c r="G9429" i="32"/>
  <c r="G9428" i="32"/>
  <c r="G9427" i="32"/>
  <c r="G9426" i="32"/>
  <c r="G9425" i="32"/>
  <c r="G9423" i="32"/>
  <c r="G9422" i="32"/>
  <c r="G9421" i="32"/>
  <c r="G9420" i="32"/>
  <c r="G9419" i="32"/>
  <c r="G9418" i="32"/>
  <c r="G9417" i="32"/>
  <c r="G9416" i="32"/>
  <c r="G9415" i="32"/>
  <c r="G9414" i="32"/>
  <c r="G9411" i="32"/>
  <c r="G9410" i="32"/>
  <c r="G9409" i="32"/>
  <c r="G9408" i="32"/>
  <c r="G9407" i="32"/>
  <c r="G9406" i="32"/>
  <c r="G9405" i="32"/>
  <c r="G9404" i="32"/>
  <c r="G9403" i="32"/>
  <c r="G9402" i="32"/>
  <c r="G9401" i="32"/>
  <c r="G9400" i="32"/>
  <c r="G9399" i="32"/>
  <c r="G9398" i="32"/>
  <c r="G9397" i="32"/>
  <c r="G9396" i="32"/>
  <c r="G9395" i="32"/>
  <c r="G9394" i="32"/>
  <c r="G9393" i="32"/>
  <c r="G9392" i="32"/>
  <c r="G9391" i="32"/>
  <c r="G9390" i="32"/>
  <c r="G9389" i="32"/>
  <c r="G9388" i="32"/>
  <c r="G9387" i="32"/>
  <c r="G9386" i="32"/>
  <c r="G9385" i="32"/>
  <c r="G9383" i="32"/>
  <c r="G9382" i="32"/>
  <c r="G9381" i="32"/>
  <c r="G9379" i="32"/>
  <c r="G9378" i="32"/>
  <c r="G9377" i="32"/>
  <c r="G9376" i="32"/>
  <c r="G9375" i="32"/>
  <c r="G9373" i="32"/>
  <c r="G9371" i="32"/>
  <c r="G9370" i="32"/>
  <c r="G9369" i="32"/>
  <c r="G9368" i="32"/>
  <c r="G9367" i="32"/>
  <c r="G9366" i="32"/>
  <c r="G9365" i="32"/>
  <c r="G9364" i="32"/>
  <c r="G9363" i="32"/>
  <c r="G9362" i="32"/>
  <c r="G9361" i="32"/>
  <c r="G9359" i="32"/>
  <c r="G9358" i="32"/>
  <c r="G9357" i="32"/>
  <c r="G9356" i="32"/>
  <c r="G9355" i="32"/>
  <c r="G9354" i="32"/>
  <c r="G9353" i="32"/>
  <c r="G9352" i="32"/>
  <c r="G9351" i="32"/>
  <c r="G9350" i="32"/>
  <c r="G9349" i="32"/>
  <c r="G9348" i="32"/>
  <c r="G9347" i="32"/>
  <c r="G9346" i="32"/>
  <c r="G9344" i="32"/>
  <c r="G9343" i="32"/>
  <c r="G9342" i="32"/>
  <c r="G9340" i="32"/>
  <c r="G9339" i="32"/>
  <c r="G9338" i="32"/>
  <c r="G9337" i="32"/>
  <c r="G9336" i="32"/>
  <c r="G9335" i="32"/>
  <c r="G9334" i="32"/>
  <c r="G9333" i="32"/>
  <c r="G9332" i="32"/>
  <c r="G9331" i="32"/>
  <c r="G9330" i="32"/>
  <c r="G9329" i="32"/>
  <c r="G9328" i="32"/>
  <c r="G9326" i="32"/>
  <c r="G9325" i="32"/>
  <c r="G9324" i="32"/>
  <c r="G9323" i="32"/>
  <c r="G9322" i="32"/>
  <c r="G9321" i="32"/>
  <c r="G9320" i="32"/>
  <c r="G9319" i="32"/>
  <c r="G9318" i="32"/>
  <c r="G9317" i="32"/>
  <c r="G9316" i="32"/>
  <c r="G9315" i="32"/>
  <c r="G9314" i="32"/>
  <c r="G9313" i="32"/>
  <c r="G9312" i="32"/>
  <c r="G9311" i="32"/>
  <c r="G9310" i="32"/>
  <c r="G9309" i="32"/>
  <c r="G9308" i="32"/>
  <c r="G9307" i="32"/>
  <c r="G9306" i="32"/>
  <c r="G9305" i="32"/>
  <c r="G9304" i="32"/>
  <c r="G9303" i="32"/>
  <c r="G9302" i="32"/>
  <c r="G9301" i="32"/>
  <c r="G9299" i="32"/>
  <c r="G9298" i="32"/>
  <c r="G9297" i="32"/>
  <c r="G9296" i="32"/>
  <c r="G9295" i="32"/>
  <c r="G9294" i="32"/>
  <c r="G9293" i="32"/>
  <c r="G9292" i="32"/>
  <c r="G9291" i="32"/>
  <c r="G9290" i="32"/>
  <c r="G9289" i="32"/>
  <c r="G9288" i="32"/>
  <c r="G9287" i="32"/>
  <c r="G9286" i="32"/>
  <c r="G9285" i="32"/>
  <c r="G9284" i="32"/>
  <c r="G9283" i="32"/>
  <c r="G9282" i="32"/>
  <c r="G9281" i="32"/>
  <c r="G9280" i="32"/>
  <c r="G9279" i="32"/>
  <c r="G9278" i="32"/>
  <c r="G9277" i="32"/>
  <c r="G9275" i="32"/>
  <c r="G9274" i="32"/>
  <c r="G9273" i="32"/>
  <c r="G9272" i="32"/>
  <c r="G9271" i="32"/>
  <c r="G9270" i="32"/>
  <c r="G9269" i="32"/>
  <c r="G9268" i="32"/>
  <c r="G9267" i="32"/>
  <c r="G9266" i="32"/>
  <c r="G9264" i="32"/>
  <c r="G9263" i="32"/>
  <c r="G9262" i="32"/>
  <c r="G9261" i="32"/>
  <c r="G9260" i="32"/>
  <c r="G9258" i="32"/>
  <c r="G9257" i="32"/>
  <c r="G9256" i="32"/>
  <c r="G9255" i="32"/>
  <c r="G9254" i="32"/>
  <c r="G9253" i="32"/>
  <c r="G9252" i="32"/>
  <c r="G9251" i="32"/>
  <c r="G9250" i="32"/>
  <c r="G9249" i="32"/>
  <c r="G9247" i="32"/>
  <c r="G9243" i="32"/>
  <c r="G9241" i="32"/>
  <c r="G9240" i="32"/>
  <c r="G9237" i="32"/>
  <c r="G9236" i="32"/>
  <c r="G9235" i="32"/>
  <c r="G9234" i="32"/>
  <c r="G9233" i="32"/>
  <c r="G9232" i="32"/>
  <c r="G9231" i="32"/>
  <c r="G9230" i="32"/>
  <c r="G9229" i="32"/>
  <c r="G9228" i="32"/>
  <c r="G9227" i="32"/>
  <c r="G9226" i="32"/>
  <c r="G9225" i="32"/>
  <c r="G9224" i="32"/>
  <c r="G9223" i="32"/>
  <c r="G9222" i="32"/>
  <c r="G9221" i="32"/>
  <c r="G9220" i="32"/>
  <c r="G9218" i="32"/>
  <c r="G9217" i="32"/>
  <c r="G9216" i="32"/>
  <c r="G9215" i="32"/>
  <c r="G9214" i="32"/>
  <c r="G9213" i="32"/>
  <c r="G9212" i="32"/>
  <c r="G9210" i="32"/>
  <c r="G9209" i="32"/>
  <c r="G9207" i="32"/>
  <c r="G9201" i="32"/>
  <c r="G9199" i="32"/>
  <c r="G9198" i="32"/>
  <c r="G9197" i="32"/>
  <c r="G9195" i="32"/>
  <c r="G9194" i="32"/>
  <c r="G9193" i="32"/>
  <c r="G9192" i="32"/>
  <c r="G9191" i="32"/>
  <c r="G9188" i="32"/>
  <c r="G9187" i="32"/>
  <c r="G9186" i="32"/>
  <c r="G9185" i="32"/>
  <c r="G9184" i="32"/>
  <c r="G9183" i="32"/>
  <c r="G9182" i="32"/>
  <c r="G9181" i="32"/>
  <c r="G9180" i="32"/>
  <c r="G9179" i="32"/>
  <c r="G9178" i="32"/>
  <c r="G9177" i="32"/>
  <c r="G9176" i="32"/>
  <c r="G9175" i="32"/>
  <c r="G9174" i="32"/>
  <c r="G9173" i="32"/>
  <c r="G9172" i="32"/>
  <c r="G9171" i="32"/>
  <c r="G9170" i="32"/>
  <c r="G9169" i="32"/>
  <c r="G9167" i="32"/>
  <c r="G9165" i="32"/>
  <c r="G9163" i="32"/>
  <c r="G9162" i="32"/>
  <c r="G9161" i="32"/>
  <c r="G9160" i="32"/>
  <c r="G9159" i="32"/>
  <c r="G9158" i="32"/>
  <c r="G9157" i="32"/>
  <c r="G9156" i="32"/>
  <c r="G9155" i="32"/>
  <c r="G9153" i="32"/>
  <c r="G9152" i="32"/>
  <c r="G9151" i="32"/>
  <c r="G9150" i="32"/>
  <c r="G9149" i="32"/>
  <c r="G9148" i="32"/>
  <c r="G9147" i="32"/>
  <c r="G9145" i="32"/>
  <c r="G9144" i="32"/>
  <c r="G9143" i="32"/>
  <c r="G9142" i="32"/>
  <c r="G9141" i="32"/>
  <c r="G9140" i="32"/>
  <c r="G9139" i="32"/>
  <c r="G9137" i="32"/>
  <c r="G9136" i="32"/>
  <c r="G9134" i="32"/>
  <c r="G9133" i="32"/>
  <c r="G9132" i="32"/>
  <c r="G9131" i="32"/>
  <c r="G9130" i="32"/>
  <c r="G9129" i="32"/>
  <c r="G9128" i="32"/>
  <c r="G9127" i="32"/>
  <c r="G9125" i="32"/>
  <c r="G9124" i="32"/>
  <c r="G9123" i="32"/>
  <c r="G9122" i="32"/>
  <c r="G9121" i="32"/>
  <c r="G9120" i="32"/>
  <c r="G9119" i="32"/>
  <c r="G9118" i="32"/>
  <c r="G9117" i="32"/>
  <c r="G9116" i="32"/>
  <c r="G9115" i="32"/>
  <c r="G9114" i="32"/>
  <c r="G9113" i="32"/>
  <c r="G9112" i="32"/>
  <c r="G9111" i="32"/>
  <c r="G9110" i="32"/>
  <c r="G9109" i="32"/>
  <c r="G9108" i="32"/>
  <c r="G9106" i="32"/>
  <c r="G9105" i="32"/>
  <c r="G9104" i="32"/>
  <c r="G9103" i="32"/>
  <c r="G9102" i="32"/>
  <c r="G9101" i="32"/>
  <c r="G9100" i="32"/>
  <c r="G9099" i="32"/>
  <c r="G9098" i="32"/>
  <c r="G9097" i="32"/>
  <c r="G9096" i="32"/>
  <c r="G9095" i="32"/>
  <c r="G9094" i="32"/>
  <c r="G9093" i="32"/>
  <c r="G9092" i="32"/>
  <c r="G9091" i="32"/>
  <c r="G9090" i="32"/>
  <c r="G9089" i="32"/>
  <c r="G9088" i="32"/>
  <c r="G9087" i="32"/>
  <c r="G9086" i="32"/>
  <c r="G9085" i="32"/>
  <c r="G9083" i="32"/>
  <c r="G9082" i="32"/>
  <c r="G9081" i="32"/>
  <c r="G9079" i="32"/>
  <c r="G9077" i="32"/>
  <c r="G9075" i="32"/>
  <c r="G9074" i="32"/>
  <c r="G9073" i="32"/>
  <c r="G9072" i="32"/>
  <c r="G9071" i="32"/>
  <c r="G9070" i="32"/>
  <c r="G9069" i="32"/>
  <c r="G9068" i="32"/>
  <c r="G9067" i="32"/>
  <c r="G9066" i="32"/>
  <c r="G9065" i="32"/>
  <c r="G9064" i="32"/>
  <c r="G9063" i="32"/>
  <c r="G9062" i="32"/>
  <c r="G9061" i="32"/>
  <c r="G9060" i="32"/>
  <c r="G9059" i="32"/>
  <c r="G9058" i="32"/>
  <c r="G9057" i="32"/>
  <c r="G9056" i="32"/>
  <c r="G9054" i="32"/>
  <c r="G9053" i="32"/>
  <c r="G9052" i="32"/>
  <c r="G9051" i="32"/>
  <c r="G9050" i="32"/>
  <c r="G9049" i="32"/>
  <c r="G9047" i="32"/>
  <c r="G9046" i="32"/>
  <c r="G9045" i="32"/>
  <c r="G9044" i="32"/>
  <c r="G9043" i="32"/>
  <c r="G9040" i="32"/>
  <c r="G9039" i="32"/>
  <c r="G9038" i="32"/>
  <c r="G9037" i="32"/>
  <c r="G9036" i="32"/>
  <c r="G9035" i="32"/>
  <c r="G9034" i="32"/>
  <c r="G9033" i="32"/>
  <c r="G9032" i="32"/>
  <c r="G9031" i="32"/>
  <c r="G9030" i="32"/>
  <c r="G9029" i="32"/>
  <c r="G9028" i="32"/>
  <c r="G9027" i="32"/>
  <c r="G9026" i="32"/>
  <c r="G9025" i="32"/>
  <c r="G9024" i="32"/>
  <c r="G9023" i="32"/>
  <c r="G9022" i="32"/>
  <c r="G9021" i="32"/>
  <c r="G9020" i="32"/>
  <c r="G9019" i="32"/>
  <c r="G9018" i="32"/>
  <c r="G9017" i="32"/>
  <c r="G9016" i="32"/>
  <c r="G9015" i="32"/>
  <c r="G9014" i="32"/>
  <c r="G9013" i="32"/>
  <c r="G9012" i="32"/>
  <c r="G9011" i="32"/>
  <c r="G9010" i="32"/>
  <c r="G9009" i="32"/>
  <c r="G9008" i="32"/>
  <c r="G9007" i="32"/>
  <c r="G9006" i="32"/>
  <c r="G9003" i="32"/>
  <c r="G9002" i="32"/>
  <c r="G9000" i="32"/>
  <c r="G8999" i="32"/>
  <c r="G8998" i="32"/>
  <c r="G8997" i="32"/>
  <c r="G8996" i="32"/>
  <c r="G8995" i="32"/>
  <c r="G8994" i="32"/>
  <c r="G8993" i="32"/>
  <c r="G8992" i="32"/>
  <c r="G8991" i="32"/>
  <c r="G8990" i="32"/>
  <c r="G8989" i="32"/>
  <c r="G8988" i="32"/>
  <c r="G8987" i="32"/>
  <c r="G8986" i="32"/>
  <c r="G8985" i="32"/>
  <c r="G8983" i="32"/>
  <c r="G8982" i="32"/>
  <c r="G8981" i="32"/>
  <c r="G8980" i="32"/>
  <c r="G8979" i="32"/>
  <c r="G8978" i="32"/>
  <c r="G8977" i="32"/>
  <c r="G8976" i="32"/>
  <c r="G8975" i="32"/>
  <c r="G8974" i="32"/>
  <c r="G8973" i="32"/>
  <c r="G8972" i="32"/>
  <c r="G8971" i="32"/>
  <c r="G8970" i="32"/>
  <c r="G8969" i="32"/>
  <c r="G8968" i="32"/>
  <c r="G8967" i="32"/>
  <c r="G8965" i="32"/>
  <c r="G8964" i="32"/>
  <c r="G8963" i="32"/>
  <c r="G8962" i="32"/>
  <c r="G8961" i="32"/>
  <c r="G8960" i="32"/>
  <c r="G8959" i="32"/>
  <c r="G8958" i="32"/>
  <c r="G8957" i="32"/>
  <c r="G8956" i="32"/>
  <c r="G8955" i="32"/>
  <c r="G8954" i="32"/>
  <c r="G8953" i="32"/>
  <c r="G8952" i="32"/>
  <c r="G8951" i="32"/>
  <c r="G8950" i="32"/>
  <c r="G8949" i="32"/>
  <c r="G8948" i="32"/>
  <c r="G8947" i="32"/>
  <c r="G8946" i="32"/>
  <c r="G8945" i="32"/>
  <c r="G8944" i="32"/>
  <c r="G8943" i="32"/>
  <c r="G8941" i="32"/>
  <c r="G8940" i="32"/>
  <c r="G8939" i="32"/>
  <c r="G8938" i="32"/>
  <c r="G8937" i="32"/>
  <c r="G8933" i="32"/>
  <c r="G8932" i="32"/>
  <c r="G8931" i="32"/>
  <c r="G8930" i="32"/>
  <c r="G8929" i="32"/>
  <c r="G8928" i="32"/>
  <c r="G8927" i="32"/>
  <c r="G8926" i="32"/>
  <c r="G8925" i="32"/>
  <c r="G8924" i="32"/>
  <c r="G8923" i="32"/>
  <c r="G8922" i="32"/>
  <c r="G8921" i="32"/>
  <c r="G8920" i="32"/>
  <c r="G8918" i="32"/>
  <c r="G8916" i="32"/>
  <c r="G8915" i="32"/>
  <c r="G8914" i="32"/>
  <c r="G8912" i="32"/>
  <c r="G8911" i="32"/>
  <c r="G8910" i="32"/>
  <c r="G8908" i="32"/>
  <c r="G8907" i="32"/>
  <c r="G8906" i="32"/>
  <c r="G8905" i="32"/>
  <c r="G8904" i="32"/>
  <c r="G8903" i="32"/>
  <c r="G8902" i="32"/>
  <c r="G8901" i="32"/>
  <c r="G8900" i="32"/>
  <c r="G8899" i="32"/>
  <c r="G8898" i="32"/>
  <c r="G8897" i="32"/>
  <c r="G8896" i="32"/>
  <c r="G8895" i="32"/>
  <c r="G8894" i="32"/>
  <c r="G8893" i="32"/>
  <c r="G8892" i="32"/>
  <c r="G8891" i="32"/>
  <c r="G8890" i="32"/>
  <c r="G8889" i="32"/>
  <c r="G8888" i="32"/>
  <c r="G8887" i="32"/>
  <c r="G8886" i="32"/>
  <c r="G8885" i="32"/>
  <c r="G8884" i="32"/>
  <c r="G8882" i="32"/>
  <c r="G8881" i="32"/>
  <c r="G8880" i="32"/>
  <c r="G8879" i="32"/>
  <c r="G8878" i="32"/>
  <c r="G8876" i="32"/>
  <c r="G8875" i="32"/>
  <c r="G8874" i="32"/>
  <c r="G8873" i="32"/>
  <c r="G8872" i="32"/>
  <c r="G8871" i="32"/>
  <c r="G8869" i="32"/>
  <c r="G8868" i="32"/>
  <c r="G8866" i="32"/>
  <c r="G8865" i="32"/>
  <c r="G8864" i="32"/>
  <c r="G8863" i="32"/>
  <c r="G8862" i="32"/>
  <c r="G8861" i="32"/>
  <c r="G8859" i="32"/>
  <c r="G8858" i="32"/>
  <c r="G8857" i="32"/>
  <c r="G8856" i="32"/>
  <c r="G8855" i="32"/>
  <c r="G8854" i="32"/>
  <c r="G8853" i="32"/>
  <c r="G8851" i="32"/>
  <c r="G8850" i="32"/>
  <c r="G8849" i="32"/>
  <c r="G8848" i="32"/>
  <c r="G8847" i="32"/>
  <c r="G8846" i="32"/>
  <c r="G8845" i="32"/>
  <c r="G8844" i="32"/>
  <c r="G8843" i="32"/>
  <c r="G8842" i="32"/>
  <c r="G8841" i="32"/>
  <c r="G8840" i="32"/>
  <c r="G8839" i="32"/>
  <c r="G8838" i="32"/>
  <c r="G8837" i="32"/>
  <c r="G8836" i="32"/>
  <c r="G8835" i="32"/>
  <c r="G8834" i="32"/>
  <c r="G8833" i="32"/>
  <c r="G8832" i="32"/>
  <c r="G8831" i="32"/>
  <c r="G8830" i="32"/>
  <c r="G8828" i="32"/>
  <c r="G8827" i="32"/>
  <c r="G8826" i="32"/>
  <c r="G8825" i="32"/>
  <c r="G8824" i="32"/>
  <c r="G8823" i="32"/>
  <c r="G8822" i="32"/>
  <c r="G8821" i="32"/>
  <c r="G8820" i="32"/>
  <c r="G8819" i="32"/>
  <c r="G8818" i="32"/>
  <c r="G8817" i="32"/>
  <c r="G8816" i="32"/>
  <c r="G8815" i="32"/>
  <c r="G8814" i="32"/>
  <c r="G8813" i="32"/>
  <c r="G8812" i="32"/>
  <c r="G8811" i="32"/>
  <c r="G8810" i="32"/>
  <c r="G8808" i="32"/>
  <c r="G8807" i="32"/>
  <c r="G8806" i="32"/>
  <c r="G8805" i="32"/>
  <c r="G8804" i="32"/>
  <c r="G8802" i="32"/>
  <c r="G8800" i="32"/>
  <c r="G8799" i="32"/>
  <c r="G8798" i="32"/>
  <c r="G8797" i="32"/>
  <c r="G8796" i="32"/>
  <c r="G8795" i="32"/>
  <c r="G8794" i="32"/>
  <c r="G8793" i="32"/>
  <c r="G8792" i="32"/>
  <c r="G8791" i="32"/>
  <c r="G8790" i="32"/>
  <c r="G8789" i="32"/>
  <c r="G8788" i="32"/>
  <c r="G8787" i="32"/>
  <c r="G8786" i="32"/>
  <c r="G8784" i="32"/>
  <c r="G8783" i="32"/>
  <c r="G8782" i="32"/>
  <c r="G8781" i="32"/>
  <c r="G8780" i="32"/>
  <c r="G8779" i="32"/>
  <c r="G8778" i="32"/>
  <c r="G8772" i="32"/>
  <c r="G8771" i="32"/>
  <c r="G8770" i="32"/>
  <c r="G8769" i="32"/>
  <c r="G8768" i="32"/>
  <c r="G8767" i="32"/>
  <c r="G8766" i="32"/>
  <c r="G8765" i="32"/>
  <c r="G8764" i="32"/>
  <c r="G8763" i="32"/>
  <c r="G8762" i="32"/>
  <c r="G8761" i="32"/>
  <c r="G8760" i="32"/>
  <c r="G8759" i="32"/>
  <c r="G8758" i="32"/>
  <c r="G8757" i="32"/>
  <c r="G8756" i="32"/>
  <c r="G8755" i="32"/>
  <c r="G8754" i="32"/>
  <c r="G8753" i="32"/>
  <c r="G8752" i="32"/>
  <c r="G8751" i="32"/>
  <c r="G8750" i="32"/>
  <c r="G8749" i="32"/>
  <c r="G8748" i="32"/>
  <c r="G8747" i="32"/>
  <c r="G8746" i="32"/>
  <c r="G8745" i="32"/>
  <c r="G8744" i="32"/>
  <c r="G8743" i="32"/>
  <c r="G8742" i="32"/>
  <c r="G8741" i="32"/>
  <c r="G8740" i="32"/>
  <c r="G8739" i="32"/>
  <c r="G8738" i="32"/>
  <c r="G8737" i="32"/>
  <c r="G8736" i="32"/>
  <c r="G8735" i="32"/>
  <c r="G8734" i="32"/>
  <c r="G8731" i="32"/>
  <c r="G8730" i="32"/>
  <c r="G8729" i="32"/>
  <c r="G8728" i="32"/>
  <c r="G8727" i="32"/>
  <c r="G8726" i="32"/>
  <c r="G8725" i="32"/>
  <c r="G8724" i="32"/>
  <c r="G8723" i="32"/>
  <c r="G8722" i="32"/>
  <c r="G8721" i="32"/>
  <c r="G8720" i="32"/>
  <c r="G8719" i="32"/>
  <c r="G8717" i="32"/>
  <c r="G8716" i="32"/>
  <c r="G8715" i="32"/>
  <c r="G8712" i="32"/>
  <c r="G8711" i="32"/>
  <c r="G8710" i="32"/>
  <c r="G8709" i="32"/>
  <c r="G8708" i="32"/>
  <c r="G8707" i="32"/>
  <c r="G8706" i="32"/>
  <c r="G8705" i="32"/>
  <c r="G8704" i="32"/>
  <c r="G8703" i="32"/>
  <c r="G8702" i="32"/>
  <c r="G8700" i="32"/>
  <c r="G8699" i="32"/>
  <c r="G8698" i="32"/>
  <c r="G8697" i="32"/>
  <c r="G8696" i="32"/>
  <c r="G8695" i="32"/>
  <c r="G8694" i="32"/>
  <c r="G8693" i="32"/>
  <c r="G8692" i="32"/>
  <c r="G8691" i="32"/>
  <c r="G8690" i="32"/>
  <c r="G8689" i="32"/>
  <c r="G8688" i="32"/>
  <c r="G8687" i="32"/>
  <c r="G8686" i="32"/>
  <c r="G8684" i="32"/>
  <c r="G8683" i="32"/>
  <c r="G8682" i="32"/>
  <c r="G8680" i="32"/>
  <c r="G8679" i="32"/>
  <c r="G8678" i="32"/>
  <c r="G8676" i="32"/>
  <c r="G8675" i="32"/>
  <c r="G8673" i="32"/>
  <c r="G8672" i="32"/>
  <c r="G8671" i="32"/>
  <c r="G8670" i="32"/>
  <c r="G8668" i="32"/>
  <c r="G8665" i="32"/>
  <c r="G8664" i="32"/>
  <c r="G8663" i="32"/>
  <c r="G8662" i="32"/>
  <c r="G8661" i="32"/>
  <c r="G8660" i="32"/>
  <c r="G8659" i="32"/>
  <c r="G8658" i="32"/>
  <c r="G8657" i="32"/>
  <c r="G8656" i="32"/>
  <c r="G8655" i="32"/>
  <c r="G8654" i="32"/>
  <c r="G8653" i="32"/>
  <c r="G8650" i="32"/>
  <c r="G8649" i="32"/>
  <c r="G8648" i="32"/>
  <c r="G8647" i="32"/>
  <c r="G8646" i="32"/>
  <c r="G8645" i="32"/>
  <c r="G8644" i="32"/>
  <c r="G8643" i="32"/>
  <c r="G8642" i="32"/>
  <c r="G8641" i="32"/>
  <c r="G8640" i="32"/>
  <c r="G8639" i="32"/>
  <c r="G8638" i="32"/>
  <c r="G8637" i="32"/>
  <c r="G8636" i="32"/>
  <c r="G8635" i="32"/>
  <c r="G8634" i="32"/>
  <c r="G8633" i="32"/>
  <c r="G8632" i="32"/>
  <c r="G8631" i="32"/>
  <c r="G8630" i="32"/>
  <c r="G8628" i="32"/>
  <c r="G8627" i="32"/>
  <c r="G8626" i="32"/>
  <c r="G8625" i="32"/>
  <c r="G8624" i="32"/>
  <c r="G8620" i="32"/>
  <c r="G8619" i="32"/>
  <c r="G8618" i="32"/>
  <c r="G8616" i="32"/>
  <c r="G8615" i="32"/>
  <c r="G8614" i="32"/>
  <c r="G8613" i="32"/>
  <c r="G8612" i="32"/>
  <c r="G8611" i="32"/>
  <c r="G8610" i="32"/>
  <c r="G8609" i="32"/>
  <c r="G8608" i="32"/>
  <c r="G8607" i="32"/>
  <c r="G8606" i="32"/>
  <c r="G8605" i="32"/>
  <c r="G8604" i="32"/>
  <c r="G8603" i="32"/>
  <c r="G8602" i="32"/>
  <c r="G8601" i="32"/>
  <c r="G8600" i="32"/>
  <c r="G8599" i="32"/>
  <c r="G8598" i="32"/>
  <c r="G8597" i="32"/>
  <c r="G8596" i="32"/>
  <c r="G8595" i="32"/>
  <c r="G8594" i="32"/>
  <c r="G8593" i="32"/>
  <c r="G8592" i="32"/>
  <c r="G8590" i="32"/>
  <c r="G8589" i="32"/>
  <c r="G8588" i="32"/>
  <c r="G8587" i="32"/>
  <c r="G8585" i="32"/>
  <c r="G8584" i="32"/>
  <c r="G8582" i="32"/>
  <c r="G8581" i="32"/>
  <c r="G8580" i="32"/>
  <c r="G8579" i="32"/>
  <c r="G8578" i="32"/>
  <c r="G8577" i="32"/>
  <c r="G8576" i="32"/>
  <c r="G8575" i="32"/>
  <c r="G8574" i="32"/>
  <c r="G8573" i="32"/>
  <c r="G8572" i="32"/>
  <c r="G8571" i="32"/>
  <c r="G8570" i="32"/>
  <c r="G8569" i="32"/>
  <c r="G8568" i="32"/>
  <c r="G8566" i="32"/>
  <c r="G8565" i="32"/>
  <c r="G8564" i="32"/>
  <c r="G8563" i="32"/>
  <c r="G8562" i="32"/>
  <c r="G8561" i="32"/>
  <c r="G8559" i="32"/>
  <c r="G8558" i="32"/>
  <c r="G8557" i="32"/>
  <c r="G8556" i="32"/>
  <c r="G8555" i="32"/>
  <c r="G8554" i="32"/>
  <c r="G8552" i="32"/>
  <c r="G8551" i="32"/>
  <c r="G8550" i="32"/>
  <c r="G8549" i="32"/>
  <c r="G8548" i="32"/>
  <c r="G8545" i="32"/>
  <c r="G8544" i="32"/>
  <c r="G8542" i="32"/>
  <c r="G8541" i="32"/>
  <c r="G8540" i="32"/>
  <c r="G8538" i="32"/>
  <c r="G8537" i="32"/>
  <c r="G8536" i="32"/>
  <c r="G8535" i="32"/>
  <c r="G8534" i="32"/>
  <c r="G8533" i="32"/>
  <c r="G8532" i="32"/>
  <c r="G8530" i="32"/>
  <c r="G8529" i="32"/>
  <c r="G8528" i="32"/>
  <c r="G8527" i="32"/>
  <c r="G8526" i="32"/>
  <c r="G8525" i="32"/>
  <c r="G8524" i="32"/>
  <c r="G8523" i="32"/>
  <c r="G8522" i="32"/>
  <c r="G8521" i="32"/>
  <c r="G8520" i="32"/>
  <c r="G8519" i="32"/>
  <c r="G8518" i="32"/>
  <c r="G8517" i="32"/>
  <c r="G8516" i="32"/>
  <c r="G8514" i="32"/>
  <c r="G8513" i="32"/>
  <c r="G8512" i="32"/>
  <c r="G8511" i="32"/>
  <c r="G8510" i="32"/>
  <c r="G8509" i="32"/>
  <c r="G8508" i="32"/>
  <c r="G8507" i="32"/>
  <c r="G8506" i="32"/>
  <c r="G8505" i="32"/>
  <c r="G8504" i="32"/>
  <c r="G8503" i="32"/>
  <c r="G8501" i="32"/>
  <c r="G8500" i="32"/>
  <c r="G8499" i="32"/>
  <c r="G8497" i="32"/>
  <c r="G8496" i="32"/>
  <c r="G8495" i="32"/>
  <c r="G8494" i="32"/>
  <c r="G8492" i="32"/>
  <c r="G8491" i="32"/>
  <c r="G8490" i="32"/>
  <c r="G8489" i="32"/>
  <c r="G8488" i="32"/>
  <c r="G8487" i="32"/>
  <c r="G8486" i="32"/>
  <c r="G8485" i="32"/>
  <c r="G8484" i="32"/>
  <c r="G8483" i="32"/>
  <c r="G8482" i="32"/>
  <c r="G8481" i="32"/>
  <c r="G8480" i="32"/>
  <c r="G8479" i="32"/>
  <c r="G8478" i="32"/>
  <c r="G8477" i="32"/>
  <c r="G8476" i="32"/>
  <c r="G8475" i="32"/>
  <c r="G8474" i="32"/>
  <c r="G8472" i="32"/>
  <c r="G8471" i="32"/>
  <c r="G8470" i="32"/>
  <c r="G8469" i="32"/>
  <c r="G8468" i="32"/>
  <c r="G8467" i="32"/>
  <c r="G8466" i="32"/>
  <c r="G8465" i="32"/>
  <c r="G8464" i="32"/>
  <c r="G8463" i="32"/>
  <c r="G8462" i="32"/>
  <c r="G8461" i="32"/>
  <c r="G8460" i="32"/>
  <c r="G8459" i="32"/>
  <c r="G8458" i="32"/>
  <c r="G8457" i="32"/>
  <c r="G8456" i="32"/>
  <c r="G8455" i="32"/>
  <c r="G8454" i="32"/>
  <c r="G8453" i="32"/>
  <c r="G8452" i="32"/>
  <c r="G8451" i="32"/>
  <c r="G8450" i="32"/>
  <c r="G8449" i="32"/>
  <c r="G8448" i="32"/>
  <c r="G8447" i="32"/>
  <c r="G8446" i="32"/>
  <c r="G8445" i="32"/>
  <c r="G8444" i="32"/>
  <c r="G8443" i="32"/>
  <c r="G8442" i="32"/>
  <c r="G8441" i="32"/>
  <c r="G8440" i="32"/>
  <c r="G8439" i="32"/>
  <c r="G8438" i="32"/>
  <c r="G8436" i="32"/>
  <c r="G8435" i="32"/>
  <c r="G8434" i="32"/>
  <c r="G8433" i="32"/>
  <c r="G8432" i="32"/>
  <c r="G8431" i="32"/>
  <c r="G8430" i="32"/>
  <c r="G8429" i="32"/>
  <c r="G8428" i="32"/>
  <c r="G8427" i="32"/>
  <c r="G8424" i="32"/>
  <c r="G8423" i="32"/>
  <c r="G8422" i="32"/>
  <c r="G8421" i="32"/>
  <c r="G8420" i="32"/>
  <c r="G8419" i="32"/>
  <c r="G8418" i="32"/>
  <c r="G8417" i="32"/>
  <c r="G8416" i="32"/>
  <c r="G8414" i="32"/>
  <c r="G8413" i="32"/>
  <c r="G8412" i="32"/>
  <c r="G8411" i="32"/>
  <c r="G8410" i="32"/>
  <c r="G8409" i="32"/>
  <c r="G8408" i="32"/>
  <c r="G8406" i="32"/>
  <c r="G8405" i="32"/>
  <c r="G8404" i="32"/>
  <c r="G8403" i="32"/>
  <c r="G8402" i="32"/>
  <c r="G8401" i="32"/>
  <c r="G8400" i="32"/>
  <c r="G8399" i="32"/>
  <c r="G8398" i="32"/>
  <c r="G8397" i="32"/>
  <c r="G8396" i="32"/>
  <c r="G8395" i="32"/>
  <c r="G8394" i="32"/>
  <c r="G8393" i="32"/>
  <c r="G8392" i="32"/>
  <c r="G8391" i="32"/>
  <c r="G8390" i="32"/>
  <c r="G8389" i="32"/>
  <c r="G8388" i="32"/>
  <c r="G8387" i="32"/>
  <c r="G8386" i="32"/>
  <c r="G8385" i="32"/>
  <c r="G8383" i="32"/>
  <c r="G8382" i="32"/>
  <c r="G8381" i="32"/>
  <c r="G8380" i="32"/>
  <c r="G8379" i="32"/>
  <c r="G8378" i="32"/>
  <c r="G8377" i="32"/>
  <c r="G8376" i="32"/>
  <c r="G8375" i="32"/>
  <c r="G8374" i="32"/>
  <c r="G8373" i="32"/>
  <c r="G8372" i="32"/>
  <c r="G8371" i="32"/>
  <c r="G8370" i="32"/>
  <c r="G8369" i="32"/>
  <c r="G8368" i="32"/>
  <c r="G8366" i="32"/>
  <c r="G8365" i="32"/>
  <c r="G8364" i="32"/>
  <c r="G8363" i="32"/>
  <c r="G8362" i="32"/>
  <c r="G8361" i="32"/>
  <c r="G8360" i="32"/>
  <c r="G8359" i="32"/>
  <c r="G8358" i="32"/>
  <c r="G8357" i="32"/>
  <c r="G8356" i="32"/>
  <c r="G8355" i="32"/>
  <c r="G8354" i="32"/>
  <c r="G8353" i="32"/>
  <c r="G8352" i="32"/>
  <c r="G8351" i="32"/>
  <c r="G8349" i="32"/>
  <c r="G8348" i="32"/>
  <c r="G8347" i="32"/>
  <c r="G8346" i="32"/>
  <c r="G8345" i="32"/>
  <c r="G8344" i="32"/>
  <c r="G8343" i="32"/>
  <c r="G8342" i="32"/>
  <c r="G8341" i="32"/>
  <c r="G8340" i="32"/>
  <c r="G8339" i="32"/>
  <c r="G8338" i="32"/>
  <c r="G8337" i="32"/>
  <c r="G8336" i="32"/>
  <c r="G8335" i="32"/>
  <c r="G8334" i="32"/>
  <c r="G8333" i="32"/>
  <c r="G8332" i="32"/>
  <c r="G8331" i="32"/>
  <c r="G8330" i="32"/>
  <c r="G8328" i="32"/>
  <c r="G8327" i="32"/>
  <c r="G8326" i="32"/>
  <c r="G8325" i="32"/>
  <c r="G8323" i="32"/>
  <c r="G8322" i="32"/>
  <c r="G8321" i="32"/>
  <c r="G8320" i="32"/>
  <c r="G8319" i="32"/>
  <c r="G8318" i="32"/>
  <c r="G8317" i="32"/>
  <c r="G8316" i="32"/>
  <c r="G8315" i="32"/>
  <c r="G8314" i="32"/>
  <c r="G8313" i="32"/>
  <c r="G8312" i="32"/>
  <c r="G8311" i="32"/>
  <c r="G8309" i="32"/>
  <c r="G8306" i="32"/>
  <c r="G8305" i="32"/>
  <c r="G8304" i="32"/>
  <c r="G8303" i="32"/>
  <c r="G8302" i="32"/>
  <c r="G8301" i="32"/>
  <c r="G8298" i="32"/>
  <c r="G8297" i="32"/>
  <c r="G8296" i="32"/>
  <c r="G8295" i="32"/>
  <c r="G8294" i="32"/>
  <c r="G8293" i="32"/>
  <c r="G8291" i="32"/>
  <c r="G8289" i="32"/>
  <c r="G8288" i="32"/>
  <c r="G8287" i="32"/>
  <c r="G8285" i="32"/>
  <c r="G8284" i="32"/>
  <c r="G8283" i="32"/>
  <c r="G8282" i="32"/>
  <c r="G8281" i="32"/>
  <c r="G8280" i="32"/>
  <c r="G8279" i="32"/>
  <c r="G8278" i="32"/>
  <c r="G8277" i="32"/>
  <c r="G8276" i="32"/>
  <c r="G8275" i="32"/>
  <c r="G8274" i="32"/>
  <c r="G8273" i="32"/>
  <c r="G8271" i="32"/>
  <c r="G8270" i="32"/>
  <c r="G8269" i="32"/>
  <c r="G8268" i="32"/>
  <c r="G8267" i="32"/>
  <c r="G8266" i="32"/>
  <c r="G8265" i="32"/>
  <c r="G8264" i="32"/>
  <c r="G8263" i="32"/>
  <c r="G8262" i="32"/>
  <c r="G8261" i="32"/>
  <c r="G8260" i="32"/>
  <c r="G8259" i="32"/>
  <c r="G8258" i="32"/>
  <c r="G8257" i="32"/>
  <c r="G8256" i="32"/>
  <c r="G8255" i="32"/>
  <c r="G8253" i="32"/>
  <c r="G8252" i="32"/>
  <c r="G8251" i="32"/>
  <c r="G8250" i="32"/>
  <c r="G8249" i="32"/>
  <c r="G8248" i="32"/>
  <c r="G8246" i="32"/>
  <c r="G8245" i="32"/>
  <c r="G8244" i="32"/>
  <c r="G8243" i="32"/>
  <c r="G8242" i="32"/>
  <c r="G8241" i="32"/>
  <c r="G8240" i="32"/>
  <c r="G8239" i="32"/>
  <c r="G8238" i="32"/>
  <c r="G8237" i="32"/>
  <c r="G8236" i="32"/>
  <c r="G8235" i="32"/>
  <c r="G8234" i="32"/>
  <c r="G8233" i="32"/>
  <c r="G8232" i="32"/>
  <c r="G8231" i="32"/>
  <c r="G8230" i="32"/>
  <c r="G8229" i="32"/>
  <c r="G8228" i="32"/>
  <c r="G8227" i="32"/>
  <c r="G8226" i="32"/>
  <c r="G8225" i="32"/>
  <c r="G8224" i="32"/>
  <c r="G8223" i="32"/>
  <c r="G8222" i="32"/>
  <c r="G8220" i="32"/>
  <c r="G8219" i="32"/>
  <c r="G8218" i="32"/>
  <c r="G8216" i="32"/>
  <c r="G8215" i="32"/>
  <c r="G8214" i="32"/>
  <c r="G8213" i="32"/>
  <c r="G8212" i="32"/>
  <c r="G8211" i="32"/>
  <c r="G8210" i="32"/>
  <c r="G8209" i="32"/>
  <c r="G8208" i="32"/>
  <c r="G8207" i="32"/>
  <c r="G8206" i="32"/>
  <c r="G8205" i="32"/>
  <c r="G8203" i="32"/>
  <c r="G8202" i="32"/>
  <c r="G8201" i="32"/>
  <c r="G8197" i="32"/>
  <c r="G8196" i="32"/>
  <c r="G8195" i="32"/>
  <c r="G8194" i="32"/>
  <c r="G8193" i="32"/>
  <c r="G8192" i="32"/>
  <c r="G8191" i="32"/>
  <c r="G8190" i="32"/>
  <c r="G8189" i="32"/>
  <c r="G8187" i="32"/>
  <c r="G8186" i="32"/>
  <c r="G8185" i="32"/>
  <c r="G8184" i="32"/>
  <c r="G8183" i="32"/>
  <c r="G8182" i="32"/>
  <c r="G8181" i="32"/>
  <c r="G8180" i="32"/>
  <c r="G8179" i="32"/>
  <c r="G8177" i="32"/>
  <c r="G8176" i="32"/>
  <c r="G8175" i="32"/>
  <c r="G8174" i="32"/>
  <c r="G8173" i="32"/>
  <c r="G8172" i="32"/>
  <c r="G8171" i="32"/>
  <c r="G8170" i="32"/>
  <c r="G8169" i="32"/>
  <c r="G8168" i="32"/>
  <c r="G8167" i="32"/>
  <c r="G8166" i="32"/>
  <c r="G8165" i="32"/>
  <c r="G8164" i="32"/>
  <c r="G8162" i="32"/>
  <c r="G8160" i="32"/>
  <c r="G8159" i="32"/>
  <c r="G8158" i="32"/>
  <c r="G8157" i="32"/>
  <c r="G8156" i="32"/>
  <c r="G8155" i="32"/>
  <c r="G8154" i="32"/>
  <c r="G8153" i="32"/>
  <c r="G8152" i="32"/>
  <c r="G8151" i="32"/>
  <c r="G8150" i="32"/>
  <c r="G8149" i="32"/>
  <c r="G8148" i="32"/>
  <c r="G8146" i="32"/>
  <c r="G8144" i="32"/>
  <c r="G8143" i="32"/>
  <c r="G8142" i="32"/>
  <c r="G8140" i="32"/>
  <c r="G8139" i="32"/>
  <c r="G8138" i="32"/>
  <c r="G8137" i="32"/>
  <c r="G8136" i="32"/>
  <c r="G8135" i="32"/>
  <c r="G8134" i="32"/>
  <c r="G8133" i="32"/>
  <c r="G8132" i="32"/>
  <c r="G8131" i="32"/>
  <c r="G8130" i="32"/>
  <c r="G8129" i="32"/>
  <c r="G8128" i="32"/>
  <c r="G8127" i="32"/>
  <c r="G8126" i="32"/>
  <c r="G8125" i="32"/>
  <c r="G8124" i="32"/>
  <c r="G8123" i="32"/>
  <c r="G8122" i="32"/>
  <c r="G8121" i="32"/>
  <c r="G8120" i="32"/>
  <c r="G8119" i="32"/>
  <c r="G8118" i="32"/>
  <c r="G8117" i="32"/>
  <c r="G8116" i="32"/>
  <c r="G8115" i="32"/>
  <c r="G8113" i="32"/>
  <c r="G8112" i="32"/>
  <c r="G8111" i="32"/>
  <c r="G8110" i="32"/>
  <c r="G8108" i="32"/>
  <c r="G8107" i="32"/>
  <c r="G8106" i="32"/>
  <c r="G8105" i="32"/>
  <c r="G8104" i="32"/>
  <c r="G8103" i="32"/>
  <c r="G8102" i="32"/>
  <c r="G8101" i="32"/>
  <c r="G8100" i="32"/>
  <c r="G8099" i="32"/>
  <c r="G8098" i="32"/>
  <c r="G8097" i="32"/>
  <c r="G8096" i="32"/>
  <c r="G8095" i="32"/>
  <c r="G8094" i="32"/>
  <c r="G8093" i="32"/>
  <c r="G8092" i="32"/>
  <c r="G8091" i="32"/>
  <c r="G8090" i="32"/>
  <c r="G8089" i="32"/>
  <c r="G8088" i="32"/>
  <c r="G8087" i="32"/>
  <c r="G8086" i="32"/>
  <c r="G8085" i="32"/>
  <c r="G8084" i="32"/>
  <c r="G8083" i="32"/>
  <c r="G8082" i="32"/>
  <c r="G8081" i="32"/>
  <c r="G8080" i="32"/>
  <c r="G8079" i="32"/>
  <c r="G8078" i="32"/>
  <c r="G8077" i="32"/>
  <c r="G8076" i="32"/>
  <c r="G8075" i="32"/>
  <c r="G8074" i="32"/>
  <c r="G8073" i="32"/>
  <c r="G8072" i="32"/>
  <c r="G8071" i="32"/>
  <c r="G8070" i="32"/>
  <c r="G8069" i="32"/>
  <c r="G8068" i="32"/>
  <c r="G8067" i="32"/>
  <c r="G8066" i="32"/>
  <c r="G8065" i="32"/>
  <c r="G8064" i="32"/>
  <c r="G8060" i="32"/>
  <c r="G8059" i="32"/>
  <c r="G8058" i="32"/>
  <c r="G8057" i="32"/>
  <c r="G8056" i="32"/>
  <c r="G8055" i="32"/>
  <c r="G8054" i="32"/>
  <c r="G8053" i="32"/>
  <c r="G8052" i="32"/>
  <c r="G8051" i="32"/>
  <c r="G8050" i="32"/>
  <c r="G8049" i="32"/>
  <c r="G8048" i="32"/>
  <c r="G8047" i="32"/>
  <c r="G8046" i="32"/>
  <c r="G8045" i="32"/>
  <c r="G8044" i="32"/>
  <c r="G8043" i="32"/>
  <c r="G8042" i="32"/>
  <c r="G8041" i="32"/>
  <c r="G8040" i="32"/>
  <c r="G8039" i="32"/>
  <c r="G8038" i="32"/>
  <c r="G8037" i="32"/>
  <c r="G8036" i="32"/>
  <c r="G8034" i="32"/>
  <c r="G8032" i="32"/>
  <c r="G8031" i="32"/>
  <c r="G8030" i="32"/>
  <c r="G8029" i="32"/>
  <c r="G8028" i="32"/>
  <c r="G8027" i="32"/>
  <c r="G8026" i="32"/>
  <c r="G8025" i="32"/>
  <c r="G8024" i="32"/>
  <c r="G8023" i="32"/>
  <c r="G8022" i="32"/>
  <c r="G8021" i="32"/>
  <c r="G8020" i="32"/>
  <c r="G8019" i="32"/>
  <c r="G8018" i="32"/>
  <c r="G8017" i="32"/>
  <c r="G8016" i="32"/>
  <c r="G8015" i="32"/>
  <c r="G8013" i="32"/>
  <c r="G8012" i="32"/>
  <c r="G8010" i="32"/>
  <c r="G8009" i="32"/>
  <c r="G8008" i="32"/>
  <c r="G8007" i="32"/>
  <c r="G8006" i="32"/>
  <c r="G8005" i="32"/>
  <c r="G8004" i="32"/>
  <c r="G8003" i="32"/>
  <c r="G8001" i="32"/>
  <c r="G8000" i="32"/>
  <c r="G7999" i="32"/>
  <c r="G7997" i="32"/>
  <c r="G7995" i="32"/>
  <c r="G7994" i="32"/>
  <c r="G7993" i="32"/>
  <c r="G7992" i="32"/>
  <c r="G7991" i="32"/>
  <c r="G7990" i="32"/>
  <c r="G7989" i="32"/>
  <c r="G7988" i="32"/>
  <c r="G7987" i="32"/>
  <c r="G7986" i="32"/>
  <c r="G7985" i="32"/>
  <c r="G7984" i="32"/>
  <c r="G7983" i="32"/>
  <c r="G7982" i="32"/>
  <c r="G7981" i="32"/>
  <c r="G7980" i="32"/>
  <c r="G7979" i="32"/>
  <c r="G7978" i="32"/>
  <c r="G7977" i="32"/>
  <c r="G7975" i="32"/>
  <c r="G7974" i="32"/>
  <c r="G7973" i="32"/>
  <c r="G7972" i="32"/>
  <c r="G7971" i="32"/>
  <c r="G7970" i="32"/>
  <c r="G7969" i="32"/>
  <c r="G7968" i="32"/>
  <c r="G7967" i="32"/>
  <c r="G7966" i="32"/>
  <c r="G7964" i="32"/>
  <c r="G7962" i="32"/>
  <c r="G7961" i="32"/>
  <c r="G7960" i="32"/>
  <c r="G7959" i="32"/>
  <c r="G7956" i="32"/>
  <c r="G7954" i="32"/>
  <c r="G7952" i="32"/>
  <c r="G7951" i="32"/>
  <c r="G7950" i="32"/>
  <c r="G7949" i="32"/>
  <c r="G7947" i="32"/>
  <c r="G7946" i="32"/>
  <c r="G7945" i="32"/>
  <c r="G7944" i="32"/>
  <c r="G7943" i="32"/>
  <c r="G7942" i="32"/>
  <c r="G7939" i="32"/>
  <c r="G7938" i="32"/>
  <c r="G7937" i="32"/>
  <c r="G7936" i="32"/>
  <c r="G7935" i="32"/>
  <c r="G7934" i="32"/>
  <c r="G7932" i="32"/>
  <c r="G7931" i="32"/>
  <c r="G7930" i="32"/>
  <c r="G7927" i="32"/>
  <c r="G7925" i="32"/>
  <c r="G7924" i="32"/>
  <c r="G7923" i="32"/>
  <c r="G7922" i="32"/>
  <c r="G7921" i="32"/>
  <c r="G7920" i="32"/>
  <c r="G7919" i="32"/>
  <c r="G7918" i="32"/>
  <c r="G7917" i="32"/>
  <c r="G7916" i="32"/>
  <c r="G7915" i="32"/>
  <c r="G7914" i="32"/>
  <c r="G7913" i="32"/>
  <c r="G7912" i="32"/>
  <c r="G7911" i="32"/>
  <c r="G7910" i="32"/>
  <c r="G7909" i="32"/>
  <c r="G7908" i="32"/>
  <c r="G7907" i="32"/>
  <c r="G7906" i="32"/>
  <c r="G7905" i="32"/>
  <c r="G7904" i="32"/>
  <c r="G7902" i="32"/>
  <c r="G7901" i="32"/>
  <c r="G7900" i="32"/>
  <c r="G7899" i="32"/>
  <c r="G7897" i="32"/>
  <c r="G7896" i="32"/>
  <c r="G7895" i="32"/>
  <c r="G7894" i="32"/>
  <c r="G7893" i="32"/>
  <c r="G7892" i="32"/>
  <c r="G7891" i="32"/>
  <c r="G7890" i="32"/>
  <c r="G7889" i="32"/>
  <c r="G7887" i="32"/>
  <c r="G7886" i="32"/>
  <c r="G7885" i="32"/>
  <c r="G7884" i="32"/>
  <c r="G7883" i="32"/>
  <c r="G7881" i="32"/>
  <c r="G7880" i="32"/>
  <c r="G7879" i="32"/>
  <c r="G7878" i="32"/>
  <c r="G7877" i="32"/>
  <c r="G7875" i="32"/>
  <c r="G7874" i="32"/>
  <c r="G7873" i="32"/>
  <c r="G7872" i="32"/>
  <c r="G7871" i="32"/>
  <c r="G7870" i="32"/>
  <c r="G7869" i="32"/>
  <c r="G7868" i="32"/>
  <c r="G7867" i="32"/>
  <c r="G7866" i="32"/>
  <c r="G7865" i="32"/>
  <c r="G7864" i="32"/>
  <c r="G7863" i="32"/>
  <c r="G7862" i="32"/>
  <c r="G7861" i="32"/>
  <c r="G7859" i="32"/>
  <c r="G7858" i="32"/>
  <c r="G7857" i="32"/>
  <c r="G7856" i="32"/>
  <c r="G7855" i="32"/>
  <c r="G7854" i="32"/>
  <c r="G7853" i="32"/>
  <c r="G7852" i="32"/>
  <c r="G7851" i="32"/>
  <c r="G7850" i="32"/>
  <c r="G7849" i="32"/>
  <c r="G7848" i="32"/>
  <c r="G7847" i="32"/>
  <c r="G7846" i="32"/>
  <c r="G7845" i="32"/>
  <c r="G7844" i="32"/>
  <c r="G7841" i="32"/>
  <c r="G7840" i="32"/>
  <c r="G7839" i="32"/>
  <c r="G7838" i="32"/>
  <c r="G7837" i="32"/>
  <c r="G7836" i="32"/>
  <c r="G7835" i="32"/>
  <c r="G7834" i="32"/>
  <c r="G7833" i="32"/>
  <c r="G7832" i="32"/>
  <c r="G7831" i="32"/>
  <c r="G7830" i="32"/>
  <c r="G7829" i="32"/>
  <c r="G7828" i="32"/>
  <c r="G7827" i="32"/>
  <c r="G7826" i="32"/>
  <c r="G7825" i="32"/>
  <c r="G7824" i="32"/>
  <c r="G7823" i="32"/>
  <c r="G7822" i="32"/>
  <c r="G7821" i="32"/>
  <c r="G7820" i="32"/>
  <c r="G7819" i="32"/>
  <c r="G7818" i="32"/>
  <c r="G7817" i="32"/>
  <c r="G7816" i="32"/>
  <c r="G7815" i="32"/>
  <c r="G7814" i="32"/>
  <c r="G7813" i="32"/>
  <c r="G7812" i="32"/>
  <c r="G7811" i="32"/>
  <c r="G7810" i="32"/>
  <c r="G7808" i="32"/>
  <c r="G7807" i="32"/>
  <c r="G7804" i="32"/>
  <c r="G7803" i="32"/>
  <c r="G7802" i="32"/>
  <c r="G7801" i="32"/>
  <c r="G7800" i="32"/>
  <c r="G7799" i="32"/>
  <c r="G7798" i="32"/>
  <c r="G7797" i="32"/>
  <c r="G7796" i="32"/>
  <c r="G7795" i="32"/>
  <c r="G7794" i="32"/>
  <c r="G7793" i="32"/>
  <c r="G7792" i="32"/>
  <c r="G7791" i="32"/>
  <c r="G7790" i="32"/>
  <c r="G7789" i="32"/>
  <c r="G7788" i="32"/>
  <c r="G7787" i="32"/>
  <c r="G7786" i="32"/>
  <c r="G7785" i="32"/>
  <c r="G7784" i="32"/>
  <c r="G7783" i="32"/>
  <c r="G7782" i="32"/>
  <c r="G7780" i="32"/>
  <c r="G7779" i="32"/>
  <c r="G7778" i="32"/>
  <c r="G7777" i="32"/>
  <c r="G7776" i="32"/>
  <c r="G7775" i="32"/>
  <c r="G7774" i="32"/>
  <c r="G7773" i="32"/>
  <c r="G7772" i="32"/>
  <c r="G7771" i="32"/>
  <c r="G7770" i="32"/>
  <c r="G7769" i="32"/>
  <c r="G7768" i="32"/>
  <c r="G7767" i="32"/>
  <c r="G7766" i="32"/>
  <c r="G7765" i="32"/>
  <c r="G7764" i="32"/>
  <c r="G7763" i="32"/>
  <c r="G7762" i="32"/>
  <c r="G7761" i="32"/>
  <c r="G7760" i="32"/>
  <c r="G7759" i="32"/>
  <c r="G7757" i="32"/>
  <c r="G7756" i="32"/>
  <c r="G7755" i="32"/>
  <c r="G7754" i="32"/>
  <c r="G7753" i="32"/>
  <c r="G7752" i="32"/>
  <c r="G7751" i="32"/>
  <c r="G7750" i="32"/>
  <c r="G7748" i="32"/>
  <c r="G7747" i="32"/>
  <c r="G7746" i="32"/>
  <c r="G7745" i="32"/>
  <c r="G7744" i="32"/>
  <c r="G7743" i="32"/>
  <c r="G7742" i="32"/>
  <c r="G7741" i="32"/>
  <c r="G7740" i="32"/>
  <c r="G7739" i="32"/>
  <c r="G7738" i="32"/>
  <c r="G7736" i="32"/>
  <c r="G7735" i="32"/>
  <c r="G7734" i="32"/>
  <c r="G7733" i="32"/>
  <c r="G7732" i="32"/>
  <c r="G7731" i="32"/>
  <c r="G7730" i="32"/>
  <c r="G7728" i="32"/>
  <c r="G7727" i="32"/>
  <c r="G7726" i="32"/>
  <c r="G7725" i="32"/>
  <c r="G7724" i="32"/>
  <c r="G7723" i="32"/>
  <c r="G7722" i="32"/>
  <c r="G7720" i="32"/>
  <c r="G7719" i="32"/>
  <c r="G7718" i="32"/>
  <c r="G7717" i="32"/>
  <c r="G7716" i="32"/>
  <c r="G7714" i="32"/>
  <c r="G7713" i="32"/>
  <c r="G7712" i="32"/>
  <c r="G7711" i="32"/>
  <c r="G7710" i="32"/>
  <c r="G7709" i="32"/>
  <c r="G7708" i="32"/>
  <c r="G7707" i="32"/>
  <c r="G7706" i="32"/>
  <c r="G7705" i="32"/>
  <c r="G7704" i="32"/>
  <c r="G7703" i="32"/>
  <c r="G7702" i="32"/>
  <c r="G7701" i="32"/>
  <c r="G7700" i="32"/>
  <c r="G7699" i="32"/>
  <c r="G7698" i="32"/>
  <c r="G7697" i="32"/>
  <c r="G7696" i="32"/>
  <c r="G7695" i="32"/>
  <c r="G7693" i="32"/>
  <c r="G7692" i="32"/>
  <c r="G7691" i="32"/>
  <c r="G7690" i="32"/>
  <c r="G7689" i="32"/>
  <c r="G7688" i="32"/>
  <c r="G7687" i="32"/>
  <c r="G7686" i="32"/>
  <c r="G7685" i="32"/>
  <c r="G7684" i="32"/>
  <c r="G7683" i="32"/>
  <c r="G7682" i="32"/>
  <c r="G7681" i="32"/>
  <c r="G7680" i="32"/>
  <c r="G7679" i="32"/>
  <c r="G7678" i="32"/>
  <c r="G7677" i="32"/>
  <c r="G7676" i="32"/>
  <c r="G7675" i="32"/>
  <c r="G7674" i="32"/>
  <c r="G7673" i="32"/>
  <c r="G7672" i="32"/>
  <c r="G7671" i="32"/>
  <c r="G7670" i="32"/>
  <c r="G7666" i="32"/>
  <c r="G7665" i="32"/>
  <c r="G7663" i="32"/>
  <c r="G7662" i="32"/>
  <c r="G7660" i="32"/>
  <c r="G7659" i="32"/>
  <c r="G7657" i="32"/>
  <c r="G7656" i="32"/>
  <c r="G7655" i="32"/>
  <c r="G7654" i="32"/>
  <c r="G7653" i="32"/>
  <c r="G7652" i="32"/>
  <c r="G7651" i="32"/>
  <c r="G7650" i="32"/>
  <c r="G7649" i="32"/>
  <c r="G7648" i="32"/>
  <c r="G7647" i="32"/>
  <c r="G7646" i="32"/>
  <c r="G7645" i="32"/>
  <c r="G7644" i="32"/>
  <c r="G7642" i="32"/>
  <c r="G7640" i="32"/>
  <c r="G7639" i="32"/>
  <c r="G7638" i="32"/>
  <c r="G7636" i="32"/>
  <c r="G7635" i="32"/>
  <c r="G7634" i="32"/>
  <c r="G7633" i="32"/>
  <c r="G7632" i="32"/>
  <c r="G7631" i="32"/>
  <c r="G7630" i="32"/>
  <c r="G7629" i="32"/>
  <c r="G7626" i="32"/>
  <c r="G7625" i="32"/>
  <c r="G7624" i="32"/>
  <c r="G7623" i="32"/>
  <c r="G7622" i="32"/>
  <c r="G7621" i="32"/>
  <c r="G7620" i="32"/>
  <c r="G7619" i="32"/>
  <c r="G7617" i="32"/>
  <c r="G7615" i="32"/>
  <c r="G7613" i="32"/>
  <c r="G7612" i="32"/>
  <c r="G7611" i="32"/>
  <c r="G7610" i="32"/>
  <c r="G7609" i="32"/>
  <c r="G7608" i="32"/>
  <c r="G7607" i="32"/>
  <c r="G7606" i="32"/>
  <c r="G7604" i="32"/>
  <c r="G7603" i="32"/>
  <c r="G7602" i="32"/>
  <c r="G7601" i="32"/>
  <c r="G7600" i="32"/>
  <c r="G7599" i="32"/>
  <c r="G7598" i="32"/>
  <c r="G7597" i="32"/>
  <c r="G7596" i="32"/>
  <c r="G7595" i="32"/>
  <c r="G7594" i="32"/>
  <c r="G7593" i="32"/>
  <c r="G7592" i="32"/>
  <c r="G7591" i="32"/>
  <c r="G7589" i="32"/>
  <c r="G7587" i="32"/>
  <c r="G7586" i="32"/>
  <c r="G7582" i="32"/>
  <c r="G7581" i="32"/>
  <c r="G7579" i="32"/>
  <c r="G7578" i="32"/>
  <c r="G7577" i="32"/>
  <c r="G7576" i="32"/>
  <c r="G7575" i="32"/>
  <c r="G7574" i="32"/>
  <c r="G7573" i="32"/>
  <c r="G7572" i="32"/>
  <c r="G7571" i="32"/>
  <c r="G7570" i="32"/>
  <c r="G7569" i="32"/>
  <c r="G7567" i="32"/>
  <c r="G7566" i="32"/>
  <c r="G7565" i="32"/>
  <c r="G7564" i="32"/>
  <c r="G7563" i="32"/>
  <c r="G7562" i="32"/>
  <c r="G7561" i="32"/>
  <c r="G7560" i="32"/>
  <c r="G7559" i="32"/>
  <c r="G7558" i="32"/>
  <c r="G7557" i="32"/>
  <c r="G7556" i="32"/>
  <c r="G7555" i="32"/>
  <c r="G7554" i="32"/>
  <c r="G7553" i="32"/>
  <c r="G7552" i="32"/>
  <c r="G7551" i="32"/>
  <c r="G7550" i="32"/>
  <c r="G7549" i="32"/>
  <c r="G7548" i="32"/>
  <c r="G7547" i="32"/>
  <c r="G7546" i="32"/>
  <c r="G7545" i="32"/>
  <c r="G7544" i="32"/>
  <c r="G7543" i="32"/>
  <c r="G7542" i="32"/>
  <c r="G7541" i="32"/>
  <c r="G7540" i="32"/>
  <c r="G7539" i="32"/>
  <c r="G7538" i="32"/>
  <c r="G7536" i="32"/>
  <c r="G7535" i="32"/>
  <c r="G7534" i="32"/>
  <c r="G7533" i="32"/>
  <c r="G7532" i="32"/>
  <c r="G7531" i="32"/>
  <c r="G7530" i="32"/>
  <c r="G7529" i="32"/>
  <c r="G7528" i="32"/>
  <c r="G7527" i="32"/>
  <c r="G7526" i="32"/>
  <c r="G7525" i="32"/>
  <c r="G7524" i="32"/>
  <c r="G7523" i="32"/>
  <c r="G7522" i="32"/>
  <c r="G7521" i="32"/>
  <c r="G7520" i="32"/>
  <c r="G7519" i="32"/>
  <c r="G7518" i="32"/>
  <c r="G7517" i="32"/>
  <c r="G7515" i="32"/>
  <c r="G7513" i="32"/>
  <c r="G7512" i="32"/>
  <c r="G7511" i="32"/>
  <c r="G7510" i="32"/>
  <c r="G7509" i="32"/>
  <c r="G7508" i="32"/>
  <c r="G7507" i="32"/>
  <c r="G7506" i="32"/>
  <c r="G7505" i="32"/>
  <c r="G7503" i="32"/>
  <c r="G7502" i="32"/>
  <c r="G7501" i="32"/>
  <c r="G7500" i="32"/>
  <c r="G7499" i="32"/>
  <c r="G7498" i="32"/>
  <c r="G7497" i="32"/>
  <c r="G7496" i="32"/>
  <c r="G7495" i="32"/>
  <c r="G7494" i="32"/>
  <c r="G7493" i="32"/>
  <c r="G7492" i="32"/>
  <c r="G7491" i="32"/>
  <c r="G7490" i="32"/>
  <c r="G7488" i="32"/>
  <c r="G7487" i="32"/>
  <c r="G7486" i="32"/>
  <c r="G7483" i="32"/>
  <c r="G7482" i="32"/>
  <c r="G7481" i="32"/>
  <c r="G7480" i="32"/>
  <c r="G7479" i="32"/>
  <c r="G7478" i="32"/>
  <c r="G7477" i="32"/>
  <c r="G7476" i="32"/>
  <c r="G7475" i="32"/>
  <c r="G7474" i="32"/>
  <c r="G7473" i="32"/>
  <c r="G7472" i="32"/>
  <c r="G7470" i="32"/>
  <c r="G7469" i="32"/>
  <c r="G7468" i="32"/>
  <c r="G7467" i="32"/>
  <c r="G7466" i="32"/>
  <c r="G7465" i="32"/>
  <c r="G7464" i="32"/>
  <c r="G7462" i="32"/>
  <c r="G7461" i="32"/>
  <c r="G7460" i="32"/>
  <c r="G7459" i="32"/>
  <c r="G7458" i="32"/>
  <c r="G7457" i="32"/>
  <c r="G7456" i="32"/>
  <c r="G7455" i="32"/>
  <c r="G7454" i="32"/>
  <c r="G7453" i="32"/>
  <c r="G7452" i="32"/>
  <c r="G7451" i="32"/>
  <c r="G7450" i="32"/>
  <c r="G7449" i="32"/>
  <c r="G7448" i="32"/>
  <c r="G7447" i="32"/>
  <c r="G7446" i="32"/>
  <c r="G7445" i="32"/>
  <c r="G7444" i="32"/>
  <c r="G7442" i="32"/>
  <c r="G7441" i="32"/>
  <c r="G7440" i="32"/>
  <c r="G7439" i="32"/>
  <c r="G7438" i="32"/>
  <c r="G7437" i="32"/>
  <c r="G7436" i="32"/>
  <c r="G7435" i="32"/>
  <c r="G7434" i="32"/>
  <c r="G7433" i="32"/>
  <c r="G7432" i="32"/>
  <c r="G7431" i="32"/>
  <c r="G7430" i="32"/>
  <c r="G7429" i="32"/>
  <c r="G7427" i="32"/>
  <c r="G7426" i="32"/>
  <c r="G7425" i="32"/>
  <c r="G7424" i="32"/>
  <c r="G7422" i="32"/>
  <c r="G7420" i="32"/>
  <c r="G7419" i="32"/>
  <c r="G7418" i="32"/>
  <c r="G7417" i="32"/>
  <c r="G7416" i="32"/>
  <c r="G7415" i="32"/>
  <c r="G7414" i="32"/>
  <c r="G7413" i="32"/>
  <c r="G7412" i="32"/>
  <c r="G7411" i="32"/>
  <c r="G7410" i="32"/>
  <c r="G7409" i="32"/>
  <c r="G7408" i="32"/>
  <c r="G7407" i="32"/>
  <c r="G7406" i="32"/>
  <c r="G7405" i="32"/>
  <c r="G7404" i="32"/>
  <c r="G7403" i="32"/>
  <c r="G7402" i="32"/>
  <c r="G7401" i="32"/>
  <c r="G7400" i="32"/>
  <c r="G7399" i="32"/>
  <c r="G7398" i="32"/>
  <c r="G7397" i="32"/>
  <c r="G7396" i="32"/>
  <c r="G7395" i="32"/>
  <c r="G7394" i="32"/>
  <c r="G7393" i="32"/>
  <c r="G7392" i="32"/>
  <c r="G7391" i="32"/>
  <c r="G7390" i="32"/>
  <c r="G7389" i="32"/>
  <c r="G7388" i="32"/>
  <c r="G7387" i="32"/>
  <c r="G7386" i="32"/>
  <c r="G7385" i="32"/>
  <c r="G7384" i="32"/>
  <c r="G7383" i="32"/>
  <c r="G7382" i="32"/>
  <c r="G7381" i="32"/>
  <c r="G7380" i="32"/>
  <c r="G7379" i="32"/>
  <c r="G7378" i="32"/>
  <c r="G7377" i="32"/>
  <c r="G7376" i="32"/>
  <c r="G7375" i="32"/>
  <c r="G7374" i="32"/>
  <c r="G7373" i="32"/>
  <c r="G7372" i="32"/>
  <c r="G7371" i="32"/>
  <c r="G7370" i="32"/>
  <c r="G7369" i="32"/>
  <c r="G7368" i="32"/>
  <c r="G7367" i="32"/>
  <c r="G7365" i="32"/>
  <c r="G7363" i="32"/>
  <c r="G7362" i="32"/>
  <c r="G7360" i="32"/>
  <c r="G7359" i="32"/>
  <c r="G7358" i="32"/>
  <c r="G7357" i="32"/>
  <c r="G7356" i="32"/>
  <c r="G7355" i="32"/>
  <c r="G7354" i="32"/>
  <c r="G7353" i="32"/>
  <c r="G7352" i="32"/>
  <c r="G7351" i="32"/>
  <c r="G7350" i="32"/>
  <c r="G7349" i="32"/>
  <c r="G7348" i="32"/>
  <c r="G7347" i="32"/>
  <c r="G7346" i="32"/>
  <c r="G7344" i="32"/>
  <c r="G7343" i="32"/>
  <c r="G7342" i="32"/>
  <c r="G7341" i="32"/>
  <c r="G7340" i="32"/>
  <c r="G7339" i="32"/>
  <c r="G7338" i="32"/>
  <c r="G7337" i="32"/>
  <c r="G7336" i="32"/>
  <c r="G7335" i="32"/>
  <c r="G7334" i="32"/>
  <c r="G7333" i="32"/>
  <c r="G7332" i="32"/>
  <c r="G7331" i="32"/>
  <c r="G7330" i="32"/>
  <c r="G7329" i="32"/>
  <c r="G7327" i="32"/>
  <c r="G7326" i="32"/>
  <c r="G7325" i="32"/>
  <c r="G7324" i="32"/>
  <c r="G7323" i="32"/>
  <c r="G7322" i="32"/>
  <c r="G7319" i="32"/>
  <c r="G7318" i="32"/>
  <c r="G7317" i="32"/>
  <c r="G7316" i="32"/>
  <c r="G7315" i="32"/>
  <c r="G7313" i="32"/>
  <c r="G7312" i="32"/>
  <c r="G7311" i="32"/>
  <c r="G7310" i="32"/>
  <c r="G7307" i="32"/>
  <c r="G7306" i="32"/>
  <c r="G7305" i="32"/>
  <c r="G7304" i="32"/>
  <c r="G7303" i="32"/>
  <c r="G7302" i="32"/>
  <c r="G7301" i="32"/>
  <c r="G7299" i="32"/>
  <c r="G7298" i="32"/>
  <c r="G7297" i="32"/>
  <c r="G7296" i="32"/>
  <c r="G7295" i="32"/>
  <c r="G7294" i="32"/>
  <c r="G7293" i="32"/>
  <c r="G7292" i="32"/>
  <c r="G7291" i="32"/>
  <c r="G7290" i="32"/>
  <c r="G7289" i="32"/>
  <c r="G7288" i="32"/>
  <c r="G7287" i="32"/>
  <c r="G7286" i="32"/>
  <c r="G7285" i="32"/>
  <c r="G7284" i="32"/>
  <c r="G7283" i="32"/>
  <c r="G7282" i="32"/>
  <c r="G7281" i="32"/>
  <c r="G7280" i="32"/>
  <c r="G7279" i="32"/>
  <c r="G7278" i="32"/>
  <c r="G7277" i="32"/>
  <c r="G7276" i="32"/>
  <c r="G7275" i="32"/>
  <c r="G7274" i="32"/>
  <c r="G7273" i="32"/>
  <c r="G7272" i="32"/>
  <c r="G7271" i="32"/>
  <c r="G7270" i="32"/>
  <c r="G7269" i="32"/>
  <c r="G7268" i="32"/>
  <c r="G7267" i="32"/>
  <c r="G7266" i="32"/>
  <c r="G7265" i="32"/>
  <c r="G7262" i="32"/>
  <c r="G7261" i="32"/>
  <c r="G7260" i="32"/>
  <c r="G7259" i="32"/>
  <c r="G7258" i="32"/>
  <c r="G7257" i="32"/>
  <c r="G7256" i="32"/>
  <c r="G7255" i="32"/>
  <c r="G7254" i="32"/>
  <c r="G7253" i="32"/>
  <c r="G7252" i="32"/>
  <c r="G7251" i="32"/>
  <c r="G7249" i="32"/>
  <c r="G7248" i="32"/>
  <c r="G7247" i="32"/>
  <c r="G7246" i="32"/>
  <c r="G7245" i="32"/>
  <c r="G7244" i="32"/>
  <c r="G7243" i="32"/>
  <c r="G7242" i="32"/>
  <c r="G7241" i="32"/>
  <c r="G7240" i="32"/>
  <c r="G7239" i="32"/>
  <c r="G7238" i="32"/>
  <c r="G7236" i="32"/>
  <c r="G7235" i="32"/>
  <c r="G7234" i="32"/>
  <c r="G7233" i="32"/>
  <c r="G7232" i="32"/>
  <c r="G7231" i="32"/>
  <c r="G7230" i="32"/>
  <c r="G7229" i="32"/>
  <c r="G7228" i="32"/>
  <c r="G7227" i="32"/>
  <c r="G7225" i="32"/>
  <c r="G7224" i="32"/>
  <c r="G7223" i="32"/>
  <c r="G7222" i="32"/>
  <c r="G7221" i="32"/>
  <c r="G7220" i="32"/>
  <c r="G7218" i="32"/>
  <c r="G7216" i="32"/>
  <c r="G7215" i="32"/>
  <c r="G7214" i="32"/>
  <c r="G7213" i="32"/>
  <c r="G7212" i="32"/>
  <c r="G7211" i="32"/>
  <c r="G7210" i="32"/>
  <c r="G7209" i="32"/>
  <c r="G7208" i="32"/>
  <c r="G7207" i="32"/>
  <c r="G7206" i="32"/>
  <c r="G7205" i="32"/>
  <c r="G7204" i="32"/>
  <c r="G7202" i="32"/>
  <c r="G7200" i="32"/>
  <c r="G7198" i="32"/>
  <c r="G7197" i="32"/>
  <c r="G7196" i="32"/>
  <c r="G7195" i="32"/>
  <c r="G7194" i="32"/>
  <c r="G7193" i="32"/>
  <c r="G7192" i="32"/>
  <c r="G7191" i="32"/>
  <c r="G7190" i="32"/>
  <c r="G7189" i="32"/>
  <c r="G7188" i="32"/>
  <c r="G7187" i="32"/>
  <c r="G7186" i="32"/>
  <c r="G7185" i="32"/>
  <c r="G7184" i="32"/>
  <c r="G7183" i="32"/>
  <c r="G7182" i="32"/>
  <c r="G7181" i="32"/>
  <c r="G7180" i="32"/>
  <c r="G7179" i="32"/>
  <c r="G7178" i="32"/>
  <c r="G7177" i="32"/>
  <c r="G7176" i="32"/>
  <c r="G7175" i="32"/>
  <c r="G7174" i="32"/>
  <c r="G7173" i="32"/>
  <c r="G7172" i="32"/>
  <c r="G7171" i="32"/>
  <c r="G7170" i="32"/>
  <c r="G7169" i="32"/>
  <c r="G7168" i="32"/>
  <c r="G7167" i="32"/>
  <c r="G7166" i="32"/>
  <c r="G7165" i="32"/>
  <c r="G7164" i="32"/>
  <c r="G7163" i="32"/>
  <c r="G7162" i="32"/>
  <c r="G7161" i="32"/>
  <c r="G7160" i="32"/>
  <c r="G7159" i="32"/>
  <c r="G7158" i="32"/>
  <c r="G7157" i="32"/>
  <c r="G7156" i="32"/>
  <c r="G7155" i="32"/>
  <c r="G7154" i="32"/>
  <c r="G7153" i="32"/>
  <c r="G7152" i="32"/>
  <c r="G7151" i="32"/>
  <c r="G7150" i="32"/>
  <c r="G7149" i="32"/>
  <c r="G7147" i="32"/>
  <c r="G7145" i="32"/>
  <c r="G7144" i="32"/>
  <c r="G7143" i="32"/>
  <c r="G7140" i="32"/>
  <c r="G7139" i="32"/>
  <c r="G7138" i="32"/>
  <c r="G7137" i="32"/>
  <c r="G7135" i="32"/>
  <c r="G7134" i="32"/>
  <c r="G7132" i="32"/>
  <c r="G7131" i="32"/>
  <c r="G7130" i="32"/>
  <c r="G7129" i="32"/>
  <c r="G7128" i="32"/>
  <c r="G7127" i="32"/>
  <c r="G7126" i="32"/>
  <c r="G7125" i="32"/>
  <c r="G7124" i="32"/>
  <c r="G7123" i="32"/>
  <c r="G7122" i="32"/>
  <c r="G7121" i="32"/>
  <c r="G7120" i="32"/>
  <c r="G7119" i="32"/>
  <c r="G7118" i="32"/>
  <c r="G7117" i="32"/>
  <c r="G7116" i="32"/>
  <c r="G7115" i="32"/>
  <c r="G7114" i="32"/>
  <c r="G7111" i="32"/>
  <c r="G7109" i="32"/>
  <c r="G7108" i="32"/>
  <c r="G7107" i="32"/>
  <c r="G7106" i="32"/>
  <c r="G7105" i="32"/>
  <c r="G7104" i="32"/>
  <c r="G7103" i="32"/>
  <c r="G7102" i="32"/>
  <c r="G7101" i="32"/>
  <c r="G7100" i="32"/>
  <c r="G7099" i="32"/>
  <c r="G7098" i="32"/>
  <c r="G7097" i="32"/>
  <c r="G7096" i="32"/>
  <c r="G7095" i="32"/>
  <c r="G7094" i="32"/>
  <c r="G7093" i="32"/>
  <c r="G7092" i="32"/>
  <c r="G7091" i="32"/>
  <c r="G7090" i="32"/>
  <c r="G7089" i="32"/>
  <c r="G7088" i="32"/>
  <c r="G7087" i="32"/>
  <c r="G7086" i="32"/>
  <c r="G7085" i="32"/>
  <c r="G7084" i="32"/>
  <c r="G7083" i="32"/>
  <c r="G7082" i="32"/>
  <c r="G7081" i="32"/>
  <c r="G7080" i="32"/>
  <c r="G7079" i="32"/>
  <c r="G7078" i="32"/>
  <c r="G7077" i="32"/>
  <c r="G7076" i="32"/>
  <c r="G7075" i="32"/>
  <c r="G7074" i="32"/>
  <c r="G7073" i="32"/>
  <c r="G7072" i="32"/>
  <c r="G7071" i="32"/>
  <c r="G7070" i="32"/>
  <c r="G7069" i="32"/>
  <c r="G7068" i="32"/>
  <c r="G7067" i="32"/>
  <c r="G7066" i="32"/>
  <c r="G7065" i="32"/>
  <c r="G7064" i="32"/>
  <c r="G7063" i="32"/>
  <c r="G7062" i="32"/>
  <c r="G7061" i="32"/>
  <c r="G7060" i="32"/>
  <c r="G7059" i="32"/>
  <c r="G7058" i="32"/>
  <c r="G7057" i="32"/>
  <c r="G7054" i="32"/>
  <c r="G7053" i="32"/>
  <c r="G7052" i="32"/>
  <c r="G7051" i="32"/>
  <c r="G7050" i="32"/>
  <c r="G7049" i="32"/>
  <c r="G7048" i="32"/>
  <c r="G7047" i="32"/>
  <c r="G7046" i="32"/>
  <c r="G7045" i="32"/>
  <c r="G7044" i="32"/>
  <c r="G7043" i="32"/>
  <c r="G7042" i="32"/>
  <c r="G7041" i="32"/>
  <c r="G7040" i="32"/>
  <c r="G7039" i="32"/>
  <c r="G7038" i="32"/>
  <c r="G7037" i="32"/>
  <c r="G7036" i="32"/>
  <c r="G7035" i="32"/>
  <c r="G7034" i="32"/>
  <c r="G7033" i="32"/>
  <c r="G7032" i="32"/>
  <c r="G7031" i="32"/>
  <c r="G7030" i="32"/>
  <c r="G7029" i="32"/>
  <c r="G7028" i="32"/>
  <c r="G7027" i="32"/>
  <c r="G7025" i="32"/>
  <c r="G7024" i="32"/>
  <c r="G7023" i="32"/>
  <c r="G7022" i="32"/>
  <c r="G7021" i="32"/>
  <c r="G7020" i="32"/>
  <c r="G7019" i="32"/>
  <c r="G7018" i="32"/>
  <c r="G7017" i="32"/>
  <c r="G7016" i="32"/>
  <c r="G7015" i="32"/>
  <c r="G7014" i="32"/>
  <c r="G7013" i="32"/>
  <c r="G7012" i="32"/>
  <c r="G7011" i="32"/>
  <c r="G7010" i="32"/>
  <c r="G7009" i="32"/>
  <c r="G7008" i="32"/>
  <c r="G7006" i="32"/>
  <c r="G7003" i="32"/>
  <c r="G7002" i="32"/>
  <c r="G7001" i="32"/>
  <c r="G7000" i="32"/>
  <c r="G6999" i="32"/>
  <c r="G6998" i="32"/>
  <c r="G6997" i="32"/>
  <c r="G6996" i="32"/>
  <c r="G6995" i="32"/>
  <c r="G6994" i="32"/>
  <c r="G6993" i="32"/>
  <c r="G6992" i="32"/>
  <c r="G6991" i="32"/>
  <c r="G6990" i="32"/>
  <c r="G6989" i="32"/>
  <c r="G6987" i="32"/>
  <c r="G6986" i="32"/>
  <c r="G6985" i="32"/>
  <c r="G6984" i="32"/>
  <c r="G6983" i="32"/>
  <c r="G6982" i="32"/>
  <c r="G6981" i="32"/>
  <c r="G6980" i="32"/>
  <c r="G6979" i="32"/>
  <c r="G6978" i="32"/>
  <c r="G6977" i="32"/>
  <c r="G6976" i="32"/>
  <c r="G6973" i="32"/>
  <c r="G6972" i="32"/>
  <c r="G6971" i="32"/>
  <c r="G6970" i="32"/>
  <c r="G6969" i="32"/>
  <c r="G6968" i="32"/>
  <c r="G6967" i="32"/>
  <c r="G6966" i="32"/>
  <c r="G6965" i="32"/>
  <c r="G6964" i="32"/>
  <c r="G6963" i="32"/>
  <c r="G6962" i="32"/>
  <c r="G6961" i="32"/>
  <c r="G6960" i="32"/>
  <c r="G6959" i="32"/>
  <c r="G6958" i="32"/>
  <c r="G6957" i="32"/>
  <c r="G6956" i="32"/>
  <c r="G6955" i="32"/>
  <c r="G6954" i="32"/>
  <c r="G6953" i="32"/>
  <c r="G6952" i="32"/>
  <c r="G6951" i="32"/>
  <c r="G6950" i="32"/>
  <c r="G6948" i="32"/>
  <c r="G6947" i="32"/>
  <c r="G6946" i="32"/>
  <c r="G6945" i="32"/>
  <c r="G6944" i="32"/>
  <c r="G6943" i="32"/>
  <c r="G6942" i="32"/>
  <c r="G6941" i="32"/>
  <c r="G6940" i="32"/>
  <c r="G6939" i="32"/>
  <c r="G6938" i="32"/>
  <c r="G6937" i="32"/>
  <c r="G6935" i="32"/>
  <c r="G6934" i="32"/>
  <c r="G6933" i="32"/>
  <c r="G6932" i="32"/>
  <c r="G6931" i="32"/>
  <c r="G6930" i="32"/>
  <c r="G6929" i="32"/>
  <c r="G6928" i="32"/>
  <c r="G6927" i="32"/>
  <c r="G6926" i="32"/>
  <c r="G6924" i="32"/>
  <c r="G6923" i="32"/>
  <c r="G6922" i="32"/>
  <c r="G6921" i="32"/>
  <c r="G6920" i="32"/>
  <c r="G6919" i="32"/>
  <c r="G6918" i="32"/>
  <c r="G6916" i="32"/>
  <c r="G6915" i="32"/>
  <c r="G6914" i="32"/>
  <c r="G6913" i="32"/>
  <c r="G6912" i="32"/>
  <c r="G6911" i="32"/>
  <c r="G6910" i="32"/>
  <c r="G6909" i="32"/>
  <c r="G6908" i="32"/>
  <c r="G6907" i="32"/>
  <c r="G6906" i="32"/>
  <c r="G6905" i="32"/>
  <c r="G6904" i="32"/>
  <c r="G6903" i="32"/>
  <c r="G6902" i="32"/>
  <c r="G6901" i="32"/>
  <c r="G6900" i="32"/>
  <c r="G6899" i="32"/>
  <c r="G6898" i="32"/>
  <c r="G6897" i="32"/>
  <c r="G6896" i="32"/>
  <c r="G6895" i="32"/>
  <c r="G6894" i="32"/>
  <c r="G6893" i="32"/>
  <c r="G6892" i="32"/>
  <c r="G6891" i="32"/>
  <c r="G6890" i="32"/>
  <c r="G6889" i="32"/>
  <c r="G6887" i="32"/>
  <c r="G6886" i="32"/>
  <c r="G6885" i="32"/>
  <c r="G6884" i="32"/>
  <c r="G6883" i="32"/>
  <c r="G6881" i="32"/>
  <c r="G6880" i="32"/>
  <c r="G6879" i="32"/>
  <c r="G6878" i="32"/>
  <c r="G6877" i="32"/>
  <c r="G6876" i="32"/>
  <c r="G6875" i="32"/>
  <c r="G6874" i="32"/>
  <c r="G6873" i="32"/>
  <c r="G6872" i="32"/>
  <c r="G6871" i="32"/>
  <c r="G6870" i="32"/>
  <c r="G6869" i="32"/>
  <c r="G6868" i="32"/>
  <c r="G6867" i="32"/>
  <c r="G6866" i="32"/>
  <c r="G6865" i="32"/>
  <c r="G6864" i="32"/>
  <c r="G6863" i="32"/>
  <c r="G6861" i="32"/>
  <c r="G6859" i="32"/>
  <c r="G6858" i="32"/>
  <c r="G6857" i="32"/>
  <c r="G6856" i="32"/>
  <c r="G6855" i="32"/>
  <c r="G6854" i="32"/>
  <c r="G6852" i="32"/>
  <c r="G6851" i="32"/>
  <c r="G6850" i="32"/>
  <c r="G6849" i="32"/>
  <c r="G6848" i="32"/>
  <c r="G6847" i="32"/>
  <c r="G6846" i="32"/>
  <c r="G6845" i="32"/>
  <c r="G6844" i="32"/>
  <c r="G6843" i="32"/>
  <c r="G6842" i="32"/>
  <c r="G6841" i="32"/>
  <c r="G6840" i="32"/>
  <c r="G6839" i="32"/>
  <c r="G6838" i="32"/>
  <c r="G6837" i="32"/>
  <c r="G6836" i="32"/>
  <c r="G6835" i="32"/>
  <c r="G6834" i="32"/>
  <c r="G6833" i="32"/>
  <c r="G6832" i="32"/>
  <c r="G6831" i="32"/>
  <c r="G6830" i="32"/>
  <c r="G6828" i="32"/>
  <c r="G6827" i="32"/>
  <c r="G6824" i="32"/>
  <c r="G6823" i="32"/>
  <c r="G6822" i="32"/>
  <c r="G6821" i="32"/>
  <c r="G6820" i="32"/>
  <c r="G6819" i="32"/>
  <c r="G6818" i="32"/>
  <c r="G6816" i="32"/>
  <c r="G6815" i="32"/>
  <c r="G6813" i="32"/>
  <c r="G6812" i="32"/>
  <c r="G6811" i="32"/>
  <c r="G6810" i="32"/>
  <c r="G6809" i="32"/>
  <c r="G6808" i="32"/>
  <c r="G6807" i="32"/>
  <c r="G6806" i="32"/>
  <c r="G6805" i="32"/>
  <c r="G6804" i="32"/>
  <c r="G6803" i="32"/>
  <c r="G6801" i="32"/>
  <c r="G6800" i="32"/>
  <c r="G6799" i="32"/>
  <c r="G6798" i="32"/>
  <c r="G6797" i="32"/>
  <c r="G6796" i="32"/>
  <c r="G6795" i="32"/>
  <c r="G6794" i="32"/>
  <c r="G6793" i="32"/>
  <c r="G6792" i="32"/>
  <c r="G6791" i="32"/>
  <c r="G6790" i="32"/>
  <c r="G6789" i="32"/>
  <c r="G6788" i="32"/>
  <c r="G6787" i="32"/>
  <c r="G6786" i="32"/>
  <c r="G6784" i="32"/>
  <c r="G6783" i="32"/>
  <c r="G6782" i="32"/>
  <c r="G6781" i="32"/>
  <c r="G6780" i="32"/>
  <c r="G6779" i="32"/>
  <c r="G6778" i="32"/>
  <c r="G6777" i="32"/>
  <c r="G6775" i="32"/>
  <c r="G6774" i="32"/>
  <c r="G6773" i="32"/>
  <c r="G6772" i="32"/>
  <c r="G6771" i="32"/>
  <c r="G6770" i="32"/>
  <c r="G6769" i="32"/>
  <c r="G6768" i="32"/>
  <c r="G6767" i="32"/>
  <c r="G6766" i="32"/>
  <c r="G6765" i="32"/>
  <c r="G6764" i="32"/>
  <c r="G6763" i="32"/>
  <c r="G6762" i="32"/>
  <c r="G6761" i="32"/>
  <c r="G6760" i="32"/>
  <c r="G6758" i="32"/>
  <c r="G6757" i="32"/>
  <c r="G6756" i="32"/>
  <c r="G6755" i="32"/>
  <c r="G6754" i="32"/>
  <c r="G6752" i="32"/>
  <c r="G6751" i="32"/>
  <c r="G6750" i="32"/>
  <c r="G6747" i="32"/>
  <c r="G6746" i="32"/>
  <c r="G6745" i="32"/>
  <c r="G6744" i="32"/>
  <c r="G6743" i="32"/>
  <c r="G6742" i="32"/>
  <c r="G6741" i="32"/>
  <c r="G6740" i="32"/>
  <c r="G6739" i="32"/>
  <c r="G6738" i="32"/>
  <c r="G6737" i="32"/>
  <c r="G6736" i="32"/>
  <c r="G6735" i="32"/>
  <c r="G6734" i="32"/>
  <c r="G6733" i="32"/>
  <c r="G6732" i="32"/>
  <c r="G6731" i="32"/>
  <c r="G6730" i="32"/>
  <c r="G6729" i="32"/>
  <c r="G6728" i="32"/>
  <c r="G6727" i="32"/>
  <c r="G6726" i="32"/>
  <c r="G6724" i="32"/>
  <c r="G6723" i="32"/>
  <c r="G6722" i="32"/>
  <c r="G6721" i="32"/>
  <c r="G6720" i="32"/>
  <c r="G6719" i="32"/>
  <c r="G6718" i="32"/>
  <c r="G6717" i="32"/>
  <c r="G6716" i="32"/>
  <c r="G6714" i="32"/>
  <c r="G6713" i="32"/>
  <c r="G6712" i="32"/>
  <c r="G6711" i="32"/>
  <c r="G6710" i="32"/>
  <c r="G6709" i="32"/>
  <c r="G6708" i="32"/>
  <c r="G6707" i="32"/>
  <c r="G6706" i="32"/>
  <c r="G6705" i="32"/>
  <c r="G6703" i="32"/>
  <c r="G6702" i="32"/>
  <c r="G6701" i="32"/>
  <c r="G6700" i="32"/>
  <c r="G6699" i="32"/>
  <c r="G6698" i="32"/>
  <c r="G6695" i="32"/>
  <c r="G6694" i="32"/>
  <c r="G6693" i="32"/>
  <c r="G6692" i="32"/>
  <c r="G6691" i="32"/>
  <c r="G6690" i="32"/>
  <c r="G6689" i="32"/>
  <c r="G6688" i="32"/>
  <c r="G6687" i="32"/>
  <c r="G6686" i="32"/>
  <c r="G6685" i="32"/>
  <c r="G6681" i="32"/>
  <c r="G6680" i="32"/>
  <c r="G6679" i="32"/>
  <c r="G6678" i="32"/>
  <c r="G6677" i="32"/>
  <c r="G6676" i="32"/>
  <c r="G6675" i="32"/>
  <c r="G6674" i="32"/>
  <c r="G6673" i="32"/>
  <c r="G6672" i="32"/>
  <c r="G6671" i="32"/>
  <c r="G6670" i="32"/>
  <c r="G6669" i="32"/>
  <c r="G6668" i="32"/>
  <c r="G6667" i="32"/>
  <c r="G6666" i="32"/>
  <c r="G6665" i="32"/>
  <c r="G6664" i="32"/>
  <c r="G6663" i="32"/>
  <c r="G6662" i="32"/>
  <c r="G6661" i="32"/>
  <c r="G6658" i="32"/>
  <c r="G6657" i="32"/>
  <c r="G6656" i="32"/>
  <c r="G6655" i="32"/>
  <c r="G6654" i="32"/>
  <c r="G6653" i="32"/>
  <c r="G6652" i="32"/>
  <c r="G6650" i="32"/>
  <c r="G6649" i="32"/>
  <c r="G6648" i="32"/>
  <c r="G6647" i="32"/>
  <c r="G6646" i="32"/>
  <c r="G6645" i="32"/>
  <c r="G6644" i="32"/>
  <c r="G6643" i="32"/>
  <c r="G6642" i="32"/>
  <c r="G6641" i="32"/>
  <c r="G6640" i="32"/>
  <c r="G6639" i="32"/>
  <c r="G6636" i="32"/>
  <c r="G6635" i="32"/>
  <c r="G6634" i="32"/>
  <c r="G6632" i="32"/>
  <c r="G6631" i="32"/>
  <c r="G6629" i="32"/>
  <c r="G6628" i="32"/>
  <c r="G6627" i="32"/>
  <c r="G6626" i="32"/>
  <c r="G6625" i="32"/>
  <c r="G6624" i="32"/>
  <c r="G6623" i="32"/>
  <c r="G6622" i="32"/>
  <c r="G6621" i="32"/>
  <c r="G6620" i="32"/>
  <c r="G6619" i="32"/>
  <c r="G6618" i="32"/>
  <c r="G6617" i="32"/>
  <c r="G6613" i="32"/>
  <c r="G6612" i="32"/>
  <c r="G6611" i="32"/>
  <c r="G6610" i="32"/>
  <c r="G6609" i="32"/>
  <c r="G6608" i="32"/>
  <c r="G6607" i="32"/>
  <c r="G6606" i="32"/>
  <c r="G6605" i="32"/>
  <c r="G6604" i="32"/>
  <c r="G6603" i="32"/>
  <c r="G6602" i="32"/>
  <c r="G6601" i="32"/>
  <c r="G6600" i="32"/>
  <c r="G6599" i="32"/>
  <c r="G6598" i="32"/>
  <c r="G6597" i="32"/>
  <c r="G6596" i="32"/>
  <c r="G6595" i="32"/>
  <c r="G6594" i="32"/>
  <c r="G6593" i="32"/>
  <c r="G6592" i="32"/>
  <c r="G6591" i="32"/>
  <c r="G6590" i="32"/>
  <c r="G6589" i="32"/>
  <c r="G6588" i="32"/>
  <c r="G6587" i="32"/>
  <c r="G6586" i="32"/>
  <c r="G6585" i="32"/>
  <c r="G6584" i="32"/>
  <c r="G6583" i="32"/>
  <c r="G6582" i="32"/>
  <c r="G6581" i="32"/>
  <c r="G6580" i="32"/>
  <c r="G6579" i="32"/>
  <c r="G6578" i="32"/>
  <c r="G6577" i="32"/>
  <c r="G6576" i="32"/>
  <c r="G6575" i="32"/>
  <c r="G6573" i="32"/>
  <c r="G6572" i="32"/>
  <c r="G6571" i="32"/>
  <c r="G6569" i="32"/>
  <c r="G6568" i="32"/>
  <c r="G6567" i="32"/>
  <c r="G6566" i="32"/>
  <c r="G6565" i="32"/>
  <c r="G6564" i="32"/>
  <c r="G6563" i="32"/>
  <c r="G6562" i="32"/>
  <c r="G6561" i="32"/>
  <c r="G6560" i="32"/>
  <c r="G6559" i="32"/>
  <c r="G6558" i="32"/>
  <c r="G6557" i="32"/>
  <c r="G6556" i="32"/>
  <c r="G6555" i="32"/>
  <c r="G6554" i="32"/>
  <c r="G6553" i="32"/>
  <c r="G6552" i="32"/>
  <c r="G6551" i="32"/>
  <c r="G6549" i="32"/>
  <c r="G6548" i="32"/>
  <c r="G6547" i="32"/>
  <c r="G6546" i="32"/>
  <c r="G6545" i="32"/>
  <c r="G6544" i="32"/>
  <c r="G6543" i="32"/>
  <c r="G6542" i="32"/>
  <c r="G6541" i="32"/>
  <c r="G6540" i="32"/>
  <c r="G6539" i="32"/>
  <c r="G6538" i="32"/>
  <c r="G6537" i="32"/>
  <c r="G6536" i="32"/>
  <c r="G6535" i="32"/>
  <c r="G6534" i="32"/>
  <c r="G6532" i="32"/>
  <c r="G6531" i="32"/>
  <c r="G6530" i="32"/>
  <c r="G6529" i="32"/>
  <c r="G6528" i="32"/>
  <c r="G6527" i="32"/>
  <c r="G6526" i="32"/>
  <c r="G6525" i="32"/>
  <c r="G6524" i="32"/>
  <c r="G6523" i="32"/>
  <c r="G6522" i="32"/>
  <c r="G6521" i="32"/>
  <c r="G6520" i="32"/>
  <c r="G6519" i="32"/>
  <c r="G6518" i="32"/>
  <c r="G6517" i="32"/>
  <c r="G6516" i="32"/>
  <c r="G6515" i="32"/>
  <c r="G6514" i="32"/>
  <c r="G6513" i="32"/>
  <c r="G6512" i="32"/>
  <c r="G6511" i="32"/>
  <c r="G6510" i="32"/>
  <c r="G6509" i="32"/>
  <c r="G6508" i="32"/>
  <c r="G6507" i="32"/>
  <c r="G6506" i="32"/>
  <c r="G6505" i="32"/>
  <c r="G6504" i="32"/>
  <c r="G6503" i="32"/>
  <c r="G6502" i="32"/>
  <c r="G6501" i="32"/>
  <c r="G6500" i="32"/>
  <c r="G6499" i="32"/>
  <c r="G6498" i="32"/>
  <c r="G6497" i="32"/>
  <c r="G6496" i="32"/>
  <c r="G6495" i="32"/>
  <c r="G6494" i="32"/>
  <c r="G6493" i="32"/>
  <c r="G6492" i="32"/>
  <c r="G6491" i="32"/>
  <c r="G6490" i="32"/>
  <c r="G6489" i="32"/>
  <c r="G6488" i="32"/>
  <c r="G6487" i="32"/>
  <c r="G6486" i="32"/>
  <c r="G6485" i="32"/>
  <c r="G6484" i="32"/>
  <c r="G6483" i="32"/>
  <c r="G6482" i="32"/>
  <c r="G6481" i="32"/>
  <c r="G6480" i="32"/>
  <c r="G6478" i="32"/>
  <c r="G6477" i="32"/>
  <c r="G6475" i="32"/>
  <c r="G6474" i="32"/>
  <c r="G6473" i="32"/>
  <c r="G6471" i="32"/>
  <c r="G6470" i="32"/>
  <c r="G6469" i="32"/>
  <c r="G6468" i="32"/>
  <c r="G6467" i="32"/>
  <c r="G6466" i="32"/>
  <c r="G6465" i="32"/>
  <c r="G6464" i="32"/>
  <c r="G6463" i="32"/>
  <c r="G6462" i="32"/>
  <c r="G6461" i="32"/>
  <c r="G6460" i="32"/>
  <c r="G6459" i="32"/>
  <c r="G6458" i="32"/>
  <c r="G6457" i="32"/>
  <c r="G6456" i="32"/>
  <c r="G6455" i="32"/>
  <c r="G6454" i="32"/>
  <c r="G6453" i="32"/>
  <c r="G6452" i="32"/>
  <c r="G6451" i="32"/>
  <c r="G6450" i="32"/>
  <c r="G6449" i="32"/>
  <c r="G6448" i="32"/>
  <c r="G6447" i="32"/>
  <c r="G6446" i="32"/>
  <c r="G6445" i="32"/>
  <c r="G6444" i="32"/>
  <c r="G6443" i="32"/>
  <c r="G6442" i="32"/>
  <c r="G6441" i="32"/>
  <c r="G6440" i="32"/>
  <c r="G6439" i="32"/>
  <c r="G6438" i="32"/>
  <c r="G6437" i="32"/>
  <c r="G6436" i="32"/>
  <c r="G6435" i="32"/>
  <c r="G6434" i="32"/>
  <c r="G6433" i="32"/>
  <c r="G6432" i="32"/>
  <c r="G6431" i="32"/>
  <c r="G6430" i="32"/>
  <c r="G6429" i="32"/>
  <c r="G6428" i="32"/>
  <c r="G6427" i="32"/>
  <c r="G6426" i="32"/>
  <c r="G6425" i="32"/>
  <c r="G6424" i="32"/>
  <c r="G6423" i="32"/>
  <c r="G6422" i="32"/>
  <c r="G6421" i="32"/>
  <c r="G6420" i="32"/>
  <c r="G6419" i="32"/>
  <c r="G6416" i="32"/>
  <c r="G6415" i="32"/>
  <c r="G6414" i="32"/>
  <c r="G6413" i="32"/>
  <c r="G6412" i="32"/>
  <c r="G6411" i="32"/>
  <c r="G6410" i="32"/>
  <c r="G6409" i="32"/>
  <c r="G6408" i="32"/>
  <c r="G6407" i="32"/>
  <c r="G6406" i="32"/>
  <c r="G6405" i="32"/>
  <c r="G6404" i="32"/>
  <c r="G6403" i="32"/>
  <c r="G6402" i="32"/>
  <c r="G6401" i="32"/>
  <c r="G6399" i="32"/>
  <c r="G6398" i="32"/>
  <c r="G6396" i="32"/>
  <c r="G6395" i="32"/>
  <c r="G6394" i="32"/>
  <c r="G6393" i="32"/>
  <c r="G6392" i="32"/>
  <c r="G6391" i="32"/>
  <c r="G6390" i="32"/>
  <c r="G6389" i="32"/>
  <c r="G6387" i="32"/>
  <c r="G6386" i="32"/>
  <c r="G6384" i="32"/>
  <c r="G6383" i="32"/>
  <c r="G6382" i="32"/>
  <c r="G6381" i="32"/>
  <c r="G6380" i="32"/>
  <c r="G6379" i="32"/>
  <c r="G6378" i="32"/>
  <c r="G6377" i="32"/>
  <c r="G6376" i="32"/>
  <c r="G6375" i="32"/>
  <c r="G6374" i="32"/>
  <c r="G6373" i="32"/>
  <c r="G6372" i="32"/>
  <c r="G6371" i="32"/>
  <c r="G6370" i="32"/>
  <c r="G6369" i="32"/>
  <c r="G6368" i="32"/>
  <c r="G6367" i="32"/>
  <c r="G6366" i="32"/>
  <c r="G6365" i="32"/>
  <c r="G6364" i="32"/>
  <c r="G6363" i="32"/>
  <c r="G6361" i="32"/>
  <c r="G6360" i="32"/>
  <c r="G6359" i="32"/>
  <c r="G6358" i="32"/>
  <c r="G6357" i="32"/>
  <c r="G6356" i="32"/>
  <c r="G6355" i="32"/>
  <c r="G6354" i="32"/>
  <c r="G6352" i="32"/>
  <c r="G6350" i="32"/>
  <c r="G6349" i="32"/>
  <c r="G6348" i="32"/>
  <c r="G6347" i="32"/>
  <c r="G6346" i="32"/>
  <c r="G6345" i="32"/>
  <c r="G6344" i="32"/>
  <c r="G6343" i="32"/>
  <c r="G6342" i="32"/>
  <c r="G6341" i="32"/>
  <c r="G6340" i="32"/>
  <c r="G6339" i="32"/>
  <c r="G6337" i="32"/>
  <c r="G6336" i="32"/>
  <c r="G6335" i="32"/>
  <c r="G6334" i="32"/>
  <c r="G6333" i="32"/>
  <c r="G6332" i="32"/>
  <c r="G6331" i="32"/>
  <c r="G6330" i="32"/>
  <c r="G6329" i="32"/>
  <c r="G6328" i="32"/>
  <c r="G6327" i="32"/>
  <c r="G6326" i="32"/>
  <c r="G6325" i="32"/>
  <c r="G6324" i="32"/>
  <c r="G6323" i="32"/>
  <c r="G6322" i="32"/>
  <c r="G6321" i="32"/>
  <c r="G6320" i="32"/>
  <c r="G6319" i="32"/>
  <c r="G6318" i="32"/>
  <c r="G6317" i="32"/>
  <c r="G6316" i="32"/>
  <c r="G6315" i="32"/>
  <c r="G6314" i="32"/>
  <c r="G6313" i="32"/>
  <c r="G6312" i="32"/>
  <c r="G6311" i="32"/>
  <c r="G6310" i="32"/>
  <c r="G6309" i="32"/>
  <c r="G6308" i="32"/>
  <c r="G6307" i="32"/>
  <c r="G6306" i="32"/>
  <c r="G6305" i="32"/>
  <c r="G6304" i="32"/>
  <c r="G6303" i="32"/>
  <c r="G6302" i="32"/>
  <c r="G6301" i="32"/>
  <c r="G6300" i="32"/>
  <c r="G6299" i="32"/>
  <c r="G6298" i="32"/>
  <c r="G6297" i="32"/>
  <c r="G6296" i="32"/>
  <c r="G6295" i="32"/>
  <c r="G6294" i="32"/>
  <c r="G6292" i="32"/>
  <c r="G6289" i="32"/>
  <c r="G6288" i="32"/>
  <c r="G6287" i="32"/>
  <c r="G6286" i="32"/>
  <c r="G6285" i="32"/>
  <c r="G6284" i="32"/>
  <c r="G6283" i="32"/>
  <c r="G6282" i="32"/>
  <c r="G6281" i="32"/>
  <c r="G6280" i="32"/>
  <c r="G6279" i="32"/>
  <c r="G6278" i="32"/>
  <c r="G6277" i="32"/>
  <c r="G6276" i="32"/>
  <c r="G6275" i="32"/>
  <c r="G6272" i="32"/>
  <c r="G6271" i="32"/>
  <c r="G6270" i="32"/>
  <c r="G6269" i="32"/>
  <c r="G6268" i="32"/>
  <c r="G6267" i="32"/>
  <c r="G6266" i="32"/>
  <c r="G6265" i="32"/>
  <c r="G6264" i="32"/>
  <c r="G6262" i="32"/>
  <c r="G6261" i="32"/>
  <c r="G6260" i="32"/>
  <c r="G6259" i="32"/>
  <c r="G6258" i="32"/>
  <c r="G6257" i="32"/>
  <c r="G6256" i="32"/>
  <c r="G6255" i="32"/>
  <c r="G6254" i="32"/>
  <c r="G6253" i="32"/>
  <c r="G6252" i="32"/>
  <c r="G6251" i="32"/>
  <c r="G6250" i="32"/>
  <c r="G6249" i="32"/>
  <c r="G6248" i="32"/>
  <c r="G6246" i="32"/>
  <c r="G6245" i="32"/>
  <c r="G6244" i="32"/>
  <c r="G6243" i="32"/>
  <c r="G6242" i="32"/>
  <c r="G6239" i="32"/>
  <c r="G6238" i="32"/>
  <c r="G6237" i="32"/>
  <c r="G6236" i="32"/>
  <c r="G6235" i="32"/>
  <c r="G6234" i="32"/>
  <c r="G6233" i="32"/>
  <c r="G6232" i="32"/>
  <c r="G6231" i="32"/>
  <c r="G6230" i="32"/>
  <c r="G6229" i="32"/>
  <c r="G6228" i="32"/>
  <c r="G6227" i="32"/>
  <c r="G6226" i="32"/>
  <c r="G6225" i="32"/>
  <c r="G6224" i="32"/>
  <c r="G6223" i="32"/>
  <c r="G6222" i="32"/>
  <c r="G6221" i="32"/>
  <c r="G6219" i="32"/>
  <c r="G6218" i="32"/>
  <c r="G6217" i="32"/>
  <c r="G6216" i="32"/>
  <c r="G6215" i="32"/>
  <c r="G6214" i="32"/>
  <c r="G6213" i="32"/>
  <c r="G6212" i="32"/>
  <c r="G6211" i="32"/>
  <c r="G6210" i="32"/>
  <c r="G6209" i="32"/>
  <c r="G6208" i="32"/>
  <c r="G6207" i="32"/>
  <c r="G6205" i="32"/>
  <c r="G6204" i="32"/>
  <c r="G6203" i="32"/>
  <c r="G6202" i="32"/>
  <c r="G6201" i="32"/>
  <c r="G6200" i="32"/>
  <c r="G6199" i="32"/>
  <c r="G6198" i="32"/>
  <c r="G6197" i="32"/>
  <c r="G6196" i="32"/>
  <c r="G6195" i="32"/>
  <c r="G6193" i="32"/>
  <c r="G6192" i="32"/>
  <c r="G6191" i="32"/>
  <c r="G6190" i="32"/>
  <c r="G6189" i="32"/>
  <c r="G6188" i="32"/>
  <c r="G6186" i="32"/>
  <c r="G6185" i="32"/>
  <c r="G6184" i="32"/>
  <c r="G6183" i="32"/>
  <c r="G6182" i="32"/>
  <c r="G6181" i="32"/>
  <c r="G6180" i="32"/>
  <c r="G6179" i="32"/>
  <c r="G6178" i="32"/>
  <c r="G6177" i="32"/>
  <c r="G6176" i="32"/>
  <c r="G6175" i="32"/>
  <c r="G6174" i="32"/>
  <c r="G6173" i="32"/>
  <c r="G6172" i="32"/>
  <c r="G6171" i="32"/>
  <c r="G6170" i="32"/>
  <c r="G6169" i="32"/>
  <c r="G6168" i="32"/>
  <c r="G6167" i="32"/>
  <c r="G6160" i="32"/>
  <c r="G6159" i="32"/>
  <c r="G6158" i="32"/>
  <c r="G6157" i="32"/>
  <c r="G6156" i="32"/>
  <c r="G6155" i="32"/>
  <c r="G6154" i="32"/>
  <c r="G6153" i="32"/>
  <c r="G6152" i="32"/>
  <c r="G6151" i="32"/>
  <c r="G6149" i="32"/>
  <c r="G6148" i="32"/>
  <c r="G6147" i="32"/>
  <c r="G6146" i="32"/>
  <c r="G6145" i="32"/>
  <c r="G6144" i="32"/>
  <c r="G6143" i="32"/>
  <c r="G6142" i="32"/>
  <c r="G6141" i="32"/>
  <c r="G6140" i="32"/>
  <c r="G6139" i="32"/>
  <c r="G6138" i="32"/>
  <c r="G6137" i="32"/>
  <c r="G6136" i="32"/>
  <c r="G6135" i="32"/>
  <c r="G6134" i="32"/>
  <c r="G6133" i="32"/>
  <c r="G6132" i="32"/>
  <c r="G6131" i="32"/>
  <c r="G6130" i="32"/>
  <c r="G6129" i="32"/>
  <c r="G6128" i="32"/>
  <c r="G6127" i="32"/>
  <c r="G6126" i="32"/>
  <c r="G6125" i="32"/>
  <c r="G6123" i="32"/>
  <c r="G6122" i="32"/>
  <c r="G6120" i="32"/>
  <c r="G6119" i="32"/>
  <c r="G6117" i="32"/>
  <c r="G6116" i="32"/>
  <c r="G6115" i="32"/>
  <c r="G6114" i="32"/>
  <c r="G6113" i="32"/>
  <c r="G6112" i="32"/>
  <c r="G6111" i="32"/>
  <c r="G6109" i="32"/>
  <c r="G6108" i="32"/>
  <c r="G6106" i="32"/>
  <c r="G6105" i="32"/>
  <c r="G6104" i="32"/>
  <c r="G6103" i="32"/>
  <c r="G6101" i="32"/>
  <c r="G6100" i="32"/>
  <c r="G6099" i="32"/>
  <c r="G6098" i="32"/>
  <c r="G6097" i="32"/>
  <c r="G6096" i="32"/>
  <c r="G6095" i="32"/>
  <c r="G6094" i="32"/>
  <c r="G6093" i="32"/>
  <c r="G6092" i="32"/>
  <c r="G6090" i="32"/>
  <c r="G6089" i="32"/>
  <c r="G6088" i="32"/>
  <c r="G6087" i="32"/>
  <c r="G6086" i="32"/>
  <c r="G6085" i="32"/>
  <c r="G6084" i="32"/>
  <c r="G6081" i="32"/>
  <c r="G6080" i="32"/>
  <c r="G6079" i="32"/>
  <c r="G6077" i="32"/>
  <c r="G6075" i="32"/>
  <c r="G6074" i="32"/>
  <c r="G6073" i="32"/>
  <c r="G6072" i="32"/>
  <c r="G6071" i="32"/>
  <c r="G6070" i="32"/>
  <c r="G6069" i="32"/>
  <c r="G6068" i="32"/>
  <c r="G6067" i="32"/>
  <c r="G6066" i="32"/>
  <c r="G6065" i="32"/>
  <c r="G6062" i="32"/>
  <c r="G6059" i="32"/>
  <c r="G6058" i="32"/>
  <c r="G6057" i="32"/>
  <c r="G6056" i="32"/>
  <c r="G6055" i="32"/>
  <c r="G6054" i="32"/>
  <c r="G6053" i="32"/>
  <c r="G6052" i="32"/>
  <c r="G6051" i="32"/>
  <c r="G6050" i="32"/>
  <c r="G6048" i="32"/>
  <c r="G6047" i="32"/>
  <c r="G6046" i="32"/>
  <c r="G6045" i="32"/>
  <c r="G6044" i="32"/>
  <c r="G6043" i="32"/>
  <c r="G6042" i="32"/>
  <c r="G6041" i="32"/>
  <c r="G6040" i="32"/>
  <c r="G6039" i="32"/>
  <c r="G6038" i="32"/>
  <c r="G6037" i="32"/>
  <c r="G6036" i="32"/>
  <c r="G6035" i="32"/>
  <c r="G6034" i="32"/>
  <c r="G6033" i="32"/>
  <c r="G6032" i="32"/>
  <c r="G6031" i="32"/>
  <c r="G6030" i="32"/>
  <c r="G6029" i="32"/>
  <c r="G6028" i="32"/>
  <c r="G6024" i="32"/>
  <c r="G6023" i="32"/>
  <c r="G6022" i="32"/>
  <c r="G6021" i="32"/>
  <c r="G6019" i="32"/>
  <c r="G6018" i="32"/>
  <c r="G6017" i="32"/>
  <c r="G6016" i="32"/>
  <c r="G6015" i="32"/>
  <c r="G6014" i="32"/>
  <c r="G6013" i="32"/>
  <c r="G6012" i="32"/>
  <c r="G6011" i="32"/>
  <c r="G6010" i="32"/>
  <c r="G6009" i="32"/>
  <c r="G6008" i="32"/>
  <c r="G6007" i="32"/>
  <c r="G6006" i="32"/>
  <c r="G6005" i="32"/>
  <c r="G6004" i="32"/>
  <c r="G6003" i="32"/>
  <c r="G6001" i="32"/>
  <c r="G6000" i="32"/>
  <c r="G5999" i="32"/>
  <c r="G5998" i="32"/>
  <c r="G5997" i="32"/>
  <c r="G5995" i="32"/>
  <c r="G5994" i="32"/>
  <c r="G5993" i="32"/>
  <c r="G5992" i="32"/>
  <c r="G5991" i="32"/>
  <c r="G5988" i="32"/>
  <c r="G5987" i="32"/>
  <c r="G5986" i="32"/>
  <c r="G5985" i="32"/>
  <c r="G5983" i="32"/>
  <c r="G5982" i="32"/>
  <c r="G5981" i="32"/>
  <c r="G5980" i="32"/>
  <c r="G5979" i="32"/>
  <c r="G5978" i="32"/>
  <c r="G5977" i="32"/>
  <c r="G5976" i="32"/>
  <c r="G5975" i="32"/>
  <c r="G5974" i="32"/>
  <c r="G5973" i="32"/>
  <c r="G5972" i="32"/>
  <c r="G5971" i="32"/>
  <c r="G5970" i="32"/>
  <c r="G5969" i="32"/>
  <c r="G5968" i="32"/>
  <c r="G5967" i="32"/>
  <c r="G5966" i="32"/>
  <c r="G5965" i="32"/>
  <c r="G5964" i="32"/>
  <c r="G5963" i="32"/>
  <c r="G5962" i="32"/>
  <c r="G5961" i="32"/>
  <c r="G5960" i="32"/>
  <c r="G5958" i="32"/>
  <c r="G5956" i="32"/>
  <c r="G5954" i="32"/>
  <c r="G5953" i="32"/>
  <c r="G5952" i="32"/>
  <c r="G5950" i="32"/>
  <c r="G5949" i="32"/>
  <c r="G5948" i="32"/>
  <c r="G5947" i="32"/>
  <c r="G5946" i="32"/>
  <c r="G5945" i="32"/>
  <c r="G5944" i="32"/>
  <c r="G5943" i="32"/>
  <c r="G5942" i="32"/>
  <c r="G5941" i="32"/>
  <c r="G5940" i="32"/>
  <c r="G5939" i="32"/>
  <c r="G5938" i="32"/>
  <c r="G5937" i="32"/>
  <c r="G5936" i="32"/>
  <c r="G5935" i="32"/>
  <c r="G5934" i="32"/>
  <c r="G5933" i="32"/>
  <c r="G5932" i="32"/>
  <c r="G5931" i="32"/>
  <c r="G5930" i="32"/>
  <c r="G5929" i="32"/>
  <c r="G5928" i="32"/>
  <c r="G5927" i="32"/>
  <c r="G5926" i="32"/>
  <c r="G5925" i="32"/>
  <c r="G5924" i="32"/>
  <c r="G5923" i="32"/>
  <c r="G5922" i="32"/>
  <c r="G5921" i="32"/>
  <c r="G5920" i="32"/>
  <c r="G5919" i="32"/>
  <c r="G5918" i="32"/>
  <c r="G5917" i="32"/>
  <c r="G5916" i="32"/>
  <c r="G5915" i="32"/>
  <c r="G5914" i="32"/>
  <c r="G5913" i="32"/>
  <c r="G5912" i="32"/>
  <c r="G5910" i="32"/>
  <c r="G5908" i="32"/>
  <c r="G5907" i="32"/>
  <c r="G5906" i="32"/>
  <c r="G5905" i="32"/>
  <c r="G5904" i="32"/>
  <c r="G5903" i="32"/>
  <c r="G5902" i="32"/>
  <c r="G5901" i="32"/>
  <c r="G5899" i="32"/>
  <c r="G5898" i="32"/>
  <c r="G5897" i="32"/>
  <c r="G5896" i="32"/>
  <c r="G5894" i="32"/>
  <c r="G5893" i="32"/>
  <c r="G5892" i="32"/>
  <c r="G5891" i="32"/>
  <c r="G5890" i="32"/>
  <c r="G5889" i="32"/>
  <c r="G5888" i="32"/>
  <c r="G5887" i="32"/>
  <c r="G5886" i="32"/>
  <c r="G5885" i="32"/>
  <c r="G5884" i="32"/>
  <c r="G5882" i="32"/>
  <c r="G5880" i="32"/>
  <c r="G5879" i="32"/>
  <c r="G5878" i="32"/>
  <c r="G5877" i="32"/>
  <c r="G5876" i="32"/>
  <c r="G5875" i="32"/>
  <c r="G5874" i="32"/>
  <c r="G5873" i="32"/>
  <c r="G5872" i="32"/>
  <c r="G5871" i="32"/>
  <c r="G5869" i="32"/>
  <c r="G5868" i="32"/>
  <c r="G5867" i="32"/>
  <c r="G5866" i="32"/>
  <c r="G5865" i="32"/>
  <c r="G5864" i="32"/>
  <c r="G5863" i="32"/>
  <c r="G5862" i="32"/>
  <c r="G5861" i="32"/>
  <c r="G5859" i="32"/>
  <c r="G5858" i="32"/>
  <c r="G5856" i="32"/>
  <c r="G5855" i="32"/>
  <c r="G5854" i="32"/>
  <c r="G5853" i="32"/>
  <c r="G5852" i="32"/>
  <c r="G5851" i="32"/>
  <c r="G5850" i="32"/>
  <c r="G5849" i="32"/>
  <c r="G5847" i="32"/>
  <c r="G5846" i="32"/>
  <c r="G5844" i="32"/>
  <c r="G5843" i="32"/>
  <c r="G5842" i="32"/>
  <c r="G5841" i="32"/>
  <c r="G5840" i="32"/>
  <c r="G5839" i="32"/>
  <c r="G5838" i="32"/>
  <c r="G5837" i="32"/>
  <c r="G5836" i="32"/>
  <c r="G5835" i="32"/>
  <c r="G5834" i="32"/>
  <c r="G5833" i="32"/>
  <c r="G5832" i="32"/>
  <c r="G5831" i="32"/>
  <c r="G5830" i="32"/>
  <c r="G5829" i="32"/>
  <c r="G5828" i="32"/>
  <c r="G5827" i="32"/>
  <c r="G5826" i="32"/>
  <c r="G5825" i="32"/>
  <c r="G5824" i="32"/>
  <c r="G5823" i="32"/>
  <c r="G5822" i="32"/>
  <c r="G5820" i="32"/>
  <c r="G5819" i="32"/>
  <c r="G5818" i="32"/>
  <c r="G5817" i="32"/>
  <c r="G5816" i="32"/>
  <c r="G5815" i="32"/>
  <c r="G5814" i="32"/>
  <c r="G5812" i="32"/>
  <c r="G5811" i="32"/>
  <c r="G5810" i="32"/>
  <c r="G5809" i="32"/>
  <c r="G5808" i="32"/>
  <c r="G5807" i="32"/>
  <c r="G5806" i="32"/>
  <c r="G5805" i="32"/>
  <c r="G5804" i="32"/>
  <c r="G5803" i="32"/>
  <c r="G5802" i="32"/>
  <c r="G5798" i="32"/>
  <c r="G5796" i="32"/>
  <c r="G5795" i="32"/>
  <c r="G5794" i="32"/>
  <c r="G5793" i="32"/>
  <c r="G5792" i="32"/>
  <c r="G5790" i="32"/>
  <c r="G5788" i="32"/>
  <c r="G5787" i="32"/>
  <c r="G5786" i="32"/>
  <c r="G5785" i="32"/>
  <c r="G5784" i="32"/>
  <c r="G5783" i="32"/>
  <c r="G5782" i="32"/>
  <c r="G5781" i="32"/>
  <c r="G5780" i="32"/>
  <c r="G5779" i="32"/>
  <c r="G5778" i="32"/>
  <c r="G5777" i="32"/>
  <c r="G5774" i="32"/>
  <c r="G5773" i="32"/>
  <c r="G5772" i="32"/>
  <c r="G5771" i="32"/>
  <c r="G5770" i="32"/>
  <c r="G5769" i="32"/>
  <c r="G5768" i="32"/>
  <c r="G5767" i="32"/>
  <c r="G5766" i="32"/>
  <c r="G5765" i="32"/>
  <c r="G5764" i="32"/>
  <c r="G5763" i="32"/>
  <c r="G5762" i="32"/>
  <c r="G5761" i="32"/>
  <c r="G5760" i="32"/>
  <c r="G5759" i="32"/>
  <c r="G5757" i="32"/>
  <c r="G5756" i="32"/>
  <c r="G5754" i="32"/>
  <c r="G5753" i="32"/>
  <c r="G5751" i="32"/>
  <c r="G5750" i="32"/>
  <c r="G5749" i="32"/>
  <c r="G5748" i="32"/>
  <c r="G5747" i="32"/>
  <c r="G5746" i="32"/>
  <c r="G5745" i="32"/>
  <c r="G5744" i="32"/>
  <c r="G5743" i="32"/>
  <c r="G5742" i="32"/>
  <c r="G5741" i="32"/>
  <c r="G5740" i="32"/>
  <c r="G5739" i="32"/>
  <c r="G5738" i="32"/>
  <c r="G5737" i="32"/>
  <c r="G5736" i="32"/>
  <c r="G5735" i="32"/>
  <c r="G5734" i="32"/>
  <c r="G5733" i="32"/>
  <c r="G5732" i="32"/>
  <c r="G5731" i="32"/>
  <c r="G5730" i="32"/>
  <c r="G5729" i="32"/>
  <c r="G5728" i="32"/>
  <c r="G5727" i="32"/>
  <c r="G5726" i="32"/>
  <c r="G5725" i="32"/>
  <c r="G5723" i="32"/>
  <c r="G5722" i="32"/>
  <c r="G5721" i="32"/>
  <c r="G5720" i="32"/>
  <c r="G5719" i="32"/>
  <c r="G5718" i="32"/>
  <c r="G5717" i="32"/>
  <c r="G5716" i="32"/>
  <c r="G5715" i="32"/>
  <c r="G5714" i="32"/>
  <c r="G5713" i="32"/>
  <c r="G5712" i="32"/>
  <c r="G5711" i="32"/>
  <c r="G5710" i="32"/>
  <c r="G5709" i="32"/>
  <c r="G5708" i="32"/>
  <c r="G5707" i="32"/>
  <c r="G5706" i="32"/>
  <c r="G5705" i="32"/>
  <c r="G5704" i="32"/>
  <c r="G5703" i="32"/>
  <c r="G5702" i="32"/>
  <c r="G5701" i="32"/>
  <c r="G5699" i="32"/>
  <c r="G5698" i="32"/>
  <c r="G5697" i="32"/>
  <c r="G5696" i="32"/>
  <c r="G5695" i="32"/>
  <c r="G5694" i="32"/>
  <c r="G5693" i="32"/>
  <c r="G5692" i="32"/>
  <c r="G5691" i="32"/>
  <c r="G5690" i="32"/>
  <c r="G5689" i="32"/>
  <c r="G5688" i="32"/>
  <c r="G5687" i="32"/>
  <c r="G5686" i="32"/>
  <c r="G5685" i="32"/>
  <c r="G5684" i="32"/>
  <c r="G5683" i="32"/>
  <c r="G5682" i="32"/>
  <c r="G5681" i="32"/>
  <c r="G5680" i="32"/>
  <c r="G5679" i="32"/>
  <c r="G5678" i="32"/>
  <c r="G5677" i="32"/>
  <c r="G5674" i="32"/>
  <c r="G5673" i="32"/>
  <c r="G5672" i="32"/>
  <c r="G5671" i="32"/>
  <c r="G5670" i="32"/>
  <c r="G5669" i="32"/>
  <c r="G5668" i="32"/>
  <c r="G5667" i="32"/>
  <c r="G5666" i="32"/>
  <c r="G5665" i="32"/>
  <c r="G5664" i="32"/>
  <c r="G5663" i="32"/>
  <c r="G5662" i="32"/>
  <c r="G5661" i="32"/>
  <c r="G5660" i="32"/>
  <c r="G5659" i="32"/>
  <c r="G5657" i="32"/>
  <c r="G5656" i="32"/>
  <c r="G5655" i="32"/>
  <c r="G5654" i="32"/>
  <c r="G5652" i="32"/>
  <c r="G5651" i="32"/>
  <c r="G5650" i="32"/>
  <c r="G5649" i="32"/>
  <c r="G5648" i="32"/>
  <c r="G5647" i="32"/>
  <c r="G5646" i="32"/>
  <c r="G5645" i="32"/>
  <c r="G5644" i="32"/>
  <c r="G5641" i="32"/>
  <c r="G5640" i="32"/>
  <c r="G5638" i="32"/>
  <c r="G5637" i="32"/>
  <c r="G5636" i="32"/>
  <c r="G5635" i="32"/>
  <c r="G5634" i="32"/>
  <c r="G5633" i="32"/>
  <c r="G5632" i="32"/>
  <c r="G5631" i="32"/>
  <c r="G5630" i="32"/>
  <c r="G5629" i="32"/>
  <c r="G5628" i="32"/>
  <c r="G5627" i="32"/>
  <c r="G5626" i="32"/>
  <c r="G5625" i="32"/>
  <c r="G5624" i="32"/>
  <c r="G5623" i="32"/>
  <c r="G5622" i="32"/>
  <c r="G5621" i="32"/>
  <c r="G5620" i="32"/>
  <c r="G5619" i="32"/>
  <c r="G5618" i="32"/>
  <c r="G5617" i="32"/>
  <c r="G5614" i="32"/>
  <c r="G5613" i="32"/>
  <c r="G5611" i="32"/>
  <c r="G5609" i="32"/>
  <c r="G5608" i="32"/>
  <c r="G5607" i="32"/>
  <c r="G5606" i="32"/>
  <c r="G5605" i="32"/>
  <c r="G5603" i="32"/>
  <c r="G5602" i="32"/>
  <c r="G5601" i="32"/>
  <c r="G5600" i="32"/>
  <c r="G5599" i="32"/>
  <c r="G5598" i="32"/>
  <c r="G5597" i="32"/>
  <c r="G5596" i="32"/>
  <c r="G5595" i="32"/>
  <c r="G5594" i="32"/>
  <c r="G5593" i="32"/>
  <c r="G5592" i="32"/>
  <c r="G5591" i="32"/>
  <c r="G5589" i="32"/>
  <c r="G5588" i="32"/>
  <c r="G5587" i="32"/>
  <c r="G5586" i="32"/>
  <c r="G5585" i="32"/>
  <c r="G5584" i="32"/>
  <c r="G5583" i="32"/>
  <c r="G5582" i="32"/>
  <c r="G5581" i="32"/>
  <c r="G5580" i="32"/>
  <c r="G5579" i="32"/>
  <c r="G5578" i="32"/>
  <c r="G5577" i="32"/>
  <c r="G5576" i="32"/>
  <c r="G5575" i="32"/>
  <c r="G5574" i="32"/>
  <c r="G5573" i="32"/>
  <c r="G5572" i="32"/>
  <c r="G5571" i="32"/>
  <c r="G5570" i="32"/>
  <c r="G5569" i="32"/>
  <c r="G5568" i="32"/>
  <c r="G5567" i="32"/>
  <c r="G5566" i="32"/>
  <c r="G5565" i="32"/>
  <c r="G5564" i="32"/>
  <c r="G5561" i="32"/>
  <c r="G5560" i="32"/>
  <c r="G5559" i="32"/>
  <c r="G5558" i="32"/>
  <c r="G5557" i="32"/>
  <c r="G5556" i="32"/>
  <c r="G5555" i="32"/>
  <c r="G5554" i="32"/>
  <c r="G5553" i="32"/>
  <c r="G5552" i="32"/>
  <c r="G5551" i="32"/>
  <c r="G5550" i="32"/>
  <c r="G5549" i="32"/>
  <c r="G5548" i="32"/>
  <c r="G5547" i="32"/>
  <c r="G5546" i="32"/>
  <c r="G5545" i="32"/>
  <c r="G5544" i="32"/>
  <c r="G5543" i="32"/>
  <c r="G5542" i="32"/>
  <c r="G5541" i="32"/>
  <c r="G5540" i="32"/>
  <c r="G5539" i="32"/>
  <c r="G5538" i="32"/>
  <c r="G5537" i="32"/>
  <c r="G5536" i="32"/>
  <c r="G5535" i="32"/>
  <c r="G5534" i="32"/>
  <c r="G5533" i="32"/>
  <c r="G5532" i="32"/>
  <c r="G5531" i="32"/>
  <c r="G5530" i="32"/>
  <c r="G5529" i="32"/>
  <c r="G5528" i="32"/>
  <c r="G5527" i="32"/>
  <c r="G5526" i="32"/>
  <c r="G5525" i="32"/>
  <c r="G5524" i="32"/>
  <c r="G5523" i="32"/>
  <c r="G5522" i="32"/>
  <c r="G5521" i="32"/>
  <c r="G5520" i="32"/>
  <c r="G5519" i="32"/>
  <c r="G5518" i="32"/>
  <c r="G5517" i="32"/>
  <c r="G5516" i="32"/>
  <c r="G5515" i="32"/>
  <c r="G5514" i="32"/>
  <c r="G5511" i="32"/>
  <c r="G5510" i="32"/>
  <c r="G5509" i="32"/>
  <c r="G5508" i="32"/>
  <c r="G5507" i="32"/>
  <c r="G5506" i="32"/>
  <c r="G5504" i="32"/>
  <c r="G5503" i="32"/>
  <c r="G5501" i="32"/>
  <c r="G5500" i="32"/>
  <c r="G5499" i="32"/>
  <c r="G5498" i="32"/>
  <c r="G5497" i="32"/>
  <c r="G5496" i="32"/>
  <c r="G5495" i="32"/>
  <c r="G5494" i="32"/>
  <c r="G5493" i="32"/>
  <c r="G5491" i="32"/>
  <c r="G5490" i="32"/>
  <c r="G5489" i="32"/>
  <c r="G5488" i="32"/>
  <c r="G5487" i="32"/>
  <c r="G5486" i="32"/>
  <c r="G5485" i="32"/>
  <c r="G5484" i="32"/>
  <c r="G5483" i="32"/>
  <c r="G5482" i="32"/>
  <c r="G5481" i="32"/>
  <c r="G5480" i="32"/>
  <c r="G5479" i="32"/>
  <c r="G5478" i="32"/>
  <c r="G5477" i="32"/>
  <c r="G5476" i="32"/>
  <c r="G5475" i="32"/>
  <c r="G5474" i="32"/>
  <c r="G5473" i="32"/>
  <c r="G5472" i="32"/>
  <c r="G5471" i="32"/>
  <c r="G5470" i="32"/>
  <c r="G5468" i="32"/>
  <c r="G5467" i="32"/>
  <c r="G5466" i="32"/>
  <c r="G5465" i="32"/>
  <c r="G5464" i="32"/>
  <c r="G5461" i="32"/>
  <c r="G5460" i="32"/>
  <c r="G5459" i="32"/>
  <c r="G5458" i="32"/>
  <c r="G5457" i="32"/>
  <c r="G5456" i="32"/>
  <c r="G5455" i="32"/>
  <c r="G5452" i="32"/>
  <c r="G5451" i="32"/>
  <c r="G5450" i="32"/>
  <c r="G5449" i="32"/>
  <c r="G5448" i="32"/>
  <c r="G5447" i="32"/>
  <c r="G5446" i="32"/>
  <c r="G5444" i="32"/>
  <c r="G5442" i="32"/>
  <c r="G5441" i="32"/>
  <c r="G5440" i="32"/>
  <c r="G5439" i="32"/>
  <c r="G5438" i="32"/>
  <c r="G5437" i="32"/>
  <c r="G5436" i="32"/>
  <c r="G5435" i="32"/>
  <c r="G5433" i="32"/>
  <c r="G5432" i="32"/>
  <c r="G5431" i="32"/>
  <c r="G5430" i="32"/>
  <c r="G5429" i="32"/>
  <c r="G5428" i="32"/>
  <c r="G5427" i="32"/>
  <c r="G5426" i="32"/>
  <c r="G5425" i="32"/>
  <c r="G5424" i="32"/>
  <c r="G5423" i="32"/>
  <c r="G5422" i="32"/>
  <c r="G5421" i="32"/>
  <c r="G5420" i="32"/>
  <c r="G5419" i="32"/>
  <c r="G5418" i="32"/>
  <c r="G5417" i="32"/>
  <c r="G5416" i="32"/>
  <c r="G5415" i="32"/>
  <c r="G5414" i="32"/>
  <c r="G5413" i="32"/>
  <c r="G5412" i="32"/>
  <c r="G5411" i="32"/>
  <c r="G5409" i="32"/>
  <c r="G5408" i="32"/>
  <c r="G5407" i="32"/>
  <c r="G5406" i="32"/>
  <c r="G5405" i="32"/>
  <c r="G5403" i="32"/>
  <c r="G5402" i="32"/>
  <c r="G5401" i="32"/>
  <c r="G5400" i="32"/>
  <c r="G5399" i="32"/>
  <c r="G5398" i="32"/>
  <c r="G5397" i="32"/>
  <c r="G5395" i="32"/>
  <c r="G5394" i="32"/>
  <c r="G5392" i="32"/>
  <c r="G5391" i="32"/>
  <c r="G5390" i="32"/>
  <c r="G5388" i="32"/>
  <c r="G5387" i="32"/>
  <c r="G5386" i="32"/>
  <c r="G5385" i="32"/>
  <c r="G5384" i="32"/>
  <c r="G5382" i="32"/>
  <c r="G5381" i="32"/>
  <c r="G5380" i="32"/>
  <c r="G5379" i="32"/>
  <c r="G5378" i="32"/>
  <c r="G5377" i="32"/>
  <c r="G5376" i="32"/>
  <c r="G5375" i="32"/>
  <c r="G5374" i="32"/>
  <c r="G5373" i="32"/>
  <c r="G5372" i="32"/>
  <c r="G5371" i="32"/>
  <c r="G5370" i="32"/>
  <c r="G5368" i="32"/>
  <c r="G5367" i="32"/>
  <c r="G5366" i="32"/>
  <c r="G5365" i="32"/>
  <c r="G5364" i="32"/>
  <c r="G5363" i="32"/>
  <c r="G5362" i="32"/>
  <c r="G5361" i="32"/>
  <c r="G5360" i="32"/>
  <c r="G5359" i="32"/>
  <c r="G5358" i="32"/>
  <c r="G5357" i="32"/>
  <c r="G5355" i="32"/>
  <c r="G5354" i="32"/>
  <c r="G5353" i="32"/>
  <c r="G5352" i="32"/>
  <c r="G5351" i="32"/>
  <c r="G5350" i="32"/>
  <c r="G5348" i="32"/>
  <c r="G5347" i="32"/>
  <c r="G5345" i="32"/>
  <c r="G5344" i="32"/>
  <c r="G5342" i="32"/>
  <c r="G5341" i="32"/>
  <c r="G5340" i="32"/>
  <c r="G5339" i="32"/>
  <c r="G5338" i="32"/>
  <c r="G5337" i="32"/>
  <c r="G5336" i="32"/>
  <c r="G5335" i="32"/>
  <c r="G5334" i="32"/>
  <c r="G5333" i="32"/>
  <c r="G5332" i="32"/>
  <c r="G5331" i="32"/>
  <c r="G5330" i="32"/>
  <c r="G5328" i="32"/>
  <c r="G5327" i="32"/>
  <c r="G5326" i="32"/>
  <c r="G5325" i="32"/>
  <c r="G5324" i="32"/>
  <c r="G5323" i="32"/>
  <c r="G5322" i="32"/>
  <c r="G5321" i="32"/>
  <c r="G5320" i="32"/>
  <c r="G5319" i="32"/>
  <c r="G5318" i="32"/>
  <c r="G5316" i="32"/>
  <c r="G5315" i="32"/>
  <c r="G5314" i="32"/>
  <c r="G5312" i="32"/>
  <c r="G5311" i="32"/>
  <c r="G5310" i="32"/>
  <c r="G5309" i="32"/>
  <c r="G5308" i="32"/>
  <c r="G5307" i="32"/>
  <c r="G5306" i="32"/>
  <c r="G5305" i="32"/>
  <c r="G5304" i="32"/>
  <c r="G5303" i="32"/>
  <c r="G5300" i="32"/>
  <c r="G5299" i="32"/>
  <c r="G5298" i="32"/>
  <c r="G5297" i="32"/>
  <c r="G5296" i="32"/>
  <c r="G5295" i="32"/>
  <c r="G5293" i="32"/>
  <c r="G5292" i="32"/>
  <c r="G5291" i="32"/>
  <c r="G5288" i="32"/>
  <c r="G5287" i="32"/>
  <c r="G5286" i="32"/>
  <c r="G5285" i="32"/>
  <c r="G5284" i="32"/>
  <c r="G5283" i="32"/>
  <c r="G5282" i="32"/>
  <c r="G5281" i="32"/>
  <c r="G5280" i="32"/>
  <c r="G5278" i="32"/>
  <c r="G5277" i="32"/>
  <c r="G5276" i="32"/>
  <c r="G5275" i="32"/>
  <c r="G5274" i="32"/>
  <c r="G5272" i="32"/>
  <c r="G5271" i="32"/>
  <c r="G5270" i="32"/>
  <c r="G5269" i="32"/>
  <c r="G5268" i="32"/>
  <c r="G5267" i="32"/>
  <c r="G5266" i="32"/>
  <c r="G5265" i="32"/>
  <c r="G5264" i="32"/>
  <c r="G5263" i="32"/>
  <c r="G5262" i="32"/>
  <c r="G5261" i="32"/>
  <c r="G5260" i="32"/>
  <c r="G5259" i="32"/>
  <c r="G5257" i="32"/>
  <c r="G5256" i="32"/>
  <c r="G5255" i="32"/>
  <c r="G5254" i="32"/>
  <c r="G5252" i="32"/>
  <c r="G5251" i="32"/>
  <c r="G5250" i="32"/>
  <c r="G5249" i="32"/>
  <c r="G5248" i="32"/>
  <c r="G5246" i="32"/>
  <c r="G5245" i="32"/>
  <c r="G5244" i="32"/>
  <c r="G5242" i="32"/>
  <c r="G5241" i="32"/>
  <c r="G5240" i="32"/>
  <c r="G5239" i="32"/>
  <c r="G5238" i="32"/>
  <c r="G5237" i="32"/>
  <c r="G5236" i="32"/>
  <c r="G5235" i="32"/>
  <c r="G5234" i="32"/>
  <c r="G5233" i="32"/>
  <c r="G5232" i="32"/>
  <c r="G5231" i="32"/>
  <c r="G5230" i="32"/>
  <c r="G5229" i="32"/>
  <c r="G5228" i="32"/>
  <c r="G5227" i="32"/>
  <c r="G5226" i="32"/>
  <c r="G5225" i="32"/>
  <c r="G5224" i="32"/>
  <c r="G5223" i="32"/>
  <c r="G5219" i="32"/>
  <c r="G5218" i="32"/>
  <c r="G5217" i="32"/>
  <c r="G5216" i="32"/>
  <c r="G5215" i="32"/>
  <c r="G5214" i="32"/>
  <c r="G5213" i="32"/>
  <c r="G5212" i="32"/>
  <c r="G5211" i="32"/>
  <c r="G5210" i="32"/>
  <c r="G5209" i="32"/>
  <c r="G5208" i="32"/>
  <c r="G5207" i="32"/>
  <c r="G5205" i="32"/>
  <c r="G5204" i="32"/>
  <c r="G5203" i="32"/>
  <c r="G5202" i="32"/>
  <c r="G5201" i="32"/>
  <c r="G5200" i="32"/>
  <c r="G5199" i="32"/>
  <c r="G5198" i="32"/>
  <c r="G5197" i="32"/>
  <c r="G5196" i="32"/>
  <c r="G5195" i="32"/>
  <c r="G5194" i="32"/>
  <c r="G5193" i="32"/>
  <c r="G5192" i="32"/>
  <c r="G5191" i="32"/>
  <c r="G5190" i="32"/>
  <c r="G5189" i="32"/>
  <c r="G5188" i="32"/>
  <c r="G5187" i="32"/>
  <c r="G5186" i="32"/>
  <c r="G5185" i="32"/>
  <c r="G5184" i="32"/>
  <c r="G5183" i="32"/>
  <c r="G5180" i="32"/>
  <c r="G5179" i="32"/>
  <c r="G5178" i="32"/>
  <c r="G5177" i="32"/>
  <c r="G5176" i="32"/>
  <c r="G5175" i="32"/>
  <c r="G5174" i="32"/>
  <c r="G5173" i="32"/>
  <c r="G5172" i="32"/>
  <c r="G5170" i="32"/>
  <c r="G5169" i="32"/>
  <c r="G5167" i="32"/>
  <c r="G5166" i="32"/>
  <c r="G5165" i="32"/>
  <c r="G5164" i="32"/>
  <c r="G5163" i="32"/>
  <c r="G5162" i="32"/>
  <c r="G5161" i="32"/>
  <c r="G5160" i="32"/>
  <c r="G5159" i="32"/>
  <c r="G5158" i="32"/>
  <c r="G5157" i="32"/>
  <c r="G5156" i="32"/>
  <c r="G5155" i="32"/>
  <c r="G5154" i="32"/>
  <c r="G5153" i="32"/>
  <c r="G5152" i="32"/>
  <c r="G5151" i="32"/>
  <c r="G5150" i="32"/>
  <c r="G5149" i="32"/>
  <c r="G5148" i="32"/>
  <c r="G5147" i="32"/>
  <c r="G5146" i="32"/>
  <c r="G5145" i="32"/>
  <c r="G5144" i="32"/>
  <c r="G5143" i="32"/>
  <c r="G5142" i="32"/>
  <c r="G5141" i="32"/>
  <c r="G5140" i="32"/>
  <c r="G5139" i="32"/>
  <c r="G5138" i="32"/>
  <c r="G5137" i="32"/>
  <c r="G5136" i="32"/>
  <c r="G5135" i="32"/>
  <c r="G5134" i="32"/>
  <c r="G5133" i="32"/>
  <c r="G5132" i="32"/>
  <c r="G5131" i="32"/>
  <c r="G5130" i="32"/>
  <c r="G5129" i="32"/>
  <c r="G5128" i="32"/>
  <c r="G5127" i="32"/>
  <c r="G5126" i="32"/>
  <c r="G5124" i="32"/>
  <c r="G5122" i="32"/>
  <c r="G5121" i="32"/>
  <c r="G5120" i="32"/>
  <c r="G5119" i="32"/>
  <c r="G5118" i="32"/>
  <c r="G5117" i="32"/>
  <c r="G5116" i="32"/>
  <c r="G5115" i="32"/>
  <c r="G5114" i="32"/>
  <c r="G5113" i="32"/>
  <c r="G5112" i="32"/>
  <c r="G5111" i="32"/>
  <c r="G5110" i="32"/>
  <c r="G5109" i="32"/>
  <c r="G5108" i="32"/>
  <c r="G5107" i="32"/>
  <c r="G5105" i="32"/>
  <c r="G5104" i="32"/>
  <c r="G5103" i="32"/>
  <c r="G5102" i="32"/>
  <c r="G5101" i="32"/>
  <c r="G5100" i="32"/>
  <c r="G5099" i="32"/>
  <c r="G5097" i="32"/>
  <c r="G5096" i="32"/>
  <c r="G5095" i="32"/>
  <c r="G5094" i="32"/>
  <c r="G5093" i="32"/>
  <c r="G5092" i="32"/>
  <c r="G5091" i="32"/>
  <c r="G5090" i="32"/>
  <c r="G5088" i="32"/>
  <c r="G5087" i="32"/>
  <c r="G5086" i="32"/>
  <c r="G5084" i="32"/>
  <c r="G5083" i="32"/>
  <c r="G5082" i="32"/>
  <c r="G5081" i="32"/>
  <c r="G5080" i="32"/>
  <c r="G5079" i="32"/>
  <c r="G5078" i="32"/>
  <c r="G5077" i="32"/>
  <c r="G5076" i="32"/>
  <c r="G5075" i="32"/>
  <c r="G5074" i="32"/>
  <c r="G5073" i="32"/>
  <c r="G5072" i="32"/>
  <c r="G5071" i="32"/>
  <c r="G5070" i="32"/>
  <c r="G5069" i="32"/>
  <c r="G5068" i="32"/>
  <c r="G5067" i="32"/>
  <c r="G5066" i="32"/>
  <c r="G5065" i="32"/>
  <c r="G5063" i="32"/>
  <c r="G5062" i="32"/>
  <c r="G5061" i="32"/>
  <c r="G5060" i="32"/>
  <c r="G5059" i="32"/>
  <c r="G5058" i="32"/>
  <c r="G5057" i="32"/>
  <c r="G5056" i="32"/>
  <c r="G5053" i="32"/>
  <c r="G5052" i="32"/>
  <c r="G5051" i="32"/>
  <c r="G5050" i="32"/>
  <c r="G5049" i="32"/>
  <c r="G5048" i="32"/>
  <c r="G5047" i="32"/>
  <c r="G5046" i="32"/>
  <c r="G5045" i="32"/>
  <c r="G5044" i="32"/>
  <c r="G5043" i="32"/>
  <c r="G5042" i="32"/>
  <c r="G5041" i="32"/>
  <c r="G5039" i="32"/>
  <c r="G5038" i="32"/>
  <c r="G5037" i="32"/>
  <c r="G5036" i="32"/>
  <c r="G5035" i="32"/>
  <c r="G5034" i="32"/>
  <c r="G5033" i="32"/>
  <c r="G5032" i="32"/>
  <c r="G5031" i="32"/>
  <c r="G5030" i="32"/>
  <c r="G5029" i="32"/>
  <c r="G5028" i="32"/>
  <c r="G5026" i="32"/>
  <c r="G5025" i="32"/>
  <c r="G5024" i="32"/>
  <c r="G5023" i="32"/>
  <c r="G5022" i="32"/>
  <c r="G5021" i="32"/>
  <c r="G5020" i="32"/>
  <c r="G5019" i="32"/>
  <c r="G5018" i="32"/>
  <c r="G5017" i="32"/>
  <c r="G5016" i="32"/>
  <c r="G5015" i="32"/>
  <c r="G5014" i="32"/>
  <c r="G5013" i="32"/>
  <c r="G5012" i="32"/>
  <c r="G5011" i="32"/>
  <c r="G5010" i="32"/>
  <c r="G5008" i="32"/>
  <c r="G5007" i="32"/>
  <c r="G5006" i="32"/>
  <c r="G5005" i="32"/>
  <c r="G5004" i="32"/>
  <c r="G5003" i="32"/>
  <c r="G5002" i="32"/>
  <c r="G5001" i="32"/>
  <c r="G5000" i="32"/>
  <c r="G4999" i="32"/>
  <c r="G4998" i="32"/>
  <c r="G4997" i="32"/>
  <c r="G4996" i="32"/>
  <c r="G4995" i="32"/>
  <c r="G4994" i="32"/>
  <c r="G4993" i="32"/>
  <c r="G4991" i="32"/>
  <c r="G4990" i="32"/>
  <c r="G4989" i="32"/>
  <c r="G4988" i="32"/>
  <c r="G4987" i="32"/>
  <c r="G4986" i="32"/>
  <c r="G4985" i="32"/>
  <c r="G4984" i="32"/>
  <c r="G4983" i="32"/>
  <c r="G4981" i="32"/>
  <c r="G4979" i="32"/>
  <c r="G4978" i="32"/>
  <c r="G4977" i="32"/>
  <c r="G4976" i="32"/>
  <c r="G4975" i="32"/>
  <c r="G4974" i="32"/>
  <c r="G4973" i="32"/>
  <c r="G4972" i="32"/>
  <c r="G4971" i="32"/>
  <c r="G4970" i="32"/>
  <c r="G4969" i="32"/>
  <c r="G4968" i="32"/>
  <c r="G4967" i="32"/>
  <c r="G4966" i="32"/>
  <c r="G4965" i="32"/>
  <c r="G4963" i="32"/>
  <c r="G4962" i="32"/>
  <c r="G4961" i="32"/>
  <c r="G4960" i="32"/>
  <c r="G4959" i="32"/>
  <c r="G4958" i="32"/>
  <c r="G4955" i="32"/>
  <c r="G4954" i="32"/>
  <c r="G4953" i="32"/>
  <c r="G4951" i="32"/>
  <c r="G4950" i="32"/>
  <c r="G4949" i="32"/>
  <c r="G4947" i="32"/>
  <c r="G4946" i="32"/>
  <c r="G4945" i="32"/>
  <c r="G4944" i="32"/>
  <c r="G4943" i="32"/>
  <c r="G4942" i="32"/>
  <c r="G4941" i="32"/>
  <c r="G4940" i="32"/>
  <c r="G4939" i="32"/>
  <c r="G4938" i="32"/>
  <c r="G4937" i="32"/>
  <c r="G4936" i="32"/>
  <c r="G4935" i="32"/>
  <c r="G4934" i="32"/>
  <c r="G4933" i="32"/>
  <c r="G4932" i="32"/>
  <c r="G4931" i="32"/>
  <c r="G4930" i="32"/>
  <c r="G4929" i="32"/>
  <c r="G4928" i="32"/>
  <c r="G4927" i="32"/>
  <c r="G4922" i="32"/>
  <c r="G4921" i="32"/>
  <c r="G4920" i="32"/>
  <c r="G4919" i="32"/>
  <c r="G4918" i="32"/>
  <c r="G4917" i="32"/>
  <c r="G4916" i="32"/>
  <c r="G4915" i="32"/>
  <c r="G4914" i="32"/>
  <c r="G4913" i="32"/>
  <c r="G4912" i="32"/>
  <c r="G4911" i="32"/>
  <c r="G4910" i="32"/>
  <c r="G4909" i="32"/>
  <c r="G4908" i="32"/>
  <c r="G4907" i="32"/>
  <c r="G4906" i="32"/>
  <c r="G4905" i="32"/>
  <c r="G4904" i="32"/>
  <c r="G4903" i="32"/>
  <c r="G4902" i="32"/>
  <c r="G4901" i="32"/>
  <c r="G4899" i="32"/>
  <c r="G4898" i="32"/>
  <c r="G4897" i="32"/>
  <c r="G4896" i="32"/>
  <c r="G4895" i="32"/>
  <c r="G4894" i="32"/>
  <c r="G4893" i="32"/>
  <c r="G4892" i="32"/>
  <c r="G4891" i="32"/>
  <c r="G4890" i="32"/>
  <c r="G4889" i="32"/>
  <c r="G4888" i="32"/>
  <c r="G4887" i="32"/>
  <c r="G4886" i="32"/>
  <c r="G4884" i="32"/>
  <c r="G4883" i="32"/>
  <c r="G4882" i="32"/>
  <c r="G4881" i="32"/>
  <c r="G4880" i="32"/>
  <c r="G4879" i="32"/>
  <c r="G4878" i="32"/>
  <c r="G4877" i="32"/>
  <c r="G4876" i="32"/>
  <c r="G4875" i="32"/>
  <c r="G4874" i="32"/>
  <c r="G4873" i="32"/>
  <c r="G4872" i="32"/>
  <c r="G4871" i="32"/>
  <c r="G4870" i="32"/>
  <c r="G4869" i="32"/>
  <c r="G4868" i="32"/>
  <c r="G4867" i="32"/>
  <c r="G4866" i="32"/>
  <c r="G4865" i="32"/>
  <c r="G4864" i="32"/>
  <c r="G4863" i="32"/>
  <c r="G4862" i="32"/>
  <c r="G4861" i="32"/>
  <c r="G4860" i="32"/>
  <c r="G4859" i="32"/>
  <c r="G4858" i="32"/>
  <c r="G4857" i="32"/>
  <c r="G4856" i="32"/>
  <c r="G4855" i="32"/>
  <c r="G4854" i="32"/>
  <c r="G4853" i="32"/>
  <c r="G4852" i="32"/>
  <c r="G4851" i="32"/>
  <c r="G4850" i="32"/>
  <c r="G4848" i="32"/>
  <c r="G4847" i="32"/>
  <c r="G4846" i="32"/>
  <c r="G4845" i="32"/>
  <c r="G4843" i="32"/>
  <c r="G4842" i="32"/>
  <c r="G4841" i="32"/>
  <c r="G4840" i="32"/>
  <c r="G4839" i="32"/>
  <c r="G4838" i="32"/>
  <c r="G4836" i="32"/>
  <c r="G4835" i="32"/>
  <c r="G4834" i="32"/>
  <c r="G4833" i="32"/>
  <c r="G4831" i="32"/>
  <c r="G4830" i="32"/>
  <c r="G4829" i="32"/>
  <c r="G4828" i="32"/>
  <c r="G4827" i="32"/>
  <c r="G4826" i="32"/>
  <c r="G4825" i="32"/>
  <c r="G4824" i="32"/>
  <c r="G4823" i="32"/>
  <c r="G4822" i="32"/>
  <c r="G4820" i="32"/>
  <c r="G4819" i="32"/>
  <c r="G4818" i="32"/>
  <c r="G4817" i="32"/>
  <c r="G4816" i="32"/>
  <c r="G4815" i="32"/>
  <c r="G4813" i="32"/>
  <c r="G4812" i="32"/>
  <c r="G4811" i="32"/>
  <c r="G4810" i="32"/>
  <c r="G4809" i="32"/>
  <c r="G4808" i="32"/>
  <c r="G4807" i="32"/>
  <c r="G4806" i="32"/>
  <c r="G4805" i="32"/>
  <c r="G4803" i="32"/>
  <c r="G4802" i="32"/>
  <c r="G4801" i="32"/>
  <c r="G4800" i="32"/>
  <c r="G4799" i="32"/>
  <c r="G4798" i="32"/>
  <c r="G4797" i="32"/>
  <c r="G4796" i="32"/>
  <c r="G4795" i="32"/>
  <c r="G4794" i="32"/>
  <c r="G4792" i="32"/>
  <c r="G4791" i="32"/>
  <c r="G4790" i="32"/>
  <c r="G4789" i="32"/>
  <c r="G4788" i="32"/>
  <c r="G4787" i="32"/>
  <c r="G4786" i="32"/>
  <c r="G4784" i="32"/>
  <c r="G4783" i="32"/>
  <c r="G4782" i="32"/>
  <c r="G4781" i="32"/>
  <c r="G4780" i="32"/>
  <c r="G4779" i="32"/>
  <c r="G4778" i="32"/>
  <c r="G4777" i="32"/>
  <c r="G4776" i="32"/>
  <c r="G4775" i="32"/>
  <c r="G4774" i="32"/>
  <c r="G4773" i="32"/>
  <c r="G4772" i="32"/>
  <c r="G4771" i="32"/>
  <c r="G4770" i="32"/>
  <c r="G4769" i="32"/>
  <c r="G4768" i="32"/>
  <c r="G4767" i="32"/>
  <c r="G4763" i="32"/>
  <c r="G4762" i="32"/>
  <c r="G4761" i="32"/>
  <c r="G4760" i="32"/>
  <c r="G4759" i="32"/>
  <c r="G4758" i="32"/>
  <c r="G4757" i="32"/>
  <c r="G4756" i="32"/>
  <c r="G4752" i="32"/>
  <c r="G4751" i="32"/>
  <c r="G4750" i="32"/>
  <c r="G4748" i="32"/>
  <c r="G4747" i="32"/>
  <c r="G4746" i="32"/>
  <c r="G4745" i="32"/>
  <c r="G4744" i="32"/>
  <c r="G4743" i="32"/>
  <c r="G4742" i="32"/>
  <c r="G4740" i="32"/>
  <c r="G4739" i="32"/>
  <c r="G4738" i="32"/>
  <c r="G4737" i="32"/>
  <c r="G4736" i="32"/>
  <c r="G4735" i="32"/>
  <c r="G4734" i="32"/>
  <c r="G4733" i="32"/>
  <c r="G4732" i="32"/>
  <c r="G4731" i="32"/>
  <c r="G4730" i="32"/>
  <c r="G4729" i="32"/>
  <c r="G4728" i="32"/>
  <c r="G4727" i="32"/>
  <c r="G4726" i="32"/>
  <c r="G4725" i="32"/>
  <c r="G4724" i="32"/>
  <c r="G4723" i="32"/>
  <c r="G4722" i="32"/>
  <c r="G4720" i="32"/>
  <c r="G4719" i="32"/>
  <c r="G4718" i="32"/>
  <c r="G4717" i="32"/>
  <c r="G4716" i="32"/>
  <c r="G4715" i="32"/>
  <c r="G4714" i="32"/>
  <c r="G4713" i="32"/>
  <c r="G4712" i="32"/>
  <c r="G4711" i="32"/>
  <c r="G4710" i="32"/>
  <c r="G4709" i="32"/>
  <c r="G4708" i="32"/>
  <c r="G4707" i="32"/>
  <c r="G4706" i="32"/>
  <c r="G4705" i="32"/>
  <c r="G4704" i="32"/>
  <c r="G4703" i="32"/>
  <c r="G4701" i="32"/>
  <c r="G4700" i="32"/>
  <c r="G4699" i="32"/>
  <c r="G4698" i="32"/>
  <c r="G4697" i="32"/>
  <c r="G4696" i="32"/>
  <c r="G4695" i="32"/>
  <c r="G4694" i="32"/>
  <c r="G4693" i="32"/>
  <c r="G4692" i="32"/>
  <c r="G4691" i="32"/>
  <c r="G4690" i="32"/>
  <c r="G4689" i="32"/>
  <c r="G4688" i="32"/>
  <c r="G4685" i="32"/>
  <c r="G4684" i="32"/>
  <c r="G4683" i="32"/>
  <c r="G4682" i="32"/>
  <c r="G4680" i="32"/>
  <c r="G4679" i="32"/>
  <c r="G4678" i="32"/>
  <c r="G4677" i="32"/>
  <c r="G4676" i="32"/>
  <c r="G4675" i="32"/>
  <c r="G4674" i="32"/>
  <c r="G4672" i="32"/>
  <c r="G4671" i="32"/>
  <c r="G4670" i="32"/>
  <c r="G4669" i="32"/>
  <c r="G4668" i="32"/>
  <c r="G4667" i="32"/>
  <c r="G4666" i="32"/>
  <c r="G4665" i="32"/>
  <c r="G4664" i="32"/>
  <c r="G4663" i="32"/>
  <c r="G4662" i="32"/>
  <c r="G4661" i="32"/>
  <c r="G4660" i="32"/>
  <c r="G4659" i="32"/>
  <c r="G4658" i="32"/>
  <c r="G4657" i="32"/>
  <c r="G4656" i="32"/>
  <c r="G4655" i="32"/>
  <c r="G4654" i="32"/>
  <c r="G4653" i="32"/>
  <c r="G4652" i="32"/>
  <c r="G4651" i="32"/>
  <c r="G4649" i="32"/>
  <c r="G4648" i="32"/>
  <c r="G4647" i="32"/>
  <c r="G4646" i="32"/>
  <c r="G4645" i="32"/>
  <c r="G4644" i="32"/>
  <c r="G4643" i="32"/>
  <c r="G4642" i="32"/>
  <c r="G4640" i="32"/>
  <c r="G4639" i="32"/>
  <c r="G4637" i="32"/>
  <c r="G4636" i="32"/>
  <c r="G4635" i="32"/>
  <c r="G4634" i="32"/>
  <c r="G4633" i="32"/>
  <c r="G4632" i="32"/>
  <c r="G4631" i="32"/>
  <c r="G4630" i="32"/>
  <c r="G4629" i="32"/>
  <c r="G4628" i="32"/>
  <c r="G4627" i="32"/>
  <c r="G4626" i="32"/>
  <c r="G4625" i="32"/>
  <c r="G4624" i="32"/>
  <c r="G4623" i="32"/>
  <c r="G4622" i="32"/>
  <c r="G4621" i="32"/>
  <c r="G4620" i="32"/>
  <c r="G4619" i="32"/>
  <c r="G4617" i="32"/>
  <c r="G4615" i="32"/>
  <c r="G4614" i="32"/>
  <c r="G4613" i="32"/>
  <c r="G4612" i="32"/>
  <c r="G4611" i="32"/>
  <c r="G4610" i="32"/>
  <c r="G4609" i="32"/>
  <c r="G4608" i="32"/>
  <c r="G4607" i="32"/>
  <c r="G4606" i="32"/>
  <c r="G4605" i="32"/>
  <c r="G4604" i="32"/>
  <c r="G4603" i="32"/>
  <c r="G4602" i="32"/>
  <c r="G4601" i="32"/>
  <c r="G4599" i="32"/>
  <c r="G4598" i="32"/>
  <c r="G4597" i="32"/>
  <c r="G4596" i="32"/>
  <c r="G4595" i="32"/>
  <c r="G4594" i="32"/>
  <c r="G4593" i="32"/>
  <c r="G4592" i="32"/>
  <c r="G4591" i="32"/>
  <c r="G4590" i="32"/>
  <c r="G4589" i="32"/>
  <c r="G4588" i="32"/>
  <c r="G4587" i="32"/>
  <c r="G4586" i="32"/>
  <c r="G4585" i="32"/>
  <c r="G4584" i="32"/>
  <c r="G4583" i="32"/>
  <c r="G4582" i="32"/>
  <c r="G4581" i="32"/>
  <c r="G4580" i="32"/>
  <c r="G4579" i="32"/>
  <c r="G4578" i="32"/>
  <c r="G4577" i="32"/>
  <c r="G4576" i="32"/>
  <c r="G4575" i="32"/>
  <c r="G4574" i="32"/>
  <c r="G4573" i="32"/>
  <c r="G4572" i="32"/>
  <c r="G4571" i="32"/>
  <c r="G4570" i="32"/>
  <c r="G4569" i="32"/>
  <c r="G4568" i="32"/>
  <c r="G4567" i="32"/>
  <c r="G4566" i="32"/>
  <c r="G4565" i="32"/>
  <c r="G4564" i="32"/>
  <c r="G4563" i="32"/>
  <c r="G4562" i="32"/>
  <c r="G4561" i="32"/>
  <c r="G4560" i="32"/>
  <c r="G4558" i="32"/>
  <c r="G4557" i="32"/>
  <c r="G4555" i="32"/>
  <c r="G4554" i="32"/>
  <c r="G4553" i="32"/>
  <c r="G4552" i="32"/>
  <c r="G4550" i="32"/>
  <c r="G4549" i="32"/>
  <c r="G4548" i="32"/>
  <c r="G4547" i="32"/>
  <c r="G4546" i="32"/>
  <c r="G4545" i="32"/>
  <c r="G4544" i="32"/>
  <c r="G4543" i="32"/>
  <c r="G4542" i="32"/>
  <c r="G4541" i="32"/>
  <c r="G4539" i="32"/>
  <c r="G4538" i="32"/>
  <c r="G4537" i="32"/>
  <c r="G4536" i="32"/>
  <c r="G4535" i="32"/>
  <c r="G4534" i="32"/>
  <c r="G4532" i="32"/>
  <c r="G4531" i="32"/>
  <c r="G4530" i="32"/>
  <c r="G4525" i="32"/>
  <c r="G4524" i="32"/>
  <c r="G4523" i="32"/>
  <c r="G4522" i="32"/>
  <c r="G4519" i="32"/>
  <c r="G4518" i="32"/>
  <c r="G4517" i="32"/>
  <c r="G4516" i="32"/>
  <c r="G4515" i="32"/>
  <c r="G4514" i="32"/>
  <c r="G4513" i="32"/>
  <c r="G4512" i="32"/>
  <c r="G4511" i="32"/>
  <c r="G4510" i="32"/>
  <c r="G4509" i="32"/>
  <c r="G4508" i="32"/>
  <c r="G4507" i="32"/>
  <c r="G4506" i="32"/>
  <c r="G4505" i="32"/>
  <c r="G4504" i="32"/>
  <c r="G4503" i="32"/>
  <c r="G4502" i="32"/>
  <c r="G4501" i="32"/>
  <c r="G4500" i="32"/>
  <c r="G4499" i="32"/>
  <c r="G4498" i="32"/>
  <c r="G4496" i="32"/>
  <c r="G4495" i="32"/>
  <c r="G4494" i="32"/>
  <c r="G4493" i="32"/>
  <c r="G4492" i="32"/>
  <c r="G4491" i="32"/>
  <c r="G4490" i="32"/>
  <c r="G4489" i="32"/>
  <c r="G4488" i="32"/>
  <c r="G4487" i="32"/>
  <c r="G4486" i="32"/>
  <c r="G4485" i="32"/>
  <c r="G4484" i="32"/>
  <c r="G4482" i="32"/>
  <c r="G4481" i="32"/>
  <c r="G4480" i="32"/>
  <c r="G4479" i="32"/>
  <c r="G4478" i="32"/>
  <c r="G4477" i="32"/>
  <c r="G4476" i="32"/>
  <c r="G4475" i="32"/>
  <c r="G4474" i="32"/>
  <c r="G4472" i="32"/>
  <c r="G4471" i="32"/>
  <c r="G4470" i="32"/>
  <c r="G4467" i="32"/>
  <c r="G4466" i="32"/>
  <c r="G4465" i="32"/>
  <c r="G4464" i="32"/>
  <c r="G4463" i="32"/>
  <c r="G4462" i="32"/>
  <c r="G4461" i="32"/>
  <c r="G4458" i="32"/>
  <c r="G4457" i="32"/>
  <c r="G4456" i="32"/>
  <c r="G4455" i="32"/>
  <c r="G4453" i="32"/>
  <c r="G4452" i="32"/>
  <c r="G4450" i="32"/>
  <c r="G4447" i="32"/>
  <c r="G4446" i="32"/>
  <c r="G4445" i="32"/>
  <c r="G4444" i="32"/>
  <c r="G4443" i="32"/>
  <c r="G4442" i="32"/>
  <c r="G4441" i="32"/>
  <c r="G4440" i="32"/>
  <c r="G4439" i="32"/>
  <c r="G4438" i="32"/>
  <c r="G4437" i="32"/>
  <c r="G4436" i="32"/>
  <c r="G4435" i="32"/>
  <c r="G4434" i="32"/>
  <c r="G4433" i="32"/>
  <c r="G4432" i="32"/>
  <c r="G4431" i="32"/>
  <c r="G4430" i="32"/>
  <c r="G4429" i="32"/>
  <c r="G4428" i="32"/>
  <c r="G4427" i="32"/>
  <c r="G4425" i="32"/>
  <c r="G4424" i="32"/>
  <c r="G4423" i="32"/>
  <c r="G4422" i="32"/>
  <c r="G4421" i="32"/>
  <c r="G4420" i="32"/>
  <c r="G4419" i="32"/>
  <c r="G4418" i="32"/>
  <c r="G4417" i="32"/>
  <c r="G4416" i="32"/>
  <c r="G4415" i="32"/>
  <c r="G4414" i="32"/>
  <c r="G4413" i="32"/>
  <c r="G4412" i="32"/>
  <c r="G4411" i="32"/>
  <c r="G4410" i="32"/>
  <c r="G4408" i="32"/>
  <c r="G4407" i="32"/>
  <c r="G4406" i="32"/>
  <c r="G4405" i="32"/>
  <c r="G4404" i="32"/>
  <c r="G4403" i="32"/>
  <c r="G4402" i="32"/>
  <c r="G4401" i="32"/>
  <c r="G4400" i="32"/>
  <c r="G4399" i="32"/>
  <c r="G4398" i="32"/>
  <c r="G4397" i="32"/>
  <c r="G4396" i="32"/>
  <c r="G4395" i="32"/>
  <c r="G4394" i="32"/>
  <c r="G4393" i="32"/>
  <c r="G4392" i="32"/>
  <c r="G4391" i="32"/>
  <c r="G4390" i="32"/>
  <c r="G4389" i="32"/>
  <c r="G4388" i="32"/>
  <c r="G4387" i="32"/>
  <c r="G4386" i="32"/>
  <c r="G4385" i="32"/>
  <c r="G4383" i="32"/>
  <c r="G4382" i="32"/>
  <c r="G4381" i="32"/>
  <c r="G4380" i="32"/>
  <c r="G4379" i="32"/>
  <c r="G4378" i="32"/>
  <c r="G4377" i="32"/>
  <c r="G4376" i="32"/>
  <c r="G4375" i="32"/>
  <c r="G4374" i="32"/>
  <c r="G4373" i="32"/>
  <c r="G4372" i="32"/>
  <c r="G4370" i="32"/>
  <c r="G4369" i="32"/>
  <c r="G4368" i="32"/>
  <c r="G4367" i="32"/>
  <c r="G4365" i="32"/>
  <c r="G4364" i="32"/>
  <c r="G4363" i="32"/>
  <c r="G4360" i="32"/>
  <c r="G4359" i="32"/>
  <c r="G4358" i="32"/>
  <c r="G4357" i="32"/>
  <c r="G4355" i="32"/>
  <c r="G4354" i="32"/>
  <c r="G4353" i="32"/>
  <c r="G4352" i="32"/>
  <c r="G4350" i="32"/>
  <c r="G4349" i="32"/>
  <c r="G4348" i="32"/>
  <c r="G4347" i="32"/>
  <c r="G4346" i="32"/>
  <c r="G4345" i="32"/>
  <c r="G4343" i="32"/>
  <c r="G4342" i="32"/>
  <c r="G4340" i="32"/>
  <c r="G4339" i="32"/>
  <c r="G4338" i="32"/>
  <c r="G4336" i="32"/>
  <c r="G4335" i="32"/>
  <c r="G4334" i="32"/>
  <c r="G4333" i="32"/>
  <c r="G4332" i="32"/>
  <c r="G4331" i="32"/>
  <c r="G4330" i="32"/>
  <c r="G4329" i="32"/>
  <c r="G4328" i="32"/>
  <c r="G4327" i="32"/>
  <c r="G4326" i="32"/>
  <c r="G4325" i="32"/>
  <c r="G4324" i="32"/>
  <c r="G4323" i="32"/>
  <c r="G4322" i="32"/>
  <c r="G4321" i="32"/>
  <c r="G4319" i="32"/>
  <c r="G4318" i="32"/>
  <c r="G4317" i="32"/>
  <c r="G4316" i="32"/>
  <c r="G4315" i="32"/>
  <c r="G4314" i="32"/>
  <c r="G4313" i="32"/>
  <c r="G4312" i="32"/>
  <c r="G4311" i="32"/>
  <c r="G4310" i="32"/>
  <c r="G4309" i="32"/>
  <c r="G4308" i="32"/>
  <c r="G4307" i="32"/>
  <c r="G4306" i="32"/>
  <c r="G4305" i="32"/>
  <c r="G4304" i="32"/>
  <c r="G4303" i="32"/>
  <c r="G4301" i="32"/>
  <c r="G4299" i="32"/>
  <c r="G4298" i="32"/>
  <c r="G4297" i="32"/>
  <c r="G4296" i="32"/>
  <c r="G4295" i="32"/>
  <c r="G4293" i="32"/>
  <c r="G4292" i="32"/>
  <c r="G4291" i="32"/>
  <c r="G4290" i="32"/>
  <c r="G4289" i="32"/>
  <c r="G4288" i="32"/>
  <c r="G4287" i="32"/>
  <c r="G4286" i="32"/>
  <c r="G4285" i="32"/>
  <c r="G4284" i="32"/>
  <c r="G4283" i="32"/>
  <c r="G4282" i="32"/>
  <c r="G4281" i="32"/>
  <c r="G4279" i="32"/>
  <c r="G4278" i="32"/>
  <c r="G4277" i="32"/>
  <c r="G4275" i="32"/>
  <c r="G4274" i="32"/>
  <c r="G4271" i="32"/>
  <c r="G4270" i="32"/>
  <c r="G4268" i="32"/>
  <c r="G4266" i="32"/>
  <c r="G4265" i="32"/>
  <c r="G4264" i="32"/>
  <c r="G4263" i="32"/>
  <c r="G4262" i="32"/>
  <c r="G4261" i="32"/>
  <c r="G4260" i="32"/>
  <c r="G4259" i="32"/>
  <c r="G4258" i="32"/>
  <c r="G4257" i="32"/>
  <c r="G4256" i="32"/>
  <c r="G4255" i="32"/>
  <c r="G4254" i="32"/>
  <c r="G4253" i="32"/>
  <c r="G4252" i="32"/>
  <c r="G4251" i="32"/>
  <c r="G4248" i="32"/>
  <c r="G4247" i="32"/>
  <c r="G4246" i="32"/>
  <c r="G4243" i="32"/>
  <c r="G4241" i="32"/>
  <c r="G4240" i="32"/>
  <c r="G4238" i="32"/>
  <c r="G4237" i="32"/>
  <c r="G4236" i="32"/>
  <c r="G4235" i="32"/>
  <c r="G4234" i="32"/>
  <c r="G4233" i="32"/>
  <c r="G4232" i="32"/>
  <c r="G4231" i="32"/>
  <c r="G4229" i="32"/>
  <c r="G4228" i="32"/>
  <c r="G4227" i="32"/>
  <c r="G4226" i="32"/>
  <c r="G4225" i="32"/>
  <c r="G4224" i="32"/>
  <c r="G4223" i="32"/>
  <c r="G4222" i="32"/>
  <c r="G4221" i="32"/>
  <c r="G4220" i="32"/>
  <c r="G4219" i="32"/>
  <c r="G4216" i="32"/>
  <c r="G4215" i="32"/>
  <c r="G4214" i="32"/>
  <c r="G4213" i="32"/>
  <c r="G4211" i="32"/>
  <c r="G4210" i="32"/>
  <c r="G4209" i="32"/>
  <c r="G4208" i="32"/>
  <c r="G4207" i="32"/>
  <c r="G4206" i="32"/>
  <c r="G4205" i="32"/>
  <c r="G4204" i="32"/>
  <c r="G4203" i="32"/>
  <c r="G4201" i="32"/>
  <c r="G4200" i="32"/>
  <c r="G4199" i="32"/>
  <c r="G4198" i="32"/>
  <c r="G4197" i="32"/>
  <c r="G4195" i="32"/>
  <c r="G4194" i="32"/>
  <c r="G4193" i="32"/>
  <c r="G4191" i="32"/>
  <c r="G4190" i="32"/>
  <c r="G4189" i="32"/>
  <c r="G4187" i="32"/>
  <c r="G4185" i="32"/>
  <c r="G4184" i="32"/>
  <c r="G4183" i="32"/>
  <c r="G4182" i="32"/>
  <c r="G4181" i="32"/>
  <c r="G4180" i="32"/>
  <c r="G4179" i="32"/>
  <c r="G4178" i="32"/>
  <c r="G4177" i="32"/>
  <c r="G4175" i="32"/>
  <c r="G4174" i="32"/>
  <c r="G4173" i="32"/>
  <c r="G4172" i="32"/>
  <c r="G4171" i="32"/>
  <c r="G4170" i="32"/>
  <c r="G4169" i="32"/>
  <c r="G4168" i="32"/>
  <c r="G4167" i="32"/>
  <c r="G4166" i="32"/>
  <c r="G4165" i="32"/>
  <c r="G4164" i="32"/>
  <c r="G4163" i="32"/>
  <c r="G4162" i="32"/>
  <c r="G4161" i="32"/>
  <c r="G4160" i="32"/>
  <c r="G4159" i="32"/>
  <c r="G4158" i="32"/>
  <c r="G4157" i="32"/>
  <c r="G4156" i="32"/>
  <c r="G4155" i="32"/>
  <c r="G4154" i="32"/>
  <c r="G4153" i="32"/>
  <c r="G4152" i="32"/>
  <c r="G4151" i="32"/>
  <c r="G4150" i="32"/>
  <c r="G4149" i="32"/>
  <c r="G4148" i="32"/>
  <c r="G4147" i="32"/>
  <c r="G4146" i="32"/>
  <c r="G4145" i="32"/>
  <c r="G4143" i="32"/>
  <c r="G4141" i="32"/>
  <c r="G4140" i="32"/>
  <c r="G4139" i="32"/>
  <c r="G4138" i="32"/>
  <c r="G4137" i="32"/>
  <c r="G4136" i="32"/>
  <c r="G4135" i="32"/>
  <c r="G4134" i="32"/>
  <c r="G4133" i="32"/>
  <c r="G4132" i="32"/>
  <c r="G4131" i="32"/>
  <c r="G4130" i="32"/>
  <c r="G4127" i="32"/>
  <c r="G4124" i="32"/>
  <c r="G4123" i="32"/>
  <c r="G4122" i="32"/>
  <c r="G4121" i="32"/>
  <c r="G4120" i="32"/>
  <c r="G4119" i="32"/>
  <c r="G4118" i="32"/>
  <c r="G4117" i="32"/>
  <c r="G4116" i="32"/>
  <c r="G4115" i="32"/>
  <c r="G4114" i="32"/>
  <c r="G4112" i="32"/>
  <c r="G4111" i="32"/>
  <c r="G4110" i="32"/>
  <c r="G4109" i="32"/>
  <c r="G4108" i="32"/>
  <c r="G4107" i="32"/>
  <c r="G4106" i="32"/>
  <c r="G4105" i="32"/>
  <c r="G4104" i="32"/>
  <c r="G4103" i="32"/>
  <c r="G4102" i="32"/>
  <c r="G4101" i="32"/>
  <c r="G4100" i="32"/>
  <c r="G4099" i="32"/>
  <c r="G4098" i="32"/>
  <c r="G4097" i="32"/>
  <c r="G4095" i="32"/>
  <c r="G4094" i="32"/>
  <c r="G4093" i="32"/>
  <c r="G4092" i="32"/>
  <c r="G4091" i="32"/>
  <c r="G4090" i="32"/>
  <c r="G4089" i="32"/>
  <c r="G4088" i="32"/>
  <c r="G4087" i="32"/>
  <c r="G4086" i="32"/>
  <c r="G4085" i="32"/>
  <c r="G4084" i="32"/>
  <c r="G4083" i="32"/>
  <c r="G4082" i="32"/>
  <c r="G4081" i="32"/>
  <c r="G4080" i="32"/>
  <c r="G4079" i="32"/>
  <c r="G4078" i="32"/>
  <c r="G4077" i="32"/>
  <c r="G4076" i="32"/>
  <c r="G4075" i="32"/>
  <c r="G4074" i="32"/>
  <c r="G4073" i="32"/>
  <c r="G4071" i="32"/>
  <c r="G4070" i="32"/>
  <c r="G4069" i="32"/>
  <c r="G4068" i="32"/>
  <c r="G4067" i="32"/>
  <c r="G4066" i="32"/>
  <c r="G4065" i="32"/>
  <c r="G4064" i="32"/>
  <c r="G4063" i="32"/>
  <c r="G4062" i="32"/>
  <c r="G4061" i="32"/>
  <c r="G4060" i="32"/>
  <c r="G4059" i="32"/>
  <c r="G4057" i="32"/>
  <c r="G4056" i="32"/>
  <c r="G4055" i="32"/>
  <c r="G4054" i="32"/>
  <c r="G4053" i="32"/>
  <c r="G4052" i="32"/>
  <c r="G4051" i="32"/>
  <c r="G4048" i="32"/>
  <c r="G4047" i="32"/>
  <c r="G4046" i="32"/>
  <c r="G4045" i="32"/>
  <c r="G4044" i="32"/>
  <c r="G4043" i="32"/>
  <c r="G4042" i="32"/>
  <c r="G4041" i="32"/>
  <c r="G4040" i="32"/>
  <c r="G4039" i="32"/>
  <c r="G4038" i="32"/>
  <c r="G4037" i="32"/>
  <c r="G4036" i="32"/>
  <c r="G4035" i="32"/>
  <c r="G4034" i="32"/>
  <c r="G4031" i="32"/>
  <c r="G4030" i="32"/>
  <c r="G4029" i="32"/>
  <c r="G4028" i="32"/>
  <c r="G4027" i="32"/>
  <c r="G4026" i="32"/>
  <c r="G4025" i="32"/>
  <c r="G4023" i="32"/>
  <c r="G4022" i="32"/>
  <c r="G4021" i="32"/>
  <c r="G4020" i="32"/>
  <c r="G4019" i="32"/>
  <c r="G4018" i="32"/>
  <c r="G4017" i="32"/>
  <c r="G4016" i="32"/>
  <c r="G4015" i="32"/>
  <c r="G4014" i="32"/>
  <c r="G4013" i="32"/>
  <c r="G4012" i="32"/>
  <c r="G4011" i="32"/>
  <c r="G4010" i="32"/>
  <c r="G4009" i="32"/>
  <c r="G4007" i="32"/>
  <c r="G4006" i="32"/>
  <c r="G4005" i="32"/>
  <c r="G4004" i="32"/>
  <c r="G4003" i="32"/>
  <c r="G4002" i="32"/>
  <c r="G4001" i="32"/>
  <c r="G4000" i="32"/>
  <c r="G3999" i="32"/>
  <c r="G3998" i="32"/>
  <c r="G3997" i="32"/>
  <c r="G3996" i="32"/>
  <c r="G3995" i="32"/>
  <c r="G3994" i="32"/>
  <c r="G3993" i="32"/>
  <c r="G3992" i="32"/>
  <c r="G3991" i="32"/>
  <c r="G3990" i="32"/>
  <c r="G3989" i="32"/>
  <c r="G3988" i="32"/>
  <c r="G3987" i="32"/>
  <c r="G3986" i="32"/>
  <c r="G3985" i="32"/>
  <c r="G3984" i="32"/>
  <c r="G3983" i="32"/>
  <c r="G3982" i="32"/>
  <c r="G3981" i="32"/>
  <c r="G3980" i="32"/>
  <c r="G3979" i="32"/>
  <c r="G3977" i="32"/>
  <c r="G3976" i="32"/>
  <c r="G3975" i="32"/>
  <c r="G3974" i="32"/>
  <c r="G3971" i="32"/>
  <c r="G3970" i="32"/>
  <c r="G3969" i="32"/>
  <c r="G3968" i="32"/>
  <c r="G3967" i="32"/>
  <c r="G3966" i="32"/>
  <c r="G3965" i="32"/>
  <c r="G3964" i="32"/>
  <c r="G3963" i="32"/>
  <c r="G3962" i="32"/>
  <c r="G3961" i="32"/>
  <c r="G3959" i="32"/>
  <c r="G3958" i="32"/>
  <c r="G3957" i="32"/>
  <c r="G3956" i="32"/>
  <c r="G3955" i="32"/>
  <c r="G3954" i="32"/>
  <c r="G3953" i="32"/>
  <c r="G3952" i="32"/>
  <c r="G3951" i="32"/>
  <c r="G3950" i="32"/>
  <c r="G3949" i="32"/>
  <c r="G3948" i="32"/>
  <c r="G3947" i="32"/>
  <c r="G3946" i="32"/>
  <c r="G3945" i="32"/>
  <c r="G3944" i="32"/>
  <c r="G3943" i="32"/>
  <c r="G3942" i="32"/>
  <c r="G3941" i="32"/>
  <c r="G3939" i="32"/>
  <c r="G3938" i="32"/>
  <c r="G3935" i="32"/>
  <c r="G3932" i="32"/>
  <c r="G3931" i="32"/>
  <c r="G3930" i="32"/>
  <c r="G3929" i="32"/>
  <c r="G3928" i="32"/>
  <c r="G3927" i="32"/>
  <c r="G3926" i="32"/>
  <c r="G3925" i="32"/>
  <c r="G3924" i="32"/>
  <c r="G3923" i="32"/>
  <c r="G3922" i="32"/>
  <c r="G3921" i="32"/>
  <c r="G3920" i="32"/>
  <c r="G3919" i="32"/>
  <c r="G3918" i="32"/>
  <c r="G3917" i="32"/>
  <c r="G3916" i="32"/>
  <c r="G3915" i="32"/>
  <c r="G3914" i="32"/>
  <c r="G3913" i="32"/>
  <c r="G3912" i="32"/>
  <c r="G3911" i="32"/>
  <c r="G3910" i="32"/>
  <c r="G3909" i="32"/>
  <c r="G3908" i="32"/>
  <c r="G3907" i="32"/>
  <c r="G3906" i="32"/>
  <c r="G3905" i="32"/>
  <c r="G3904" i="32"/>
  <c r="G3903" i="32"/>
  <c r="G3902" i="32"/>
  <c r="G3901" i="32"/>
  <c r="G3900" i="32"/>
  <c r="G3899" i="32"/>
  <c r="G3898" i="32"/>
  <c r="G3897" i="32"/>
  <c r="G3896" i="32"/>
  <c r="G3894" i="32"/>
  <c r="G3893" i="32"/>
  <c r="G3892" i="32"/>
  <c r="G3891" i="32"/>
  <c r="G3890" i="32"/>
  <c r="G3889" i="32"/>
  <c r="G3888" i="32"/>
  <c r="G3887" i="32"/>
  <c r="G3886" i="32"/>
  <c r="G3885" i="32"/>
  <c r="G3884" i="32"/>
  <c r="G3881" i="32"/>
  <c r="G3880" i="32"/>
  <c r="G3879" i="32"/>
  <c r="G3878" i="32"/>
  <c r="G3877" i="32"/>
  <c r="G3876" i="32"/>
  <c r="G3875" i="32"/>
  <c r="G3873" i="32"/>
  <c r="G3872" i="32"/>
  <c r="G3871" i="32"/>
  <c r="G3870" i="32"/>
  <c r="G3869" i="32"/>
  <c r="G3868" i="32"/>
  <c r="G3867" i="32"/>
  <c r="G3865" i="32"/>
  <c r="G3864" i="32"/>
  <c r="G3863" i="32"/>
  <c r="G3862" i="32"/>
  <c r="G3861" i="32"/>
  <c r="G3860" i="32"/>
  <c r="G3859" i="32"/>
  <c r="G3858" i="32"/>
  <c r="G3857" i="32"/>
  <c r="G3856" i="32"/>
  <c r="G3855" i="32"/>
  <c r="G3854" i="32"/>
  <c r="G3853" i="32"/>
  <c r="G3852" i="32"/>
  <c r="G3851" i="32"/>
  <c r="G3850" i="32"/>
  <c r="G3849" i="32"/>
  <c r="G3848" i="32"/>
  <c r="G3847" i="32"/>
  <c r="G3846" i="32"/>
  <c r="G3845" i="32"/>
  <c r="G3844" i="32"/>
  <c r="G3843" i="32"/>
  <c r="G3842" i="32"/>
  <c r="G3841" i="32"/>
  <c r="G3840" i="32"/>
  <c r="G3839" i="32"/>
  <c r="G3838" i="32"/>
  <c r="G3837" i="32"/>
  <c r="G3836" i="32"/>
  <c r="G3835" i="32"/>
  <c r="G3834" i="32"/>
  <c r="G3833" i="32"/>
  <c r="G3832" i="32"/>
  <c r="G3831" i="32"/>
  <c r="G3830" i="32"/>
  <c r="G3829" i="32"/>
  <c r="G3828" i="32"/>
  <c r="G3827" i="32"/>
  <c r="G3826" i="32"/>
  <c r="G3825" i="32"/>
  <c r="G3824" i="32"/>
  <c r="G3823" i="32"/>
  <c r="G3822" i="32"/>
  <c r="G3821" i="32"/>
  <c r="G3820" i="32"/>
  <c r="G3819" i="32"/>
  <c r="G3818" i="32"/>
  <c r="G3817" i="32"/>
  <c r="G3816" i="32"/>
  <c r="G3815" i="32"/>
  <c r="G3814" i="32"/>
  <c r="G3812" i="32"/>
  <c r="G3811" i="32"/>
  <c r="G3810" i="32"/>
  <c r="G3809" i="32"/>
  <c r="G3808" i="32"/>
  <c r="G3807" i="32"/>
  <c r="G3806" i="32"/>
  <c r="G3805" i="32"/>
  <c r="G3804" i="32"/>
  <c r="G3803" i="32"/>
  <c r="G3802" i="32"/>
  <c r="G3801" i="32"/>
  <c r="G3800" i="32"/>
  <c r="G3799" i="32"/>
  <c r="G3795" i="32"/>
  <c r="G3793" i="32"/>
  <c r="G3792" i="32"/>
  <c r="G3791" i="32"/>
  <c r="G3790" i="32"/>
  <c r="G3789" i="32"/>
  <c r="G3787" i="32"/>
  <c r="G3786" i="32"/>
  <c r="G3783" i="32"/>
  <c r="G3782" i="32"/>
  <c r="G3781" i="32"/>
  <c r="G3780" i="32"/>
  <c r="G3779" i="32"/>
  <c r="G3778" i="32"/>
  <c r="G3777" i="32"/>
  <c r="G3776" i="32"/>
  <c r="G3775" i="32"/>
  <c r="G3774" i="32"/>
  <c r="G3773" i="32"/>
  <c r="G3772" i="32"/>
  <c r="G3771" i="32"/>
  <c r="G3770" i="32"/>
  <c r="G3769" i="32"/>
  <c r="G3768" i="32"/>
  <c r="G3767" i="32"/>
  <c r="G3766" i="32"/>
  <c r="G3765" i="32"/>
  <c r="G3764" i="32"/>
  <c r="G3763" i="32"/>
  <c r="G3762" i="32"/>
  <c r="G3761" i="32"/>
  <c r="G3760" i="32"/>
  <c r="G3759" i="32"/>
  <c r="G3758" i="32"/>
  <c r="G3756" i="32"/>
  <c r="G3755" i="32"/>
  <c r="G3753" i="32"/>
  <c r="G3752" i="32"/>
  <c r="G3751" i="32"/>
  <c r="G3750" i="32"/>
  <c r="G3749" i="32"/>
  <c r="G3748" i="32"/>
  <c r="G3747" i="32"/>
  <c r="G3746" i="32"/>
  <c r="G3745" i="32"/>
  <c r="G3744" i="32"/>
  <c r="G3743" i="32"/>
  <c r="G3742" i="32"/>
  <c r="G3741" i="32"/>
  <c r="G3740" i="32"/>
  <c r="G3739" i="32"/>
  <c r="G3738" i="32"/>
  <c r="G3737" i="32"/>
  <c r="G3736" i="32"/>
  <c r="G3734" i="32"/>
  <c r="G3732" i="32"/>
  <c r="G3731" i="32"/>
  <c r="G3730" i="32"/>
  <c r="G3728" i="32"/>
  <c r="G3727" i="32"/>
  <c r="G3724" i="32"/>
  <c r="G3723" i="32"/>
  <c r="G3722" i="32"/>
  <c r="G3721" i="32"/>
  <c r="G3720" i="32"/>
  <c r="G3716" i="32"/>
  <c r="G3715" i="32"/>
  <c r="G3714" i="32"/>
  <c r="G3712" i="32"/>
  <c r="G3711" i="32"/>
  <c r="G3710" i="32"/>
  <c r="G3709" i="32"/>
  <c r="G3708" i="32"/>
  <c r="G3707" i="32"/>
  <c r="G3706" i="32"/>
  <c r="G3705" i="32"/>
  <c r="G3703" i="32"/>
  <c r="G3702" i="32"/>
  <c r="G3701" i="32"/>
  <c r="G3700" i="32"/>
  <c r="G3699" i="32"/>
  <c r="G3698" i="32"/>
  <c r="G3697" i="32"/>
  <c r="G3695" i="32"/>
  <c r="G3694" i="32"/>
  <c r="G3693" i="32"/>
  <c r="G3691" i="32"/>
  <c r="G3690" i="32"/>
  <c r="G3689" i="32"/>
  <c r="G3688" i="32"/>
  <c r="G3687" i="32"/>
  <c r="G3686" i="32"/>
  <c r="G3685" i="32"/>
  <c r="G3684" i="32"/>
  <c r="G3682" i="32"/>
  <c r="G3681" i="32"/>
  <c r="G3680" i="32"/>
  <c r="G3679" i="32"/>
  <c r="G3678" i="32"/>
  <c r="G3677" i="32"/>
  <c r="G3676" i="32"/>
  <c r="G3675" i="32"/>
  <c r="G3674" i="32"/>
  <c r="G3673" i="32"/>
  <c r="G3671" i="32"/>
  <c r="G3670" i="32"/>
  <c r="G3669" i="32"/>
  <c r="G3668" i="32"/>
  <c r="G3667" i="32"/>
  <c r="G3666" i="32"/>
  <c r="G3665" i="32"/>
  <c r="G3664" i="32"/>
  <c r="G3663" i="32"/>
  <c r="G3662" i="32"/>
  <c r="G3660" i="32"/>
  <c r="G3659" i="32"/>
  <c r="G3658" i="32"/>
  <c r="G3657" i="32"/>
  <c r="G3656" i="32"/>
  <c r="G3655" i="32"/>
  <c r="G3654" i="32"/>
  <c r="G3653" i="32"/>
  <c r="G3652" i="32"/>
  <c r="G3651" i="32"/>
  <c r="G3650" i="32"/>
  <c r="G3649" i="32"/>
  <c r="G3648" i="32"/>
  <c r="G3647" i="32"/>
  <c r="G3646" i="32"/>
  <c r="G3645" i="32"/>
  <c r="G3644" i="32"/>
  <c r="G3643" i="32"/>
  <c r="G3642" i="32"/>
  <c r="G3641" i="32"/>
  <c r="G3640" i="32"/>
  <c r="G3639" i="32"/>
  <c r="G3638" i="32"/>
  <c r="G3637" i="32"/>
  <c r="G3636" i="32"/>
  <c r="G3635" i="32"/>
  <c r="G3634" i="32"/>
  <c r="G3633" i="32"/>
  <c r="G3632" i="32"/>
  <c r="G3631" i="32"/>
  <c r="G3630" i="32"/>
  <c r="G3629" i="32"/>
  <c r="G3628" i="32"/>
  <c r="G3627" i="32"/>
  <c r="G3626" i="32"/>
  <c r="G3625" i="32"/>
  <c r="G3624" i="32"/>
  <c r="G3622" i="32"/>
  <c r="G3621" i="32"/>
  <c r="G3620" i="32"/>
  <c r="G3619" i="32"/>
  <c r="G3618" i="32"/>
  <c r="G3617" i="32"/>
  <c r="G3616" i="32"/>
  <c r="G3615" i="32"/>
  <c r="G3614" i="32"/>
  <c r="G3613" i="32"/>
  <c r="G3612" i="32"/>
  <c r="G3611" i="32"/>
  <c r="G3610" i="32"/>
  <c r="G3609" i="32"/>
  <c r="G3608" i="32"/>
  <c r="G3607" i="32"/>
  <c r="G3606" i="32"/>
  <c r="G3605" i="32"/>
  <c r="G3604" i="32"/>
  <c r="G3603" i="32"/>
  <c r="G3602" i="32"/>
  <c r="G3601" i="32"/>
  <c r="G3600" i="32"/>
  <c r="G3599" i="32"/>
  <c r="G3598" i="32"/>
  <c r="G3597" i="32"/>
  <c r="G3596" i="32"/>
  <c r="G3595" i="32"/>
  <c r="G3594" i="32"/>
  <c r="G3593" i="32"/>
  <c r="G3592" i="32"/>
  <c r="G3591" i="32"/>
  <c r="G3590" i="32"/>
  <c r="G3589" i="32"/>
  <c r="G3579" i="32"/>
  <c r="G3563" i="32"/>
  <c r="G3555" i="32"/>
  <c r="G3554" i="32"/>
  <c r="G3553" i="32"/>
  <c r="G3551" i="32"/>
  <c r="G3548" i="32"/>
  <c r="G3547" i="32"/>
  <c r="G3546" i="32"/>
  <c r="G3545" i="32"/>
  <c r="G3543" i="32"/>
  <c r="G3542" i="32"/>
  <c r="G3541" i="32"/>
  <c r="G3540" i="32"/>
  <c r="G3539" i="32"/>
  <c r="G3538" i="32"/>
  <c r="G3537" i="32"/>
  <c r="G3536" i="32"/>
  <c r="G3535" i="32"/>
  <c r="G3534" i="32"/>
  <c r="G3533" i="32"/>
  <c r="G3532" i="32"/>
  <c r="G3529" i="32"/>
  <c r="G3528" i="32"/>
  <c r="G3527" i="32"/>
  <c r="G3526" i="32"/>
  <c r="G3525" i="32"/>
  <c r="G3524" i="32"/>
  <c r="G3523" i="32"/>
  <c r="G3522" i="32"/>
  <c r="G3521" i="32"/>
  <c r="G3520" i="32"/>
  <c r="G3519" i="32"/>
  <c r="G3518" i="32"/>
  <c r="G3517" i="32"/>
  <c r="G3516" i="32"/>
  <c r="G3515" i="32"/>
  <c r="G3514" i="32"/>
  <c r="G3513" i="32"/>
  <c r="G3512" i="32"/>
  <c r="G3511" i="32"/>
  <c r="G3510" i="32"/>
  <c r="G3509" i="32"/>
  <c r="G3508" i="32"/>
  <c r="G3507" i="32"/>
  <c r="G3506" i="32"/>
  <c r="G3505" i="32"/>
  <c r="G3504" i="32"/>
  <c r="G3502" i="32"/>
  <c r="G3501" i="32"/>
  <c r="G3500" i="32"/>
  <c r="G3499" i="32"/>
  <c r="G3497" i="32"/>
  <c r="G3496" i="32"/>
  <c r="G3495" i="32"/>
  <c r="G3494" i="32"/>
  <c r="G3493" i="32"/>
  <c r="G3492" i="32"/>
  <c r="G3491" i="32"/>
  <c r="G3490" i="32"/>
  <c r="G3489" i="32"/>
  <c r="G3488" i="32"/>
  <c r="G3487" i="32"/>
  <c r="G3486" i="32"/>
  <c r="G3485" i="32"/>
  <c r="G3484" i="32"/>
  <c r="G3482" i="32"/>
  <c r="G3481" i="32"/>
  <c r="G3480" i="32"/>
  <c r="G3479" i="32"/>
  <c r="G3478" i="32"/>
  <c r="G3477" i="32"/>
  <c r="G3476" i="32"/>
  <c r="G3475" i="32"/>
  <c r="G3474" i="32"/>
  <c r="G3473" i="32"/>
  <c r="G3472" i="32"/>
  <c r="G3471" i="32"/>
  <c r="G3470" i="32"/>
  <c r="G3469" i="32"/>
  <c r="G3468" i="32"/>
  <c r="G3467" i="32"/>
  <c r="G3465" i="32"/>
  <c r="G3464" i="32"/>
  <c r="G3463" i="32"/>
  <c r="G3462" i="32"/>
  <c r="G3461" i="32"/>
  <c r="G3460" i="32"/>
  <c r="G3459" i="32"/>
  <c r="G3458" i="32"/>
  <c r="G3457" i="32"/>
  <c r="G3456" i="32"/>
  <c r="G3455" i="32"/>
  <c r="G3454" i="32"/>
  <c r="G3453" i="32"/>
  <c r="G3452" i="32"/>
  <c r="G3451" i="32"/>
  <c r="G3450" i="32"/>
  <c r="G3449" i="32"/>
  <c r="G3448" i="32"/>
  <c r="G3446" i="32"/>
  <c r="G3444" i="32"/>
  <c r="G3443" i="32"/>
  <c r="G3442" i="32"/>
  <c r="G3441" i="32"/>
  <c r="G3440" i="32"/>
  <c r="G3439" i="32"/>
  <c r="G3438" i="32"/>
  <c r="G3437" i="32"/>
  <c r="G3436" i="32"/>
  <c r="G3435" i="32"/>
  <c r="G3434" i="32"/>
  <c r="G3433" i="32"/>
  <c r="G3432" i="32"/>
  <c r="G3431" i="32"/>
  <c r="G3430" i="32"/>
  <c r="G3429" i="32"/>
  <c r="G3428" i="32"/>
  <c r="G3427" i="32"/>
  <c r="G3426" i="32"/>
  <c r="G3423" i="32"/>
  <c r="G3422" i="32"/>
  <c r="G3421" i="32"/>
  <c r="G3420" i="32"/>
  <c r="G3419" i="32"/>
  <c r="G3418" i="32"/>
  <c r="G3417" i="32"/>
  <c r="G3416" i="32"/>
  <c r="G3415" i="32"/>
  <c r="G3414" i="32"/>
  <c r="G3413" i="32"/>
  <c r="G3412" i="32"/>
  <c r="G3411" i="32"/>
  <c r="G3410" i="32"/>
  <c r="G3409" i="32"/>
  <c r="G3407" i="32"/>
  <c r="G3406" i="32"/>
  <c r="G3405" i="32"/>
  <c r="G3403" i="32"/>
  <c r="G3398" i="32"/>
  <c r="G3397" i="32"/>
  <c r="G3396" i="32"/>
  <c r="G3395" i="32"/>
  <c r="G3394" i="32"/>
  <c r="G3393" i="32"/>
  <c r="G3392" i="32"/>
  <c r="G3390" i="32"/>
  <c r="G3389" i="32"/>
  <c r="G3388" i="32"/>
  <c r="G3387" i="32"/>
  <c r="G3386" i="32"/>
  <c r="G3385" i="32"/>
  <c r="G3384" i="32"/>
  <c r="G3383" i="32"/>
  <c r="G3382" i="32"/>
  <c r="G3381" i="32"/>
  <c r="G3380" i="32"/>
  <c r="G3378" i="32"/>
  <c r="G3377" i="32"/>
  <c r="G3376" i="32"/>
  <c r="G3375" i="32"/>
  <c r="G3371" i="32"/>
  <c r="G3370" i="32"/>
  <c r="G3369" i="32"/>
  <c r="G3368" i="32"/>
  <c r="G3367" i="32"/>
  <c r="G3366" i="32"/>
  <c r="G3365" i="32"/>
  <c r="G3364" i="32"/>
  <c r="G3363" i="32"/>
  <c r="G3361" i="32"/>
  <c r="G3360" i="32"/>
  <c r="G3359" i="32"/>
  <c r="G3358" i="32"/>
  <c r="G3356" i="32"/>
  <c r="G3355" i="32"/>
  <c r="G3354" i="32"/>
  <c r="G3351" i="32"/>
  <c r="G3350" i="32"/>
  <c r="G3349" i="32"/>
  <c r="G3348" i="32"/>
  <c r="G3346" i="32"/>
  <c r="G3345" i="32"/>
  <c r="G3344" i="32"/>
  <c r="G3343" i="32"/>
  <c r="G3342" i="32"/>
  <c r="G3341" i="32"/>
  <c r="G3340" i="32"/>
  <c r="G3339" i="32"/>
  <c r="G3338" i="32"/>
  <c r="G3337" i="32"/>
  <c r="G3336" i="32"/>
  <c r="G3335" i="32"/>
  <c r="G3334" i="32"/>
  <c r="G3333" i="32"/>
  <c r="G3332" i="32"/>
  <c r="G3331" i="32"/>
  <c r="G3330" i="32"/>
  <c r="G3329" i="32"/>
  <c r="G3328" i="32"/>
  <c r="G3327" i="32"/>
  <c r="G3326" i="32"/>
  <c r="G3325" i="32"/>
  <c r="G3324" i="32"/>
  <c r="G3323" i="32"/>
  <c r="G3322" i="32"/>
  <c r="G3321" i="32"/>
  <c r="G3320" i="32"/>
  <c r="G3319" i="32"/>
  <c r="G3318" i="32"/>
  <c r="G3317" i="32"/>
  <c r="G3316" i="32"/>
  <c r="G3315" i="32"/>
  <c r="G3314" i="32"/>
  <c r="G3313" i="32"/>
  <c r="G3312" i="32"/>
  <c r="G3311" i="32"/>
  <c r="G3310" i="32"/>
  <c r="G3309" i="32"/>
  <c r="G3308" i="32"/>
  <c r="G3307" i="32"/>
  <c r="G3306" i="32"/>
  <c r="G3305" i="32"/>
  <c r="G3304" i="32"/>
  <c r="G3303" i="32"/>
  <c r="G3302" i="32"/>
  <c r="G3301" i="32"/>
  <c r="G3300" i="32"/>
  <c r="G3299" i="32"/>
  <c r="G3298" i="32"/>
  <c r="G3296" i="32"/>
  <c r="G3295" i="32"/>
  <c r="G3294" i="32"/>
  <c r="G3293" i="32"/>
  <c r="G3292" i="32"/>
  <c r="G3291" i="32"/>
  <c r="G3290" i="32"/>
  <c r="G3289" i="32"/>
  <c r="G3288" i="32"/>
  <c r="G3287" i="32"/>
  <c r="G3286" i="32"/>
  <c r="G3285" i="32"/>
  <c r="G3284" i="32"/>
  <c r="G3283" i="32"/>
  <c r="G3282" i="32"/>
  <c r="G3281" i="32"/>
  <c r="G3280" i="32"/>
  <c r="G3279" i="32"/>
  <c r="G3278" i="32"/>
  <c r="G3277" i="32"/>
  <c r="G3276" i="32"/>
  <c r="G3275" i="32"/>
  <c r="G3274" i="32"/>
  <c r="G3273" i="32"/>
  <c r="G3271" i="32"/>
  <c r="G3270" i="32"/>
  <c r="G3269" i="32"/>
  <c r="G3268" i="32"/>
  <c r="G3267" i="32"/>
  <c r="G3266" i="32"/>
  <c r="G3265" i="32"/>
  <c r="G3264" i="32"/>
  <c r="G3263" i="32"/>
  <c r="G3262" i="32"/>
  <c r="G3261" i="32"/>
  <c r="G3260" i="32"/>
  <c r="G3259" i="32"/>
  <c r="G3258" i="32"/>
  <c r="G3257" i="32"/>
  <c r="G3256" i="32"/>
  <c r="G3255" i="32"/>
  <c r="G3254" i="32"/>
  <c r="G3253" i="32"/>
  <c r="G3252" i="32"/>
  <c r="G3251" i="32"/>
  <c r="G3250" i="32"/>
  <c r="G3249" i="32"/>
  <c r="G3248" i="32"/>
  <c r="G3247" i="32"/>
  <c r="G3246" i="32"/>
  <c r="G3245" i="32"/>
  <c r="G3244" i="32"/>
  <c r="G3243" i="32"/>
  <c r="G3242" i="32"/>
  <c r="G3240" i="32"/>
  <c r="G3239" i="32"/>
  <c r="G3238" i="32"/>
  <c r="G3237" i="32"/>
  <c r="G3236" i="32"/>
  <c r="G3235" i="32"/>
  <c r="G3234" i="32"/>
  <c r="G3233" i="32"/>
  <c r="G3232" i="32"/>
  <c r="G3231" i="32"/>
  <c r="G3230" i="32"/>
  <c r="G3229" i="32"/>
  <c r="G3228" i="32"/>
  <c r="G3227" i="32"/>
  <c r="G3225" i="32"/>
  <c r="G3224" i="32"/>
  <c r="G3223" i="32"/>
  <c r="G3222" i="32"/>
  <c r="G3221" i="32"/>
  <c r="G3220" i="32"/>
  <c r="G3219" i="32"/>
  <c r="G3218" i="32"/>
  <c r="G3217" i="32"/>
  <c r="G3216" i="32"/>
  <c r="G3215" i="32"/>
  <c r="G3212" i="32"/>
  <c r="G3211" i="32"/>
  <c r="G3209" i="32"/>
  <c r="G3208" i="32"/>
  <c r="G3207" i="32"/>
  <c r="G3206" i="32"/>
  <c r="G3205" i="32"/>
  <c r="G3204" i="32"/>
  <c r="G3203" i="32"/>
  <c r="G3202" i="32"/>
  <c r="G3201" i="32"/>
  <c r="G3200" i="32"/>
  <c r="G3199" i="32"/>
  <c r="G3198" i="32"/>
  <c r="G3197" i="32"/>
  <c r="G3196" i="32"/>
  <c r="G3195" i="32"/>
  <c r="G3194" i="32"/>
  <c r="G3192" i="32"/>
  <c r="G3190" i="32"/>
  <c r="G3188" i="32"/>
  <c r="G3187" i="32"/>
  <c r="G3186" i="32"/>
  <c r="G3185" i="32"/>
  <c r="G3184" i="32"/>
  <c r="G3183" i="32"/>
  <c r="G3182" i="32"/>
  <c r="G3181" i="32"/>
  <c r="G3180" i="32"/>
  <c r="G3179" i="32"/>
  <c r="G3178" i="32"/>
  <c r="G3177" i="32"/>
  <c r="G3176" i="32"/>
  <c r="G3175" i="32"/>
  <c r="G3174" i="32"/>
  <c r="G3171" i="32"/>
  <c r="G3170" i="32"/>
  <c r="G3169" i="32"/>
  <c r="G3168" i="32"/>
  <c r="G3167" i="32"/>
  <c r="G3166" i="32"/>
  <c r="G3165" i="32"/>
  <c r="G3164" i="32"/>
  <c r="G3162" i="32"/>
  <c r="G3161" i="32"/>
  <c r="G3160" i="32"/>
  <c r="G3159" i="32"/>
  <c r="G3158" i="32"/>
  <c r="G3156" i="32"/>
  <c r="G3155" i="32"/>
  <c r="G3154" i="32"/>
  <c r="G3153" i="32"/>
  <c r="G3152" i="32"/>
  <c r="G3150" i="32"/>
  <c r="G3149" i="32"/>
  <c r="G3148" i="32"/>
  <c r="G3147" i="32"/>
  <c r="G3146" i="32"/>
  <c r="G3145" i="32"/>
  <c r="G3144" i="32"/>
  <c r="G3143" i="32"/>
  <c r="G3142" i="32"/>
  <c r="G3141" i="32"/>
  <c r="G3140" i="32"/>
  <c r="G3139" i="32"/>
  <c r="G3138" i="32"/>
  <c r="G3137" i="32"/>
  <c r="G3136" i="32"/>
  <c r="G3135" i="32"/>
  <c r="G3134" i="32"/>
  <c r="G3133" i="32"/>
  <c r="G3132" i="32"/>
  <c r="G3131" i="32"/>
  <c r="G3130" i="32"/>
  <c r="G3129" i="32"/>
  <c r="G3128" i="32"/>
  <c r="G3127" i="32"/>
  <c r="G3126" i="32"/>
  <c r="G3125" i="32"/>
  <c r="G3124" i="32"/>
  <c r="G3123" i="32"/>
  <c r="G3122" i="32"/>
  <c r="G3121" i="32"/>
  <c r="G3120" i="32"/>
  <c r="G3119" i="32"/>
  <c r="G3118" i="32"/>
  <c r="G3117" i="32"/>
  <c r="G3116" i="32"/>
  <c r="G3115" i="32"/>
  <c r="G3114" i="32"/>
  <c r="G3113" i="32"/>
  <c r="G3112" i="32"/>
  <c r="G3111" i="32"/>
  <c r="G3109" i="32"/>
  <c r="G3108" i="32"/>
  <c r="G3107" i="32"/>
  <c r="G3106" i="32"/>
  <c r="G3105" i="32"/>
  <c r="G3104" i="32"/>
  <c r="G3103" i="32"/>
  <c r="G3102" i="32"/>
  <c r="G3101" i="32"/>
  <c r="G3100" i="32"/>
  <c r="G3099" i="32"/>
  <c r="G3098" i="32"/>
  <c r="G3097" i="32"/>
  <c r="G3096" i="32"/>
  <c r="G3095" i="32"/>
  <c r="G3094" i="32"/>
  <c r="G3093" i="32"/>
  <c r="G3092" i="32"/>
  <c r="G3091" i="32"/>
  <c r="G3090" i="32"/>
  <c r="G3089" i="32"/>
  <c r="G3088" i="32"/>
  <c r="G3087" i="32"/>
  <c r="G3086" i="32"/>
  <c r="G3085" i="32"/>
  <c r="G3084" i="32"/>
  <c r="G3083" i="32"/>
  <c r="G3082" i="32"/>
  <c r="G3081" i="32"/>
  <c r="G3080" i="32"/>
  <c r="G3079" i="32"/>
  <c r="G3078" i="32"/>
  <c r="G3077" i="32"/>
  <c r="G3076" i="32"/>
  <c r="G3075" i="32"/>
  <c r="G3074" i="32"/>
  <c r="G3071" i="32"/>
  <c r="G3070" i="32"/>
  <c r="G3069" i="32"/>
  <c r="G3068" i="32"/>
  <c r="G3067" i="32"/>
  <c r="G3066" i="32"/>
  <c r="G3065" i="32"/>
  <c r="G3064" i="32"/>
  <c r="G3063" i="32"/>
  <c r="G3062" i="32"/>
  <c r="G3061" i="32"/>
  <c r="G3059" i="32"/>
  <c r="G3058" i="32"/>
  <c r="G3057" i="32"/>
  <c r="G3056" i="32"/>
  <c r="G3055" i="32"/>
  <c r="G3054" i="32"/>
  <c r="G3053" i="32"/>
  <c r="G3051" i="32"/>
  <c r="G3050" i="32"/>
  <c r="G3049" i="32"/>
  <c r="G3048" i="32"/>
  <c r="G3047" i="32"/>
  <c r="G3046" i="32"/>
  <c r="G3045" i="32"/>
  <c r="G3044" i="32"/>
  <c r="G3043" i="32"/>
  <c r="G3042" i="32"/>
  <c r="G3041" i="32"/>
  <c r="G3040" i="32"/>
  <c r="G3039" i="32"/>
  <c r="G3038" i="32"/>
  <c r="G3037" i="32"/>
  <c r="G3036" i="32"/>
  <c r="G3035" i="32"/>
  <c r="G3034" i="32"/>
  <c r="G3033" i="32"/>
  <c r="G3032" i="32"/>
  <c r="G3031" i="32"/>
  <c r="G3030" i="32"/>
  <c r="G3029" i="32"/>
  <c r="G3028" i="32"/>
  <c r="G3027" i="32"/>
  <c r="G3026" i="32"/>
  <c r="G3025" i="32"/>
  <c r="G3024" i="32"/>
  <c r="G3023" i="32"/>
  <c r="G3022" i="32"/>
  <c r="G3021" i="32"/>
  <c r="G3020" i="32"/>
  <c r="G3019" i="32"/>
  <c r="G3018" i="32"/>
  <c r="G3017" i="32"/>
  <c r="G3015" i="32"/>
  <c r="G3013" i="32"/>
  <c r="G3012" i="32"/>
  <c r="G3011" i="32"/>
  <c r="G3010" i="32"/>
  <c r="G3009" i="32"/>
  <c r="G3008" i="32"/>
  <c r="G3007" i="32"/>
  <c r="G3006" i="32"/>
  <c r="G3005" i="32"/>
  <c r="G3004" i="32"/>
  <c r="G3003" i="32"/>
  <c r="G3002" i="32"/>
  <c r="G3000" i="32"/>
  <c r="G2999" i="32"/>
  <c r="G2998" i="32"/>
  <c r="G2997" i="32"/>
  <c r="G2996" i="32"/>
  <c r="G2995" i="32"/>
  <c r="G2994" i="32"/>
  <c r="G2993" i="32"/>
  <c r="G2992" i="32"/>
  <c r="G2991" i="32"/>
  <c r="G2990" i="32"/>
  <c r="G2989" i="32"/>
  <c r="G2988" i="32"/>
  <c r="G2987" i="32"/>
  <c r="G2986" i="32"/>
  <c r="G2985" i="32"/>
  <c r="G2984" i="32"/>
  <c r="G2983" i="32"/>
  <c r="G2982" i="32"/>
  <c r="G2981" i="32"/>
  <c r="G2980" i="32"/>
  <c r="G2979" i="32"/>
  <c r="G2978" i="32"/>
  <c r="G2977" i="32"/>
  <c r="G2976" i="32"/>
  <c r="G2975" i="32"/>
  <c r="G2974" i="32"/>
  <c r="G2973" i="32"/>
  <c r="G2972" i="32"/>
  <c r="G2971" i="32"/>
  <c r="G2970" i="32"/>
  <c r="G2969" i="32"/>
  <c r="G2968" i="32"/>
  <c r="G2967" i="32"/>
  <c r="G2966" i="32"/>
  <c r="G2965" i="32"/>
  <c r="G2961" i="32"/>
  <c r="G2960" i="32"/>
  <c r="G2959" i="32"/>
  <c r="G2958" i="32"/>
  <c r="G2957" i="32"/>
  <c r="G2956" i="32"/>
  <c r="G2955" i="32"/>
  <c r="G2954" i="32"/>
  <c r="G2953" i="32"/>
  <c r="G2952" i="32"/>
  <c r="G2951" i="32"/>
  <c r="G2949" i="32"/>
  <c r="G2948" i="32"/>
  <c r="G2947" i="32"/>
  <c r="G2946" i="32"/>
  <c r="G2945" i="32"/>
  <c r="G2944" i="32"/>
  <c r="G2943" i="32"/>
  <c r="G2942" i="32"/>
  <c r="G2941" i="32"/>
  <c r="G2940" i="32"/>
  <c r="G2939" i="32"/>
  <c r="G2938" i="32"/>
  <c r="G2937" i="32"/>
  <c r="G2936" i="32"/>
  <c r="G2935" i="32"/>
  <c r="G2934" i="32"/>
  <c r="G2933" i="32"/>
  <c r="G2931" i="32"/>
  <c r="G2930" i="32"/>
  <c r="G2929" i="32"/>
  <c r="G2928" i="32"/>
  <c r="G2927" i="32"/>
  <c r="G2926" i="32"/>
  <c r="G2925" i="32"/>
  <c r="G2924" i="32"/>
  <c r="G2923" i="32"/>
  <c r="G2922" i="32"/>
  <c r="G2921" i="32"/>
  <c r="G2920" i="32"/>
  <c r="G2919" i="32"/>
  <c r="G2918" i="32"/>
  <c r="G2917" i="32"/>
  <c r="G2916" i="32"/>
  <c r="G2915" i="32"/>
  <c r="G2914" i="32"/>
  <c r="G2913" i="32"/>
  <c r="G2912" i="32"/>
  <c r="G2911" i="32"/>
  <c r="G2910" i="32"/>
  <c r="G2909" i="32"/>
  <c r="G2908" i="32"/>
  <c r="G2907" i="32"/>
  <c r="G2906" i="32"/>
  <c r="G2905" i="32"/>
  <c r="G2904" i="32"/>
  <c r="G2903" i="32"/>
  <c r="G2902" i="32"/>
  <c r="G2901" i="32"/>
  <c r="G2900" i="32"/>
  <c r="G2898" i="32"/>
  <c r="G2896" i="32"/>
  <c r="G2895" i="32"/>
  <c r="G2894" i="32"/>
  <c r="G2893" i="32"/>
  <c r="G2892" i="32"/>
  <c r="G2891" i="32"/>
  <c r="G2890" i="32"/>
  <c r="G2889" i="32"/>
  <c r="G2888" i="32"/>
  <c r="G2887" i="32"/>
  <c r="G2886" i="32"/>
  <c r="G2885" i="32"/>
  <c r="G2884" i="32"/>
  <c r="G2883" i="32"/>
  <c r="G2882" i="32"/>
  <c r="G2881" i="32"/>
  <c r="G2880" i="32"/>
  <c r="G2879" i="32"/>
  <c r="G2878" i="32"/>
  <c r="G2877" i="32"/>
  <c r="G2876" i="32"/>
  <c r="G2875" i="32"/>
  <c r="G2874" i="32"/>
  <c r="G2873" i="32"/>
  <c r="G2872" i="32"/>
  <c r="G2871" i="32"/>
  <c r="G2870" i="32"/>
  <c r="G2869" i="32"/>
  <c r="G2868" i="32"/>
  <c r="G2867" i="32"/>
  <c r="G2866" i="32"/>
  <c r="G2865" i="32"/>
  <c r="G2864" i="32"/>
  <c r="G2863" i="32"/>
  <c r="G2862" i="32"/>
  <c r="G2861" i="32"/>
  <c r="G2860" i="32"/>
  <c r="G2859" i="32"/>
  <c r="G2858" i="32"/>
  <c r="G2857" i="32"/>
  <c r="G2856" i="32"/>
  <c r="G2855" i="32"/>
  <c r="G2854" i="32"/>
  <c r="G2853" i="32"/>
  <c r="G2852" i="32"/>
  <c r="G2851" i="32"/>
  <c r="G2850" i="32"/>
  <c r="G2849" i="32"/>
  <c r="G2848" i="32"/>
  <c r="G2846" i="32"/>
  <c r="G2845" i="32"/>
  <c r="G2844" i="32"/>
  <c r="G2843" i="32"/>
  <c r="G2842" i="32"/>
  <c r="G2841" i="32"/>
  <c r="G2840" i="32"/>
  <c r="G2839" i="32"/>
  <c r="G2838" i="32"/>
  <c r="G2837" i="32"/>
  <c r="G2836" i="32"/>
  <c r="G2835" i="32"/>
  <c r="G2834" i="32"/>
  <c r="G2833" i="32"/>
  <c r="G2832" i="32"/>
  <c r="G2831" i="32"/>
  <c r="G2830" i="32"/>
  <c r="G2829" i="32"/>
  <c r="G2828" i="32"/>
  <c r="G2827" i="32"/>
  <c r="G2825" i="32"/>
  <c r="G2824" i="32"/>
  <c r="G2823" i="32"/>
  <c r="G2822" i="32"/>
  <c r="G2821" i="32"/>
  <c r="G2820" i="32"/>
  <c r="G2819" i="32"/>
  <c r="G2818" i="32"/>
  <c r="G2817" i="32"/>
  <c r="G2816" i="32"/>
  <c r="G2815" i="32"/>
  <c r="G2814" i="32"/>
  <c r="G2813" i="32"/>
  <c r="G2812" i="32"/>
  <c r="G2811" i="32"/>
  <c r="G2810" i="32"/>
  <c r="G2809" i="32"/>
  <c r="G2808" i="32"/>
  <c r="G2805" i="32"/>
  <c r="G2804" i="32"/>
  <c r="G2803" i="32"/>
  <c r="G2802" i="32"/>
  <c r="G2801" i="32"/>
  <c r="G2800" i="32"/>
  <c r="G2798" i="32"/>
  <c r="G2797" i="32"/>
  <c r="G2796" i="32"/>
  <c r="G2795" i="32"/>
  <c r="G2794" i="32"/>
  <c r="G2793" i="32"/>
  <c r="G2792" i="32"/>
  <c r="G2791" i="32"/>
  <c r="G2790" i="32"/>
  <c r="G2789" i="32"/>
  <c r="G2788" i="32"/>
  <c r="G2787" i="32"/>
  <c r="G2784" i="32"/>
  <c r="G2783" i="32"/>
  <c r="G2782" i="32"/>
  <c r="G2781" i="32"/>
  <c r="G2780" i="32"/>
  <c r="G2779" i="32"/>
  <c r="G2778" i="32"/>
  <c r="G2777" i="32"/>
  <c r="G2776" i="32"/>
  <c r="G2775" i="32"/>
  <c r="G2774" i="32"/>
  <c r="G2773" i="32"/>
  <c r="G2772" i="32"/>
  <c r="G2771" i="32"/>
  <c r="G2770" i="32"/>
  <c r="G2768" i="32"/>
  <c r="G2767" i="32"/>
  <c r="G2765" i="32"/>
  <c r="G2764" i="32"/>
  <c r="G2763" i="32"/>
  <c r="G2761" i="32"/>
  <c r="G2760" i="32"/>
  <c r="G2759" i="32"/>
  <c r="G2758" i="32"/>
  <c r="G2757" i="32"/>
  <c r="G2756" i="32"/>
  <c r="G2755" i="32"/>
  <c r="G2754" i="32"/>
  <c r="G2753" i="32"/>
  <c r="G2752" i="32"/>
  <c r="G2751" i="32"/>
  <c r="G2750" i="32"/>
  <c r="G2749" i="32"/>
  <c r="G2748" i="32"/>
  <c r="G2747" i="32"/>
  <c r="G2746" i="32"/>
  <c r="G2745" i="32"/>
  <c r="G2744" i="32"/>
  <c r="G2743" i="32"/>
  <c r="G2742" i="32"/>
  <c r="G2741" i="32"/>
  <c r="G2740" i="32"/>
  <c r="G2739" i="32"/>
  <c r="G2738" i="32"/>
  <c r="G2737" i="32"/>
  <c r="G2736" i="32"/>
  <c r="G2735" i="32"/>
  <c r="G2734" i="32"/>
  <c r="G2733" i="32"/>
  <c r="G2732" i="32"/>
  <c r="G2731" i="32"/>
  <c r="G2730" i="32"/>
  <c r="G2729" i="32"/>
  <c r="G2728" i="32"/>
  <c r="G2727" i="32"/>
  <c r="G2726" i="32"/>
  <c r="G2725" i="32"/>
  <c r="G2724" i="32"/>
  <c r="G2723" i="32"/>
  <c r="G2722" i="32"/>
  <c r="G2721" i="32"/>
  <c r="G2718" i="32"/>
  <c r="G2717" i="32"/>
  <c r="G2716" i="32"/>
  <c r="G2715" i="32"/>
  <c r="G2714" i="32"/>
  <c r="G2713" i="32"/>
  <c r="G2712" i="32"/>
  <c r="G2711" i="32"/>
  <c r="G2710" i="32"/>
  <c r="G2709" i="32"/>
  <c r="G2708" i="32"/>
  <c r="G2707" i="32"/>
  <c r="G2706" i="32"/>
  <c r="G2705" i="32"/>
  <c r="G2704" i="32"/>
  <c r="G2703" i="32"/>
  <c r="G2702" i="32"/>
  <c r="G2701" i="32"/>
  <c r="G2700" i="32"/>
  <c r="G2699" i="32"/>
  <c r="G2698" i="32"/>
  <c r="G2697" i="32"/>
  <c r="G2696" i="32"/>
  <c r="G2695" i="32"/>
  <c r="G2694" i="32"/>
  <c r="G2693" i="32"/>
  <c r="G2692" i="32"/>
  <c r="G2691" i="32"/>
  <c r="G2690" i="32"/>
  <c r="G2689" i="32"/>
  <c r="G2688" i="32"/>
  <c r="G2687" i="32"/>
  <c r="G2686" i="32"/>
  <c r="G2685" i="32"/>
  <c r="G2684" i="32"/>
  <c r="G2683" i="32"/>
  <c r="G2682" i="32"/>
  <c r="G2681" i="32"/>
  <c r="G2680" i="32"/>
  <c r="G2679" i="32"/>
  <c r="G2678" i="32"/>
  <c r="G2677" i="32"/>
  <c r="G2676" i="32"/>
  <c r="G2675" i="32"/>
  <c r="G2673" i="32"/>
  <c r="G2672" i="32"/>
  <c r="G2671" i="32"/>
  <c r="G2670" i="32"/>
  <c r="G2669" i="32"/>
  <c r="G2668" i="32"/>
  <c r="G2667" i="32"/>
  <c r="G2666" i="32"/>
  <c r="G2665" i="32"/>
  <c r="G2664" i="32"/>
  <c r="G2663" i="32"/>
  <c r="G2662" i="32"/>
  <c r="G2661" i="32"/>
  <c r="G2660" i="32"/>
  <c r="G2659" i="32"/>
  <c r="G2658" i="32"/>
  <c r="G2657" i="32"/>
  <c r="G2656" i="32"/>
  <c r="G2655" i="32"/>
  <c r="G2654" i="32"/>
  <c r="G2653" i="32"/>
  <c r="G2652" i="32"/>
  <c r="G2651" i="32"/>
  <c r="G2650" i="32"/>
  <c r="G2649" i="32"/>
  <c r="G2648" i="32"/>
  <c r="G2647" i="32"/>
  <c r="G2646" i="32"/>
  <c r="G2645" i="32"/>
  <c r="G2643" i="32"/>
  <c r="G2642" i="32"/>
  <c r="G2641" i="32"/>
  <c r="G2639" i="32"/>
  <c r="G2638" i="32"/>
  <c r="G2637" i="32"/>
  <c r="G2636" i="32"/>
  <c r="G2635" i="32"/>
  <c r="G2633" i="32"/>
  <c r="G2632" i="32"/>
  <c r="G2631" i="32"/>
  <c r="G2630" i="32"/>
  <c r="G2629" i="32"/>
  <c r="G2627" i="32"/>
  <c r="G2626" i="32"/>
  <c r="G2625" i="32"/>
  <c r="G2623" i="32"/>
  <c r="G2622" i="32"/>
  <c r="G2621" i="32"/>
  <c r="G2620" i="32"/>
  <c r="G2619" i="32"/>
  <c r="G2618" i="32"/>
  <c r="G2617" i="32"/>
  <c r="G2616" i="32"/>
  <c r="G2615" i="32"/>
  <c r="G2614" i="32"/>
  <c r="G2613" i="32"/>
  <c r="G2612" i="32"/>
  <c r="G2611" i="32"/>
  <c r="G2610" i="32"/>
  <c r="G2609" i="32"/>
  <c r="G2608" i="32"/>
  <c r="G2607" i="32"/>
  <c r="G2606" i="32"/>
  <c r="G2605" i="32"/>
  <c r="G2604" i="32"/>
  <c r="G2603" i="32"/>
  <c r="G2602" i="32"/>
  <c r="G2601" i="32"/>
  <c r="G2600" i="32"/>
  <c r="G2599" i="32"/>
  <c r="G2598" i="32"/>
  <c r="G2597" i="32"/>
  <c r="G2596" i="32"/>
  <c r="G2595" i="32"/>
  <c r="G2594" i="32"/>
  <c r="G2593" i="32"/>
  <c r="G2592" i="32"/>
  <c r="G2591" i="32"/>
  <c r="G2589" i="32"/>
  <c r="G2588" i="32"/>
  <c r="G2587" i="32"/>
  <c r="G2586" i="32"/>
  <c r="G2585" i="32"/>
  <c r="G2584" i="32"/>
  <c r="G2583" i="32"/>
  <c r="G2582" i="32"/>
  <c r="G2581" i="32"/>
  <c r="G2579" i="32"/>
  <c r="G2578" i="32"/>
  <c r="G2577" i="32"/>
  <c r="G2576" i="32"/>
  <c r="G2575" i="32"/>
  <c r="G2574" i="32"/>
  <c r="G2573" i="32"/>
  <c r="G2572" i="32"/>
  <c r="G2571" i="32"/>
  <c r="G2570" i="32"/>
  <c r="G2569" i="32"/>
  <c r="G2568" i="32"/>
  <c r="G2567" i="32"/>
  <c r="G2566" i="32"/>
  <c r="G2565" i="32"/>
  <c r="G2564" i="32"/>
  <c r="G2563" i="32"/>
  <c r="G2562" i="32"/>
  <c r="G2560" i="32"/>
  <c r="G2559" i="32"/>
  <c r="G2558" i="32"/>
  <c r="G2557" i="32"/>
  <c r="G2556" i="32"/>
  <c r="G2555" i="32"/>
  <c r="G2553" i="32"/>
  <c r="G2552" i="32"/>
  <c r="G2551" i="32"/>
  <c r="G2550" i="32"/>
  <c r="G2549" i="32"/>
  <c r="G2548" i="32"/>
  <c r="G2547" i="32"/>
  <c r="G2544" i="32"/>
  <c r="G2543" i="32"/>
  <c r="G2542" i="32"/>
  <c r="G2541" i="32"/>
  <c r="G2539" i="32"/>
  <c r="G2538" i="32"/>
  <c r="G2537" i="32"/>
  <c r="G2536" i="32"/>
  <c r="G2535" i="32"/>
  <c r="G2534" i="32"/>
  <c r="G2533" i="32"/>
  <c r="G2532" i="32"/>
  <c r="G2531" i="32"/>
  <c r="G2529" i="32"/>
  <c r="G2528" i="32"/>
  <c r="G2527" i="32"/>
  <c r="G2526" i="32"/>
  <c r="G2525" i="32"/>
  <c r="G2524" i="32"/>
  <c r="G2523" i="32"/>
  <c r="G2522" i="32"/>
  <c r="G2521" i="32"/>
  <c r="G2520" i="32"/>
  <c r="G2519" i="32"/>
  <c r="G2518" i="32"/>
  <c r="G2517" i="32"/>
  <c r="G2516" i="32"/>
  <c r="G2515" i="32"/>
  <c r="G2514" i="32"/>
  <c r="G2513" i="32"/>
  <c r="G2512" i="32"/>
  <c r="G2511" i="32"/>
  <c r="G2509" i="32"/>
  <c r="G2508" i="32"/>
  <c r="G2507" i="32"/>
  <c r="G2504" i="32"/>
  <c r="G2503" i="32"/>
  <c r="G2502" i="32"/>
  <c r="G2501" i="32"/>
  <c r="G2499" i="32"/>
  <c r="G2498" i="32"/>
  <c r="G2497" i="32"/>
  <c r="G2496" i="32"/>
  <c r="G2495" i="32"/>
  <c r="G2494" i="32"/>
  <c r="G2493" i="32"/>
  <c r="G2492" i="32"/>
  <c r="G2491" i="32"/>
  <c r="G2490" i="32"/>
  <c r="G2489" i="32"/>
  <c r="G2488" i="32"/>
  <c r="G2487" i="32"/>
  <c r="G2486" i="32"/>
  <c r="G2485" i="32"/>
  <c r="G2484" i="32"/>
  <c r="G2483" i="32"/>
  <c r="G2482" i="32"/>
  <c r="G2481" i="32"/>
  <c r="G2480" i="32"/>
  <c r="G2479" i="32"/>
  <c r="G2478" i="32"/>
  <c r="G2477" i="32"/>
  <c r="G2476" i="32"/>
  <c r="G2475" i="32"/>
  <c r="G2474" i="32"/>
  <c r="G2473" i="32"/>
  <c r="G2472" i="32"/>
  <c r="G2470" i="32"/>
  <c r="G2469" i="32"/>
  <c r="G2468" i="32"/>
  <c r="G2467" i="32"/>
  <c r="G2465" i="32"/>
  <c r="G2464" i="32"/>
  <c r="G2462" i="32"/>
  <c r="G2461" i="32"/>
  <c r="G2460" i="32"/>
  <c r="G2459" i="32"/>
  <c r="G2457" i="32"/>
  <c r="G2456" i="32"/>
  <c r="G2455" i="32"/>
  <c r="G2453" i="32"/>
  <c r="G2452" i="32"/>
  <c r="G2451" i="32"/>
  <c r="G2450" i="32"/>
  <c r="G2449" i="32"/>
  <c r="G2448" i="32"/>
  <c r="G2447" i="32"/>
  <c r="G2446" i="32"/>
  <c r="G2445" i="32"/>
  <c r="G2444" i="32"/>
  <c r="G2443" i="32"/>
  <c r="G2442" i="32"/>
  <c r="G2441" i="32"/>
  <c r="G2440" i="32"/>
  <c r="G2439" i="32"/>
  <c r="G2438" i="32"/>
  <c r="G2437" i="32"/>
  <c r="G2436" i="32"/>
  <c r="G2435" i="32"/>
  <c r="G2434" i="32"/>
  <c r="G2433" i="32"/>
  <c r="G2432" i="32"/>
  <c r="G2431" i="32"/>
  <c r="G2430" i="32"/>
  <c r="G2429" i="32"/>
  <c r="G2428" i="32"/>
  <c r="G2427" i="32"/>
  <c r="G2426" i="32"/>
  <c r="G2425" i="32"/>
  <c r="G2424" i="32"/>
  <c r="G2423" i="32"/>
  <c r="G2422" i="32"/>
  <c r="G2421" i="32"/>
  <c r="G2420" i="32"/>
  <c r="G2419" i="32"/>
  <c r="G2418" i="32"/>
  <c r="G2417" i="32"/>
  <c r="G2416" i="32"/>
  <c r="G2415" i="32"/>
  <c r="G2414" i="32"/>
  <c r="G2413" i="32"/>
  <c r="G2411" i="32"/>
  <c r="G2410" i="32"/>
  <c r="G2409" i="32"/>
  <c r="G2408" i="32"/>
  <c r="G2407" i="32"/>
  <c r="G2406" i="32"/>
  <c r="G2405" i="32"/>
  <c r="G2402" i="32"/>
  <c r="G2401" i="32"/>
  <c r="G2400" i="32"/>
  <c r="G2399" i="32"/>
  <c r="G2398" i="32"/>
  <c r="G2397" i="32"/>
  <c r="G2396" i="32"/>
  <c r="G2395" i="32"/>
  <c r="G2394" i="32"/>
  <c r="G2391" i="32"/>
  <c r="G2388" i="32"/>
  <c r="G2387" i="32"/>
  <c r="G2386" i="32"/>
  <c r="G2385" i="32"/>
  <c r="G2384" i="32"/>
  <c r="G2383" i="32"/>
  <c r="G2382" i="32"/>
  <c r="G2381" i="32"/>
  <c r="G2380" i="32"/>
  <c r="G2379" i="32"/>
  <c r="G2377" i="32"/>
  <c r="G2376" i="32"/>
  <c r="G2374" i="32"/>
  <c r="G2373" i="32"/>
  <c r="G2372" i="32"/>
  <c r="G2371" i="32"/>
  <c r="G2370" i="32"/>
  <c r="G2369" i="32"/>
  <c r="G2368" i="32"/>
  <c r="G2367" i="32"/>
  <c r="G2366" i="32"/>
  <c r="G2365" i="32"/>
  <c r="G2364" i="32"/>
  <c r="G2363" i="32"/>
  <c r="G2362" i="32"/>
  <c r="G2361" i="32"/>
  <c r="G2360" i="32"/>
  <c r="G2359" i="32"/>
  <c r="G2358" i="32"/>
  <c r="G2357" i="32"/>
  <c r="G2356" i="32"/>
  <c r="G2355" i="32"/>
  <c r="G2354" i="32"/>
  <c r="G2353" i="32"/>
  <c r="G2352" i="32"/>
  <c r="G2351" i="32"/>
  <c r="G2350" i="32"/>
  <c r="G2349" i="32"/>
  <c r="G2348" i="32"/>
  <c r="G2346" i="32"/>
  <c r="G2345" i="32"/>
  <c r="G2344" i="32"/>
  <c r="G2343" i="32"/>
  <c r="G2342" i="32"/>
  <c r="G2341" i="32"/>
  <c r="G2340" i="32"/>
  <c r="G2339" i="32"/>
  <c r="G2338" i="32"/>
  <c r="G2337" i="32"/>
  <c r="G2336" i="32"/>
  <c r="G2335" i="32"/>
  <c r="G2334" i="32"/>
  <c r="G2333" i="32"/>
  <c r="G2332" i="32"/>
  <c r="G2331" i="32"/>
  <c r="G2330" i="32"/>
  <c r="G2329" i="32"/>
  <c r="G2328" i="32"/>
  <c r="G2327" i="32"/>
  <c r="G2326" i="32"/>
  <c r="G2325" i="32"/>
  <c r="G2324" i="32"/>
  <c r="G2323" i="32"/>
  <c r="G2322" i="32"/>
  <c r="G2321" i="32"/>
  <c r="G2320" i="32"/>
  <c r="G2319" i="32"/>
  <c r="G2318" i="32"/>
  <c r="G2317" i="32"/>
  <c r="G2316" i="32"/>
  <c r="G2315" i="32"/>
  <c r="G2312" i="32"/>
  <c r="G2311" i="32"/>
  <c r="G2310" i="32"/>
  <c r="G2309" i="32"/>
  <c r="G2308" i="32"/>
  <c r="G2305" i="32"/>
  <c r="G2304" i="32"/>
  <c r="G2303" i="32"/>
  <c r="G2302" i="32"/>
  <c r="G2301" i="32"/>
  <c r="G2300" i="32"/>
  <c r="G2299" i="32"/>
  <c r="G2298" i="32"/>
  <c r="G2297" i="32"/>
  <c r="G2296" i="32"/>
  <c r="G2295" i="32"/>
  <c r="G2294" i="32"/>
  <c r="G2293" i="32"/>
  <c r="G2292" i="32"/>
  <c r="G2290" i="32"/>
  <c r="G2289" i="32"/>
  <c r="G2288" i="32"/>
  <c r="G2287" i="32"/>
  <c r="G2286" i="32"/>
  <c r="G2285" i="32"/>
  <c r="G2284" i="32"/>
  <c r="G2283" i="32"/>
  <c r="G2282" i="32"/>
  <c r="G2281" i="32"/>
  <c r="G2280" i="32"/>
  <c r="G2279" i="32"/>
  <c r="G2278" i="32"/>
  <c r="G2277" i="32"/>
  <c r="G2276" i="32"/>
  <c r="G2275" i="32"/>
  <c r="G2274" i="32"/>
  <c r="G2273" i="32"/>
  <c r="G2271" i="32"/>
  <c r="G2270" i="32"/>
  <c r="G2269" i="32"/>
  <c r="G2268" i="32"/>
  <c r="G2267" i="32"/>
  <c r="G2266" i="32"/>
  <c r="G2265" i="32"/>
  <c r="G2264" i="32"/>
  <c r="G2263" i="32"/>
  <c r="G2262" i="32"/>
  <c r="G2261" i="32"/>
  <c r="G2260" i="32"/>
  <c r="G2259" i="32"/>
  <c r="G2258" i="32"/>
  <c r="G2257" i="32"/>
  <c r="G2256" i="32"/>
  <c r="G2255" i="32"/>
  <c r="G2254" i="32"/>
  <c r="G2253" i="32"/>
  <c r="G2252" i="32"/>
  <c r="G2251" i="32"/>
  <c r="G2249" i="32"/>
  <c r="G2248" i="32"/>
  <c r="G2247" i="32"/>
  <c r="G2246" i="32"/>
  <c r="G2245" i="32"/>
  <c r="G2244" i="32"/>
  <c r="G2243" i="32"/>
  <c r="G2242" i="32"/>
  <c r="G2241" i="32"/>
  <c r="G2240" i="32"/>
  <c r="G2238" i="32"/>
  <c r="G2237" i="32"/>
  <c r="G2236" i="32"/>
  <c r="G2235" i="32"/>
  <c r="G2234" i="32"/>
  <c r="G2233" i="32"/>
  <c r="G2232" i="32"/>
  <c r="G2231" i="32"/>
  <c r="G2230" i="32"/>
  <c r="G2229" i="32"/>
  <c r="G2228" i="32"/>
  <c r="G2227" i="32"/>
  <c r="G2226" i="32"/>
  <c r="G2225" i="32"/>
  <c r="G2224" i="32"/>
  <c r="G2223" i="32"/>
  <c r="G2222" i="32"/>
  <c r="G2221" i="32"/>
  <c r="G2220" i="32"/>
  <c r="G2219" i="32"/>
  <c r="G2218" i="32"/>
  <c r="G2217" i="32"/>
  <c r="G2216" i="32"/>
  <c r="G2214" i="32"/>
  <c r="G2213" i="32"/>
  <c r="G2212" i="32"/>
  <c r="G2211" i="32"/>
  <c r="G2210" i="32"/>
  <c r="G2208" i="32"/>
  <c r="G2207" i="32"/>
  <c r="G2206" i="32"/>
  <c r="G2205" i="32"/>
  <c r="G2204" i="32"/>
  <c r="G2203" i="32"/>
  <c r="G2202" i="32"/>
  <c r="G2200" i="32"/>
  <c r="G2199" i="32"/>
  <c r="G2198" i="32"/>
  <c r="G2197" i="32"/>
  <c r="G2196" i="32"/>
  <c r="G2195" i="32"/>
  <c r="G2194" i="32"/>
  <c r="G2193" i="32"/>
  <c r="G2192" i="32"/>
  <c r="G2191" i="32"/>
  <c r="G2190" i="32"/>
  <c r="G2189" i="32"/>
  <c r="G2187" i="32"/>
  <c r="G2186" i="32"/>
  <c r="G2185" i="32"/>
  <c r="G2184" i="32"/>
  <c r="G2183" i="32"/>
  <c r="G2182" i="32"/>
  <c r="G2181" i="32"/>
  <c r="G2180" i="32"/>
  <c r="G2179" i="32"/>
  <c r="G2178" i="32"/>
  <c r="G2177" i="32"/>
  <c r="G2176" i="32"/>
  <c r="G2175" i="32"/>
  <c r="G2174" i="32"/>
  <c r="G2173" i="32"/>
  <c r="G2172" i="32"/>
  <c r="G2171" i="32"/>
  <c r="G2170" i="32"/>
  <c r="G2169" i="32"/>
  <c r="G2168" i="32"/>
  <c r="G2167" i="32"/>
  <c r="G2166" i="32"/>
  <c r="G2165" i="32"/>
  <c r="G2164" i="32"/>
  <c r="G2163" i="32"/>
  <c r="G2162" i="32"/>
  <c r="G2161" i="32"/>
  <c r="G2158" i="32"/>
  <c r="G2157" i="32"/>
  <c r="G2156" i="32"/>
  <c r="G2155" i="32"/>
  <c r="G2154" i="32"/>
  <c r="G2152" i="32"/>
  <c r="G2151" i="32"/>
  <c r="G2150" i="32"/>
  <c r="G2149" i="32"/>
  <c r="G2148" i="32"/>
  <c r="G2147" i="32"/>
  <c r="G2146" i="32"/>
  <c r="G2145" i="32"/>
  <c r="G2144" i="32"/>
  <c r="G2141" i="32"/>
  <c r="G2140" i="32"/>
  <c r="G2139" i="32"/>
  <c r="G2138" i="32"/>
  <c r="G2137" i="32"/>
  <c r="G2136" i="32"/>
  <c r="G2134" i="32"/>
  <c r="G2132" i="32"/>
  <c r="G2131" i="32"/>
  <c r="G2130" i="32"/>
  <c r="G2129" i="32"/>
  <c r="G2128" i="32"/>
  <c r="G2127" i="32"/>
  <c r="G2126" i="32"/>
  <c r="G2125" i="32"/>
  <c r="G2124" i="32"/>
  <c r="G2123" i="32"/>
  <c r="G2122" i="32"/>
  <c r="G2121" i="32"/>
  <c r="G2119" i="32"/>
  <c r="G2118" i="32"/>
  <c r="G2116" i="32"/>
  <c r="G2114" i="32"/>
  <c r="G2113" i="32"/>
  <c r="G2112" i="32"/>
  <c r="G2111" i="32"/>
  <c r="G2110" i="32"/>
  <c r="G2109" i="32"/>
  <c r="G2108" i="32"/>
  <c r="G2107" i="32"/>
  <c r="G2106" i="32"/>
  <c r="G2105" i="32"/>
  <c r="G2104" i="32"/>
  <c r="G2103" i="32"/>
  <c r="G2102" i="32"/>
  <c r="G2101" i="32"/>
  <c r="G2099" i="32"/>
  <c r="G2096" i="32"/>
  <c r="G2095" i="32"/>
  <c r="G2094" i="32"/>
  <c r="G2093" i="32"/>
  <c r="G2092" i="32"/>
  <c r="G2090" i="32"/>
  <c r="G2089" i="32"/>
  <c r="G2088" i="32"/>
  <c r="G2087" i="32"/>
  <c r="G2086" i="32"/>
  <c r="G2085" i="32"/>
  <c r="G2083" i="32"/>
  <c r="G2080" i="32"/>
  <c r="G2079" i="32"/>
  <c r="G2078" i="32"/>
  <c r="G2077" i="32"/>
  <c r="G2076" i="32"/>
  <c r="G2075" i="32"/>
  <c r="G2074" i="32"/>
  <c r="G2073" i="32"/>
  <c r="G2072" i="32"/>
  <c r="G2071" i="32"/>
  <c r="G2070" i="32"/>
  <c r="G2069" i="32"/>
  <c r="G2068" i="32"/>
  <c r="G2067" i="32"/>
  <c r="G2066" i="32"/>
  <c r="G2065" i="32"/>
  <c r="G2064" i="32"/>
  <c r="G2063" i="32"/>
  <c r="G2062" i="32"/>
  <c r="G2061" i="32"/>
  <c r="G2060" i="32"/>
  <c r="G2059" i="32"/>
  <c r="G2058" i="32"/>
  <c r="G2057" i="32"/>
  <c r="G2056" i="32"/>
  <c r="G2055" i="32"/>
  <c r="G2053" i="32"/>
  <c r="G2052" i="32"/>
  <c r="G2051" i="32"/>
  <c r="G2049" i="32"/>
  <c r="G2048" i="32"/>
  <c r="G2047" i="32"/>
  <c r="G2046" i="32"/>
  <c r="G2045" i="32"/>
  <c r="G2044" i="32"/>
  <c r="G2043" i="32"/>
  <c r="G2042" i="32"/>
  <c r="G2041" i="32"/>
  <c r="G2040" i="32"/>
  <c r="G2039" i="32"/>
  <c r="G2038" i="32"/>
  <c r="G2037" i="32"/>
  <c r="G2036" i="32"/>
  <c r="G2034" i="32"/>
  <c r="G2033" i="32"/>
  <c r="G2029" i="32"/>
  <c r="G2028" i="32"/>
  <c r="G2027" i="32"/>
  <c r="G2026" i="32"/>
  <c r="G2025" i="32"/>
  <c r="G2024" i="32"/>
  <c r="G2023" i="32"/>
  <c r="G2021" i="32"/>
  <c r="G2020" i="32"/>
  <c r="G2019" i="32"/>
  <c r="G2018" i="32"/>
  <c r="G2016" i="32"/>
  <c r="G2014" i="32"/>
  <c r="G2013" i="32"/>
  <c r="G2012" i="32"/>
  <c r="G2011" i="32"/>
  <c r="G2010" i="32"/>
  <c r="G2009" i="32"/>
  <c r="G2008" i="32"/>
  <c r="G2007" i="32"/>
  <c r="G2006" i="32"/>
  <c r="G2005" i="32"/>
  <c r="G2004" i="32"/>
  <c r="G2003" i="32"/>
  <c r="G2002" i="32"/>
  <c r="G2001" i="32"/>
  <c r="G2000" i="32"/>
  <c r="G1999" i="32"/>
  <c r="G1996" i="32"/>
  <c r="G1995" i="32"/>
  <c r="G1994" i="32"/>
  <c r="G1993" i="32"/>
  <c r="G1992" i="32"/>
  <c r="G1991" i="32"/>
  <c r="G1990" i="32"/>
  <c r="G1989" i="32"/>
  <c r="G1988" i="32"/>
  <c r="G1987" i="32"/>
  <c r="G1986" i="32"/>
  <c r="G1985" i="32"/>
  <c r="G1984" i="32"/>
  <c r="G1981" i="32"/>
  <c r="G1980" i="32"/>
  <c r="G1979" i="32"/>
  <c r="G1978" i="32"/>
  <c r="G1977" i="32"/>
  <c r="G1976" i="32"/>
  <c r="G1975" i="32"/>
  <c r="G1974" i="32"/>
  <c r="G1972" i="32"/>
  <c r="G1971" i="32"/>
  <c r="G1970" i="32"/>
  <c r="G1969" i="32"/>
  <c r="G1968" i="32"/>
  <c r="G1967" i="32"/>
  <c r="G1966" i="32"/>
  <c r="G1964" i="32"/>
  <c r="G1963" i="32"/>
  <c r="G1962" i="32"/>
  <c r="G1961" i="32"/>
  <c r="G1960" i="32"/>
  <c r="G1959" i="32"/>
  <c r="G1958" i="32"/>
  <c r="G1957" i="32"/>
  <c r="G1956" i="32"/>
  <c r="G1955" i="32"/>
  <c r="G1954" i="32"/>
  <c r="G1953" i="32"/>
  <c r="G1952" i="32"/>
  <c r="G1951" i="32"/>
  <c r="G1948" i="32"/>
  <c r="G1947" i="32"/>
  <c r="G1946" i="32"/>
  <c r="G1945" i="32"/>
  <c r="G1944" i="32"/>
  <c r="G1943" i="32"/>
  <c r="G1942" i="32"/>
  <c r="G1941" i="32"/>
  <c r="G1940" i="32"/>
  <c r="G1938" i="32"/>
  <c r="G1937" i="32"/>
  <c r="G1935" i="32"/>
  <c r="G1934" i="32"/>
  <c r="G1933" i="32"/>
  <c r="G1932" i="32"/>
  <c r="G1931" i="32"/>
  <c r="G1930" i="32"/>
  <c r="G1929" i="32"/>
  <c r="G1928" i="32"/>
  <c r="G1927" i="32"/>
  <c r="G1926" i="32"/>
  <c r="G1925" i="32"/>
  <c r="G1924" i="32"/>
  <c r="G1923" i="32"/>
  <c r="G1922" i="32"/>
  <c r="G1921" i="32"/>
  <c r="G1920" i="32"/>
  <c r="G1919" i="32"/>
  <c r="G1918" i="32"/>
  <c r="G1917" i="32"/>
  <c r="G1916" i="32"/>
  <c r="G1915" i="32"/>
  <c r="G1914" i="32"/>
  <c r="G1913" i="32"/>
  <c r="G1912" i="32"/>
  <c r="G1911" i="32"/>
  <c r="G1910" i="32"/>
  <c r="G1909" i="32"/>
  <c r="G1908" i="32"/>
  <c r="G1907" i="32"/>
  <c r="G1906" i="32"/>
  <c r="G1905" i="32"/>
  <c r="G1904" i="32"/>
  <c r="G1903" i="32"/>
  <c r="G1902" i="32"/>
  <c r="G1901" i="32"/>
  <c r="G1900" i="32"/>
  <c r="G1899" i="32"/>
  <c r="G1898" i="32"/>
  <c r="G1897" i="32"/>
  <c r="G1894" i="32"/>
  <c r="G1893" i="32"/>
  <c r="G1892" i="32"/>
  <c r="G1891" i="32"/>
  <c r="G1890" i="32"/>
  <c r="G1889" i="32"/>
  <c r="G1888" i="32"/>
  <c r="G1887" i="32"/>
  <c r="G1886" i="32"/>
  <c r="G1885" i="32"/>
  <c r="G1884" i="32"/>
  <c r="G1883" i="32"/>
  <c r="G1882" i="32"/>
  <c r="G1881" i="32"/>
  <c r="G1880" i="32"/>
  <c r="G1878" i="32"/>
  <c r="G1877" i="32"/>
  <c r="G1876" i="32"/>
  <c r="G1875" i="32"/>
  <c r="G1874" i="32"/>
  <c r="G1873" i="32"/>
  <c r="G1872" i="32"/>
  <c r="G1871" i="32"/>
  <c r="G1870" i="32"/>
  <c r="G1869" i="32"/>
  <c r="G1868" i="32"/>
  <c r="G1867" i="32"/>
  <c r="G1866" i="32"/>
  <c r="G1865" i="32"/>
  <c r="G1864" i="32"/>
  <c r="G1863" i="32"/>
  <c r="G1862" i="32"/>
  <c r="G1861" i="32"/>
  <c r="G1860" i="32"/>
  <c r="G1859" i="32"/>
  <c r="G1857" i="32"/>
  <c r="G1856" i="32"/>
  <c r="G1855" i="32"/>
  <c r="G1854" i="32"/>
  <c r="G1853" i="32"/>
  <c r="G1852" i="32"/>
  <c r="G1850" i="32"/>
  <c r="G1849" i="32"/>
  <c r="G1848" i="32"/>
  <c r="G1847" i="32"/>
  <c r="G1846" i="32"/>
  <c r="G1845" i="32"/>
  <c r="G1843" i="32"/>
  <c r="G1842" i="32"/>
  <c r="G1841" i="32"/>
  <c r="G1840" i="32"/>
  <c r="G1839" i="32"/>
  <c r="G1838" i="32"/>
  <c r="G1837" i="32"/>
  <c r="G1836" i="32"/>
  <c r="G1835" i="32"/>
  <c r="G1834" i="32"/>
  <c r="G1833" i="32"/>
  <c r="G1832" i="32"/>
  <c r="G1831" i="32"/>
  <c r="G1830" i="32"/>
  <c r="G1827" i="32"/>
  <c r="G1826" i="32"/>
  <c r="G1823" i="32"/>
  <c r="G1821" i="32"/>
  <c r="G1820" i="32"/>
  <c r="G1819" i="32"/>
  <c r="G1818" i="32"/>
  <c r="G1817" i="32"/>
  <c r="G1816" i="32"/>
  <c r="G1815" i="32"/>
  <c r="G1814" i="32"/>
  <c r="G1813" i="32"/>
  <c r="G1812" i="32"/>
  <c r="G1811" i="32"/>
  <c r="G1810" i="32"/>
  <c r="G1809" i="32"/>
  <c r="G1808" i="32"/>
  <c r="G1807" i="32"/>
  <c r="G1806" i="32"/>
  <c r="G1805" i="32"/>
  <c r="G1804" i="32"/>
  <c r="G1803" i="32"/>
  <c r="G1802" i="32"/>
  <c r="G1801" i="32"/>
  <c r="G1800" i="32"/>
  <c r="G1799" i="32"/>
  <c r="G1798" i="32"/>
  <c r="G1797" i="32"/>
  <c r="G1796" i="32"/>
  <c r="G1795" i="32"/>
  <c r="G1794" i="32"/>
  <c r="G1793" i="32"/>
  <c r="G1792" i="32"/>
  <c r="G1790" i="32"/>
  <c r="G1789" i="32"/>
  <c r="G1788" i="32"/>
  <c r="G1787" i="32"/>
  <c r="G1786" i="32"/>
  <c r="G1784" i="32"/>
  <c r="G1783" i="32"/>
  <c r="G1782" i="32"/>
  <c r="G1781" i="32"/>
  <c r="G1780" i="32"/>
  <c r="G1778" i="32"/>
  <c r="G1777" i="32"/>
  <c r="G1776" i="32"/>
  <c r="G1775" i="32"/>
  <c r="G1774" i="32"/>
  <c r="G1773" i="32"/>
  <c r="G1769" i="32"/>
  <c r="G1768" i="32"/>
  <c r="G1767" i="32"/>
  <c r="G1765" i="32"/>
  <c r="G1764" i="32"/>
  <c r="G1763" i="32"/>
  <c r="G1761" i="32"/>
  <c r="G1760" i="32"/>
  <c r="G1759" i="32"/>
  <c r="G1758" i="32"/>
  <c r="G1757" i="32"/>
  <c r="G1756" i="32"/>
  <c r="G1755" i="32"/>
  <c r="G1754" i="32"/>
  <c r="G1753" i="32"/>
  <c r="G1752" i="32"/>
  <c r="G1751" i="32"/>
  <c r="G1750" i="32"/>
  <c r="G1749" i="32"/>
  <c r="G1748" i="32"/>
  <c r="G1747" i="32"/>
  <c r="G1746" i="32"/>
  <c r="G1745" i="32"/>
  <c r="G1744" i="32"/>
  <c r="G1743" i="32"/>
  <c r="G1742" i="32"/>
  <c r="G1741" i="32"/>
  <c r="G1740" i="32"/>
  <c r="G1739" i="32"/>
  <c r="G1738" i="32"/>
  <c r="G1737" i="32"/>
  <c r="G1736" i="32"/>
  <c r="G1735" i="32"/>
  <c r="G1733" i="32"/>
  <c r="G1732" i="32"/>
  <c r="G1731" i="32"/>
  <c r="G1730" i="32"/>
  <c r="G1729" i="32"/>
  <c r="G1728" i="32"/>
  <c r="G1727" i="32"/>
  <c r="G1726" i="32"/>
  <c r="G1724" i="32"/>
  <c r="G1722" i="32"/>
  <c r="G1721" i="32"/>
  <c r="G1720" i="32"/>
  <c r="G1719" i="32"/>
  <c r="G1718" i="32"/>
  <c r="G1717" i="32"/>
  <c r="G1716" i="32"/>
  <c r="G1715" i="32"/>
  <c r="G1714" i="32"/>
  <c r="G1713" i="32"/>
  <c r="G1712" i="32"/>
  <c r="G1711" i="32"/>
  <c r="G1710" i="32"/>
  <c r="G1708" i="32"/>
  <c r="G1706" i="32"/>
  <c r="G1705" i="32"/>
  <c r="G1704" i="32"/>
  <c r="G1703" i="32"/>
  <c r="G1701" i="32"/>
  <c r="G1700" i="32"/>
  <c r="G1699" i="32"/>
  <c r="G1698" i="32"/>
  <c r="G1697" i="32"/>
  <c r="G1696" i="32"/>
  <c r="G1695" i="32"/>
  <c r="G1693" i="32"/>
  <c r="G1691" i="32"/>
  <c r="G1690" i="32"/>
  <c r="G1688" i="32"/>
  <c r="G1687" i="32"/>
  <c r="G1686" i="32"/>
  <c r="G1685" i="32"/>
  <c r="G1684" i="32"/>
  <c r="G1682" i="32"/>
  <c r="G1681" i="32"/>
  <c r="G1680" i="32"/>
  <c r="G1679" i="32"/>
  <c r="G1678" i="32"/>
  <c r="G1677" i="32"/>
  <c r="G1676" i="32"/>
  <c r="G1675" i="32"/>
  <c r="G1674" i="32"/>
  <c r="G1673" i="32"/>
  <c r="G1672" i="32"/>
  <c r="G1671" i="32"/>
  <c r="G1670" i="32"/>
  <c r="G1669" i="32"/>
  <c r="G1668" i="32"/>
  <c r="G1667" i="32"/>
  <c r="G1665" i="32"/>
  <c r="G1664" i="32"/>
  <c r="G1663" i="32"/>
  <c r="G1662" i="32"/>
  <c r="G1661" i="32"/>
  <c r="G1659" i="32"/>
  <c r="G1658" i="32"/>
  <c r="G1657" i="32"/>
  <c r="G1655" i="32"/>
  <c r="G1654" i="32"/>
  <c r="G1653" i="32"/>
  <c r="G1652" i="32"/>
  <c r="G1651" i="32"/>
  <c r="G1650" i="32"/>
  <c r="G1649" i="32"/>
  <c r="G1648" i="32"/>
  <c r="G1647" i="32"/>
  <c r="G1646" i="32"/>
  <c r="G1645" i="32"/>
  <c r="G1644" i="32"/>
  <c r="G1643" i="32"/>
  <c r="G1642" i="32"/>
  <c r="G1641" i="32"/>
  <c r="G1640" i="32"/>
  <c r="G1639" i="32"/>
  <c r="G1638" i="32"/>
  <c r="G1637" i="32"/>
  <c r="G1636" i="32"/>
  <c r="G1635" i="32"/>
  <c r="G1634" i="32"/>
  <c r="G1633" i="32"/>
  <c r="G1632" i="32"/>
  <c r="G1631" i="32"/>
  <c r="G1630" i="32"/>
  <c r="G1629" i="32"/>
  <c r="G1628" i="32"/>
  <c r="G1627" i="32"/>
  <c r="G1626" i="32"/>
  <c r="G1625" i="32"/>
  <c r="G1624" i="32"/>
  <c r="G1623" i="32"/>
  <c r="G1622" i="32"/>
  <c r="G1621" i="32"/>
  <c r="G1620" i="32"/>
  <c r="G1619" i="32"/>
  <c r="G1618" i="32"/>
  <c r="G1617" i="32"/>
  <c r="G1616" i="32"/>
  <c r="G1615" i="32"/>
  <c r="G1614" i="32"/>
  <c r="G1613" i="32"/>
  <c r="G1612" i="32"/>
  <c r="G1611" i="32"/>
  <c r="G1610" i="32"/>
  <c r="G1609" i="32"/>
  <c r="G1608" i="32"/>
  <c r="G1607" i="32"/>
  <c r="G1606" i="32"/>
  <c r="G1605" i="32"/>
  <c r="G1604" i="32"/>
  <c r="G1603" i="32"/>
  <c r="G1602" i="32"/>
  <c r="G1601" i="32"/>
  <c r="G1600" i="32"/>
  <c r="G1599" i="32"/>
  <c r="G1598" i="32"/>
  <c r="G1597" i="32"/>
  <c r="G1596" i="32"/>
  <c r="G1595" i="32"/>
  <c r="G1594" i="32"/>
  <c r="G1593" i="32"/>
  <c r="G1592" i="32"/>
  <c r="G1591" i="32"/>
  <c r="G1590" i="32"/>
  <c r="G1588" i="32"/>
  <c r="G1587" i="32"/>
  <c r="G1586" i="32"/>
  <c r="G1585" i="32"/>
  <c r="G1584" i="32"/>
  <c r="G1583" i="32"/>
  <c r="G1582" i="32"/>
  <c r="G1581" i="32"/>
  <c r="G1580" i="32"/>
  <c r="G1579" i="32"/>
  <c r="G1578" i="32"/>
  <c r="G1577" i="32"/>
  <c r="G1576" i="32"/>
  <c r="G1575" i="32"/>
  <c r="G1574" i="32"/>
  <c r="G1573" i="32"/>
  <c r="G1572" i="32"/>
  <c r="G1567" i="32"/>
  <c r="G1566" i="32"/>
  <c r="G1565" i="32"/>
  <c r="G1564" i="32"/>
  <c r="G1563" i="32"/>
  <c r="G1562" i="32"/>
  <c r="G1561" i="32"/>
  <c r="G1560" i="32"/>
  <c r="G1559" i="32"/>
  <c r="G1558" i="32"/>
  <c r="G1557" i="32"/>
  <c r="G1556" i="32"/>
  <c r="G1555" i="32"/>
  <c r="G1554" i="32"/>
  <c r="G1553" i="32"/>
  <c r="G1552" i="32"/>
  <c r="G1551" i="32"/>
  <c r="G1550" i="32"/>
  <c r="G1549" i="32"/>
  <c r="G1548" i="32"/>
  <c r="G1547" i="32"/>
  <c r="G1546" i="32"/>
  <c r="G1543" i="32"/>
  <c r="G1542" i="32"/>
  <c r="G1541" i="32"/>
  <c r="G1540" i="32"/>
  <c r="G1539" i="32"/>
  <c r="G1538" i="32"/>
  <c r="G1537" i="32"/>
  <c r="G1536" i="32"/>
  <c r="G1535" i="32"/>
  <c r="G1534" i="32"/>
  <c r="G1533" i="32"/>
  <c r="G1532" i="32"/>
  <c r="G1531" i="32"/>
  <c r="G1530" i="32"/>
  <c r="G1529" i="32"/>
  <c r="G1528" i="32"/>
  <c r="G1527" i="32"/>
  <c r="G1524" i="32"/>
  <c r="G1523" i="32"/>
  <c r="G1522" i="32"/>
  <c r="G1521" i="32"/>
  <c r="G1519" i="32"/>
  <c r="G1518" i="32"/>
  <c r="G1517" i="32"/>
  <c r="G1516" i="32"/>
  <c r="G1515" i="32"/>
  <c r="G1514" i="32"/>
  <c r="G1513" i="32"/>
  <c r="G1512" i="32"/>
  <c r="G1511" i="32"/>
  <c r="G1510" i="32"/>
  <c r="G1509" i="32"/>
  <c r="G1508" i="32"/>
  <c r="G1507" i="32"/>
  <c r="G1506" i="32"/>
  <c r="G1505" i="32"/>
  <c r="G1504" i="32"/>
  <c r="G1503" i="32"/>
  <c r="G1502" i="32"/>
  <c r="G1501" i="32"/>
  <c r="G1500" i="32"/>
  <c r="G1499" i="32"/>
  <c r="G1498" i="32"/>
  <c r="G1497" i="32"/>
  <c r="G1496" i="32"/>
  <c r="G1495" i="32"/>
  <c r="G1494" i="32"/>
  <c r="G1493" i="32"/>
  <c r="G1492" i="32"/>
  <c r="G1491" i="32"/>
  <c r="G1490" i="32"/>
  <c r="G1489" i="32"/>
  <c r="G1488" i="32"/>
  <c r="G1487" i="32"/>
  <c r="G1486" i="32"/>
  <c r="G1485" i="32"/>
  <c r="G1482" i="32"/>
  <c r="G1481" i="32"/>
  <c r="G1480" i="32"/>
  <c r="G1479" i="32"/>
  <c r="G1478" i="32"/>
  <c r="G1477" i="32"/>
  <c r="G1476" i="32"/>
  <c r="G1475" i="32"/>
  <c r="G1474" i="32"/>
  <c r="G1473" i="32"/>
  <c r="G1472" i="32"/>
  <c r="G1471" i="32"/>
  <c r="G1470" i="32"/>
  <c r="G1469" i="32"/>
  <c r="G1468" i="32"/>
  <c r="G1467" i="32"/>
  <c r="G1466" i="32"/>
  <c r="G1465" i="32"/>
  <c r="G1464" i="32"/>
  <c r="G1463" i="32"/>
  <c r="G1462" i="32"/>
  <c r="G1461" i="32"/>
  <c r="G1460" i="32"/>
  <c r="G1459" i="32"/>
  <c r="G1458" i="32"/>
  <c r="G1457" i="32"/>
  <c r="G1456" i="32"/>
  <c r="G1455" i="32"/>
  <c r="G1454" i="32"/>
  <c r="G1453" i="32"/>
  <c r="G1452" i="32"/>
  <c r="G1451" i="32"/>
  <c r="G1449" i="32"/>
  <c r="G1448" i="32"/>
  <c r="G1447" i="32"/>
  <c r="G1446" i="32"/>
  <c r="G1445" i="32"/>
  <c r="G1444" i="32"/>
  <c r="G1443" i="32"/>
  <c r="G1442" i="32"/>
  <c r="G1441" i="32"/>
  <c r="G1440" i="32"/>
  <c r="G1439" i="32"/>
  <c r="G1438" i="32"/>
  <c r="G1437" i="32"/>
  <c r="G1436" i="32"/>
  <c r="G1435" i="32"/>
  <c r="G1433" i="32"/>
  <c r="G1432" i="32"/>
  <c r="G1431" i="32"/>
  <c r="G1430" i="32"/>
  <c r="G1429" i="32"/>
  <c r="G1428" i="32"/>
  <c r="G1427" i="32"/>
  <c r="G1426" i="32"/>
  <c r="G1424" i="32"/>
  <c r="G1423" i="32"/>
  <c r="G1422" i="32"/>
  <c r="G1421" i="32"/>
  <c r="G1420" i="32"/>
  <c r="G1419" i="32"/>
  <c r="G1418" i="32"/>
  <c r="G1417" i="32"/>
  <c r="G1416" i="32"/>
  <c r="G1415" i="32"/>
  <c r="G1414" i="32"/>
  <c r="G1413" i="32"/>
  <c r="G1412" i="32"/>
  <c r="G1411" i="32"/>
  <c r="G1410" i="32"/>
  <c r="G1409" i="32"/>
  <c r="G1408" i="32"/>
  <c r="G1407" i="32"/>
  <c r="G1406" i="32"/>
  <c r="G1405" i="32"/>
  <c r="G1404" i="32"/>
  <c r="G1401" i="32"/>
  <c r="G1400" i="32"/>
  <c r="G1398" i="32"/>
  <c r="G1397" i="32"/>
  <c r="G1396" i="32"/>
  <c r="G1395" i="32"/>
  <c r="G1394" i="32"/>
  <c r="G1393" i="32"/>
  <c r="G1392" i="32"/>
  <c r="G1391" i="32"/>
  <c r="G1390" i="32"/>
  <c r="G1389" i="32"/>
  <c r="G1388" i="32"/>
  <c r="G1387" i="32"/>
  <c r="G1386" i="32"/>
  <c r="G1385" i="32"/>
  <c r="G1384" i="32"/>
  <c r="G1383" i="32"/>
  <c r="G1382" i="32"/>
  <c r="G1381" i="32"/>
  <c r="G1380" i="32"/>
  <c r="G1379" i="32"/>
  <c r="G1378" i="32"/>
  <c r="G1377" i="32"/>
  <c r="G1376" i="32"/>
  <c r="G1375" i="32"/>
  <c r="G1374" i="32"/>
  <c r="G1373" i="32"/>
  <c r="G1372" i="32"/>
  <c r="G1371" i="32"/>
  <c r="G1370" i="32"/>
  <c r="G1369" i="32"/>
  <c r="G1368" i="32"/>
  <c r="G1367" i="32"/>
  <c r="G1366" i="32"/>
  <c r="G1364" i="32"/>
  <c r="G1363" i="32"/>
  <c r="G1362" i="32"/>
  <c r="G1361" i="32"/>
  <c r="G1360" i="32"/>
  <c r="G1359" i="32"/>
  <c r="G1358" i="32"/>
  <c r="G1357" i="32"/>
  <c r="G1356" i="32"/>
  <c r="G1355" i="32"/>
  <c r="G1354" i="32"/>
  <c r="G1350" i="32"/>
  <c r="G1349" i="32"/>
  <c r="G1347" i="32"/>
  <c r="G1346" i="32"/>
  <c r="G1344" i="32"/>
  <c r="G1343" i="32"/>
  <c r="G1342" i="32"/>
  <c r="G1341" i="32"/>
  <c r="G1340" i="32"/>
  <c r="G1339" i="32"/>
  <c r="G1336" i="32"/>
  <c r="G1333" i="32"/>
  <c r="G1332" i="32"/>
  <c r="G1331" i="32"/>
  <c r="G1330" i="32"/>
  <c r="G1329" i="32"/>
  <c r="G1328" i="32"/>
  <c r="G1327" i="32"/>
  <c r="G1326" i="32"/>
  <c r="G1325" i="32"/>
  <c r="G1324" i="32"/>
  <c r="G1323" i="32"/>
  <c r="G1322" i="32"/>
  <c r="G1321" i="32"/>
  <c r="G1320" i="32"/>
  <c r="G1319" i="32"/>
  <c r="G1318" i="32"/>
  <c r="G1317" i="32"/>
  <c r="G1316" i="32"/>
  <c r="G1315" i="32"/>
  <c r="G1314" i="32"/>
  <c r="G1313" i="32"/>
  <c r="G1312" i="32"/>
  <c r="G1310" i="32"/>
  <c r="G1308" i="32"/>
  <c r="G1307" i="32"/>
  <c r="G1306" i="32"/>
  <c r="G1305" i="32"/>
  <c r="G1304" i="32"/>
  <c r="G1303" i="32"/>
  <c r="G1302" i="32"/>
  <c r="G1301" i="32"/>
  <c r="G1300" i="32"/>
  <c r="G1299" i="32"/>
  <c r="G1298" i="32"/>
  <c r="G1297" i="32"/>
  <c r="G1296" i="32"/>
  <c r="G1295" i="32"/>
  <c r="G1294" i="32"/>
  <c r="G1290" i="32"/>
  <c r="G1289" i="32"/>
  <c r="G1288" i="32"/>
  <c r="G1287" i="32"/>
  <c r="G1286" i="32"/>
  <c r="G1285" i="32"/>
  <c r="G1284" i="32"/>
  <c r="G1283" i="32"/>
  <c r="G1282" i="32"/>
  <c r="G1280" i="32"/>
  <c r="G1279" i="32"/>
  <c r="G1278" i="32"/>
  <c r="G1276" i="32"/>
  <c r="G1275" i="32"/>
  <c r="G1274" i="32"/>
  <c r="G1273" i="32"/>
  <c r="G1272" i="32"/>
  <c r="G1271" i="32"/>
  <c r="G1270" i="32"/>
  <c r="G1269" i="32"/>
  <c r="G1266" i="32"/>
  <c r="G1265" i="32"/>
  <c r="G1263" i="32"/>
  <c r="G1262" i="32"/>
  <c r="G1261" i="32"/>
  <c r="G1258" i="32"/>
  <c r="G1257" i="32"/>
  <c r="G1256" i="32"/>
  <c r="G1255" i="32"/>
  <c r="G1254" i="32"/>
  <c r="G1253" i="32"/>
  <c r="G1252" i="32"/>
  <c r="G1251" i="32"/>
  <c r="G1250" i="32"/>
  <c r="G1249" i="32"/>
  <c r="G1248" i="32"/>
  <c r="G1247" i="32"/>
  <c r="G1246" i="32"/>
  <c r="G1245" i="32"/>
  <c r="G1244" i="32"/>
  <c r="G1243" i="32"/>
  <c r="G1242" i="32"/>
  <c r="G1241" i="32"/>
  <c r="G1240" i="32"/>
  <c r="G1239" i="32"/>
  <c r="G1237" i="32"/>
  <c r="G1236" i="32"/>
  <c r="G1235" i="32"/>
  <c r="G1234" i="32"/>
  <c r="G1231" i="32"/>
  <c r="G1230" i="32"/>
  <c r="G1228" i="32"/>
  <c r="G1227" i="32"/>
  <c r="G1225" i="32"/>
  <c r="G1224" i="32"/>
  <c r="G1223" i="32"/>
  <c r="G1220" i="32"/>
  <c r="G1217" i="32"/>
  <c r="G1216" i="32"/>
  <c r="G1215" i="32"/>
  <c r="G1214" i="32"/>
  <c r="G1213" i="32"/>
  <c r="G1212" i="32"/>
  <c r="G1211" i="32"/>
  <c r="G1210" i="32"/>
  <c r="G1209" i="32"/>
  <c r="G1208" i="32"/>
  <c r="G1207" i="32"/>
  <c r="G1206" i="32"/>
  <c r="G1205" i="32"/>
  <c r="G1204" i="32"/>
  <c r="G1203" i="32"/>
  <c r="G1202" i="32"/>
  <c r="G1201" i="32"/>
  <c r="G1200" i="32"/>
  <c r="G1199" i="32"/>
  <c r="G1198" i="32"/>
  <c r="G1197" i="32"/>
  <c r="G1196" i="32"/>
  <c r="G1195" i="32"/>
  <c r="G1193" i="32"/>
  <c r="G1192" i="32"/>
  <c r="G1191" i="32"/>
  <c r="G1190" i="32"/>
  <c r="G1189" i="32"/>
  <c r="G1188" i="32"/>
  <c r="G1187" i="32"/>
  <c r="G1186" i="32"/>
  <c r="G1185" i="32"/>
  <c r="G1184" i="32"/>
  <c r="G1183" i="32"/>
  <c r="G1182" i="32"/>
  <c r="G1181" i="32"/>
  <c r="G1179" i="32"/>
  <c r="G1178" i="32"/>
  <c r="G1177" i="32"/>
  <c r="G1176" i="32"/>
  <c r="G1175" i="32"/>
  <c r="G1174" i="32"/>
  <c r="G1173" i="32"/>
  <c r="G1172" i="32"/>
  <c r="G1171" i="32"/>
  <c r="G1170" i="32"/>
  <c r="G1169" i="32"/>
  <c r="G1168" i="32"/>
  <c r="G1167" i="32"/>
  <c r="G1166" i="32"/>
  <c r="G1165" i="32"/>
  <c r="G1164" i="32"/>
  <c r="G1163" i="32"/>
  <c r="G1162" i="32"/>
  <c r="G1161" i="32"/>
  <c r="G1160" i="32"/>
  <c r="G1159" i="32"/>
  <c r="G1158" i="32"/>
  <c r="G1157" i="32"/>
  <c r="G1156" i="32"/>
  <c r="G1155" i="32"/>
  <c r="G1154" i="32"/>
  <c r="G1153" i="32"/>
  <c r="G1152" i="32"/>
  <c r="G1151" i="32"/>
  <c r="G1150" i="32"/>
  <c r="G1149" i="32"/>
  <c r="G1148" i="32"/>
  <c r="G1146" i="32"/>
  <c r="G1144" i="32"/>
  <c r="G1143" i="32"/>
  <c r="G1142" i="32"/>
  <c r="G1141" i="32"/>
  <c r="G1140" i="32"/>
  <c r="G1139" i="32"/>
  <c r="G1138" i="32"/>
  <c r="G1137" i="32"/>
  <c r="G1136" i="32"/>
  <c r="G1135" i="32"/>
  <c r="G1134" i="32"/>
  <c r="G1133" i="32"/>
  <c r="G1132" i="32"/>
  <c r="G1131" i="32"/>
  <c r="G1130" i="32"/>
  <c r="G1129" i="32"/>
  <c r="G1128" i="32"/>
  <c r="G1127" i="32"/>
  <c r="G1126" i="32"/>
  <c r="G1125" i="32"/>
  <c r="G1123" i="32"/>
  <c r="G1122" i="32"/>
  <c r="G1120" i="32"/>
  <c r="G1119" i="32"/>
  <c r="G1117" i="32"/>
  <c r="G1113" i="32"/>
  <c r="G1111" i="32"/>
  <c r="G1110" i="32"/>
  <c r="G1109" i="32"/>
  <c r="G1108" i="32"/>
  <c r="G1107" i="32"/>
  <c r="G1106" i="32"/>
  <c r="G1105" i="32"/>
  <c r="G1104" i="32"/>
  <c r="G1102" i="32"/>
  <c r="G1101" i="32"/>
  <c r="G1100" i="32"/>
  <c r="G1099" i="32"/>
  <c r="G1098" i="32"/>
  <c r="G1097" i="32"/>
  <c r="G1095" i="32"/>
  <c r="G1094" i="32"/>
  <c r="G1093" i="32"/>
  <c r="G1092" i="32"/>
  <c r="G1091" i="32"/>
  <c r="G1090" i="32"/>
  <c r="G1089" i="32"/>
  <c r="G1088" i="32"/>
  <c r="G1087" i="32"/>
  <c r="G1086" i="32"/>
  <c r="G1085" i="32"/>
  <c r="G1084" i="32"/>
  <c r="G1082" i="32"/>
  <c r="G1081" i="32"/>
  <c r="G1080" i="32"/>
  <c r="G1079" i="32"/>
  <c r="G1078" i="32"/>
  <c r="G1077" i="32"/>
  <c r="G1076" i="32"/>
  <c r="G1075" i="32"/>
  <c r="G1074" i="32"/>
  <c r="G1073" i="32"/>
  <c r="G1072" i="32"/>
  <c r="G1070" i="32"/>
  <c r="G1068" i="32"/>
  <c r="G1067" i="32"/>
  <c r="G1066" i="32"/>
  <c r="G1065" i="32"/>
  <c r="G1064" i="32"/>
  <c r="G1063" i="32"/>
  <c r="G1062" i="32"/>
  <c r="G1061" i="32"/>
  <c r="G1060" i="32"/>
  <c r="G1059" i="32"/>
  <c r="G1058" i="32"/>
  <c r="G1056" i="32"/>
  <c r="G1055" i="32"/>
  <c r="G1054" i="32"/>
  <c r="G1052" i="32"/>
  <c r="G1051" i="32"/>
  <c r="G1050" i="32"/>
  <c r="G1049" i="32"/>
  <c r="G1048" i="32"/>
  <c r="G1047" i="32"/>
  <c r="G1046" i="32"/>
  <c r="G1045" i="32"/>
  <c r="G1044" i="32"/>
  <c r="G1043" i="32"/>
  <c r="G1042" i="32"/>
  <c r="G1041" i="32"/>
  <c r="G1040" i="32"/>
  <c r="G1037" i="32"/>
  <c r="G1036" i="32"/>
  <c r="G1035" i="32"/>
  <c r="G1034" i="32"/>
  <c r="G1033" i="32"/>
  <c r="G1032" i="32"/>
  <c r="G1031" i="32"/>
  <c r="G1030" i="32"/>
  <c r="G1029" i="32"/>
  <c r="G1028" i="32"/>
  <c r="G1026" i="32"/>
  <c r="G1025" i="32"/>
  <c r="G1024" i="32"/>
  <c r="G1023" i="32"/>
  <c r="G1022" i="32"/>
  <c r="G1021" i="32"/>
  <c r="G1020" i="32"/>
  <c r="G1019" i="32"/>
  <c r="G1018" i="32"/>
  <c r="G1017" i="32"/>
  <c r="G1015" i="32"/>
  <c r="G1014" i="32"/>
  <c r="G1013" i="32"/>
  <c r="G1012" i="32"/>
  <c r="G1011" i="32"/>
  <c r="G1010" i="32"/>
  <c r="G1009" i="32"/>
  <c r="G1008" i="32"/>
  <c r="G1007" i="32"/>
  <c r="G1006" i="32"/>
  <c r="G1005" i="32"/>
  <c r="G1004" i="32"/>
  <c r="G1003" i="32"/>
  <c r="G1002" i="32"/>
  <c r="G1001" i="32"/>
  <c r="G1000" i="32"/>
  <c r="G998" i="32"/>
  <c r="G997" i="32"/>
  <c r="G996" i="32"/>
  <c r="G995" i="32"/>
  <c r="G994" i="32"/>
  <c r="G993" i="32"/>
  <c r="G992" i="32"/>
  <c r="G991" i="32"/>
  <c r="G990" i="32"/>
  <c r="G989" i="32"/>
  <c r="G988" i="32"/>
  <c r="G987" i="32"/>
  <c r="G986" i="32"/>
  <c r="G985" i="32"/>
  <c r="G983" i="32"/>
  <c r="G982" i="32"/>
  <c r="G981" i="32"/>
  <c r="G980" i="32"/>
  <c r="G979" i="32"/>
  <c r="G978" i="32"/>
  <c r="G977" i="32"/>
  <c r="G976" i="32"/>
  <c r="G975" i="32"/>
  <c r="G974" i="32"/>
  <c r="G973" i="32"/>
  <c r="G972" i="32"/>
  <c r="G971" i="32"/>
  <c r="G970" i="32"/>
  <c r="G969" i="32"/>
  <c r="G968" i="32"/>
  <c r="G967" i="32"/>
  <c r="G966" i="32"/>
  <c r="G965" i="32"/>
  <c r="G964" i="32"/>
  <c r="G963" i="32"/>
  <c r="G962" i="32"/>
  <c r="G961" i="32"/>
  <c r="G960" i="32"/>
  <c r="G959" i="32"/>
  <c r="G958" i="32"/>
  <c r="G957" i="32"/>
  <c r="G956" i="32"/>
  <c r="G955" i="32"/>
  <c r="G954" i="32"/>
  <c r="G953" i="32"/>
  <c r="G952" i="32"/>
  <c r="G950" i="32"/>
  <c r="G949" i="32"/>
  <c r="G948" i="32"/>
  <c r="G947" i="32"/>
  <c r="G946" i="32"/>
  <c r="G945" i="32"/>
  <c r="G944" i="32"/>
  <c r="G943" i="32"/>
  <c r="G942" i="32"/>
  <c r="G941" i="32"/>
  <c r="G940" i="32"/>
  <c r="G939" i="32"/>
  <c r="G938" i="32"/>
  <c r="G937" i="32"/>
  <c r="G936" i="32"/>
  <c r="G935" i="32"/>
  <c r="G933" i="32"/>
  <c r="G932" i="32"/>
  <c r="G931" i="32"/>
  <c r="G930" i="32"/>
  <c r="G929" i="32"/>
  <c r="G928" i="32"/>
  <c r="G927" i="32"/>
  <c r="G926" i="32"/>
  <c r="G925" i="32"/>
  <c r="G924" i="32"/>
  <c r="G923" i="32"/>
  <c r="G922" i="32"/>
  <c r="G921" i="32"/>
  <c r="G920" i="32"/>
  <c r="G919" i="32"/>
  <c r="G918" i="32"/>
  <c r="G917" i="32"/>
  <c r="G916" i="32"/>
  <c r="G915" i="32"/>
  <c r="G914" i="32"/>
  <c r="G913" i="32"/>
  <c r="G912" i="32"/>
  <c r="G911" i="32"/>
  <c r="G910" i="32"/>
  <c r="G909" i="32"/>
  <c r="G907" i="32"/>
  <c r="G906" i="32"/>
  <c r="G905" i="32"/>
  <c r="G904" i="32"/>
  <c r="G903" i="32"/>
  <c r="G902" i="32"/>
  <c r="G901" i="32"/>
  <c r="G900" i="32"/>
  <c r="G899" i="32"/>
  <c r="G897" i="32"/>
  <c r="G895" i="32"/>
  <c r="G894" i="32"/>
  <c r="G893" i="32"/>
  <c r="G892" i="32"/>
  <c r="G891" i="32"/>
  <c r="G890" i="32"/>
  <c r="G888" i="32"/>
  <c r="G886" i="32"/>
  <c r="G885" i="32"/>
  <c r="G884" i="32"/>
  <c r="G882" i="32"/>
  <c r="G881" i="32"/>
  <c r="G880" i="32"/>
  <c r="G879" i="32"/>
  <c r="G878" i="32"/>
  <c r="G876" i="32"/>
  <c r="G875" i="32"/>
  <c r="G874" i="32"/>
  <c r="G873" i="32"/>
  <c r="G872" i="32"/>
  <c r="G871" i="32"/>
  <c r="G870" i="32"/>
  <c r="G869" i="32"/>
  <c r="G868" i="32"/>
  <c r="G867" i="32"/>
  <c r="G866" i="32"/>
  <c r="G865" i="32"/>
  <c r="G864" i="32"/>
  <c r="G863" i="32"/>
  <c r="G862" i="32"/>
  <c r="G861" i="32"/>
  <c r="G860" i="32"/>
  <c r="G859" i="32"/>
  <c r="G858" i="32"/>
  <c r="G857" i="32"/>
  <c r="G856" i="32"/>
  <c r="G855" i="32"/>
  <c r="G854" i="32"/>
  <c r="G853" i="32"/>
  <c r="G852" i="32"/>
  <c r="G851" i="32"/>
  <c r="G850" i="32"/>
  <c r="G849" i="32"/>
  <c r="G848" i="32"/>
  <c r="G847" i="32"/>
  <c r="G846" i="32"/>
  <c r="G845" i="32"/>
  <c r="G844" i="32"/>
  <c r="G843" i="32"/>
  <c r="G842" i="32"/>
  <c r="G841" i="32"/>
  <c r="G840" i="32"/>
  <c r="G839" i="32"/>
  <c r="G838" i="32"/>
  <c r="G836" i="32"/>
  <c r="G835" i="32"/>
  <c r="G834" i="32"/>
  <c r="G833" i="32"/>
  <c r="G831" i="32"/>
  <c r="G830" i="32"/>
  <c r="G828" i="32"/>
  <c r="G827" i="32"/>
  <c r="G826" i="32"/>
  <c r="G825" i="32"/>
  <c r="G824" i="32"/>
  <c r="G822" i="32"/>
  <c r="G821" i="32"/>
  <c r="G820" i="32"/>
  <c r="G819" i="32"/>
  <c r="G818" i="32"/>
  <c r="G817" i="32"/>
  <c r="G816" i="32"/>
  <c r="G815" i="32"/>
  <c r="G814" i="32"/>
  <c r="G813" i="32"/>
  <c r="G812" i="32"/>
  <c r="G811" i="32"/>
  <c r="G810" i="32"/>
  <c r="G809" i="32"/>
  <c r="G807" i="32"/>
  <c r="G805" i="32"/>
  <c r="G804" i="32"/>
  <c r="G803" i="32"/>
  <c r="G802" i="32"/>
  <c r="G801" i="32"/>
  <c r="G800" i="32"/>
  <c r="G799" i="32"/>
  <c r="G798" i="32"/>
  <c r="G797" i="32"/>
  <c r="G796" i="32"/>
  <c r="G795" i="32"/>
  <c r="G794" i="32"/>
  <c r="G793" i="32"/>
  <c r="G792" i="32"/>
  <c r="G791" i="32"/>
  <c r="G790" i="32"/>
  <c r="G789" i="32"/>
  <c r="G788" i="32"/>
  <c r="G787" i="32"/>
  <c r="G786" i="32"/>
  <c r="G785" i="32"/>
  <c r="G784" i="32"/>
  <c r="G783" i="32"/>
  <c r="G782" i="32"/>
  <c r="G781" i="32"/>
  <c r="G780" i="32"/>
  <c r="G779" i="32"/>
  <c r="G778" i="32"/>
  <c r="G777" i="32"/>
  <c r="G776" i="32"/>
  <c r="G775" i="32"/>
  <c r="G774" i="32"/>
  <c r="G773" i="32"/>
  <c r="G772" i="32"/>
  <c r="G771" i="32"/>
  <c r="G770" i="32"/>
  <c r="G764" i="32"/>
  <c r="G763" i="32"/>
  <c r="G762" i="32"/>
  <c r="G761" i="32"/>
  <c r="G760" i="32"/>
  <c r="G759" i="32"/>
  <c r="G758" i="32"/>
  <c r="G757" i="32"/>
  <c r="G755" i="32"/>
  <c r="G754" i="32"/>
  <c r="G753" i="32"/>
  <c r="G752" i="32"/>
  <c r="G751" i="32"/>
  <c r="G750" i="32"/>
  <c r="G749" i="32"/>
  <c r="G748" i="32"/>
  <c r="G747" i="32"/>
  <c r="G746" i="32"/>
  <c r="G745" i="32"/>
  <c r="G744" i="32"/>
  <c r="G743" i="32"/>
  <c r="G742" i="32"/>
  <c r="G741" i="32"/>
  <c r="G740" i="32"/>
  <c r="G739" i="32"/>
  <c r="G738" i="32"/>
  <c r="G737" i="32"/>
  <c r="G736" i="32"/>
  <c r="G735" i="32"/>
  <c r="G734" i="32"/>
  <c r="G733" i="32"/>
  <c r="G732" i="32"/>
  <c r="G731" i="32"/>
  <c r="G730" i="32"/>
  <c r="G729" i="32"/>
  <c r="G728" i="32"/>
  <c r="G727" i="32"/>
  <c r="G726" i="32"/>
  <c r="G725" i="32"/>
  <c r="G724" i="32"/>
  <c r="G723" i="32"/>
  <c r="G722" i="32"/>
  <c r="G721" i="32"/>
  <c r="G720" i="32"/>
  <c r="G719" i="32"/>
  <c r="G718" i="32"/>
  <c r="G717" i="32"/>
  <c r="G716" i="32"/>
  <c r="G715" i="32"/>
  <c r="G714" i="32"/>
  <c r="G713" i="32"/>
  <c r="G712" i="32"/>
  <c r="G711" i="32"/>
  <c r="G710" i="32"/>
  <c r="G709" i="32"/>
  <c r="G707" i="32"/>
  <c r="G706" i="32"/>
  <c r="G705" i="32"/>
  <c r="G704" i="32"/>
  <c r="G703" i="32"/>
  <c r="G702" i="32"/>
  <c r="G701" i="32"/>
  <c r="G700" i="32"/>
  <c r="G699" i="32"/>
  <c r="G698" i="32"/>
  <c r="G697" i="32"/>
  <c r="G696" i="32"/>
  <c r="G695" i="32"/>
  <c r="G694" i="32"/>
  <c r="G693" i="32"/>
  <c r="G692" i="32"/>
  <c r="G691" i="32"/>
  <c r="G690" i="32"/>
  <c r="G689" i="32"/>
  <c r="G688" i="32"/>
  <c r="G687" i="32"/>
  <c r="G686" i="32"/>
  <c r="G685" i="32"/>
  <c r="G684" i="32"/>
  <c r="G683" i="32"/>
  <c r="G682" i="32"/>
  <c r="G681" i="32"/>
  <c r="G680" i="32"/>
  <c r="G679" i="32"/>
  <c r="G678" i="32"/>
  <c r="G677" i="32"/>
  <c r="G676" i="32"/>
  <c r="G675" i="32"/>
  <c r="G674" i="32"/>
  <c r="G673" i="32"/>
  <c r="G672" i="32"/>
  <c r="G671" i="32"/>
  <c r="G670" i="32"/>
  <c r="G669" i="32"/>
  <c r="G668" i="32"/>
  <c r="G666" i="32"/>
  <c r="G665" i="32"/>
  <c r="G664" i="32"/>
  <c r="G663" i="32"/>
  <c r="G662" i="32"/>
  <c r="G661" i="32"/>
  <c r="G660" i="32"/>
  <c r="G659" i="32"/>
  <c r="G658" i="32"/>
  <c r="G657" i="32"/>
  <c r="G656" i="32"/>
  <c r="G655" i="32"/>
  <c r="G654" i="32"/>
  <c r="G652" i="32"/>
  <c r="G651" i="32"/>
  <c r="G650" i="32"/>
  <c r="G649" i="32"/>
  <c r="G648" i="32"/>
  <c r="G647" i="32"/>
  <c r="G646" i="32"/>
  <c r="G645" i="32"/>
  <c r="G644" i="32"/>
  <c r="G643" i="32"/>
  <c r="G642" i="32"/>
  <c r="G641" i="32"/>
  <c r="G640" i="32"/>
  <c r="G639" i="32"/>
  <c r="G638" i="32"/>
  <c r="G637" i="32"/>
  <c r="G636" i="32"/>
  <c r="G635" i="32"/>
  <c r="G634" i="32"/>
  <c r="G633" i="32"/>
  <c r="G632" i="32"/>
  <c r="G631" i="32"/>
  <c r="G630" i="32"/>
  <c r="G629" i="32"/>
  <c r="G628" i="32"/>
  <c r="G627" i="32"/>
  <c r="G626" i="32"/>
  <c r="G625" i="32"/>
  <c r="G624" i="32"/>
  <c r="G623" i="32"/>
  <c r="G622" i="32"/>
  <c r="G621" i="32"/>
  <c r="G620" i="32"/>
  <c r="G619" i="32"/>
  <c r="G618" i="32"/>
  <c r="G617" i="32"/>
  <c r="G616" i="32"/>
  <c r="G615" i="32"/>
  <c r="G614" i="32"/>
  <c r="G613" i="32"/>
  <c r="G612" i="32"/>
  <c r="G611" i="32"/>
  <c r="G610" i="32"/>
  <c r="G609" i="32"/>
  <c r="G608" i="32"/>
  <c r="G607" i="32"/>
  <c r="G606" i="32"/>
  <c r="G605" i="32"/>
  <c r="G604" i="32"/>
  <c r="G603" i="32"/>
  <c r="G602" i="32"/>
  <c r="G599" i="32"/>
  <c r="G597" i="32"/>
  <c r="G596" i="32"/>
  <c r="G595" i="32"/>
  <c r="G594" i="32"/>
  <c r="G593" i="32"/>
  <c r="G592" i="32"/>
  <c r="G590" i="32"/>
  <c r="G589" i="32"/>
  <c r="G588" i="32"/>
  <c r="G587" i="32"/>
  <c r="G586" i="32"/>
  <c r="G585" i="32"/>
  <c r="G584" i="32"/>
  <c r="G583" i="32"/>
  <c r="G582" i="32"/>
  <c r="G581" i="32"/>
  <c r="G580" i="32"/>
  <c r="G579" i="32"/>
  <c r="G578" i="32"/>
  <c r="G577" i="32"/>
  <c r="G576" i="32"/>
  <c r="G575" i="32"/>
  <c r="G574" i="32"/>
  <c r="G573" i="32"/>
  <c r="G572" i="32"/>
  <c r="G571" i="32"/>
  <c r="G570" i="32"/>
  <c r="G569" i="32"/>
  <c r="G568" i="32"/>
  <c r="G567" i="32"/>
  <c r="G566" i="32"/>
  <c r="G565" i="32"/>
  <c r="G564" i="32"/>
  <c r="G563" i="32"/>
  <c r="G562" i="32"/>
  <c r="G561" i="32"/>
  <c r="G559" i="32"/>
  <c r="G558" i="32"/>
  <c r="G557" i="32"/>
  <c r="G556" i="32"/>
  <c r="G555" i="32"/>
  <c r="G554" i="32"/>
  <c r="G553" i="32"/>
  <c r="G552" i="32"/>
  <c r="G551" i="32"/>
  <c r="G548" i="32"/>
  <c r="G547" i="32"/>
  <c r="G546" i="32"/>
  <c r="G545" i="32"/>
  <c r="G544" i="32"/>
  <c r="G543" i="32"/>
  <c r="G542" i="32"/>
  <c r="G541" i="32"/>
  <c r="G540" i="32"/>
  <c r="G538" i="32"/>
  <c r="G535" i="32"/>
  <c r="G533" i="32"/>
  <c r="G532" i="32"/>
  <c r="G531" i="32"/>
  <c r="G530" i="32"/>
  <c r="G529" i="32"/>
  <c r="G528" i="32"/>
  <c r="G527" i="32"/>
  <c r="G526" i="32"/>
  <c r="G525" i="32"/>
  <c r="G524" i="32"/>
  <c r="G523" i="32"/>
  <c r="G522" i="32"/>
  <c r="G521" i="32"/>
  <c r="G520" i="32"/>
  <c r="G519" i="32"/>
  <c r="G518" i="32"/>
  <c r="G517" i="32"/>
  <c r="G516" i="32"/>
  <c r="G515" i="32"/>
  <c r="G513" i="32"/>
  <c r="G512" i="32"/>
  <c r="G511" i="32"/>
  <c r="G510" i="32"/>
  <c r="G509" i="32"/>
  <c r="G508" i="32"/>
  <c r="G507" i="32"/>
  <c r="G506" i="32"/>
  <c r="G505" i="32"/>
  <c r="G504" i="32"/>
  <c r="G503" i="32"/>
  <c r="G501" i="32"/>
  <c r="G500" i="32"/>
  <c r="G499" i="32"/>
  <c r="G498" i="32"/>
  <c r="G497" i="32"/>
  <c r="G496" i="32"/>
  <c r="G495" i="32"/>
  <c r="G494" i="32"/>
  <c r="G493" i="32"/>
  <c r="G492" i="32"/>
  <c r="G491" i="32"/>
  <c r="G490" i="32"/>
  <c r="G489" i="32"/>
  <c r="G488" i="32"/>
  <c r="G487" i="32"/>
  <c r="G486" i="32"/>
  <c r="G485" i="32"/>
  <c r="G484" i="32"/>
  <c r="G483" i="32"/>
  <c r="G482" i="32"/>
  <c r="G481" i="32"/>
  <c r="G480" i="32"/>
  <c r="G479" i="32"/>
  <c r="G478" i="32"/>
  <c r="G477" i="32"/>
  <c r="G476" i="32"/>
  <c r="G475" i="32"/>
  <c r="G474" i="32"/>
  <c r="G473" i="32"/>
  <c r="G472" i="32"/>
  <c r="G471" i="32"/>
  <c r="G470" i="32"/>
  <c r="G469" i="32"/>
  <c r="G468" i="32"/>
  <c r="G467" i="32"/>
  <c r="G466" i="32"/>
  <c r="G465" i="32"/>
  <c r="G464" i="32"/>
  <c r="G463" i="32"/>
  <c r="G462" i="32"/>
  <c r="G461" i="32"/>
  <c r="G458" i="32"/>
  <c r="G457" i="32"/>
  <c r="G456" i="32"/>
  <c r="G455" i="32"/>
  <c r="G454" i="32"/>
  <c r="G452" i="32"/>
  <c r="G450" i="32"/>
  <c r="G449" i="32"/>
  <c r="G448" i="32"/>
  <c r="G447" i="32"/>
  <c r="G446" i="32"/>
  <c r="G445" i="32"/>
  <c r="G444" i="32"/>
  <c r="G443" i="32"/>
  <c r="G442" i="32"/>
  <c r="G441" i="32"/>
  <c r="G440" i="32"/>
  <c r="G439" i="32"/>
  <c r="G436" i="32"/>
  <c r="G435" i="32"/>
  <c r="G434" i="32"/>
  <c r="G433" i="32"/>
  <c r="G431" i="32"/>
  <c r="G429" i="32"/>
  <c r="G428" i="32"/>
  <c r="G427" i="32"/>
  <c r="G426" i="32"/>
  <c r="G425" i="32"/>
  <c r="G424" i="32"/>
  <c r="G423" i="32"/>
  <c r="G422" i="32"/>
  <c r="G421" i="32"/>
  <c r="G420" i="32"/>
  <c r="G419" i="32"/>
  <c r="G417" i="32"/>
  <c r="G416" i="32"/>
  <c r="G415" i="32"/>
  <c r="G414" i="32"/>
  <c r="G413" i="32"/>
  <c r="G412" i="32"/>
  <c r="G410" i="32"/>
  <c r="G409" i="32"/>
  <c r="G408" i="32"/>
  <c r="G407" i="32"/>
  <c r="G406" i="32"/>
  <c r="G405" i="32"/>
  <c r="G404" i="32"/>
  <c r="G402" i="32"/>
  <c r="G401" i="32"/>
  <c r="G400" i="32"/>
  <c r="G398" i="32"/>
  <c r="G397" i="32"/>
  <c r="G396" i="32"/>
  <c r="G395" i="32"/>
  <c r="G394" i="32"/>
  <c r="G393" i="32"/>
  <c r="G392" i="32"/>
  <c r="G391" i="32"/>
  <c r="G390" i="32"/>
  <c r="G388" i="32"/>
  <c r="G387" i="32"/>
  <c r="G385" i="32"/>
  <c r="G384" i="32"/>
  <c r="G383" i="32"/>
  <c r="G382" i="32"/>
  <c r="G381" i="32"/>
  <c r="G380" i="32"/>
  <c r="G379" i="32"/>
  <c r="G378" i="32"/>
  <c r="G377" i="32"/>
  <c r="G376" i="32"/>
  <c r="G375" i="32"/>
  <c r="G374" i="32"/>
  <c r="G373" i="32"/>
  <c r="G372" i="32"/>
  <c r="G371" i="32"/>
  <c r="G370" i="32"/>
  <c r="G369" i="32"/>
  <c r="G368" i="32"/>
  <c r="G367" i="32"/>
  <c r="G366" i="32"/>
  <c r="G365" i="32"/>
  <c r="G364" i="32"/>
  <c r="G363" i="32"/>
  <c r="G362" i="32"/>
  <c r="G361" i="32"/>
  <c r="G360" i="32"/>
  <c r="G359" i="32"/>
  <c r="G358" i="32"/>
  <c r="G357" i="32"/>
  <c r="G356" i="32"/>
  <c r="G355" i="32"/>
  <c r="G354" i="32"/>
  <c r="G353" i="32"/>
  <c r="G352" i="32"/>
  <c r="G351" i="32"/>
  <c r="G350" i="32"/>
  <c r="G349" i="32"/>
  <c r="G348" i="32"/>
  <c r="G347" i="32"/>
  <c r="G346" i="32"/>
  <c r="G345" i="32"/>
  <c r="G344" i="32"/>
  <c r="G343" i="32"/>
  <c r="G342" i="32"/>
  <c r="G341" i="32"/>
  <c r="G340" i="32"/>
  <c r="G339" i="32"/>
  <c r="G338" i="32"/>
  <c r="G337" i="32"/>
  <c r="G336" i="32"/>
  <c r="G334" i="32"/>
  <c r="G333" i="32"/>
  <c r="G332" i="32"/>
  <c r="G331" i="32"/>
  <c r="G330" i="32"/>
  <c r="G329" i="32"/>
  <c r="G328" i="32"/>
  <c r="G327" i="32"/>
  <c r="G326" i="32"/>
  <c r="G325" i="32"/>
  <c r="G324" i="32"/>
  <c r="G323" i="32"/>
  <c r="G322" i="32"/>
  <c r="G321" i="32"/>
  <c r="G320" i="32"/>
  <c r="G319" i="32"/>
  <c r="G318" i="32"/>
  <c r="G317" i="32"/>
  <c r="G316" i="32"/>
  <c r="G315" i="32"/>
  <c r="G314" i="32"/>
  <c r="G313" i="32"/>
  <c r="G311" i="32"/>
  <c r="G310" i="32"/>
  <c r="G309" i="32"/>
  <c r="G308" i="32"/>
  <c r="G307" i="32"/>
  <c r="G306" i="32"/>
  <c r="G305" i="32"/>
  <c r="G304" i="32"/>
  <c r="G303" i="32"/>
  <c r="G302" i="32"/>
  <c r="G301" i="32"/>
  <c r="G300" i="32"/>
  <c r="G299" i="32"/>
  <c r="G298" i="32"/>
  <c r="G297" i="32"/>
  <c r="G296" i="32"/>
  <c r="G295" i="32"/>
  <c r="G294" i="32"/>
  <c r="G293" i="32"/>
  <c r="G292" i="32"/>
  <c r="G290" i="32"/>
  <c r="G289" i="32"/>
  <c r="G288" i="32"/>
  <c r="G287" i="32"/>
  <c r="G286" i="32"/>
  <c r="G285" i="32"/>
  <c r="G284" i="32"/>
  <c r="G283" i="32"/>
  <c r="G282" i="32"/>
  <c r="G281" i="32"/>
  <c r="G280" i="32"/>
  <c r="G279" i="32"/>
  <c r="G278" i="32"/>
  <c r="G276" i="32"/>
  <c r="G275" i="32"/>
  <c r="G274" i="32"/>
  <c r="G273" i="32"/>
  <c r="G272" i="32"/>
  <c r="G271" i="32"/>
  <c r="G270" i="32"/>
  <c r="G268" i="32"/>
  <c r="G266" i="32"/>
  <c r="G261" i="32"/>
  <c r="G259" i="32"/>
  <c r="G258" i="32"/>
  <c r="G257" i="32"/>
  <c r="G255" i="32"/>
  <c r="G253" i="32"/>
  <c r="G252" i="32"/>
  <c r="G251" i="32"/>
  <c r="G250" i="32"/>
  <c r="G249" i="32"/>
  <c r="G245" i="32"/>
  <c r="G243" i="32"/>
  <c r="G242" i="32"/>
  <c r="G241" i="32"/>
  <c r="G240" i="32"/>
  <c r="G239" i="32"/>
  <c r="G238" i="32"/>
  <c r="G237" i="32"/>
  <c r="G236" i="32"/>
  <c r="G235" i="32"/>
  <c r="G234" i="32"/>
  <c r="G233" i="32"/>
  <c r="G232" i="32"/>
  <c r="G231" i="32"/>
  <c r="G230" i="32"/>
  <c r="G229" i="32"/>
  <c r="G228" i="32"/>
  <c r="G227" i="32"/>
  <c r="G226" i="32"/>
  <c r="G225" i="32"/>
  <c r="G224" i="32"/>
  <c r="G223" i="32"/>
  <c r="G222" i="32"/>
  <c r="G221" i="32"/>
  <c r="G220" i="32"/>
  <c r="G219" i="32"/>
  <c r="G218" i="32"/>
  <c r="G216" i="32"/>
  <c r="G215" i="32"/>
  <c r="G214" i="32"/>
  <c r="G213" i="32"/>
  <c r="G212" i="32"/>
  <c r="G211" i="32"/>
  <c r="G210" i="32"/>
  <c r="G209" i="32"/>
  <c r="G208" i="32"/>
  <c r="G207" i="32"/>
  <c r="G205" i="32"/>
  <c r="G204" i="32"/>
  <c r="G201" i="32"/>
  <c r="G200" i="32"/>
  <c r="G199" i="32"/>
  <c r="G198" i="32"/>
  <c r="G197" i="32"/>
  <c r="G196" i="32"/>
  <c r="G195" i="32"/>
  <c r="G194" i="32"/>
  <c r="G193" i="32"/>
  <c r="G192" i="32"/>
  <c r="G191" i="32"/>
  <c r="G189" i="32"/>
  <c r="G188" i="32"/>
  <c r="G187" i="32"/>
  <c r="G186" i="32"/>
  <c r="G185" i="32"/>
  <c r="G183" i="32"/>
  <c r="G182" i="32"/>
  <c r="G181" i="32"/>
  <c r="G180" i="32"/>
  <c r="G179" i="32"/>
  <c r="G178" i="32"/>
  <c r="G177" i="32"/>
  <c r="G176" i="32"/>
  <c r="G174" i="32"/>
  <c r="G173" i="32"/>
  <c r="G172" i="32"/>
  <c r="G171" i="32"/>
  <c r="G170"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2" i="32"/>
  <c r="G121" i="32"/>
  <c r="G120" i="32"/>
  <c r="G119" i="32"/>
  <c r="G118" i="32"/>
  <c r="G117" i="32"/>
  <c r="G116" i="32"/>
  <c r="G115" i="32"/>
  <c r="G113" i="32"/>
  <c r="G112" i="32"/>
  <c r="G110" i="32"/>
  <c r="G109" i="32"/>
  <c r="G106" i="32"/>
  <c r="G105" i="32"/>
  <c r="G104" i="32"/>
  <c r="G102" i="32"/>
  <c r="G101" i="32"/>
  <c r="G100" i="32"/>
  <c r="G99" i="32"/>
  <c r="G98" i="32"/>
  <c r="G97" i="32"/>
  <c r="G96" i="32"/>
  <c r="G95" i="32"/>
  <c r="G94" i="32"/>
  <c r="G93" i="32"/>
  <c r="G92" i="32"/>
  <c r="G91" i="32"/>
  <c r="G90" i="32"/>
  <c r="G89" i="32"/>
  <c r="G88" i="32"/>
  <c r="G87" i="32"/>
  <c r="G86" i="32"/>
  <c r="G85" i="32"/>
  <c r="G84" i="32"/>
  <c r="G83" i="32"/>
  <c r="G82" i="32"/>
  <c r="G81" i="32"/>
  <c r="G80" i="32"/>
  <c r="G79" i="32"/>
  <c r="G77" i="32"/>
  <c r="G76" i="32"/>
  <c r="G75" i="32"/>
  <c r="G74" i="32"/>
  <c r="G73" i="32"/>
  <c r="G72" i="32"/>
  <c r="G71" i="32"/>
  <c r="G70" i="32"/>
  <c r="G69" i="32"/>
  <c r="G68" i="32"/>
  <c r="G67" i="32"/>
  <c r="G66" i="32"/>
  <c r="G65" i="32"/>
  <c r="G62" i="32"/>
  <c r="G61" i="32"/>
  <c r="G60" i="32"/>
  <c r="G59" i="32"/>
  <c r="G58" i="32"/>
  <c r="G57" i="32"/>
  <c r="G56" i="32"/>
  <c r="G55" i="32"/>
  <c r="G54" i="32"/>
  <c r="G53" i="32"/>
  <c r="G52" i="32"/>
  <c r="G51" i="32"/>
  <c r="G50" i="32"/>
  <c r="G49" i="32"/>
  <c r="G48" i="32"/>
  <c r="G47" i="32"/>
  <c r="G46" i="32"/>
  <c r="G45" i="32"/>
  <c r="G43" i="32"/>
  <c r="G42" i="32"/>
  <c r="G41" i="32"/>
  <c r="G40" i="32"/>
  <c r="G39" i="32"/>
  <c r="G38" i="32"/>
  <c r="G36" i="32"/>
  <c r="G35" i="32"/>
  <c r="G34" i="32"/>
  <c r="G32" i="32"/>
  <c r="G31" i="32"/>
  <c r="G30" i="32"/>
  <c r="G29" i="32"/>
  <c r="G28" i="32"/>
  <c r="G27" i="32"/>
  <c r="G26" i="32"/>
  <c r="G25" i="32"/>
  <c r="G24" i="32"/>
  <c r="G23" i="32"/>
  <c r="G22" i="32"/>
  <c r="G20" i="32"/>
  <c r="G19" i="32"/>
  <c r="G18" i="32"/>
  <c r="G17" i="32"/>
  <c r="G15" i="32"/>
  <c r="G14" i="32"/>
  <c r="G13" i="32"/>
  <c r="E1" i="32"/>
  <c r="E2" i="32"/>
  <c r="F2" i="32"/>
  <c r="E3" i="32"/>
  <c r="F3" i="32"/>
</calcChain>
</file>

<file path=xl/sharedStrings.xml><?xml version="1.0" encoding="utf-8"?>
<sst xmlns="http://schemas.openxmlformats.org/spreadsheetml/2006/main" count="29767" uniqueCount="7450">
  <si>
    <t>Settings</t>
  </si>
  <si>
    <t>Instructions</t>
  </si>
  <si>
    <t>% of addresses found:</t>
  </si>
  <si>
    <t>% of addresses geocoded:</t>
  </si>
  <si>
    <t># of addresses:</t>
  </si>
  <si>
    <t>Latitude</t>
  </si>
  <si>
    <t>Longitude</t>
  </si>
  <si>
    <t xml:space="preserve">Select the rows that you want to geocode. You don't have to select the entire row, any cell in the row will do. Click the geocode selected rows button to start geocoding.  About 2-3 rows are geocoded each second, depending on the speed of your Internet connection.  </t>
  </si>
  <si>
    <t>Name</t>
  </si>
  <si>
    <t>Description</t>
  </si>
  <si>
    <t>Geocoder to use:</t>
  </si>
  <si>
    <t>Location</t>
  </si>
  <si>
    <t>Proxy IP address</t>
  </si>
  <si>
    <t>Google Maps Link</t>
  </si>
  <si>
    <t>207.211.86.196:80</t>
  </si>
  <si>
    <t>No</t>
  </si>
  <si>
    <t>Macros must be turned on to use this tool.  To enable macros, go to the Tools, Macro, Security menu and change the security level to Medium.  Then close and reopen this spreadsheet.  When the spreadsheet opens, select "Enable Macros". You can test to see if macros are working by clicking on the button below.  If macros are working, you will see a message.  If not, nothing will happen.</t>
  </si>
  <si>
    <t>Enter locations on the Geocode page.  You can enter any combination of streets, cities, states, zip codes, and even place names (eg: "The White House").</t>
  </si>
  <si>
    <t>If an address is not found, it may be because of a misspelling in the street address or city.  To try again, fix any misspellings and click Geocode Not Found. If you consistenly seeing "not found" and the locations are correct, then Yahoo is throttling your access. Wait a day and try again.</t>
  </si>
  <si>
    <t>Yes</t>
  </si>
  <si>
    <t>Use Proxy?</t>
  </si>
  <si>
    <t>Use a format of:  IP:Port (eg: 207.211.86.196:80)  Note: If your proxy requires you to login, use your web browser.</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</si>
  <si>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</si>
  <si>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</si>
  <si>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</si>
  <si>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</si>
  <si>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Debug Mode</t>
  </si>
  <si>
    <t>'Geocoders</t>
  </si>
  <si>
    <t>'Use Proxy?</t>
  </si>
  <si>
    <t>'Debug Mode?</t>
  </si>
  <si>
    <t>On</t>
  </si>
  <si>
    <t>Off</t>
  </si>
  <si>
    <t>Bing</t>
  </si>
  <si>
    <t>Bing Maps Key</t>
  </si>
  <si>
    <t>Click here to learn how to get a Bing Maps key</t>
  </si>
  <si>
    <t>Click here for more information on the Bing Maps API</t>
  </si>
  <si>
    <t>Only Bing Available</t>
  </si>
  <si>
    <t>Copyright 2012-2013, Max Rice, Juice Analytics</t>
  </si>
  <si>
    <t>Confidence</t>
  </si>
  <si>
    <t>Version 3.6</t>
  </si>
  <si>
    <t>rFIsTtJu4mDY8WAv45Rl~3YhjTsZQ5Ql2r7J6ZjkTTA~Ahbu4uLsEm7Fk63D3WcDWJYjsb1k8Og2GvxRXL8e8CGlUW5MT1ssu_oRL5qosJ47</t>
  </si>
  <si>
    <t>High</t>
  </si>
  <si>
    <t>Low</t>
  </si>
  <si>
    <t>Medium</t>
  </si>
  <si>
    <t>not found</t>
  </si>
  <si>
    <t>525 FAIRTHOR</t>
  </si>
  <si>
    <t>420 W SPENCE</t>
  </si>
  <si>
    <t>1300 N REDFI</t>
  </si>
  <si>
    <t>600 STOKES</t>
  </si>
  <si>
    <t>5700 THOMPSO</t>
  </si>
  <si>
    <t>219 N SIMPSO</t>
  </si>
  <si>
    <t>6600 GREENWA</t>
  </si>
  <si>
    <t>5700 KINGSES</t>
  </si>
  <si>
    <t>2500 BONNAFF</t>
  </si>
  <si>
    <t>6527 WOODLAN</t>
  </si>
  <si>
    <t>13675 PHILMO</t>
  </si>
  <si>
    <t>LANCASTER &amp; GI</t>
  </si>
  <si>
    <t>5500 WILLOW</t>
  </si>
  <si>
    <t>5500 HADFIEL</t>
  </si>
  <si>
    <t>6500 HADFIEL</t>
  </si>
  <si>
    <t>5409 PENTRID</t>
  </si>
  <si>
    <t>100 CERSON ST</t>
  </si>
  <si>
    <t>6700 VINE ST</t>
  </si>
  <si>
    <t>200 N SIMPSO</t>
  </si>
  <si>
    <t>500 AVE OF RD</t>
  </si>
  <si>
    <t>WILDE &amp; HERMIT</t>
  </si>
  <si>
    <t>MARSTON &amp; HERM</t>
  </si>
  <si>
    <t>SALIGNAC &amp; MAN</t>
  </si>
  <si>
    <t>SUBS &amp; TOWER</t>
  </si>
  <si>
    <t>HERMITAGE &amp; SI</t>
  </si>
  <si>
    <t>4600 SILVERW</t>
  </si>
  <si>
    <t>4500 SILVERW</t>
  </si>
  <si>
    <t>2500 CLAYMON</t>
  </si>
  <si>
    <t>6900 GURMAN</t>
  </si>
  <si>
    <t>200 MONASTER</t>
  </si>
  <si>
    <t>MONASTERY &amp; TE</t>
  </si>
  <si>
    <t>UMBRIA &amp; PARKE</t>
  </si>
  <si>
    <t>SHELDON &amp; HERM</t>
  </si>
  <si>
    <t>5800 THEODOR</t>
  </si>
  <si>
    <t>4300 SILVERW</t>
  </si>
  <si>
    <t>CRESSIN &amp; PERN</t>
  </si>
  <si>
    <t>5800 CRESSON</t>
  </si>
  <si>
    <t>5200 RIDGE A</t>
  </si>
  <si>
    <t>PECHIN &amp; MONAS</t>
  </si>
  <si>
    <t>400 MONASTER</t>
  </si>
  <si>
    <t>1400 N ALLIS</t>
  </si>
  <si>
    <t>3400 HAVERFO</t>
  </si>
  <si>
    <t>3800 HAVERFO</t>
  </si>
  <si>
    <t>3500 HAVERFO</t>
  </si>
  <si>
    <t>66TH CHESTER</t>
  </si>
  <si>
    <t>400 N SIMPSO</t>
  </si>
  <si>
    <t>700M SHAWMON</t>
  </si>
  <si>
    <t>N 59TH COLUM</t>
  </si>
  <si>
    <t>6400 LANSDOW</t>
  </si>
  <si>
    <t>4200 PENNSGR</t>
  </si>
  <si>
    <t>400 LEVERING</t>
  </si>
  <si>
    <t>FORBIDDEN &amp; WI</t>
  </si>
  <si>
    <t>1802 E WISHA</t>
  </si>
  <si>
    <t>700 PORT ROY</t>
  </si>
  <si>
    <t>5486 DUNTAN</t>
  </si>
  <si>
    <t>ROXBOROUGH &amp; M</t>
  </si>
  <si>
    <t>SHURS &amp; TOWER</t>
  </si>
  <si>
    <t>CRESSON &amp; COTT</t>
  </si>
  <si>
    <t>GREEN LN &amp; FLE</t>
  </si>
  <si>
    <t>34TH &amp; LANCAST</t>
  </si>
  <si>
    <t>34TH &amp; FILBERT</t>
  </si>
  <si>
    <t>PEARL &amp; SAUNDE</t>
  </si>
  <si>
    <t>SAUNDER &amp; PEAR</t>
  </si>
  <si>
    <t>SAUNDER &amp; BARI</t>
  </si>
  <si>
    <t>39TH &amp; SPRINGG</t>
  </si>
  <si>
    <t>BARING &amp; SAUND</t>
  </si>
  <si>
    <t>39TH &amp; LANCAST</t>
  </si>
  <si>
    <t>7800 PEARL ST</t>
  </si>
  <si>
    <t>5400 RIDGEWO</t>
  </si>
  <si>
    <t>5700 BEAUMON</t>
  </si>
  <si>
    <t>2200 BONNAFF</t>
  </si>
  <si>
    <t>6710 HAVERFO</t>
  </si>
  <si>
    <t>6215 LANSDOW</t>
  </si>
  <si>
    <t>5900 WARRING</t>
  </si>
  <si>
    <t>6500 GREENWA</t>
  </si>
  <si>
    <t>800 PORT ROY</t>
  </si>
  <si>
    <t>3100 HAVERFO</t>
  </si>
  <si>
    <t>MANAYUNK &amp; KRA</t>
  </si>
  <si>
    <t>MANAYUNK &amp; DUP</t>
  </si>
  <si>
    <t>2300 WOODWAR</t>
  </si>
  <si>
    <t>2200 S SHIEL</t>
  </si>
  <si>
    <t>6647 WOODLAN</t>
  </si>
  <si>
    <t>5237 JEFFERS</t>
  </si>
  <si>
    <t>1860 E WISHA</t>
  </si>
  <si>
    <t>6100 REEDLAN</t>
  </si>
  <si>
    <t>3200 HAVERFO</t>
  </si>
  <si>
    <t>SILVERWOOD &amp; G</t>
  </si>
  <si>
    <t>ROXBOROUGH &amp; S</t>
  </si>
  <si>
    <t>LAWNTON &amp; DUPO</t>
  </si>
  <si>
    <t>PECHIN &amp; MARTI</t>
  </si>
  <si>
    <t>1810 E WISHA</t>
  </si>
  <si>
    <t>2000 BONNAFF</t>
  </si>
  <si>
    <t>66TH GREENWA</t>
  </si>
  <si>
    <t>6700 GREENWA</t>
  </si>
  <si>
    <t>8600 OLD LIN</t>
  </si>
  <si>
    <t>MONASTERY &amp; HO</t>
  </si>
  <si>
    <t>MANAYUNK &amp; BUR</t>
  </si>
  <si>
    <t>357 LYCEUM A</t>
  </si>
  <si>
    <t>377 LYCEUM A</t>
  </si>
  <si>
    <t>365 LYCEUM A</t>
  </si>
  <si>
    <t>368 LYCEUM A</t>
  </si>
  <si>
    <t>300 LYCEUM A</t>
  </si>
  <si>
    <t>270 LYCEUM A</t>
  </si>
  <si>
    <t>264 LYCEUM A</t>
  </si>
  <si>
    <t>200 LYCEUM A</t>
  </si>
  <si>
    <t>5500 LANSDOW</t>
  </si>
  <si>
    <t>REDFIELD &amp; GIR</t>
  </si>
  <si>
    <t>4200 SILVERW</t>
  </si>
  <si>
    <t>399 LEVERING</t>
  </si>
  <si>
    <t>400 LYCEUM A</t>
  </si>
  <si>
    <t>300 LEVERING</t>
  </si>
  <si>
    <t>2000 GRANT A</t>
  </si>
  <si>
    <t>LYCEUM &amp; MITCH</t>
  </si>
  <si>
    <t>SHURS &amp; TERRAC</t>
  </si>
  <si>
    <t>400 PECHIN</t>
  </si>
  <si>
    <t>1400 S VODGE</t>
  </si>
  <si>
    <t>6525 WOODLAN</t>
  </si>
  <si>
    <t>5400 HADFIEL</t>
  </si>
  <si>
    <t>207 CORSEY ST</t>
  </si>
  <si>
    <t>HERITAGE &amp; MAN</t>
  </si>
  <si>
    <t>SLOAN &amp; SPRING</t>
  </si>
  <si>
    <t>4500 ST DAVI</t>
  </si>
  <si>
    <t>3863 TARRACE</t>
  </si>
  <si>
    <t>6000 CHRISTI</t>
  </si>
  <si>
    <t>68TH GUYER A</t>
  </si>
  <si>
    <t>68TH GUYER</t>
  </si>
  <si>
    <t>4901 CEDAR A</t>
  </si>
  <si>
    <t>5100 KINGSES</t>
  </si>
  <si>
    <t>4900 HAZEL A</t>
  </si>
  <si>
    <t>6400 CHELWYN</t>
  </si>
  <si>
    <t>3600 FREELAN</t>
  </si>
  <si>
    <t>4100 GLENDAL</t>
  </si>
  <si>
    <t>3120 HAVERFO</t>
  </si>
  <si>
    <t>MITCHELL &amp; GRE</t>
  </si>
  <si>
    <t>MITCHELL &amp; DUP</t>
  </si>
  <si>
    <t>LAWTON &amp; DUPON</t>
  </si>
  <si>
    <t>LAWNTON &amp; GREE</t>
  </si>
  <si>
    <t>800 N WYNNEW</t>
  </si>
  <si>
    <t>2500 S FELTO</t>
  </si>
  <si>
    <t>61&amp;MARKET</t>
  </si>
  <si>
    <t>LAWNTON &amp; LEVE</t>
  </si>
  <si>
    <t>BONE &amp; LEVERIN</t>
  </si>
  <si>
    <t>5600 MONTROS</t>
  </si>
  <si>
    <t>62ND WHEELER</t>
  </si>
  <si>
    <t>7120 GUYER A</t>
  </si>
  <si>
    <t>6645 WOOLAND</t>
  </si>
  <si>
    <t>62ND &amp; PINE ST</t>
  </si>
  <si>
    <t>59TH &amp; MATROSE</t>
  </si>
  <si>
    <t>60TH &amp; WASHING</t>
  </si>
  <si>
    <t>3419 STEWARD</t>
  </si>
  <si>
    <t>500 S REDFIE</t>
  </si>
  <si>
    <t>55TH &amp; LARCHWO</t>
  </si>
  <si>
    <t>6000 HADDING</t>
  </si>
  <si>
    <t>61ST &amp; WEBSTER</t>
  </si>
  <si>
    <t>905  S60TH ST</t>
  </si>
  <si>
    <t>CRESSON &amp; EAST</t>
  </si>
  <si>
    <t>GRAPE &amp; TERRAC</t>
  </si>
  <si>
    <t>TERRACE &amp; GRAP</t>
  </si>
  <si>
    <t>PENSDALE &amp; TER</t>
  </si>
  <si>
    <t>168 SALAIGNA</t>
  </si>
  <si>
    <t>153 SALAIGNA</t>
  </si>
  <si>
    <t>3500 BRADDOC</t>
  </si>
  <si>
    <t>KINGSLEY &amp; PEC</t>
  </si>
  <si>
    <t>84TH &amp; CRANE</t>
  </si>
  <si>
    <t>3RD &amp; ISLAND A</t>
  </si>
  <si>
    <t>GROSS ST &amp; CAL</t>
  </si>
  <si>
    <t>2400 ITHAN</t>
  </si>
  <si>
    <t>7400 HAVERFO</t>
  </si>
  <si>
    <t>5100 HAZEL A</t>
  </si>
  <si>
    <t>4361 FREELAN</t>
  </si>
  <si>
    <t>GREENOUGH &amp; WI</t>
  </si>
  <si>
    <t>WILDE &amp; GREENO</t>
  </si>
  <si>
    <t>2043 E VENAN</t>
  </si>
  <si>
    <t>5102 ROCHELL</t>
  </si>
  <si>
    <t>6000 SPRINGF</t>
  </si>
  <si>
    <t>6537 WOODLAN</t>
  </si>
  <si>
    <t>6500 WOODLAN</t>
  </si>
  <si>
    <t>62ND WEBSTER</t>
  </si>
  <si>
    <t>5720 HAZEL A</t>
  </si>
  <si>
    <t>11 S ROBINSO</t>
  </si>
  <si>
    <t>55TH LUDLOW</t>
  </si>
  <si>
    <t>638 S CONEST</t>
  </si>
  <si>
    <t>100 SALAIGNA</t>
  </si>
  <si>
    <t>4400 SILVERW</t>
  </si>
  <si>
    <t>FLEMING &amp; MONA</t>
  </si>
  <si>
    <t>MITCHELL &amp; MON</t>
  </si>
  <si>
    <t>6500 RIDGE A</t>
  </si>
  <si>
    <t>3900 LAWNDAL</t>
  </si>
  <si>
    <t>2900 RUTLEDG</t>
  </si>
  <si>
    <t>2600 BONNAFE</t>
  </si>
  <si>
    <t>2900 GRANSBA</t>
  </si>
  <si>
    <t>DUPONT &amp; SILVE</t>
  </si>
  <si>
    <t>500 S COBBS</t>
  </si>
  <si>
    <t>5800 BEAUMON</t>
  </si>
  <si>
    <t>4031 BODINE</t>
  </si>
  <si>
    <t>MARKLE &amp; PECHI</t>
  </si>
  <si>
    <t>DAWSON &amp; TERRA</t>
  </si>
  <si>
    <t>2000 E PICKW</t>
  </si>
  <si>
    <t>1900 E PACIF</t>
  </si>
  <si>
    <t>2000 BONNAFE</t>
  </si>
  <si>
    <t>2600 ROBINSO</t>
  </si>
  <si>
    <t>0 N 31STS</t>
  </si>
  <si>
    <t>8000 BURHOLM</t>
  </si>
  <si>
    <t>8200 EASTWOO</t>
  </si>
  <si>
    <t>RECTOR &amp; MANAY</t>
  </si>
  <si>
    <t>5105 PENTRID</t>
  </si>
  <si>
    <t>1000 S FRAZI</t>
  </si>
  <si>
    <t>519 FAIRTHOR</t>
  </si>
  <si>
    <t>300 MARPLE</t>
  </si>
  <si>
    <t>10600 LOCKAR</t>
  </si>
  <si>
    <t>5600 SPRINGF</t>
  </si>
  <si>
    <t>6529 WOODLAN</t>
  </si>
  <si>
    <t>5800 OVERBRO</t>
  </si>
  <si>
    <t>5800 OVERING</t>
  </si>
  <si>
    <t>6118 GRAYS A</t>
  </si>
  <si>
    <t>4801 WARRING</t>
  </si>
  <si>
    <t>700 CATHEDRA</t>
  </si>
  <si>
    <t>4398 LARCHWO</t>
  </si>
  <si>
    <t>55TH &amp; WYALUSI</t>
  </si>
  <si>
    <t>1800 HOFFNAG</t>
  </si>
  <si>
    <t>4600 LYOCERN</t>
  </si>
  <si>
    <t>200 GREENBOR</t>
  </si>
  <si>
    <t>VERREE &amp; EMERS</t>
  </si>
  <si>
    <t>ARAMINGO &amp; CLE</t>
  </si>
  <si>
    <t>6900 BEAUMON</t>
  </si>
  <si>
    <t>3300 ARAMING</t>
  </si>
  <si>
    <t>1700 HOFFNAG</t>
  </si>
  <si>
    <t>4100 FREELAN</t>
  </si>
  <si>
    <t>EDGEMONT &amp; ONT</t>
  </si>
  <si>
    <t>EDGEMONT &amp; IND</t>
  </si>
  <si>
    <t>THOMPSON &amp; MON</t>
  </si>
  <si>
    <t>5651 HADDING</t>
  </si>
  <si>
    <t>ROXBOROUGH &amp; D</t>
  </si>
  <si>
    <t>BARING &amp; 42ND</t>
  </si>
  <si>
    <t>FARSON &amp; SUMME</t>
  </si>
  <si>
    <t>500 DOMINO L</t>
  </si>
  <si>
    <t>200 S 52N ST</t>
  </si>
  <si>
    <t>53RD &amp; HAZEL</t>
  </si>
  <si>
    <t>NERCER &amp; WESTM</t>
  </si>
  <si>
    <t>5502 FLORENC</t>
  </si>
  <si>
    <t>5919 THOMPSO</t>
  </si>
  <si>
    <t>HENRY &amp; RECTOR</t>
  </si>
  <si>
    <t>5026 W BEAUM</t>
  </si>
  <si>
    <t>456 D ST</t>
  </si>
  <si>
    <t>530 FAIRTHOR</t>
  </si>
  <si>
    <t>429 LEVERING</t>
  </si>
  <si>
    <t>4900 OSAGE A</t>
  </si>
  <si>
    <t>1800 E MONMO</t>
  </si>
  <si>
    <t>5600 LARCHWO</t>
  </si>
  <si>
    <t>5400 OSAGE A</t>
  </si>
  <si>
    <t>2600 E CLEAR</t>
  </si>
  <si>
    <t>132 CONESTOG</t>
  </si>
  <si>
    <t>SHURS &amp; MITCHE</t>
  </si>
  <si>
    <t>2000 PICKWIC</t>
  </si>
  <si>
    <t>4100 HAVERFO</t>
  </si>
  <si>
    <t>326 TIBBEN</t>
  </si>
  <si>
    <t>3900 CAMBRID</t>
  </si>
  <si>
    <t>8100 RIDGEW</t>
  </si>
  <si>
    <t>4600 ST DAVI</t>
  </si>
  <si>
    <t>228 BUCKINGH</t>
  </si>
  <si>
    <t>500 N PRESTO</t>
  </si>
  <si>
    <t>6100 WOODLAN</t>
  </si>
  <si>
    <t>4900 CATHARI</t>
  </si>
  <si>
    <t>6800 GREENWA</t>
  </si>
  <si>
    <t>9908 BUSTLET</t>
  </si>
  <si>
    <t>1300 LYCOMIN</t>
  </si>
  <si>
    <t>6933 DICKSON</t>
  </si>
  <si>
    <t>5600 CARPENT</t>
  </si>
  <si>
    <t>61ST &amp; LANSDOW</t>
  </si>
  <si>
    <t>3345 EDGEMON</t>
  </si>
  <si>
    <t>63RD &amp; GIRARD</t>
  </si>
  <si>
    <t>6000 CEDARHU</t>
  </si>
  <si>
    <t>SPRINGFIELD/</t>
  </si>
  <si>
    <t>CONESTOGA &amp; GR</t>
  </si>
  <si>
    <t>5800 MONTROS</t>
  </si>
  <si>
    <t>529 GRAYS</t>
  </si>
  <si>
    <t>1500 MARCY P</t>
  </si>
  <si>
    <t>4300 LAURIST</t>
  </si>
  <si>
    <t>67TH &amp; GREENWA</t>
  </si>
  <si>
    <t>65TH &amp; UPLAND</t>
  </si>
  <si>
    <t>100 E BALDWI</t>
  </si>
  <si>
    <t>456 S 87TH ST</t>
  </si>
  <si>
    <t>4000 LAWNDAL</t>
  </si>
  <si>
    <t>8801 LARCHWO</t>
  </si>
  <si>
    <t>5800 LARCHWO</t>
  </si>
  <si>
    <t>4700 HAZEL A</t>
  </si>
  <si>
    <t>240 S MELVIL</t>
  </si>
  <si>
    <t>400 ALLEGHEN</t>
  </si>
  <si>
    <t>100 LAURISTO</t>
  </si>
  <si>
    <t>LYCEUM &amp; TOWER</t>
  </si>
  <si>
    <t>CRANE &amp; MARIO</t>
  </si>
  <si>
    <t>2500 E CLEAR</t>
  </si>
  <si>
    <t>1600 HOFFNAG</t>
  </si>
  <si>
    <t>61TH &amp; MEDIA</t>
  </si>
  <si>
    <t>61ST &amp; MASTER</t>
  </si>
  <si>
    <t>154 E ALLEGH</t>
  </si>
  <si>
    <t>BAKER &amp; CARSON</t>
  </si>
  <si>
    <t>1911 E ORLEA</t>
  </si>
  <si>
    <t>123 JAMESTOW</t>
  </si>
  <si>
    <t>8500 MARIO L</t>
  </si>
  <si>
    <t>5700 CAMBRID</t>
  </si>
  <si>
    <t>JEFFERSON &amp; LI</t>
  </si>
  <si>
    <t>2600 MUSSEY</t>
  </si>
  <si>
    <t>I614 4GREYS ST</t>
  </si>
  <si>
    <t>6600 HADDING</t>
  </si>
  <si>
    <t>3704 BRANDYW</t>
  </si>
  <si>
    <t>100 N SALFOR</t>
  </si>
  <si>
    <t>200 JAMESTOW</t>
  </si>
  <si>
    <t>MITCHELL &amp; MAR</t>
  </si>
  <si>
    <t>MITCHELL &amp; SEV</t>
  </si>
  <si>
    <t>2542 HOLLBRO</t>
  </si>
  <si>
    <t>41ST &amp; LOCUST</t>
  </si>
  <si>
    <t>5211 RIDGE A</t>
  </si>
  <si>
    <t>5209 RIDGE A</t>
  </si>
  <si>
    <t>200 PARKER A</t>
  </si>
  <si>
    <t>53 OCEDER</t>
  </si>
  <si>
    <t>457 KRAWNS A</t>
  </si>
  <si>
    <t>4444 SILVERW</t>
  </si>
  <si>
    <t>60TH &amp; ARCH ST</t>
  </si>
  <si>
    <t>SALFORD &amp; ARCH</t>
  </si>
  <si>
    <t>43611 SPRUCE</t>
  </si>
  <si>
    <t>844 E ONTARI</t>
  </si>
  <si>
    <t>100 JAMESTOW</t>
  </si>
  <si>
    <t>2000 CLEARAN</t>
  </si>
  <si>
    <t>2500 BELLFOR</t>
  </si>
  <si>
    <t>1300 WITTON</t>
  </si>
  <si>
    <t>1500 E HUNTI</t>
  </si>
  <si>
    <t>3200 BRANDYW</t>
  </si>
  <si>
    <t>62ND CATHARI</t>
  </si>
  <si>
    <t>61ST &amp; DELANCE</t>
  </si>
  <si>
    <t>5800 HAZEL A</t>
  </si>
  <si>
    <t>8100 RIDGEWA</t>
  </si>
  <si>
    <t>FRANKFORD &amp; CL</t>
  </si>
  <si>
    <t>5800 MALCOLM</t>
  </si>
  <si>
    <t>6300 LANSDOW</t>
  </si>
  <si>
    <t>1400 S COBBS</t>
  </si>
  <si>
    <t>6600 DICKS A</t>
  </si>
  <si>
    <t>42ND &amp; CHESTER</t>
  </si>
  <si>
    <t>6400 GLENMOR</t>
  </si>
  <si>
    <t>6300 GRAYS A</t>
  </si>
  <si>
    <t>2000 E CLARE</t>
  </si>
  <si>
    <t>ISLAND &amp; TANAG</t>
  </si>
  <si>
    <t>700 E WILLIA</t>
  </si>
  <si>
    <t>5436 OSAGE A</t>
  </si>
  <si>
    <t>SHUPS &amp; TOWER</t>
  </si>
  <si>
    <t>4000 GLENDAL</t>
  </si>
  <si>
    <t>100 CONNARRO</t>
  </si>
  <si>
    <t>225 N SIMPSO</t>
  </si>
  <si>
    <t>5000 BEAUMON</t>
  </si>
  <si>
    <t>526 BEAUMONT</t>
  </si>
  <si>
    <t>28 S ROBINSO</t>
  </si>
  <si>
    <t>290 GREENOUG</t>
  </si>
  <si>
    <t>5200 DELANCE</t>
  </si>
  <si>
    <t>64TH LANSDOW</t>
  </si>
  <si>
    <t>63RD HAVERFO</t>
  </si>
  <si>
    <t>1644 PENNING</t>
  </si>
  <si>
    <t>67&amp;HAVERFORD</t>
  </si>
  <si>
    <t>DUPONT &amp; HIGH</t>
  </si>
  <si>
    <t>HADDINGTON &amp; R</t>
  </si>
  <si>
    <t>3100 HARTVIL</t>
  </si>
  <si>
    <t>SAUNDERS &amp; LAN</t>
  </si>
  <si>
    <t>4200 CLARIDG</t>
  </si>
  <si>
    <t>38TH &amp; POWELTON AVE</t>
  </si>
  <si>
    <t>G &amp; ALLEGHENY</t>
  </si>
  <si>
    <t>131 S COBBS</t>
  </si>
  <si>
    <t>121 S COBBS</t>
  </si>
  <si>
    <t>MEDIA &amp; ROBINS</t>
  </si>
  <si>
    <t>5700 HADDING</t>
  </si>
  <si>
    <t>1453 N VODGE</t>
  </si>
  <si>
    <t>DUPONT ST &amp; HI</t>
  </si>
  <si>
    <t>7253 HAVERFO</t>
  </si>
  <si>
    <t>6000 CLIFFOR</t>
  </si>
  <si>
    <t>6600 MORRIS</t>
  </si>
  <si>
    <t>2200 SIMPSON</t>
  </si>
  <si>
    <t>RIDDLE AVE &amp; G</t>
  </si>
  <si>
    <t>ALLISON &amp; LANS</t>
  </si>
  <si>
    <t>5700 LANSDOW</t>
  </si>
  <si>
    <t>3900 HAVERFO</t>
  </si>
  <si>
    <t>57TH &amp; THOMPSO</t>
  </si>
  <si>
    <t>WILDE &amp; GREEN</t>
  </si>
  <si>
    <t>BOUDINOT &amp; CAM</t>
  </si>
  <si>
    <t>CLEARFIELD &amp; A</t>
  </si>
  <si>
    <t>CRESSON &amp; HAIN</t>
  </si>
  <si>
    <t>1700 CREIGHT</t>
  </si>
  <si>
    <t>5600 LANSDOW</t>
  </si>
  <si>
    <t>61ST &amp; CHRISTI</t>
  </si>
  <si>
    <t>60TH &amp; WEBSTER</t>
  </si>
  <si>
    <t>8300 EASTWOO</t>
  </si>
  <si>
    <t>6000 CARPENT</t>
  </si>
  <si>
    <t>5000 HAZEL A</t>
  </si>
  <si>
    <t>5400 WARRING</t>
  </si>
  <si>
    <t>5799 DELAWAR</t>
  </si>
  <si>
    <t>7200 BUIST A</t>
  </si>
  <si>
    <t>67TH &amp; HAVERFO</t>
  </si>
  <si>
    <t>4950 PARKSID</t>
  </si>
  <si>
    <t>1841 E ALLEG</t>
  </si>
  <si>
    <t>7204 DICKS A</t>
  </si>
  <si>
    <t>67TH &amp; DORAL</t>
  </si>
  <si>
    <t>FRONT &amp; CLEARF</t>
  </si>
  <si>
    <t>7500 BRENTWO</t>
  </si>
  <si>
    <t>6400 GURMAN</t>
  </si>
  <si>
    <t>2600 BONNAFF</t>
  </si>
  <si>
    <t>160 N EDGEWO</t>
  </si>
  <si>
    <t>ERICA PL &amp; LOC</t>
  </si>
  <si>
    <t>MARTIN &amp; PARK</t>
  </si>
  <si>
    <t>100 TOMLINSO</t>
  </si>
  <si>
    <t>5522 LITCHFI</t>
  </si>
  <si>
    <t>RIDGE &amp; DOMINO</t>
  </si>
  <si>
    <t>61ST &amp; CALLOWH</t>
  </si>
  <si>
    <t>LANSDOWNE &amp; CO</t>
  </si>
  <si>
    <t>900 ST BERNA</t>
  </si>
  <si>
    <t>100 SILVER</t>
  </si>
  <si>
    <t>2900 HARTVIL</t>
  </si>
  <si>
    <t>4200 MARKLAN</t>
  </si>
  <si>
    <t>54TH &amp; POPLAR</t>
  </si>
  <si>
    <t>53RD &amp; POPLAR</t>
  </si>
  <si>
    <t>6540 REEDLAN</t>
  </si>
  <si>
    <t>6100 GRAYS A</t>
  </si>
  <si>
    <t>2103  S65TH</t>
  </si>
  <si>
    <t>6500 GRERENW</t>
  </si>
  <si>
    <t>58TH &amp; CATHARI</t>
  </si>
  <si>
    <t>4753 HAZEL A</t>
  </si>
  <si>
    <t>VICARIS &amp; ROCK</t>
  </si>
  <si>
    <t>MONASTERY &amp; PE</t>
  </si>
  <si>
    <t>2000 E PACIF</t>
  </si>
  <si>
    <t>7319 DICKS A</t>
  </si>
  <si>
    <t>5700 RIDGE A</t>
  </si>
  <si>
    <t>10071 SANDME</t>
  </si>
  <si>
    <t>2200 SHIELD</t>
  </si>
  <si>
    <t>600 CRESTVIE</t>
  </si>
  <si>
    <t>1724 CASTOR</t>
  </si>
  <si>
    <t>5900 WILLOWS</t>
  </si>
  <si>
    <t>62 WASHINGTO</t>
  </si>
  <si>
    <t>52ND HARLAN</t>
  </si>
  <si>
    <t>1736 ABERDEE</t>
  </si>
  <si>
    <t>3300 N 60TH</t>
  </si>
  <si>
    <t>7200 DICKS A</t>
  </si>
  <si>
    <t>5400 ROCK ST</t>
  </si>
  <si>
    <t>3900 ELSIMOR</t>
  </si>
  <si>
    <t>4000 MARKLAN</t>
  </si>
  <si>
    <t>7400 CHELWYD</t>
  </si>
  <si>
    <t>7900 MANS PL</t>
  </si>
  <si>
    <t>57TH WYALUSI</t>
  </si>
  <si>
    <t>56TH &amp; MARKET</t>
  </si>
  <si>
    <t>1700 N FELTO</t>
  </si>
  <si>
    <t>FELTON &amp; JEFFE</t>
  </si>
  <si>
    <t>LANSDOWNE &amp; WY</t>
  </si>
  <si>
    <t>57TH HUNTER</t>
  </si>
  <si>
    <t>CHERRY &amp; CONES</t>
  </si>
  <si>
    <t>VINE &amp; HORTON</t>
  </si>
  <si>
    <t>300 MARKIE</t>
  </si>
  <si>
    <t>5200 CEDAR A</t>
  </si>
  <si>
    <t>4428-30 BAKE</t>
  </si>
  <si>
    <t>1900 E VENAN</t>
  </si>
  <si>
    <t>5119 SPRINGF</t>
  </si>
  <si>
    <t>246 LULES ST</t>
  </si>
  <si>
    <t>67TH HAVERFO</t>
  </si>
  <si>
    <t>66TH HAVERFO</t>
  </si>
  <si>
    <t>3213 MOUNT V</t>
  </si>
  <si>
    <t>1800 TUSTIN</t>
  </si>
  <si>
    <t>100 S REDFIE</t>
  </si>
  <si>
    <t>5700 WOODLAN</t>
  </si>
  <si>
    <t>3800 ARAMING</t>
  </si>
  <si>
    <t>3400 BRANDYW</t>
  </si>
  <si>
    <t>817 E SCHILL</t>
  </si>
  <si>
    <t>3400 WEYMOUT</t>
  </si>
  <si>
    <t>KENSINGTON &amp; M</t>
  </si>
  <si>
    <t>7800 N 10TH</t>
  </si>
  <si>
    <t>4800 LEITHGO</t>
  </si>
  <si>
    <t>6530 WOODLAN</t>
  </si>
  <si>
    <t>67TH LEBANON</t>
  </si>
  <si>
    <t>SUPONT ST &amp; HI</t>
  </si>
  <si>
    <t>37TH &amp; ASPEN ST</t>
  </si>
  <si>
    <t>300 E INDIAN</t>
  </si>
  <si>
    <t>K &amp; VENNANGO</t>
  </si>
  <si>
    <t>1000 W VENAN</t>
  </si>
  <si>
    <t>700 E ALLEGH</t>
  </si>
  <si>
    <t>5742 HAZEL A</t>
  </si>
  <si>
    <t>ELKHART &amp; EDGM</t>
  </si>
  <si>
    <t>250 E ALLEGH</t>
  </si>
  <si>
    <t>5900 WASHING</t>
  </si>
  <si>
    <t>61ST WEBSTER</t>
  </si>
  <si>
    <t>5900 JEFFERS</t>
  </si>
  <si>
    <t>6600 SHERWOO</t>
  </si>
  <si>
    <t>10091 SUMMER</t>
  </si>
  <si>
    <t>200 W ROSEMA</t>
  </si>
  <si>
    <t>2ND &amp; SPENCER</t>
  </si>
  <si>
    <t>2ND &amp; CALVERT</t>
  </si>
  <si>
    <t>5 DUNCANNON</t>
  </si>
  <si>
    <t>5TH &amp; DUNCANNO</t>
  </si>
  <si>
    <t>5TH &amp; SUMMERVI</t>
  </si>
  <si>
    <t>4033 PENNYPA</t>
  </si>
  <si>
    <t>6444 N 54TH</t>
  </si>
  <si>
    <t>6700 HAVERFO</t>
  </si>
  <si>
    <t>7500 HAVERFO</t>
  </si>
  <si>
    <t>7400 CHELWYN</t>
  </si>
  <si>
    <t>FAIRHILL &amp; RUS</t>
  </si>
  <si>
    <t>5TH &amp; ROCKLAND</t>
  </si>
  <si>
    <t>3117 BOUDINO</t>
  </si>
  <si>
    <t>6200 DELANCE</t>
  </si>
  <si>
    <t>4900 PENTRID</t>
  </si>
  <si>
    <t>10100 JAMISO</t>
  </si>
  <si>
    <t>200 W ROSEMO</t>
  </si>
  <si>
    <t>200 W WIDENE</t>
  </si>
  <si>
    <t>10090 SANDME</t>
  </si>
  <si>
    <t>9903 BUSTLET</t>
  </si>
  <si>
    <t>2ND &amp; CHAMPLOS</t>
  </si>
  <si>
    <t>5TH &amp; CHAMPLOS</t>
  </si>
  <si>
    <t>3745 ARAMING</t>
  </si>
  <si>
    <t>5TH &amp; GRANGE</t>
  </si>
  <si>
    <t>400 W ASHDAL</t>
  </si>
  <si>
    <t>400 W RUSCOM</t>
  </si>
  <si>
    <t>500 W LANGE</t>
  </si>
  <si>
    <t>SHIELDS &amp; WOOD</t>
  </si>
  <si>
    <t>5TH &amp; CAYUGA</t>
  </si>
  <si>
    <t>100 W ROSEMA</t>
  </si>
  <si>
    <t>7300 DICKS A</t>
  </si>
  <si>
    <t>6100 GLENMOR</t>
  </si>
  <si>
    <t>1400 EDGEWOO</t>
  </si>
  <si>
    <t>1900 E ATLAN</t>
  </si>
  <si>
    <t>6620 WOODLAN</t>
  </si>
  <si>
    <t>59TH &amp; CHESTNU</t>
  </si>
  <si>
    <t>200 N AVONDA</t>
  </si>
  <si>
    <t>5800 ELLSWOR</t>
  </si>
  <si>
    <t>551 WYALUSIN</t>
  </si>
  <si>
    <t>10901 BUSTLE</t>
  </si>
  <si>
    <t>8717 ADDISON</t>
  </si>
  <si>
    <t>100 SALAIGMA</t>
  </si>
  <si>
    <t>66TH &amp; MALVERN</t>
  </si>
  <si>
    <t>5200 REINHAR</t>
  </si>
  <si>
    <t>949 WESTMORE</t>
  </si>
  <si>
    <t>2000 E ATLAN</t>
  </si>
  <si>
    <t>RHAWN &amp; JEANES</t>
  </si>
  <si>
    <t>3935 LAWNDAL</t>
  </si>
  <si>
    <t>3800 ELSIMOR</t>
  </si>
  <si>
    <t>3551 TANEY ST</t>
  </si>
  <si>
    <t>6000 ELLSWOR</t>
  </si>
  <si>
    <t>4400 RENO ST</t>
  </si>
  <si>
    <t>5303 W MASTE</t>
  </si>
  <si>
    <t>FRANKFORD &amp; CA</t>
  </si>
  <si>
    <t>6100 JENNY ST</t>
  </si>
  <si>
    <t>CLEMENTINE &amp; F</t>
  </si>
  <si>
    <t>ELMWOOD &amp; ROBI</t>
  </si>
  <si>
    <t>61ST &amp; WHEELER</t>
  </si>
  <si>
    <t>ELMWOOD &amp; SHIE</t>
  </si>
  <si>
    <t>ROXBOROUGH &amp; H</t>
  </si>
  <si>
    <t>74TH &amp; ISLAND</t>
  </si>
  <si>
    <t>6000 WOODLAN</t>
  </si>
  <si>
    <t>2400 A 61ST</t>
  </si>
  <si>
    <t>56TH &amp; LANCAST</t>
  </si>
  <si>
    <t>2070 CHEWICK</t>
  </si>
  <si>
    <t>3550 WCHIHEL</t>
  </si>
  <si>
    <t>450 MONASTER</t>
  </si>
  <si>
    <t>5747 CHRISTI</t>
  </si>
  <si>
    <t>4900 WESTMIN</t>
  </si>
  <si>
    <t>3400 BRADDOC</t>
  </si>
  <si>
    <t>ONTARIO &amp; BRAD</t>
  </si>
  <si>
    <t>62ND ARCH</t>
  </si>
  <si>
    <t>5840 CARPENT</t>
  </si>
  <si>
    <t>5300 W STILE</t>
  </si>
  <si>
    <t>6700 BUIST A</t>
  </si>
  <si>
    <t>61ST ARCH</t>
  </si>
  <si>
    <t>1700 S CONES</t>
  </si>
  <si>
    <t>PORVESSING &amp; K</t>
  </si>
  <si>
    <t>15136 BEVERL</t>
  </si>
  <si>
    <t>TONER &amp; PENSDA</t>
  </si>
  <si>
    <t>1200 PROCESS</t>
  </si>
  <si>
    <t>3844 PALMETT</t>
  </si>
  <si>
    <t>HALSTEIN &amp; BAR</t>
  </si>
  <si>
    <t>2066 PICKWIC</t>
  </si>
  <si>
    <t>3500 STOWTON</t>
  </si>
  <si>
    <t>8023 BURHOLM</t>
  </si>
  <si>
    <t>ISLAND &amp; WOODL</t>
  </si>
  <si>
    <t>6024 RIDGE A</t>
  </si>
  <si>
    <t>5600 HADFIEL</t>
  </si>
  <si>
    <t>68TH GLOVERS</t>
  </si>
  <si>
    <t>6000 GREENWA</t>
  </si>
  <si>
    <t>1900 REDFIEL</t>
  </si>
  <si>
    <t>5900 GREENWA</t>
  </si>
  <si>
    <t>1100 S FRAZI</t>
  </si>
  <si>
    <t>100 W ALLEGH</t>
  </si>
  <si>
    <t>48 W HOWARD</t>
  </si>
  <si>
    <t>K &amp; HUNTING PA</t>
  </si>
  <si>
    <t>200 ROBINA P</t>
  </si>
  <si>
    <t>100 PARKER A</t>
  </si>
  <si>
    <t>4000 CLARIDG</t>
  </si>
  <si>
    <t>1558 LYCOMIN</t>
  </si>
  <si>
    <t>10136 BEVERL</t>
  </si>
  <si>
    <t>67TH DICKS A</t>
  </si>
  <si>
    <t>67TH DICK AV</t>
  </si>
  <si>
    <t>6A700 DICKS</t>
  </si>
  <si>
    <t>6700 DICKS A</t>
  </si>
  <si>
    <t>6714 DICKS A</t>
  </si>
  <si>
    <t>6802 DICKS A</t>
  </si>
  <si>
    <t>100 E STERNE</t>
  </si>
  <si>
    <t>5700 WARRING</t>
  </si>
  <si>
    <t>1300 WESTBUR</t>
  </si>
  <si>
    <t>100 N LINDEN</t>
  </si>
  <si>
    <t>5300 MONTGOM</t>
  </si>
  <si>
    <t>59TH DELANCE</t>
  </si>
  <si>
    <t>5433 DELANCE</t>
  </si>
  <si>
    <t>56TH WYALUSI</t>
  </si>
  <si>
    <t>5500 THOMPSO</t>
  </si>
  <si>
    <t>1300 DIVINIT</t>
  </si>
  <si>
    <t>5200 SAYBROO</t>
  </si>
  <si>
    <t>4800 N HOLLA</t>
  </si>
  <si>
    <t>4800 N HOWAR</t>
  </si>
  <si>
    <t>ARBOR &amp; CLEARF</t>
  </si>
  <si>
    <t>200 S COBBS</t>
  </si>
  <si>
    <t>MITCHELLS</t>
  </si>
  <si>
    <t>58TH LARCHWO</t>
  </si>
  <si>
    <t>59TH LOCUST</t>
  </si>
  <si>
    <t>10960 BUSTLE</t>
  </si>
  <si>
    <t>58TH LUDLOW</t>
  </si>
  <si>
    <t>ELLA &amp; ELKHART</t>
  </si>
  <si>
    <t>55TH &amp; PENNSGR</t>
  </si>
  <si>
    <t>FRAZIER &amp; MEDI</t>
  </si>
  <si>
    <t>FELTON &amp; MEDIA</t>
  </si>
  <si>
    <t>59TH LARCHWO</t>
  </si>
  <si>
    <t>57TH LARCHWO</t>
  </si>
  <si>
    <t>4953 HAZEL A</t>
  </si>
  <si>
    <t>2913 RUTLEDG</t>
  </si>
  <si>
    <t>5803 WARRING</t>
  </si>
  <si>
    <t>5800 WARRING</t>
  </si>
  <si>
    <t>5000 DIAMOND</t>
  </si>
  <si>
    <t>100 W WESTMO</t>
  </si>
  <si>
    <t>5500 CAMBRID</t>
  </si>
  <si>
    <t>2000 SHIELDS</t>
  </si>
  <si>
    <t>5277 JEFFERS</t>
  </si>
  <si>
    <t>546 E ALLEGH</t>
  </si>
  <si>
    <t>RORER &amp; INDIAN</t>
  </si>
  <si>
    <t>139 S COBBS</t>
  </si>
  <si>
    <t>125 S COBBS</t>
  </si>
  <si>
    <t>123 S COBBS</t>
  </si>
  <si>
    <t>119 S COBBS</t>
  </si>
  <si>
    <t>62ND ARCH ST</t>
  </si>
  <si>
    <t>137 W COURTL</t>
  </si>
  <si>
    <t>6249 REEDLAN</t>
  </si>
  <si>
    <t>9700 GLOBAL</t>
  </si>
  <si>
    <t>52ND LARCHWO</t>
  </si>
  <si>
    <t>52ND CEDAR A</t>
  </si>
  <si>
    <t>67TH &amp; GUYER</t>
  </si>
  <si>
    <t>66TH &amp; GUYER</t>
  </si>
  <si>
    <t>1301 MCCLELL</t>
  </si>
  <si>
    <t>1300 N WANAM</t>
  </si>
  <si>
    <t>100 E INDIAN</t>
  </si>
  <si>
    <t>4142 LAWNDAL</t>
  </si>
  <si>
    <t>5855 HAZEL A</t>
  </si>
  <si>
    <t>5900 CARPENT</t>
  </si>
  <si>
    <t>4502 SPRINGF</t>
  </si>
  <si>
    <t>2082 ALBRIGH</t>
  </si>
  <si>
    <t>7000 BUIST A</t>
  </si>
  <si>
    <t>RHO S 59TH ST</t>
  </si>
  <si>
    <t>68TH &amp; GUYER</t>
  </si>
  <si>
    <t>1300 CHRISTI</t>
  </si>
  <si>
    <t>HEACOCK &amp; HOWE</t>
  </si>
  <si>
    <t>1848 ATLANTI</t>
  </si>
  <si>
    <t>6200 REEDLAN</t>
  </si>
  <si>
    <t>MONSTAERY &amp; TE</t>
  </si>
  <si>
    <t>TERRACE ST &amp; R</t>
  </si>
  <si>
    <t>58TH DELANCE</t>
  </si>
  <si>
    <t>2200 S MILDR</t>
  </si>
  <si>
    <t>2225 S MILDR</t>
  </si>
  <si>
    <t>2227 S MILDR</t>
  </si>
  <si>
    <t>2226 S MILDR</t>
  </si>
  <si>
    <t>3903 GLENDAL</t>
  </si>
  <si>
    <t>MILDRED &amp; RITN</t>
  </si>
  <si>
    <t>9833 HALDEMA</t>
  </si>
  <si>
    <t>10000 SANDME</t>
  </si>
  <si>
    <t>1006 S SANDM</t>
  </si>
  <si>
    <t>HOWER &amp; HANCOC</t>
  </si>
  <si>
    <t>3400 ARAMING</t>
  </si>
  <si>
    <t>8200 LINDBER</t>
  </si>
  <si>
    <t>1700 WEST EN</t>
  </si>
  <si>
    <t>4100 CHURCHV</t>
  </si>
  <si>
    <t>E &amp; ALLEGHENY</t>
  </si>
  <si>
    <t>66TH &amp; HADDING</t>
  </si>
  <si>
    <t>1100 STANWOO</t>
  </si>
  <si>
    <t>5500 A ST</t>
  </si>
  <si>
    <t>1300 N ROBIN</t>
  </si>
  <si>
    <t>EMERALD &amp; CAST</t>
  </si>
  <si>
    <t>4946 CEDAR A</t>
  </si>
  <si>
    <t>5200 LITCHFI</t>
  </si>
  <si>
    <t>57TH LOCUST</t>
  </si>
  <si>
    <t>712 E ONTARI</t>
  </si>
  <si>
    <t>2700 GEIGER</t>
  </si>
  <si>
    <t>4100 MONUMEN</t>
  </si>
  <si>
    <t>LAWRENCE &amp; OLN</t>
  </si>
  <si>
    <t>DOMINO LN &amp; RI</t>
  </si>
  <si>
    <t>5100 WYALUSI</t>
  </si>
  <si>
    <t>156 E ALLEGH</t>
  </si>
  <si>
    <t>6700 WOODLAN</t>
  </si>
  <si>
    <t>5400 WOODLAN</t>
  </si>
  <si>
    <t>4500 N HURLE</t>
  </si>
  <si>
    <t>57TH CHERRY</t>
  </si>
  <si>
    <t>6200 HAZEL A</t>
  </si>
  <si>
    <t>135 S COBBS</t>
  </si>
  <si>
    <t>D &amp; ALLEGHENY</t>
  </si>
  <si>
    <t>125 S COBBSC</t>
  </si>
  <si>
    <t>57TH LANSDOW</t>
  </si>
  <si>
    <t>6200 N PALET</t>
  </si>
  <si>
    <t>554 S REDFIE</t>
  </si>
  <si>
    <t>100 PERSDALE</t>
  </si>
  <si>
    <t>ROSBOROUGH &amp; D</t>
  </si>
  <si>
    <t>DUPONT &amp; MANAY</t>
  </si>
  <si>
    <t>5800 ELMDWOO</t>
  </si>
  <si>
    <t>FRAZIER ST &amp; S</t>
  </si>
  <si>
    <t>FRAZIER ST &amp; K</t>
  </si>
  <si>
    <t>STENTON &amp; HAIN</t>
  </si>
  <si>
    <t>656 LEVERING</t>
  </si>
  <si>
    <t>6600 YOCUMS</t>
  </si>
  <si>
    <t>52ND &amp; JEFFERS</t>
  </si>
  <si>
    <t>4800 SUMMERD</t>
  </si>
  <si>
    <t>NE CORNER ED</t>
  </si>
  <si>
    <t>2800 ORTHODO</t>
  </si>
  <si>
    <t>6400 BUSTLET</t>
  </si>
  <si>
    <t>1300 DICKINS</t>
  </si>
  <si>
    <t>1604 S COLUM</t>
  </si>
  <si>
    <t>3400 S DARIE</t>
  </si>
  <si>
    <t>700 CHERRY ST</t>
  </si>
  <si>
    <t>400 E ALLEGH</t>
  </si>
  <si>
    <t>501 E ALLEGH</t>
  </si>
  <si>
    <t>BIGLER &amp; ALDER</t>
  </si>
  <si>
    <t>61ST LANSDOW</t>
  </si>
  <si>
    <t>6100 CARPENT</t>
  </si>
  <si>
    <t>C &amp; CAMBRIA</t>
  </si>
  <si>
    <t>121 S COBBSC</t>
  </si>
  <si>
    <t>5500 WHITAKE</t>
  </si>
  <si>
    <t>6065 AMERICA</t>
  </si>
  <si>
    <t>1345 OLNEY A</t>
  </si>
  <si>
    <t>3946 ELSINOR</t>
  </si>
  <si>
    <t>3947 ELSINOR</t>
  </si>
  <si>
    <t>5694 RISING</t>
  </si>
  <si>
    <t>10207 FERNDA</t>
  </si>
  <si>
    <t>67 HAVERFORD</t>
  </si>
  <si>
    <t>2500 HOLBROO</t>
  </si>
  <si>
    <t>2000 REDFIEL</t>
  </si>
  <si>
    <t>6200 WOODLAN</t>
  </si>
  <si>
    <t>300 E ALLEGH</t>
  </si>
  <si>
    <t>600 E ALLEGH</t>
  </si>
  <si>
    <t>7100 THEODOR</t>
  </si>
  <si>
    <t>4900 WYALUSI</t>
  </si>
  <si>
    <t>FRANKFORD &amp; GL</t>
  </si>
  <si>
    <t>298 S FARRAG</t>
  </si>
  <si>
    <t>JEFFERSON &amp; RO</t>
  </si>
  <si>
    <t>1600 HADDING</t>
  </si>
  <si>
    <t>63RD &amp; NASSAU</t>
  </si>
  <si>
    <t>6800 BUIST A</t>
  </si>
  <si>
    <t>15TH &amp; CONLYN</t>
  </si>
  <si>
    <t>6401 LINDBER</t>
  </si>
  <si>
    <t>67TH GUYER A</t>
  </si>
  <si>
    <t>ROBINSON &amp; BUI</t>
  </si>
  <si>
    <t>61ST WHEELER</t>
  </si>
  <si>
    <t>6300 CHELWYN</t>
  </si>
  <si>
    <t>7700 WOODBIN</t>
  </si>
  <si>
    <t>6600 RIDGE A</t>
  </si>
  <si>
    <t>1500 OLNEY A</t>
  </si>
  <si>
    <t>6825 DICKS A</t>
  </si>
  <si>
    <t>BONNAFFON &amp; BU</t>
  </si>
  <si>
    <t>CARROLL &amp; BUIS</t>
  </si>
  <si>
    <t>9800 HALDERM</t>
  </si>
  <si>
    <t>5900 N MASCH</t>
  </si>
  <si>
    <t>4900 HAWTHOR</t>
  </si>
  <si>
    <t>4800 HAWTHOR</t>
  </si>
  <si>
    <t>4100 PENNSGR</t>
  </si>
  <si>
    <t>4102 PENNSGR</t>
  </si>
  <si>
    <t>50TH LOCUST</t>
  </si>
  <si>
    <t>10800 NANDUA</t>
  </si>
  <si>
    <t>60TH CARPENT</t>
  </si>
  <si>
    <t>61ST CHRISTI</t>
  </si>
  <si>
    <t>6529 DICKS A</t>
  </si>
  <si>
    <t>5113-5111 CH</t>
  </si>
  <si>
    <t>58TH &amp; MASTER</t>
  </si>
  <si>
    <t>9900 HALDEMA</t>
  </si>
  <si>
    <t>3100 BOUDINO</t>
  </si>
  <si>
    <t>3210 SHELBOU</t>
  </si>
  <si>
    <t>509 E ALLEGH</t>
  </si>
  <si>
    <t>1341 OLNEY A</t>
  </si>
  <si>
    <t>800 E SCHILL</t>
  </si>
  <si>
    <t>600 W ROCKLA</t>
  </si>
  <si>
    <t>5800 CARPENT</t>
  </si>
  <si>
    <t>52ND PARRISH</t>
  </si>
  <si>
    <t>5500 SPRINGF</t>
  </si>
  <si>
    <t>5000 N BINGH</t>
  </si>
  <si>
    <t>1900 GUYER</t>
  </si>
  <si>
    <t>600 JAMESTOW</t>
  </si>
  <si>
    <t>5100 ROCHELL</t>
  </si>
  <si>
    <t>4222 W GIRAR</t>
  </si>
  <si>
    <t>4700 REINHAR</t>
  </si>
  <si>
    <t>51 ASPEN ST</t>
  </si>
  <si>
    <t>6400 GUYER A</t>
  </si>
  <si>
    <t>65TH GUYER</t>
  </si>
  <si>
    <t>45&amp;LOCUST ST</t>
  </si>
  <si>
    <t>200 LAURISTO</t>
  </si>
  <si>
    <t>4700 TACKAWA</t>
  </si>
  <si>
    <t>SHELMIRE &amp; JAC</t>
  </si>
  <si>
    <t>LINC &amp; S 52</t>
  </si>
  <si>
    <t>HERMIT &amp; MANAY</t>
  </si>
  <si>
    <t>5301 DELACEY</t>
  </si>
  <si>
    <t>607 E ALLEGH</t>
  </si>
  <si>
    <t>807 E ALLEGH</t>
  </si>
  <si>
    <t>5900 HOUGHTO</t>
  </si>
  <si>
    <t>6800 GUYER A</t>
  </si>
  <si>
    <t>3700 BRANDYW</t>
  </si>
  <si>
    <t>71ST BUIST A</t>
  </si>
  <si>
    <t>6901 RIDGE A</t>
  </si>
  <si>
    <t>5800 BEECHWO</t>
  </si>
  <si>
    <t>50TH WALTON</t>
  </si>
  <si>
    <t>ALLISON &amp; DELA</t>
  </si>
  <si>
    <t>400 CLARIDGE</t>
  </si>
  <si>
    <t>4200 HOOPES</t>
  </si>
  <si>
    <t>53RD &amp; IRVING</t>
  </si>
  <si>
    <t>156 JAMESTOW</t>
  </si>
  <si>
    <t>187 E R BLVD</t>
  </si>
  <si>
    <t>7500 RISING</t>
  </si>
  <si>
    <t>FRONT &amp; CAMBRI</t>
  </si>
  <si>
    <t>CLEARFIELD &amp;</t>
  </si>
  <si>
    <t>329 E R BLVD</t>
  </si>
  <si>
    <t>5400 LARCHWO</t>
  </si>
  <si>
    <t>339 E R BLVD</t>
  </si>
  <si>
    <t>333 E R BLVD</t>
  </si>
  <si>
    <t>700 CHIRSTIA</t>
  </si>
  <si>
    <t>191 E R BLVD</t>
  </si>
  <si>
    <t>183 E R BLVD</t>
  </si>
  <si>
    <t>JESSUP &amp; SHUNK</t>
  </si>
  <si>
    <t>59TH WASHING</t>
  </si>
  <si>
    <t>5300 WOODLAN</t>
  </si>
  <si>
    <t>59TH CARPENT</t>
  </si>
  <si>
    <t>1535 N ALLIS</t>
  </si>
  <si>
    <t>55 LANSDOWNE</t>
  </si>
  <si>
    <t>800 E ALLEGH</t>
  </si>
  <si>
    <t>707 E ALLEGH</t>
  </si>
  <si>
    <t>20214 ROBBIN</t>
  </si>
  <si>
    <t>45TH BALTIMO</t>
  </si>
  <si>
    <t>823 W LINDLE</t>
  </si>
  <si>
    <t>103 E ALLEGH</t>
  </si>
  <si>
    <t>8300 MARIO L</t>
  </si>
  <si>
    <t>5100 RIDGE A</t>
  </si>
  <si>
    <t>5934 RIDGE A</t>
  </si>
  <si>
    <t>5727 OSAGE A</t>
  </si>
  <si>
    <t>2700 N HOWAR</t>
  </si>
  <si>
    <t>CASTOR &amp; EMERA</t>
  </si>
  <si>
    <t>3800 ELSINOR</t>
  </si>
  <si>
    <t>B &amp; RUSCOMB ST</t>
  </si>
  <si>
    <t>B &amp; RUSCOMB</t>
  </si>
  <si>
    <t>200 E RUSCOM</t>
  </si>
  <si>
    <t>200 E ROCKLA</t>
  </si>
  <si>
    <t>6500 PINE RI</t>
  </si>
  <si>
    <t>CHESTNUT &amp; SAL</t>
  </si>
  <si>
    <t>OSAGE &amp; COBBS</t>
  </si>
  <si>
    <t>6200 62ND ST</t>
  </si>
  <si>
    <t>250 W WIDENE</t>
  </si>
  <si>
    <t>627 E ALLEGH</t>
  </si>
  <si>
    <t>197 W SPENCE</t>
  </si>
  <si>
    <t>RHAWN &amp; ELBERO</t>
  </si>
  <si>
    <t>61ST LUDLOW</t>
  </si>
  <si>
    <t>1328 OLNEY A</t>
  </si>
  <si>
    <t>3300 N WATE</t>
  </si>
  <si>
    <t>6300 OVERBRO</t>
  </si>
  <si>
    <t>100 E ALLEGH</t>
  </si>
  <si>
    <t>2200 BRYN MA</t>
  </si>
  <si>
    <t>7300 CHELWYN</t>
  </si>
  <si>
    <t>4TH &amp; WOLF ST</t>
  </si>
  <si>
    <t>CONESTOGA &amp; MA</t>
  </si>
  <si>
    <t>300 E ROCKLA</t>
  </si>
  <si>
    <t>480 A ST</t>
  </si>
  <si>
    <t>5500 PEMBERT</t>
  </si>
  <si>
    <t>100 E ONTARI</t>
  </si>
  <si>
    <t>1400 N WANNA</t>
  </si>
  <si>
    <t>1300 N WANNA</t>
  </si>
  <si>
    <t>59TH WINDSOR</t>
  </si>
  <si>
    <t>60TH IRVING</t>
  </si>
  <si>
    <t>FRANKFORD &amp; PA</t>
  </si>
  <si>
    <t>ALBRIGHT &amp; FRA</t>
  </si>
  <si>
    <t>60TH OSAGE</t>
  </si>
  <si>
    <t>HUNTING PARK</t>
  </si>
  <si>
    <t>400 E CLEARF</t>
  </si>
  <si>
    <t>4850 N PALET</t>
  </si>
  <si>
    <t>1500 UNRUH A</t>
  </si>
  <si>
    <t>5700 HAZEL A</t>
  </si>
  <si>
    <t>SALAIGNAC &amp; MA</t>
  </si>
  <si>
    <t>4801 HAZEL A</t>
  </si>
  <si>
    <t>6500 THORDOR</t>
  </si>
  <si>
    <t>6800 DICKS A</t>
  </si>
  <si>
    <t>400 KAUFFMAN</t>
  </si>
  <si>
    <t>61ST ARCH ST</t>
  </si>
  <si>
    <t>CROSS &amp; 10TH ST</t>
  </si>
  <si>
    <t>8332 BUSTLET</t>
  </si>
  <si>
    <t>1347 OLNEY A</t>
  </si>
  <si>
    <t>5700 WASHING</t>
  </si>
  <si>
    <t>5300 FLORENC</t>
  </si>
  <si>
    <t>1400 WANAMAK</t>
  </si>
  <si>
    <t>7600 WOODCRE</t>
  </si>
  <si>
    <t>7300 WHITAKE</t>
  </si>
  <si>
    <t>8TH &amp; RITNER ST</t>
  </si>
  <si>
    <t>5600 HAZEL A</t>
  </si>
  <si>
    <t>B &amp; ALLEGHENY</t>
  </si>
  <si>
    <t>54TH SANSOM</t>
  </si>
  <si>
    <t>ALMOND &amp; CLEAR</t>
  </si>
  <si>
    <t>EDGEMONT &amp; ANN</t>
  </si>
  <si>
    <t>FRONT &amp; WIDENE</t>
  </si>
  <si>
    <t>MASCHER &amp; SPAR</t>
  </si>
  <si>
    <t>161 W GODFRE</t>
  </si>
  <si>
    <t>1256 MAGEE A</t>
  </si>
  <si>
    <t>601 E ANNSBU</t>
  </si>
  <si>
    <t>222 W ROCKLA</t>
  </si>
  <si>
    <t>3000 RICHMON</t>
  </si>
  <si>
    <t>6248A S 63RD</t>
  </si>
  <si>
    <t>10TH &amp; ROCKLAN</t>
  </si>
  <si>
    <t>1700 SCATTER</t>
  </si>
  <si>
    <t>9921 BUSTLET</t>
  </si>
  <si>
    <t>2041 WAKELIN</t>
  </si>
  <si>
    <t>ROBINSON &amp; ELM</t>
  </si>
  <si>
    <t>49TH ASPEN</t>
  </si>
  <si>
    <t>700 ADAM</t>
  </si>
  <si>
    <t>42ND WEBSTER</t>
  </si>
  <si>
    <t>62ND HAZEL</t>
  </si>
  <si>
    <t>6742 GUYER A</t>
  </si>
  <si>
    <t>55 S 61ST S1</t>
  </si>
  <si>
    <t>6000 HASBROO</t>
  </si>
  <si>
    <t>4000 REACH</t>
  </si>
  <si>
    <t>6100 HASBROO</t>
  </si>
  <si>
    <t>NANDINA PLZ</t>
  </si>
  <si>
    <t>4619 TORRESD</t>
  </si>
  <si>
    <t>68TH ELMWOOD</t>
  </si>
  <si>
    <t>54 WESTMINST</t>
  </si>
  <si>
    <t>1531 N CONAS</t>
  </si>
  <si>
    <t>BLAKESLEE &amp; BL</t>
  </si>
  <si>
    <t>5012 CEDAR A</t>
  </si>
  <si>
    <t>1800 HERT LN</t>
  </si>
  <si>
    <t>LOCUST &amp; ALDEN</t>
  </si>
  <si>
    <t>9946 HALDEMA</t>
  </si>
  <si>
    <t>152 W RUSCOM</t>
  </si>
  <si>
    <t>6000 WHEELER</t>
  </si>
  <si>
    <t>62ND REEDLAN</t>
  </si>
  <si>
    <t>SHIELDS &amp; DICK</t>
  </si>
  <si>
    <t>801 N LAWREN</t>
  </si>
  <si>
    <t>7300 BUIST A</t>
  </si>
  <si>
    <t>73 BUIST AVE</t>
  </si>
  <si>
    <t>PRESTON &amp; SPRI</t>
  </si>
  <si>
    <t>131 E LOUDER</t>
  </si>
  <si>
    <t>5939 CARPENT</t>
  </si>
  <si>
    <t>200 E INDIAN</t>
  </si>
  <si>
    <t>800 NW CORNE</t>
  </si>
  <si>
    <t>PARLIN &amp; AVON</t>
  </si>
  <si>
    <t>6TH &amp; MOYAMENS</t>
  </si>
  <si>
    <t>800 ALLEGHEN</t>
  </si>
  <si>
    <t>1800 GLENDAL</t>
  </si>
  <si>
    <t>1500 ST VINC</t>
  </si>
  <si>
    <t>5101 HAZEL A</t>
  </si>
  <si>
    <t>7309 BUIST A</t>
  </si>
  <si>
    <t>2417 S CLARI</t>
  </si>
  <si>
    <t>65TH WOODLAN</t>
  </si>
  <si>
    <t>5349 CLARIDG</t>
  </si>
  <si>
    <t>6700 ALGON A</t>
  </si>
  <si>
    <t>BEACH &amp; FAIRMO</t>
  </si>
  <si>
    <t>52ND &amp; HARLAN</t>
  </si>
  <si>
    <t>9741 CHAPELC</t>
  </si>
  <si>
    <t>ALLISON &amp; SPRU</t>
  </si>
  <si>
    <t>FAIRMOUNT &amp; AM</t>
  </si>
  <si>
    <t>57TH &amp; HADDING</t>
  </si>
  <si>
    <t>5537 SRUCE</t>
  </si>
  <si>
    <t>6732 GUYER A</t>
  </si>
  <si>
    <t>4114 MARKLAN</t>
  </si>
  <si>
    <t>BAKER &amp; KRAMS</t>
  </si>
  <si>
    <t>4352 BAKER ST</t>
  </si>
  <si>
    <t>6448 WOODLAN</t>
  </si>
  <si>
    <t>LYKENS &amp; RONNI</t>
  </si>
  <si>
    <t>1663 EDGEWOO</t>
  </si>
  <si>
    <t>100 CLAREMON</t>
  </si>
  <si>
    <t>400 E ASHDAL</t>
  </si>
  <si>
    <t>COTTON &amp; MANAY</t>
  </si>
  <si>
    <t>COTTON &amp; FLEMI</t>
  </si>
  <si>
    <t>HEADROW &amp; HANC</t>
  </si>
  <si>
    <t>72ND ELMWOOD</t>
  </si>
  <si>
    <t>BALDWIN &amp; SILV</t>
  </si>
  <si>
    <t>8300 LINDBER</t>
  </si>
  <si>
    <t>3923 CLARIDG</t>
  </si>
  <si>
    <t>6500 EASTWIC</t>
  </si>
  <si>
    <t>1300 W GRANG</t>
  </si>
  <si>
    <t>890 E SCHILL</t>
  </si>
  <si>
    <t>RIDGE &amp; GERHAR</t>
  </si>
  <si>
    <t>BROAD &amp; CHELTE</t>
  </si>
  <si>
    <t>927 VEVICK ST</t>
  </si>
  <si>
    <t>5100 THOMPSO</t>
  </si>
  <si>
    <t>900 S 4T7H</t>
  </si>
  <si>
    <t>FAIRMOUNT &amp; BE</t>
  </si>
  <si>
    <t>FAIRMOUNT &amp; FR</t>
  </si>
  <si>
    <t>2ND &amp; GODFREY</t>
  </si>
  <si>
    <t>62ND CEDAR</t>
  </si>
  <si>
    <t>62ND WALTON</t>
  </si>
  <si>
    <t>61ST CEDAR</t>
  </si>
  <si>
    <t>69TH GUYER</t>
  </si>
  <si>
    <t>401 CLEARFIE</t>
  </si>
  <si>
    <t>5800 CATHERI</t>
  </si>
  <si>
    <t>10800 HEATHE</t>
  </si>
  <si>
    <t>1200 PRINCET</t>
  </si>
  <si>
    <t>HORROCKS &amp; ST</t>
  </si>
  <si>
    <t>55TH KINGSES</t>
  </si>
  <si>
    <t>5900 ELSIMOR</t>
  </si>
  <si>
    <t>400 W DELPHI</t>
  </si>
  <si>
    <t>59TH NORFOLK</t>
  </si>
  <si>
    <t>54TH CATHARI</t>
  </si>
  <si>
    <t>MANSION &amp; GREE</t>
  </si>
  <si>
    <t>700 CHRISITA</t>
  </si>
  <si>
    <t>800 FOULROD</t>
  </si>
  <si>
    <t>66TH DICKS A</t>
  </si>
  <si>
    <t>10067 SANDME</t>
  </si>
  <si>
    <t>4600 PENNYPA</t>
  </si>
  <si>
    <t>6200 SOREL</t>
  </si>
  <si>
    <t>6526 WOODLAN</t>
  </si>
  <si>
    <t>2551 S BEUHL</t>
  </si>
  <si>
    <t>11TH &amp; MIFFLIN</t>
  </si>
  <si>
    <t>60TH ADDISON</t>
  </si>
  <si>
    <t>59TH ADDISON</t>
  </si>
  <si>
    <t>FLEMING &amp; DUPO</t>
  </si>
  <si>
    <t>552 PENNSGRO</t>
  </si>
  <si>
    <t>1314 N ROBIN</t>
  </si>
  <si>
    <t>4000 PALMETT</t>
  </si>
  <si>
    <t>7323 BUIST A</t>
  </si>
  <si>
    <t>719 W ROCKLA</t>
  </si>
  <si>
    <t>4148 CLARIDG</t>
  </si>
  <si>
    <t>CRESSON &amp; GAY</t>
  </si>
  <si>
    <t>LEVERING &amp; MAN</t>
  </si>
  <si>
    <t>437 LEVERING</t>
  </si>
  <si>
    <t>3570 EDGEMON</t>
  </si>
  <si>
    <t>4510 SILVERW</t>
  </si>
  <si>
    <t>3000 COLLING</t>
  </si>
  <si>
    <t>5900 ELLSWOR</t>
  </si>
  <si>
    <t>4900 FRANKLI</t>
  </si>
  <si>
    <t>4800 N FRANK</t>
  </si>
  <si>
    <t>4800 FRANKLI</t>
  </si>
  <si>
    <t>3000 GRANSBA</t>
  </si>
  <si>
    <t>2900 GRANBAR</t>
  </si>
  <si>
    <t>FRONT &amp; ROSEMA</t>
  </si>
  <si>
    <t>6355 EASTWOO</t>
  </si>
  <si>
    <t>3302 HAVERFO</t>
  </si>
  <si>
    <t>47258 VIOLA</t>
  </si>
  <si>
    <t>1700 AVONDAL</t>
  </si>
  <si>
    <t>500 W ANNESB</t>
  </si>
  <si>
    <t>4600 RISING</t>
  </si>
  <si>
    <t>5600 PEMBERT</t>
  </si>
  <si>
    <t>5TH &amp; ASHDALE</t>
  </si>
  <si>
    <t>3700 ROSEHIL</t>
  </si>
  <si>
    <t>5500 SUMMERD</t>
  </si>
  <si>
    <t>13TH &amp; LOUDON</t>
  </si>
  <si>
    <t>FEDERAL &amp; ALDE</t>
  </si>
  <si>
    <t>400 CLEAFIEL</t>
  </si>
  <si>
    <t>4900 CARLISL</t>
  </si>
  <si>
    <t>2800 FRONTENAC ST</t>
  </si>
  <si>
    <t>1502 KINGDAL</t>
  </si>
  <si>
    <t>5800 MASCHES</t>
  </si>
  <si>
    <t>1600 S FRAZI</t>
  </si>
  <si>
    <t>51ST HAZEL A</t>
  </si>
  <si>
    <t>60TH MORNING</t>
  </si>
  <si>
    <t>52ND CATHARI</t>
  </si>
  <si>
    <t>5843 ELLSWOR</t>
  </si>
  <si>
    <t>2800 E ELKHA</t>
  </si>
  <si>
    <t>130 E WYOMIN</t>
  </si>
  <si>
    <t>5945 DELANCE</t>
  </si>
  <si>
    <t>6651 GUYER A</t>
  </si>
  <si>
    <t>1000 LIVELY</t>
  </si>
  <si>
    <t>54TH CEDAR</t>
  </si>
  <si>
    <t>2600 BUIST A</t>
  </si>
  <si>
    <t>54TH &amp; EUCLID</t>
  </si>
  <si>
    <t>265 W LINDLE</t>
  </si>
  <si>
    <t>5900 SPRINGF</t>
  </si>
  <si>
    <t>67TH &amp; DOREL ST</t>
  </si>
  <si>
    <t>66TH &amp; GUYER A</t>
  </si>
  <si>
    <t>00 S 69THS</t>
  </si>
  <si>
    <t>1700 WINGOHO</t>
  </si>
  <si>
    <t>6538 REEDLAN</t>
  </si>
  <si>
    <t>4600 WHITAKE</t>
  </si>
  <si>
    <t>1624 S CONAS</t>
  </si>
  <si>
    <t>3400 THOMPSO</t>
  </si>
  <si>
    <t>3373 LIVINGS</t>
  </si>
  <si>
    <t>3305 LIVINGS</t>
  </si>
  <si>
    <t>801 S 9TH LO</t>
  </si>
  <si>
    <t>650 MARVIN ST</t>
  </si>
  <si>
    <t>6500 GRAYS A</t>
  </si>
  <si>
    <t>6532 REIDLAN</t>
  </si>
  <si>
    <t>MANAYUNK &amp; SUM</t>
  </si>
  <si>
    <t>523 FAIRTHOR</t>
  </si>
  <si>
    <t>PARLIN &amp; PARLI</t>
  </si>
  <si>
    <t>6528 GLENMOR</t>
  </si>
  <si>
    <t>ITHAN &amp; MARKET</t>
  </si>
  <si>
    <t>6627 DICKS A</t>
  </si>
  <si>
    <t>3800 MCLON ST</t>
  </si>
  <si>
    <t>6300 REIDLAN</t>
  </si>
  <si>
    <t>6400 GREENWA</t>
  </si>
  <si>
    <t>4837 N HOWAR</t>
  </si>
  <si>
    <t>6600 ALGON A</t>
  </si>
  <si>
    <t>738 W LYCOMI</t>
  </si>
  <si>
    <t>7500 BROCKTO</t>
  </si>
  <si>
    <t>1700 S CONAS</t>
  </si>
  <si>
    <t>1779 S AVOND</t>
  </si>
  <si>
    <t>2100 S SHIEL</t>
  </si>
  <si>
    <t>1434 W SPARK</t>
  </si>
  <si>
    <t>1400 W SPARK</t>
  </si>
  <si>
    <t>TERRACE &amp; ROXB</t>
  </si>
  <si>
    <t>4500 SILVER</t>
  </si>
  <si>
    <t>13600 PHILMO</t>
  </si>
  <si>
    <t>13600 PHILMA</t>
  </si>
  <si>
    <t>5901 THOMPSO</t>
  </si>
  <si>
    <t>6218 ALGON A</t>
  </si>
  <si>
    <t>900 E ONTARI</t>
  </si>
  <si>
    <t>4800 WARRING</t>
  </si>
  <si>
    <t>100 E SELTZE</t>
  </si>
  <si>
    <t>WOLF &amp; MOYAMEN</t>
  </si>
  <si>
    <t>658 ALLEGHEN</t>
  </si>
  <si>
    <t>1600 MARGARE</t>
  </si>
  <si>
    <t>414 N REDFIE</t>
  </si>
  <si>
    <t>3800 BARINH</t>
  </si>
  <si>
    <t>5235 PENNSGR</t>
  </si>
  <si>
    <t>7900 ALGON A</t>
  </si>
  <si>
    <t>5601 HAZEL A</t>
  </si>
  <si>
    <t>1300 REDFIEL</t>
  </si>
  <si>
    <t>100 E ROCKLA</t>
  </si>
  <si>
    <t>616 E WYOMIN</t>
  </si>
  <si>
    <t>MASCHER &amp; GODF</t>
  </si>
  <si>
    <t>215 W ROCKLA</t>
  </si>
  <si>
    <t>211 W ROCKLA</t>
  </si>
  <si>
    <t>347 E MORELA</t>
  </si>
  <si>
    <t>810 MOYAMENS</t>
  </si>
  <si>
    <t>TERRACE &amp; SHUR</t>
  </si>
  <si>
    <t>5500 LITCHFI</t>
  </si>
  <si>
    <t>MITCHELL &amp; ROX</t>
  </si>
  <si>
    <t>3315 LIVINGS</t>
  </si>
  <si>
    <t>5255 RIDGE A</t>
  </si>
  <si>
    <t>4300 RECHIN</t>
  </si>
  <si>
    <t>3399 ARAMING</t>
  </si>
  <si>
    <t>623 E ALLEGH</t>
  </si>
  <si>
    <t>1449 STIRLIN</t>
  </si>
  <si>
    <t>723 PEMBERTO</t>
  </si>
  <si>
    <t>11000 N 39TH</t>
  </si>
  <si>
    <t>7700 TORRESD</t>
  </si>
  <si>
    <t>5200 WOODLAN</t>
  </si>
  <si>
    <t>480 FILLLMOR</t>
  </si>
  <si>
    <t>D &amp; ROCKLAND ST</t>
  </si>
  <si>
    <t>8700 OLD LIN</t>
  </si>
  <si>
    <t>100 E ALBANU</t>
  </si>
  <si>
    <t>5900 HASBROO</t>
  </si>
  <si>
    <t>5000 REACH</t>
  </si>
  <si>
    <t>2100 BRIGHTO</t>
  </si>
  <si>
    <t>3865 TERRAC</t>
  </si>
  <si>
    <t>5TH &amp; EARP</t>
  </si>
  <si>
    <t>400 EARP</t>
  </si>
  <si>
    <t>GREEN LN &amp; MAN</t>
  </si>
  <si>
    <t>TERRACE &amp; HERM</t>
  </si>
  <si>
    <t>2400 S FAIRH</t>
  </si>
  <si>
    <t>FDR PARK</t>
  </si>
  <si>
    <t>SHUNK &amp; ALDER</t>
  </si>
  <si>
    <t>2000 ALBRIGH</t>
  </si>
  <si>
    <t>2820 N MASCH</t>
  </si>
  <si>
    <t>SHUNK &amp; PERCY</t>
  </si>
  <si>
    <t>SHUNK &amp; JESSUP</t>
  </si>
  <si>
    <t>4300 BAKER ST</t>
  </si>
  <si>
    <t>PECHIN &amp; LYCEU</t>
  </si>
  <si>
    <t>9TH &amp; DICKINSO</t>
  </si>
  <si>
    <t>1800 SOMERSE</t>
  </si>
  <si>
    <t>62ND &amp; LOCUST</t>
  </si>
  <si>
    <t>4500 S 57TH</t>
  </si>
  <si>
    <t>5500 RIDGEWO</t>
  </si>
  <si>
    <t>CARVER &amp; FRONT</t>
  </si>
  <si>
    <t>GRANITE &amp; LORE</t>
  </si>
  <si>
    <t>CRESSON &amp; RECT</t>
  </si>
  <si>
    <t>LEVERITZY &amp; SI</t>
  </si>
  <si>
    <t>1710 W CHAMP</t>
  </si>
  <si>
    <t>2929 E THOMP</t>
  </si>
  <si>
    <t>5800 COBBS C</t>
  </si>
  <si>
    <t>3100 ARAMING</t>
  </si>
  <si>
    <t>404 LEVERING</t>
  </si>
  <si>
    <t>458 LEVERING</t>
  </si>
  <si>
    <t>2530 E ONTAR</t>
  </si>
  <si>
    <t>1449 STERLIN</t>
  </si>
  <si>
    <t>572 JAMESTOW</t>
  </si>
  <si>
    <t>1700 S MOYAM</t>
  </si>
  <si>
    <t>36 S ROBINSO</t>
  </si>
  <si>
    <t>53RD LUDLOW</t>
  </si>
  <si>
    <t>RUBY &amp; LUDLOW</t>
  </si>
  <si>
    <t>1800 TOMLINS</t>
  </si>
  <si>
    <t>1300 FANSHAW</t>
  </si>
  <si>
    <t>2655 E CLEAR</t>
  </si>
  <si>
    <t>2600 E SCHIL</t>
  </si>
  <si>
    <t>BRIDGE &amp; LORET</t>
  </si>
  <si>
    <t>474 LYCEUM A</t>
  </si>
  <si>
    <t>5800 LINDBER</t>
  </si>
  <si>
    <t>500 GREENWIC</t>
  </si>
  <si>
    <t>3137 RICHMON</t>
  </si>
  <si>
    <t>1600 S MOYAM</t>
  </si>
  <si>
    <t>419 W WELLEN</t>
  </si>
  <si>
    <t>265 W WELLEN</t>
  </si>
  <si>
    <t>245 W ASHDAL</t>
  </si>
  <si>
    <t>153 W ALBANU</t>
  </si>
  <si>
    <t>125 E ALBANU</t>
  </si>
  <si>
    <t>149 E ALBANU</t>
  </si>
  <si>
    <t>155 E ALBANU</t>
  </si>
  <si>
    <t>336 E SHELDO</t>
  </si>
  <si>
    <t>39 BARING ST</t>
  </si>
  <si>
    <t>308 W ALBANU</t>
  </si>
  <si>
    <t>5800 RISING</t>
  </si>
  <si>
    <t>6950 HORROCK</t>
  </si>
  <si>
    <t>4515 ST DAVI</t>
  </si>
  <si>
    <t>SIMPSON &amp; WOOD</t>
  </si>
  <si>
    <t>GRANT &amp; KREWST</t>
  </si>
  <si>
    <t>SMICK &amp; DUPONT</t>
  </si>
  <si>
    <t>8200 BRADFOR</t>
  </si>
  <si>
    <t>200 WESTMORE</t>
  </si>
  <si>
    <t>3400 WATERS</t>
  </si>
  <si>
    <t>9970 BUSTLET</t>
  </si>
  <si>
    <t>10800 GUIFFO</t>
  </si>
  <si>
    <t>1900 S EDGEW</t>
  </si>
  <si>
    <t>SHURS &amp; MERRIC</t>
  </si>
  <si>
    <t>58TH CHANCELLOR ST</t>
  </si>
  <si>
    <t>800 SANGER</t>
  </si>
  <si>
    <t>6500 W ALLIS</t>
  </si>
  <si>
    <t>1300 W NORRI</t>
  </si>
  <si>
    <t>56TH &amp; W ACTON</t>
  </si>
  <si>
    <t>56TH &amp; PEMBERT</t>
  </si>
  <si>
    <t>59TH &amp; WASHING</t>
  </si>
  <si>
    <t>6147 CARPENT</t>
  </si>
  <si>
    <t>6100 HAZEL A</t>
  </si>
  <si>
    <t>62ND &amp; SPRUCE</t>
  </si>
  <si>
    <t>2100 FRIENDS</t>
  </si>
  <si>
    <t>7201 HORROCK</t>
  </si>
  <si>
    <t>HORROCKS &amp; TYS</t>
  </si>
  <si>
    <t>LAWRENCE &amp; POP</t>
  </si>
  <si>
    <t>61ST &amp; CATHARI</t>
  </si>
  <si>
    <t>3240 N HANCO</t>
  </si>
  <si>
    <t>7326 DUNCAN</t>
  </si>
  <si>
    <t>4239 RICHMON</t>
  </si>
  <si>
    <t>201 W CHAMPL</t>
  </si>
  <si>
    <t>9700 CHAPELC</t>
  </si>
  <si>
    <t>61ST &amp; LUDLOW</t>
  </si>
  <si>
    <t>51ST &amp; HOOPES</t>
  </si>
  <si>
    <t>58TH &amp; PINE</t>
  </si>
  <si>
    <t>4900 SULIS</t>
  </si>
  <si>
    <t>100 W SOMERS</t>
  </si>
  <si>
    <t>9TH &amp; MORRIS ST</t>
  </si>
  <si>
    <t>2500 CALVERT</t>
  </si>
  <si>
    <t>100 W CHAMPL</t>
  </si>
  <si>
    <t>55TH &amp; LOCUST</t>
  </si>
  <si>
    <t>1200 ATLANTI</t>
  </si>
  <si>
    <t>2200 ENGLEWO</t>
  </si>
  <si>
    <t>8200 BRAD GA</t>
  </si>
  <si>
    <t>6700 SUMMERD</t>
  </si>
  <si>
    <t>HAVERFORD &amp; WO</t>
  </si>
  <si>
    <t>1500 N EDGEW</t>
  </si>
  <si>
    <t>53RD &amp; LOCUST</t>
  </si>
  <si>
    <t>9700 HILSPAT</t>
  </si>
  <si>
    <t>4328 FREELAN</t>
  </si>
  <si>
    <t>5500 HAZEL A</t>
  </si>
  <si>
    <t>4900 W PENTR</t>
  </si>
  <si>
    <t>STEVENS &amp; LARG</t>
  </si>
  <si>
    <t>A5500 MALCOL</t>
  </si>
  <si>
    <t>5658 RISING</t>
  </si>
  <si>
    <t>5600 RISING</t>
  </si>
  <si>
    <t>4100 WOODLAN</t>
  </si>
  <si>
    <t>ROBINSON &amp;</t>
  </si>
  <si>
    <t>7374 BUIST A</t>
  </si>
  <si>
    <t>7200 GUYER A</t>
  </si>
  <si>
    <t>5300 HAZELHU</t>
  </si>
  <si>
    <t>5100 FLORENC</t>
  </si>
  <si>
    <t>BUIST &amp; HOLBRO</t>
  </si>
  <si>
    <t>2900 THOMPSO</t>
  </si>
  <si>
    <t>2972 THOMPSO</t>
  </si>
  <si>
    <t>52ND &amp; PARKSID</t>
  </si>
  <si>
    <t>ROBINSON ST &amp;</t>
  </si>
  <si>
    <t>300 E ELEANO</t>
  </si>
  <si>
    <t>GREEN &amp; AMERIC</t>
  </si>
  <si>
    <t>600 CECIL B</t>
  </si>
  <si>
    <t>1929 E ALLEG</t>
  </si>
  <si>
    <t>4900 FRONTLI</t>
  </si>
  <si>
    <t>6600 WOODLAN</t>
  </si>
  <si>
    <t>899 W PATTIS</t>
  </si>
  <si>
    <t>11900 LOCKAR</t>
  </si>
  <si>
    <t>210 0S 5TH ST</t>
  </si>
  <si>
    <t>700 W PATTIS</t>
  </si>
  <si>
    <t>1100 W PATTI</t>
  </si>
  <si>
    <t>59TH &amp; MASTER</t>
  </si>
  <si>
    <t>1300 WAKELIN</t>
  </si>
  <si>
    <t>2000 WANNAMA</t>
  </si>
  <si>
    <t>3900 ANSEN ST</t>
  </si>
  <si>
    <t>3200 HARTVIL</t>
  </si>
  <si>
    <t>6TH WATKINS</t>
  </si>
  <si>
    <t>6000 AMERICA</t>
  </si>
  <si>
    <t>LEVERINGTON &amp;</t>
  </si>
  <si>
    <t>8TH CATHERIN</t>
  </si>
  <si>
    <t>8349 LANG DO</t>
  </si>
  <si>
    <t>6200 CARPENT</t>
  </si>
  <si>
    <t>4201 PALMETT</t>
  </si>
  <si>
    <t>200 E ALLEGH</t>
  </si>
  <si>
    <t>62ND &amp; IRVING</t>
  </si>
  <si>
    <t>62ND &amp; WALNUT</t>
  </si>
  <si>
    <t>1 SEVILLE ST</t>
  </si>
  <si>
    <t>1337 OLNEY A</t>
  </si>
  <si>
    <t>4275 SILVERW</t>
  </si>
  <si>
    <t>1012 CARPENT</t>
  </si>
  <si>
    <t>7TH &amp; ROCKLAND</t>
  </si>
  <si>
    <t>11TH BIGLER</t>
  </si>
  <si>
    <t>1042 S FRAZI</t>
  </si>
  <si>
    <t>200 S FRAZIE</t>
  </si>
  <si>
    <t>5922 ELSINOR</t>
  </si>
  <si>
    <t>MAYFAIR &amp; TABO</t>
  </si>
  <si>
    <t>2947 MCKINLE</t>
  </si>
  <si>
    <t>GIRARD &amp; WANNA</t>
  </si>
  <si>
    <t>5800 SYLVEST</t>
  </si>
  <si>
    <t>500 WANNAMAK</t>
  </si>
  <si>
    <t>DICKINSON &amp; WI</t>
  </si>
  <si>
    <t>2000 E WISHA</t>
  </si>
  <si>
    <t>3287 SHELBOU</t>
  </si>
  <si>
    <t>3271 SHELBOU</t>
  </si>
  <si>
    <t>4900 CATHERI</t>
  </si>
  <si>
    <t>814 E SCHILL</t>
  </si>
  <si>
    <t>12 N DELAWAR</t>
  </si>
  <si>
    <t>400 DICKINSO</t>
  </si>
  <si>
    <t>6740 68TH</t>
  </si>
  <si>
    <t>7100 RISING</t>
  </si>
  <si>
    <t>2000 E ORLEA</t>
  </si>
  <si>
    <t>2000 E MONMO</t>
  </si>
  <si>
    <t>2100 MONMOUT</t>
  </si>
  <si>
    <t>1900 HOFFNAG</t>
  </si>
  <si>
    <t>5942 DELANCE</t>
  </si>
  <si>
    <t>3157 HARTVIL</t>
  </si>
  <si>
    <t>55TH &amp; IRVING</t>
  </si>
  <si>
    <t>1300 CARPENT</t>
  </si>
  <si>
    <t>450 D ST</t>
  </si>
  <si>
    <t>SILVERWOOD &amp; R</t>
  </si>
  <si>
    <t>1200 E CHELT</t>
  </si>
  <si>
    <t>255 ST BERNA</t>
  </si>
  <si>
    <t>4500 SAYBROO</t>
  </si>
  <si>
    <t>6120 JEFFERS</t>
  </si>
  <si>
    <t>3300 LIVINGS</t>
  </si>
  <si>
    <t>4000 PARKSID</t>
  </si>
  <si>
    <t>1013 S FAIRH</t>
  </si>
  <si>
    <t>LEVERING &amp; SIL</t>
  </si>
  <si>
    <t>1836 E CORNW</t>
  </si>
  <si>
    <t>6546 REEDLAN</t>
  </si>
  <si>
    <t>THOMPSON &amp; ONT</t>
  </si>
  <si>
    <t>2620 S FRANK</t>
  </si>
  <si>
    <t>2601 S FRANK</t>
  </si>
  <si>
    <t>FRANKLIN &amp; SHU</t>
  </si>
  <si>
    <t>2501 E CLEAR</t>
  </si>
  <si>
    <t>2998 THOMPSO</t>
  </si>
  <si>
    <t>3000 BOUDINO</t>
  </si>
  <si>
    <t>67TH GREENWA</t>
  </si>
  <si>
    <t>50TH &amp; ASPEN ST</t>
  </si>
  <si>
    <t>1900 S REDFI</t>
  </si>
  <si>
    <t>1400 STIRLIN</t>
  </si>
  <si>
    <t>100 E WYOMIN</t>
  </si>
  <si>
    <t>6150 REEDLAN</t>
  </si>
  <si>
    <t>1600 PRINCET</t>
  </si>
  <si>
    <t>5515 SPRINGF</t>
  </si>
  <si>
    <t>6819 DICKS A</t>
  </si>
  <si>
    <t>56TH &amp; RODMAN</t>
  </si>
  <si>
    <t>61ST &amp; WASHING</t>
  </si>
  <si>
    <t>62ND &amp; CATHERI</t>
  </si>
  <si>
    <t>42ND SILVERW</t>
  </si>
  <si>
    <t>1624-1626 FR</t>
  </si>
  <si>
    <t>58TH &amp; ADDISON</t>
  </si>
  <si>
    <t>ROBINSON &amp; MAR</t>
  </si>
  <si>
    <t>5800 SPRINGF</t>
  </si>
  <si>
    <t>3848 WYALUSI</t>
  </si>
  <si>
    <t>7400 LINDBER</t>
  </si>
  <si>
    <t>3027 BOUDINO</t>
  </si>
  <si>
    <t>1700 TEESDAL</t>
  </si>
  <si>
    <t>144 W WYOMIN</t>
  </si>
  <si>
    <t>2400 E CLEAR</t>
  </si>
  <si>
    <t>6823 DICKS A</t>
  </si>
  <si>
    <t>2000 BLEMONT</t>
  </si>
  <si>
    <t>54TH &amp; LOCUST</t>
  </si>
  <si>
    <t>8400 WHITBY</t>
  </si>
  <si>
    <t>5400 FLORENC</t>
  </si>
  <si>
    <t>2500 E SOMER</t>
  </si>
  <si>
    <t>5801 LARCHWO</t>
  </si>
  <si>
    <t>6232 OSAGE A</t>
  </si>
  <si>
    <t>5400 CATHERI</t>
  </si>
  <si>
    <t>HORROCKS ST &amp;</t>
  </si>
  <si>
    <t>5529 KINGSES</t>
  </si>
  <si>
    <t>5000 SPRINGF</t>
  </si>
  <si>
    <t>47TH &amp; WOODLAN</t>
  </si>
  <si>
    <t>6600 BUIST A</t>
  </si>
  <si>
    <t>4600 FLATROC</t>
  </si>
  <si>
    <t>2654 E CLEAR</t>
  </si>
  <si>
    <t>ERICA &amp; LOCKAN</t>
  </si>
  <si>
    <t>BEYER &amp; MASLAN</t>
  </si>
  <si>
    <t>BRYER &amp; NESTER</t>
  </si>
  <si>
    <t>5701 THOMPSO</t>
  </si>
  <si>
    <t>MANSION &amp; HERM</t>
  </si>
  <si>
    <t>COBBS CREEK &amp;</t>
  </si>
  <si>
    <t>55TH BELMAR</t>
  </si>
  <si>
    <t>600 NEWTOWN</t>
  </si>
  <si>
    <t>5244 GREENWA</t>
  </si>
  <si>
    <t>200 DEVEREAU</t>
  </si>
  <si>
    <t>NEIL &amp; JAMISON</t>
  </si>
  <si>
    <t>1602 MOYAMEN</t>
  </si>
  <si>
    <t>800 MANATAWN</t>
  </si>
  <si>
    <t>DEVEREAUX &amp; NE</t>
  </si>
  <si>
    <t>2913 MCKINLE</t>
  </si>
  <si>
    <t>5100 WARRING</t>
  </si>
  <si>
    <t>5751 HAZEL A</t>
  </si>
  <si>
    <t>5100 PENTRID</t>
  </si>
  <si>
    <t>1322-24 S 7T</t>
  </si>
  <si>
    <t>2400 AMERICA</t>
  </si>
  <si>
    <t>1200 ST VINC</t>
  </si>
  <si>
    <t>2801 E VICTO</t>
  </si>
  <si>
    <t>50TH &amp; WALNUT</t>
  </si>
  <si>
    <t>3400 E THOMP</t>
  </si>
  <si>
    <t>LYCEUM &amp; MANAY</t>
  </si>
  <si>
    <t>ISEMINGER &amp; JO</t>
  </si>
  <si>
    <t>MERIDIE &amp; ROWL</t>
  </si>
  <si>
    <t>370 GEIGER RD</t>
  </si>
  <si>
    <t>6703 WOODLAN</t>
  </si>
  <si>
    <t>73 ELMWOOD</t>
  </si>
  <si>
    <t>7618 CHELWYN</t>
  </si>
  <si>
    <t>4000 E GLEND</t>
  </si>
  <si>
    <t>237 N AVONDA</t>
  </si>
  <si>
    <t>4900 REGENT</t>
  </si>
  <si>
    <t>2000 S BUCKN</t>
  </si>
  <si>
    <t>ARCH &amp; DEWEY ST</t>
  </si>
  <si>
    <t>640 WYNNEWOO</t>
  </si>
  <si>
    <t>1336 PASSMOR</t>
  </si>
  <si>
    <t>5200 LARCHWO</t>
  </si>
  <si>
    <t>900 MONROE</t>
  </si>
  <si>
    <t>5600 GREENWA</t>
  </si>
  <si>
    <t>3446 THOMPSO</t>
  </si>
  <si>
    <t>3400 LIVINGS</t>
  </si>
  <si>
    <t>A5700 THOMAS</t>
  </si>
  <si>
    <t>MOYAMENSING &amp;</t>
  </si>
  <si>
    <t>ALDER &amp; PORTER</t>
  </si>
  <si>
    <t>3050 BELGRAD</t>
  </si>
  <si>
    <t>HERMIT &amp; TERRA</t>
  </si>
  <si>
    <t>1400 N AMERI</t>
  </si>
  <si>
    <t>1343 OLNEY A</t>
  </si>
  <si>
    <t>1900 S ENGLE</t>
  </si>
  <si>
    <t>1400 CLEARVI</t>
  </si>
  <si>
    <t>100 W GURNER</t>
  </si>
  <si>
    <t>1300 N KIMBE</t>
  </si>
  <si>
    <t>520 E WESTMO</t>
  </si>
  <si>
    <t>1400 OLNEY A</t>
  </si>
  <si>
    <t>MANSION &amp; RIPK</t>
  </si>
  <si>
    <t>12TH &amp; ROCKLAN</t>
  </si>
  <si>
    <t>2400 E INDIA</t>
  </si>
  <si>
    <t>3900 ELSINOR</t>
  </si>
  <si>
    <t>2500 S AMERI</t>
  </si>
  <si>
    <t>1600 CONESTO</t>
  </si>
  <si>
    <t>3800 RODMAN</t>
  </si>
  <si>
    <t>6TH WHARTON</t>
  </si>
  <si>
    <t>57TH &amp; MALVERN</t>
  </si>
  <si>
    <t>55TH &amp; WALTON</t>
  </si>
  <si>
    <t>57TH &amp; CATHERI</t>
  </si>
  <si>
    <t>59TH &amp; CHRISTI</t>
  </si>
  <si>
    <t>60TH &amp; CARPENT</t>
  </si>
  <si>
    <t>PORTER &amp; PERCY</t>
  </si>
  <si>
    <t>61ST &amp; IRVING</t>
  </si>
  <si>
    <t>59TH &amp; HADDING</t>
  </si>
  <si>
    <t>5424 WESTMIN</t>
  </si>
  <si>
    <t>59TH &amp; CEDAR</t>
  </si>
  <si>
    <t>9130 DIPLOMA</t>
  </si>
  <si>
    <t>41ST &amp; SPRUCE</t>
  </si>
  <si>
    <t>CRESSON &amp; PENS</t>
  </si>
  <si>
    <t>1300 PASSMOR</t>
  </si>
  <si>
    <t>1200 SITRLIN</t>
  </si>
  <si>
    <t>1211 CARPENT</t>
  </si>
  <si>
    <t>720 RUTLAND</t>
  </si>
  <si>
    <t>55TH &amp; GIRARD</t>
  </si>
  <si>
    <t>JAMISON &amp; NEIL</t>
  </si>
  <si>
    <t>3400 N HARTV</t>
  </si>
  <si>
    <t>6000 ELLAWOR</t>
  </si>
  <si>
    <t>5217 ALDEN</t>
  </si>
  <si>
    <t>6618 WOODLAN</t>
  </si>
  <si>
    <t>13063 BLAKES</t>
  </si>
  <si>
    <t>5432 KINGSES</t>
  </si>
  <si>
    <t>4640 ROOOSEV</t>
  </si>
  <si>
    <t>5299 GRAYS A</t>
  </si>
  <si>
    <t>5200 LINDBER</t>
  </si>
  <si>
    <t>6900 SUMMERD</t>
  </si>
  <si>
    <t>5299 GRAMS A</t>
  </si>
  <si>
    <t>1300 OLNEY A</t>
  </si>
  <si>
    <t>ST VINCENT &amp; E</t>
  </si>
  <si>
    <t>7801 BUSTLET</t>
  </si>
  <si>
    <t>3251 E THOMP</t>
  </si>
  <si>
    <t>856 GUYER AV</t>
  </si>
  <si>
    <t>LYFORD &amp; COTTM</t>
  </si>
  <si>
    <t>BONNAFFON &amp; GR</t>
  </si>
  <si>
    <t>6900 HORROCK</t>
  </si>
  <si>
    <t>7138 DICKS A</t>
  </si>
  <si>
    <t>A800 N 66TH</t>
  </si>
  <si>
    <t>54TH WYALUSI</t>
  </si>
  <si>
    <t>1300 HELLERM</t>
  </si>
  <si>
    <t>500 N DOUGLA</t>
  </si>
  <si>
    <t>5500 SAYBROO</t>
  </si>
  <si>
    <t>8501 RIDGEWA</t>
  </si>
  <si>
    <t>1725 HOFFNAG</t>
  </si>
  <si>
    <t>1719 HOFFNAG</t>
  </si>
  <si>
    <t>1900 E FIRCH</t>
  </si>
  <si>
    <t>1800 E HAZZA</t>
  </si>
  <si>
    <t>2300 E HUNTI</t>
  </si>
  <si>
    <t>2100 MST VIN</t>
  </si>
  <si>
    <t>8303 BUSTLET</t>
  </si>
  <si>
    <t>400 E WYOMIN</t>
  </si>
  <si>
    <t>450 TOMLINSO</t>
  </si>
  <si>
    <t>3830 W GIRAR</t>
  </si>
  <si>
    <t>2420 60TH ST</t>
  </si>
  <si>
    <t>6248 A REEDL</t>
  </si>
  <si>
    <t>LORETTO &amp; UNRU</t>
  </si>
  <si>
    <t>51ST &amp; SPRUCE</t>
  </si>
  <si>
    <t>918 LONGSHOR</t>
  </si>
  <si>
    <t>5111 RAMSTEA</t>
  </si>
  <si>
    <t>1200 WASHING</t>
  </si>
  <si>
    <t>11001 FERNDA</t>
  </si>
  <si>
    <t>8TH &amp; RISING ST</t>
  </si>
  <si>
    <t>1400 REDFIEL</t>
  </si>
  <si>
    <t>WELLANS &amp; 5TH</t>
  </si>
  <si>
    <t>2ND &amp; WIDENER</t>
  </si>
  <si>
    <t>2ND &amp; FERN</t>
  </si>
  <si>
    <t>2ND &amp; SPARKS</t>
  </si>
  <si>
    <t>66TH &amp; 6TH</t>
  </si>
  <si>
    <t>6&amp;66TH</t>
  </si>
  <si>
    <t>6421 WOODLAN</t>
  </si>
  <si>
    <t>GODFREY &amp; FAIR</t>
  </si>
  <si>
    <t>MASTER &amp; GODFR</t>
  </si>
  <si>
    <t>123 W GODFRE</t>
  </si>
  <si>
    <t>127 W GODFRE</t>
  </si>
  <si>
    <t>125 W GODFRE</t>
  </si>
  <si>
    <t>179 W GODFRE</t>
  </si>
  <si>
    <t>2100 S SIMPS</t>
  </si>
  <si>
    <t>57TH JEFFERS</t>
  </si>
  <si>
    <t>56TH APPLETR</t>
  </si>
  <si>
    <t>1500 N A</t>
  </si>
  <si>
    <t>2270 E CLEAR</t>
  </si>
  <si>
    <t>1339 OLNEY A</t>
  </si>
  <si>
    <t>6142 WOODLAN</t>
  </si>
  <si>
    <t>49TH &amp; HAZEL</t>
  </si>
  <si>
    <t>49TH &amp; OSAGE</t>
  </si>
  <si>
    <t>N 61ST RACE</t>
  </si>
  <si>
    <t>5528 WOODLAN</t>
  </si>
  <si>
    <t>50TH WESTMIN</t>
  </si>
  <si>
    <t>1435 N VODGE</t>
  </si>
  <si>
    <t>1 S ROBIN</t>
  </si>
  <si>
    <t>5100 SPRINGF</t>
  </si>
  <si>
    <t>6200 JEFFERS</t>
  </si>
  <si>
    <t>8TH &amp; WINGOHOC</t>
  </si>
  <si>
    <t>A5600 HADDIN</t>
  </si>
  <si>
    <t>1300 WANAMAK</t>
  </si>
  <si>
    <t>COLGATE &amp; CHEL</t>
  </si>
  <si>
    <t>5200 W STILE</t>
  </si>
  <si>
    <t>900 GRATZ</t>
  </si>
  <si>
    <t>7315 BUIST A</t>
  </si>
  <si>
    <t>5824 W GIRAR</t>
  </si>
  <si>
    <t>5713 W GIRAR</t>
  </si>
  <si>
    <t>5900 SAYBROO</t>
  </si>
  <si>
    <t>5759 CEDAR A</t>
  </si>
  <si>
    <t>400 ROSEZUN</t>
  </si>
  <si>
    <t>1300 DEVEREA</t>
  </si>
  <si>
    <t>2ND &amp; NEDRO</t>
  </si>
  <si>
    <t>2ND &amp; LINTON</t>
  </si>
  <si>
    <t>LYCOM &amp; FLEMIN</t>
  </si>
  <si>
    <t>3902 PALMETT</t>
  </si>
  <si>
    <t>7400 BUSTLET</t>
  </si>
  <si>
    <t>EVARTS &amp; BEYER</t>
  </si>
  <si>
    <t>1200 ST BERN</t>
  </si>
  <si>
    <t>4926 KINGSES</t>
  </si>
  <si>
    <t>2000 GLENVIE</t>
  </si>
  <si>
    <t>6900 BUSTLET</t>
  </si>
  <si>
    <t>66TH &amp; GREEN</t>
  </si>
  <si>
    <t>4200 RICHMON</t>
  </si>
  <si>
    <t>1000 W LYCOM</t>
  </si>
  <si>
    <t>900 W HUNTIN</t>
  </si>
  <si>
    <t>6500 COBBS C</t>
  </si>
  <si>
    <t>7400 BROCKTO</t>
  </si>
  <si>
    <t>7000 BATTERS</t>
  </si>
  <si>
    <t>FRONTENAC &amp; CH</t>
  </si>
  <si>
    <t>CRAWFORD &amp; GRE</t>
  </si>
  <si>
    <t>5501 DELANCE</t>
  </si>
  <si>
    <t>800 OREGON A</t>
  </si>
  <si>
    <t>3301 BRIGHTO</t>
  </si>
  <si>
    <t>2500 S MASSE</t>
  </si>
  <si>
    <t>2091 E PACIF</t>
  </si>
  <si>
    <t>400 CONESTOG</t>
  </si>
  <si>
    <t>400 S CONEST</t>
  </si>
  <si>
    <t>1600 E BRIST</t>
  </si>
  <si>
    <t>65TH HAVERFO</t>
  </si>
  <si>
    <t>260 GEIRGER</t>
  </si>
  <si>
    <t>6015 LINDBER</t>
  </si>
  <si>
    <t>3401 ARAMING</t>
  </si>
  <si>
    <t>2500 N LEITH</t>
  </si>
  <si>
    <t>4701 HAZEL A</t>
  </si>
  <si>
    <t>5600 RIDGEWO</t>
  </si>
  <si>
    <t>49TH HAZEL A</t>
  </si>
  <si>
    <t>56TH WESTMIN</t>
  </si>
  <si>
    <t>5600 WESTMIN</t>
  </si>
  <si>
    <t>2500 N ORIAN</t>
  </si>
  <si>
    <t>8055 LINDBER</t>
  </si>
  <si>
    <t>2000 KINGSTO</t>
  </si>
  <si>
    <t>2275 E CAMBR</t>
  </si>
  <si>
    <t>9900 GATOR RD</t>
  </si>
  <si>
    <t>2512 S FRANK</t>
  </si>
  <si>
    <t>2544 S FRANK</t>
  </si>
  <si>
    <t>4923 HAZEL A</t>
  </si>
  <si>
    <t>100 W HUNTIN</t>
  </si>
  <si>
    <t>2600 N ORIAN</t>
  </si>
  <si>
    <t>2400 N HOWAR</t>
  </si>
  <si>
    <t>51ST LOCUST</t>
  </si>
  <si>
    <t>56TH HUNTER</t>
  </si>
  <si>
    <t>CEDAR AVE &amp; YE</t>
  </si>
  <si>
    <t>450 E ALLEGH</t>
  </si>
  <si>
    <t>2900 CEADER</t>
  </si>
  <si>
    <t>LEVERING &amp; FLE</t>
  </si>
  <si>
    <t>1400 ST VINC</t>
  </si>
  <si>
    <t>2200 GLENVIE</t>
  </si>
  <si>
    <t>6523 W GIRAR</t>
  </si>
  <si>
    <t>3800 WYALUSI</t>
  </si>
  <si>
    <t>4444 EDGEMON</t>
  </si>
  <si>
    <t>115 SALAIGNA</t>
  </si>
  <si>
    <t>1200 LAKESID</t>
  </si>
  <si>
    <t>300 ROSEBERR</t>
  </si>
  <si>
    <t>800 WYNNEWOO</t>
  </si>
  <si>
    <t>7300 BROCKTO</t>
  </si>
  <si>
    <t>2300 N ORIAN</t>
  </si>
  <si>
    <t>1500 N BIDON</t>
  </si>
  <si>
    <t>200 W CB MOO</t>
  </si>
  <si>
    <t>2700 ORTHODO</t>
  </si>
  <si>
    <t>2200 E HAGER</t>
  </si>
  <si>
    <t>6700 N CARLI</t>
  </si>
  <si>
    <t>3800 GLENDAL</t>
  </si>
  <si>
    <t>52ND JEFFERS</t>
  </si>
  <si>
    <t>60TH DELANCE</t>
  </si>
  <si>
    <t>ORIANNA &amp; WING</t>
  </si>
  <si>
    <t>2549 S DARIE</t>
  </si>
  <si>
    <t>2509 S DARIE</t>
  </si>
  <si>
    <t>1200 N CONES</t>
  </si>
  <si>
    <t>4629 BOUDINO</t>
  </si>
  <si>
    <t>FERN ROCK ST</t>
  </si>
  <si>
    <t>1775 HOFFNAG</t>
  </si>
  <si>
    <t>5322 WOODLAN</t>
  </si>
  <si>
    <t>5TH ASHDALE</t>
  </si>
  <si>
    <t>6300 WOODLAN</t>
  </si>
  <si>
    <t>100 WEST BER</t>
  </si>
  <si>
    <t>1400 N PHILL</t>
  </si>
  <si>
    <t>5TH SPRINGGA</t>
  </si>
  <si>
    <t>1400 N PHILI</t>
  </si>
  <si>
    <t>6521 DICKS A</t>
  </si>
  <si>
    <t>1000 RIDGE A</t>
  </si>
  <si>
    <t>WISTER &amp; ANDER</t>
  </si>
  <si>
    <t>2600 S CARRO</t>
  </si>
  <si>
    <t>500 W ASHDAL</t>
  </si>
  <si>
    <t>252 E ALLEGH</t>
  </si>
  <si>
    <t>OAKLAND &amp; TYSO</t>
  </si>
  <si>
    <t>WANAMAKER &amp; GI</t>
  </si>
  <si>
    <t>2400 S BEULA</t>
  </si>
  <si>
    <t>6900 BROUS A</t>
  </si>
  <si>
    <t>3500 ARAMING</t>
  </si>
  <si>
    <t>SHIELDS &amp; BUIS</t>
  </si>
  <si>
    <t>4100 STREET</t>
  </si>
  <si>
    <t>2600 LIVINGS</t>
  </si>
  <si>
    <t>62ND IRVING</t>
  </si>
  <si>
    <t>800 N LAWREN</t>
  </si>
  <si>
    <t>4400 LAWRENC</t>
  </si>
  <si>
    <t>636 S CONEST</t>
  </si>
  <si>
    <t>GERMANTOWN &amp; E</t>
  </si>
  <si>
    <t>301 W RUSCOM</t>
  </si>
  <si>
    <t>AMERICAN &amp; SOM</t>
  </si>
  <si>
    <t>949 E WESTMO</t>
  </si>
  <si>
    <t>6100 HAVERFO</t>
  </si>
  <si>
    <t>LEMONTE &amp; UMBR</t>
  </si>
  <si>
    <t>FELTON &amp; LANSD</t>
  </si>
  <si>
    <t>6900 RIDGE A</t>
  </si>
  <si>
    <t>56TH LARCHWO</t>
  </si>
  <si>
    <t>500 W HILL C</t>
  </si>
  <si>
    <t>4400 BELGRAD</t>
  </si>
  <si>
    <t>1 E FAIRM</t>
  </si>
  <si>
    <t>2639 S CARRO</t>
  </si>
  <si>
    <t>2643 S CARRO</t>
  </si>
  <si>
    <t>400 W RAYMON</t>
  </si>
  <si>
    <t>6137 W GIRAR</t>
  </si>
  <si>
    <t>1300 LINDENW</t>
  </si>
  <si>
    <t>ITHAN &amp; MASTER</t>
  </si>
  <si>
    <t>1500 N REDFI</t>
  </si>
  <si>
    <t>7241 DICKS A</t>
  </si>
  <si>
    <t>5501 THOMPSO</t>
  </si>
  <si>
    <t>5TH LINDLEY</t>
  </si>
  <si>
    <t>GRANITE &amp; SUMM</t>
  </si>
  <si>
    <t>5900 DELANCE</t>
  </si>
  <si>
    <t>803 E ALLEGH</t>
  </si>
  <si>
    <t>6101 CEDAR A</t>
  </si>
  <si>
    <t>6199 CEDAR A</t>
  </si>
  <si>
    <t>5800 SUMMERD</t>
  </si>
  <si>
    <t>2518 E INDIA</t>
  </si>
  <si>
    <t>2500 E INDIA</t>
  </si>
  <si>
    <t>2800 E INDIA</t>
  </si>
  <si>
    <t>2715 E ALLEG</t>
  </si>
  <si>
    <t>4637 BOUDINO</t>
  </si>
  <si>
    <t>4633 BOUDINO</t>
  </si>
  <si>
    <t>4625 BOUDINO</t>
  </si>
  <si>
    <t>4623 BOUDINO</t>
  </si>
  <si>
    <t>4615 BOUDINO</t>
  </si>
  <si>
    <t>5600 SUMMERD</t>
  </si>
  <si>
    <t>HERMITAGE &amp; WI</t>
  </si>
  <si>
    <t>300 N RANDOL</t>
  </si>
  <si>
    <t>9358 RISING</t>
  </si>
  <si>
    <t>132 N EDGEWO</t>
  </si>
  <si>
    <t>330 OREGON A</t>
  </si>
  <si>
    <t>111 W HUNTIN</t>
  </si>
  <si>
    <t>67TH DOREL ST</t>
  </si>
  <si>
    <t>1100 BRANDYW</t>
  </si>
  <si>
    <t>4628 WHITAKE</t>
  </si>
  <si>
    <t>11701 BUSTLE</t>
  </si>
  <si>
    <t>200 E ONTARI</t>
  </si>
  <si>
    <t>536 E WESTMO</t>
  </si>
  <si>
    <t>6519 DICKS A</t>
  </si>
  <si>
    <t>5650 SPRINGF</t>
  </si>
  <si>
    <t>2400 E CUMBE</t>
  </si>
  <si>
    <t>1604 FRONTENAC ST</t>
  </si>
  <si>
    <t>4900 CEDAR A</t>
  </si>
  <si>
    <t>3900 PENNSGR</t>
  </si>
  <si>
    <t>MARKET &amp; HIRST</t>
  </si>
  <si>
    <t>800 S 54TH ST</t>
  </si>
  <si>
    <t>2100 FANSHAW</t>
  </si>
  <si>
    <t>6600 HORROCK</t>
  </si>
  <si>
    <t>2400 CLAYMON</t>
  </si>
  <si>
    <t>5600 OSAGE A</t>
  </si>
  <si>
    <t>200 GREENOUG</t>
  </si>
  <si>
    <t>9800 HALDEMA</t>
  </si>
  <si>
    <t>137 E CUMBER</t>
  </si>
  <si>
    <t>900 W DIAMON</t>
  </si>
  <si>
    <t>2400 ARAMING</t>
  </si>
  <si>
    <t>500 DICKINSO</t>
  </si>
  <si>
    <t>1710 HUNTING</t>
  </si>
  <si>
    <t>2300 E CUMBE</t>
  </si>
  <si>
    <t>2499 ARAMING</t>
  </si>
  <si>
    <t>1800 E SERGE</t>
  </si>
  <si>
    <t>2100 E HUNTI</t>
  </si>
  <si>
    <t>84TH MARIO L</t>
  </si>
  <si>
    <t>PASSYUNK &amp; LEA</t>
  </si>
  <si>
    <t>7200 WOODLAN</t>
  </si>
  <si>
    <t>5200 GREENWA</t>
  </si>
  <si>
    <t>SHUNK &amp; MILDRE</t>
  </si>
  <si>
    <t>MILDRED &amp; SHUN</t>
  </si>
  <si>
    <t>5862 LARCHWO</t>
  </si>
  <si>
    <t>4952 HAZEL A</t>
  </si>
  <si>
    <t>NEWTOWN &amp; HIGB</t>
  </si>
  <si>
    <t>4800 HAZEL A</t>
  </si>
  <si>
    <t>HAVERFORD &amp; WI</t>
  </si>
  <si>
    <t>200 WANAMAKE</t>
  </si>
  <si>
    <t>1900 COLONIA</t>
  </si>
  <si>
    <t>2998 E THOMP</t>
  </si>
  <si>
    <t>SCHILLER &amp; THO</t>
  </si>
  <si>
    <t>47TH SANSOM</t>
  </si>
  <si>
    <t>SALMON &amp; ONTAR</t>
  </si>
  <si>
    <t>2645 BONNAFF</t>
  </si>
  <si>
    <t>6305 SAYBROO</t>
  </si>
  <si>
    <t>300 CATHARIN</t>
  </si>
  <si>
    <t>306 CATHARIN</t>
  </si>
  <si>
    <t>8400 MARIO L</t>
  </si>
  <si>
    <t>300 N SAUNDE</t>
  </si>
  <si>
    <t>10000 FERNDA</t>
  </si>
  <si>
    <t>GRANITE &amp; TROT</t>
  </si>
  <si>
    <t>1350 LINDENW</t>
  </si>
  <si>
    <t>300 W CB MOO</t>
  </si>
  <si>
    <t>FOUNTAIN ST</t>
  </si>
  <si>
    <t>800 W GODFRE</t>
  </si>
  <si>
    <t>1037 MOUNTAI</t>
  </si>
  <si>
    <t>7200 ALGON A</t>
  </si>
  <si>
    <t>1028 MOUNTAI</t>
  </si>
  <si>
    <t>FRONTENAC &amp; CA</t>
  </si>
  <si>
    <t>300 GRANER</t>
  </si>
  <si>
    <t>800 W MOYAME</t>
  </si>
  <si>
    <t>700 WYNNEWOO</t>
  </si>
  <si>
    <t>900 S FAIRHI</t>
  </si>
  <si>
    <t>115 S COBBS</t>
  </si>
  <si>
    <t>4799 HAZEL A</t>
  </si>
  <si>
    <t>310 E RICHMO</t>
  </si>
  <si>
    <t>4600 PALTHOR</t>
  </si>
  <si>
    <t>4500 PALTHOR</t>
  </si>
  <si>
    <t>FRANKFORD &amp;</t>
  </si>
  <si>
    <t>2600 FRANKLI</t>
  </si>
  <si>
    <t>2500 FRANKLI</t>
  </si>
  <si>
    <t>9700 ROSEVEL</t>
  </si>
  <si>
    <t>2500 CLEMENT</t>
  </si>
  <si>
    <t>2900 N HANCO</t>
  </si>
  <si>
    <t>100 W LIPPIN</t>
  </si>
  <si>
    <t>OLD YORK &amp; SPA</t>
  </si>
  <si>
    <t>9200 BUSTLET</t>
  </si>
  <si>
    <t>600 E WENSLE</t>
  </si>
  <si>
    <t>5558 PEMBERT</t>
  </si>
  <si>
    <t>ST BERNARD &amp; T</t>
  </si>
  <si>
    <t>600 E CORNWA</t>
  </si>
  <si>
    <t>100 W WELLEN</t>
  </si>
  <si>
    <t>2100 HOFFNAG</t>
  </si>
  <si>
    <t>1600 LAWRENC</t>
  </si>
  <si>
    <t>4400 N FRANK</t>
  </si>
  <si>
    <t>CARVER &amp; COLGA</t>
  </si>
  <si>
    <t>600 W ANNSBU</t>
  </si>
  <si>
    <t>2180 E HAGER</t>
  </si>
  <si>
    <t>BUIST &amp; HOBSON</t>
  </si>
  <si>
    <t>6432 RISING</t>
  </si>
  <si>
    <t>2614 S MASSE</t>
  </si>
  <si>
    <t>6379 WOODBIN</t>
  </si>
  <si>
    <t>2000 N DARIE</t>
  </si>
  <si>
    <t>5207 OVERBRO</t>
  </si>
  <si>
    <t>KENDRICK &amp; LOR</t>
  </si>
  <si>
    <t>6824 GUYER A</t>
  </si>
  <si>
    <t>2600 PATTISO</t>
  </si>
  <si>
    <t>46TH WESTMIN</t>
  </si>
  <si>
    <t>9TH &amp; SNYDER</t>
  </si>
  <si>
    <t>6TH MORRIS 0</t>
  </si>
  <si>
    <t>66TH CALLOHI</t>
  </si>
  <si>
    <t>700 E ERIE A</t>
  </si>
  <si>
    <t>4632 REGENTS</t>
  </si>
  <si>
    <t>ALDEN &amp; THOMPS</t>
  </si>
  <si>
    <t>320 N SIMPSO</t>
  </si>
  <si>
    <t>200 S MELVIL</t>
  </si>
  <si>
    <t>BUDD &amp; SPRINGG</t>
  </si>
  <si>
    <t>2ND ROOSEVEL</t>
  </si>
  <si>
    <t>5300 PENTRID</t>
  </si>
  <si>
    <t>1200 RIDGE A</t>
  </si>
  <si>
    <t>897 MOCELLA</t>
  </si>
  <si>
    <t>11TH &amp; ANNIN</t>
  </si>
  <si>
    <t>1721 N ALLIS</t>
  </si>
  <si>
    <t>5500 JEFFERS</t>
  </si>
  <si>
    <t>1970 AMBASAD</t>
  </si>
  <si>
    <t>1538 LINDEN</t>
  </si>
  <si>
    <t>52ND WEBSTER</t>
  </si>
  <si>
    <t>67TH WOODLAN</t>
  </si>
  <si>
    <t>1357 E LYCOM</t>
  </si>
  <si>
    <t>6555 HAVERFO</t>
  </si>
  <si>
    <t>6304 OVERBRO</t>
  </si>
  <si>
    <t>1418 W ROCKL</t>
  </si>
  <si>
    <t>100 W GODFRE</t>
  </si>
  <si>
    <t>9600 HALDEMA</t>
  </si>
  <si>
    <t>11000 RENNAR</t>
  </si>
  <si>
    <t>4565 SHELBOU</t>
  </si>
  <si>
    <t>PASSYUNK &amp; T</t>
  </si>
  <si>
    <t>1018 N LEITH</t>
  </si>
  <si>
    <t>15TH ROCKLAN</t>
  </si>
  <si>
    <t>1031 ROCKLAN</t>
  </si>
  <si>
    <t>54 UPLAND WA</t>
  </si>
  <si>
    <t>54 TURNER</t>
  </si>
  <si>
    <t>LANCASTER PA</t>
  </si>
  <si>
    <t>9TH &amp; JACKSO</t>
  </si>
  <si>
    <t>1000 RANDOLP</t>
  </si>
  <si>
    <t>4000 MONUMEN</t>
  </si>
  <si>
    <t>1001 W LEHIG</t>
  </si>
  <si>
    <t>5400 LINDBER</t>
  </si>
  <si>
    <t>1836 ATLANTI</t>
  </si>
  <si>
    <t>200 E SOMERS</t>
  </si>
  <si>
    <t>431 N REDFIE</t>
  </si>
  <si>
    <t>800 W LUZERN</t>
  </si>
  <si>
    <t>7016 GRAYS A</t>
  </si>
  <si>
    <t>PARLIN &amp; JEANE</t>
  </si>
  <si>
    <t>6900 GREENWA</t>
  </si>
  <si>
    <t>1663 N EDGEW</t>
  </si>
  <si>
    <t>6800 SMEDLEY</t>
  </si>
  <si>
    <t>5900 HARBISO</t>
  </si>
  <si>
    <t>1400 FARSHAN</t>
  </si>
  <si>
    <t>5400 DELANCE</t>
  </si>
  <si>
    <t>2ND WIDNER</t>
  </si>
  <si>
    <t>4101 PALMETT</t>
  </si>
  <si>
    <t>5629 PENTRID</t>
  </si>
  <si>
    <t>3800 VENANGO</t>
  </si>
  <si>
    <t>3600 RICHMON</t>
  </si>
  <si>
    <t>5300 REINHAR</t>
  </si>
  <si>
    <t>5413 PENTRID</t>
  </si>
  <si>
    <t>BINGHAM &amp; SANG</t>
  </si>
  <si>
    <t>1358 FILLMOR</t>
  </si>
  <si>
    <t>2ND &amp; LINTON ST</t>
  </si>
  <si>
    <t>2ND &amp; LINTEN ST</t>
  </si>
  <si>
    <t>5700 SPRINGF</t>
  </si>
  <si>
    <t>PORTER &amp; ALDER</t>
  </si>
  <si>
    <t>58TH ADDISON</t>
  </si>
  <si>
    <t>61533 JEFFER</t>
  </si>
  <si>
    <t>6157 JEFFERS</t>
  </si>
  <si>
    <t>444 TOMLINSO</t>
  </si>
  <si>
    <t>215 S MELVIL</t>
  </si>
  <si>
    <t>5600 HADDING</t>
  </si>
  <si>
    <t>N 57 WOODBIN</t>
  </si>
  <si>
    <t>4100 CLARIDG</t>
  </si>
  <si>
    <t>240 LAURISTO</t>
  </si>
  <si>
    <t>900 S 56TH ST</t>
  </si>
  <si>
    <t>4200 RAMON ST</t>
  </si>
  <si>
    <t>1700 W COLON</t>
  </si>
  <si>
    <t>1700 W COLIN</t>
  </si>
  <si>
    <t>3700 N DARIE</t>
  </si>
  <si>
    <t>700 RISING ST</t>
  </si>
  <si>
    <t>2000 S FRAZI</t>
  </si>
  <si>
    <t>5168 MONTQUE</t>
  </si>
  <si>
    <t>3148 ARAMING</t>
  </si>
  <si>
    <t>3000 ARAMING</t>
  </si>
  <si>
    <t>2351 CLEARFI</t>
  </si>
  <si>
    <t>1469 N HOBAR</t>
  </si>
  <si>
    <t>4000 CONSHOH</t>
  </si>
  <si>
    <t>7600 BROCKTO</t>
  </si>
  <si>
    <t>5746 CEDAR A</t>
  </si>
  <si>
    <t>1600 HIGBEE</t>
  </si>
  <si>
    <t>900 N AMERIC</t>
  </si>
  <si>
    <t>1100 N AMERI</t>
  </si>
  <si>
    <t>REDFIELD &amp; MED</t>
  </si>
  <si>
    <t>2800 BELGRAD</t>
  </si>
  <si>
    <t>59TH MEDIA</t>
  </si>
  <si>
    <t>58 &amp; FILBERT</t>
  </si>
  <si>
    <t>7375 LYNFORD</t>
  </si>
  <si>
    <t>4900 GRANSBA</t>
  </si>
  <si>
    <t>66 &amp; HADDING</t>
  </si>
  <si>
    <t>53RD &amp; ARCH</t>
  </si>
  <si>
    <t>CEMETERY &amp; WOO</t>
  </si>
  <si>
    <t>53RD ARCH</t>
  </si>
  <si>
    <t>LINDENWOOD &amp;</t>
  </si>
  <si>
    <t>K &amp; LUZERNE</t>
  </si>
  <si>
    <t>HOBART &amp; MED</t>
  </si>
  <si>
    <t>1500 N WANAM</t>
  </si>
  <si>
    <t>WANAMAKER &amp; ME</t>
  </si>
  <si>
    <t>MEDIA &amp; 59TH</t>
  </si>
  <si>
    <t>7700 LINDBER</t>
  </si>
  <si>
    <t>59 &amp; MEDIA</t>
  </si>
  <si>
    <t>77TH BROOKHA</t>
  </si>
  <si>
    <t>56 N KINGSES</t>
  </si>
  <si>
    <t>5500 KINGSES</t>
  </si>
  <si>
    <t>1700 S ISEMI</t>
  </si>
  <si>
    <t>1244 E SUSQU</t>
  </si>
  <si>
    <t>1200 HUNTING</t>
  </si>
  <si>
    <t>5800 BENNETT</t>
  </si>
  <si>
    <t>FELTON &amp; MARKE</t>
  </si>
  <si>
    <t>1800 SERGEAN</t>
  </si>
  <si>
    <t>100 E HUNTIN</t>
  </si>
  <si>
    <t>BARING &amp; WARRE</t>
  </si>
  <si>
    <t>SLOAN &amp; BARING</t>
  </si>
  <si>
    <t>POWELTON &amp; BUD</t>
  </si>
  <si>
    <t>PRESTON &amp; BARI</t>
  </si>
  <si>
    <t>49TH BALTIMO</t>
  </si>
  <si>
    <t>52ND &amp; GIRAR</t>
  </si>
  <si>
    <t>300 POTTER</t>
  </si>
  <si>
    <t>51ST WESTMIN</t>
  </si>
  <si>
    <t>5700 HEGERMA</t>
  </si>
  <si>
    <t>9TH &amp; PORTER</t>
  </si>
  <si>
    <t>5900 CEDAR A</t>
  </si>
  <si>
    <t>400 W JEFFER</t>
  </si>
  <si>
    <t>13001 BUSTLE</t>
  </si>
  <si>
    <t>1800 E HAROL</t>
  </si>
  <si>
    <t>4634 ASHVILL</t>
  </si>
  <si>
    <t>4700 ASHVILL</t>
  </si>
  <si>
    <t>5300 AMERICA</t>
  </si>
  <si>
    <t>1200 N FRANK</t>
  </si>
  <si>
    <t>100 E 65TH A</t>
  </si>
  <si>
    <t>2000 CATOR A</t>
  </si>
  <si>
    <t>LYCOMING &amp; NEI</t>
  </si>
  <si>
    <t>EDGEWOOD &amp; SUM</t>
  </si>
  <si>
    <t>38 BARING ST</t>
  </si>
  <si>
    <t>2314 E ALLEG</t>
  </si>
  <si>
    <t>600 W CUMBER</t>
  </si>
  <si>
    <t>2500 PALETHO</t>
  </si>
  <si>
    <t>2600 PALETHO</t>
  </si>
  <si>
    <t>8105 HALSTEA</t>
  </si>
  <si>
    <t>2900 E HAROL</t>
  </si>
  <si>
    <t>193 W WINGOH</t>
  </si>
  <si>
    <t>500 W DIAMON</t>
  </si>
  <si>
    <t>6500 DICKS A</t>
  </si>
  <si>
    <t>2100 E SUSQU</t>
  </si>
  <si>
    <t>1000 N GERMA</t>
  </si>
  <si>
    <t>800 W HUNTIN</t>
  </si>
  <si>
    <t>4725 MULBERR</t>
  </si>
  <si>
    <t>1216 S MELVI</t>
  </si>
  <si>
    <t>61ST JEFFERS</t>
  </si>
  <si>
    <t>3500 ORKNEY</t>
  </si>
  <si>
    <t>CASTOR &amp; TYSON</t>
  </si>
  <si>
    <t>1600 W CHAMP</t>
  </si>
  <si>
    <t>2000 E LORET</t>
  </si>
  <si>
    <t>174 W DIAMON</t>
  </si>
  <si>
    <t>4457 SILVERW</t>
  </si>
  <si>
    <t>1900 E VENAG</t>
  </si>
  <si>
    <t>7359 HANMAN</t>
  </si>
  <si>
    <t>1310 S JUNIP</t>
  </si>
  <si>
    <t>3339 MERIDIA</t>
  </si>
  <si>
    <t>3900 CLARIDG</t>
  </si>
  <si>
    <t>6400 EASTWIC</t>
  </si>
  <si>
    <t>7334 BUIST A</t>
  </si>
  <si>
    <t>400 W MIFFLI</t>
  </si>
  <si>
    <t>2500 N VODGE</t>
  </si>
  <si>
    <t>7TH &amp; PORTER</t>
  </si>
  <si>
    <t>6300 SYLVEST</t>
  </si>
  <si>
    <t>6630 TORRESD</t>
  </si>
  <si>
    <t>3400 N CRYST</t>
  </si>
  <si>
    <t>6200 LARUE</t>
  </si>
  <si>
    <t>4165 N 4TH ST</t>
  </si>
  <si>
    <t>134 E ALBANU</t>
  </si>
  <si>
    <t>3400 INDIAN</t>
  </si>
  <si>
    <t>3026 GRANSBA</t>
  </si>
  <si>
    <t>PALMETTO ST</t>
  </si>
  <si>
    <t>2664 ORTHODO</t>
  </si>
  <si>
    <t>2766 N NEWKE</t>
  </si>
  <si>
    <t>5941 KINGSES</t>
  </si>
  <si>
    <t>KINDRED &amp; PRIN</t>
  </si>
  <si>
    <t>3601 A ST</t>
  </si>
  <si>
    <t>2500 LEITHGO</t>
  </si>
  <si>
    <t>2500 W LEITH</t>
  </si>
  <si>
    <t>2400 N LORRE</t>
  </si>
  <si>
    <t>1900 WINGOHO</t>
  </si>
  <si>
    <t>6150 WOODLAN</t>
  </si>
  <si>
    <t>5700 RISING</t>
  </si>
  <si>
    <t>2100 FRANKLI</t>
  </si>
  <si>
    <t>2100 CUMBERL</t>
  </si>
  <si>
    <t>600 WASHINGT</t>
  </si>
  <si>
    <t>2400 LEITHGO</t>
  </si>
  <si>
    <t>600 CUMBERLA</t>
  </si>
  <si>
    <t>2900 GREENSB</t>
  </si>
  <si>
    <t>1001 NDELAWA</t>
  </si>
  <si>
    <t>4800 GRANSBA</t>
  </si>
  <si>
    <t>600 E ROCKLA</t>
  </si>
  <si>
    <t>5304 OVERBRO</t>
  </si>
  <si>
    <t>4450 AIMES</t>
  </si>
  <si>
    <t>I5800 RISING</t>
  </si>
  <si>
    <t>1000 N LEITH</t>
  </si>
  <si>
    <t>GEORGE LN &amp; BE</t>
  </si>
  <si>
    <t>3700 ARAMING</t>
  </si>
  <si>
    <t>5900 MARRING</t>
  </si>
  <si>
    <t>418 D ST</t>
  </si>
  <si>
    <t>5112 PEMBERT</t>
  </si>
  <si>
    <t>HERMITAGE &amp; SM</t>
  </si>
  <si>
    <t>ALLISON &amp; LA</t>
  </si>
  <si>
    <t>100 WELLER</t>
  </si>
  <si>
    <t>5500 PENTRID</t>
  </si>
  <si>
    <t>ALMOND &amp; ANN</t>
  </si>
  <si>
    <t>3447 EDGEMON</t>
  </si>
  <si>
    <t>4500 BAKER C</t>
  </si>
  <si>
    <t>6603 TACKAWA</t>
  </si>
  <si>
    <t>MARSHALL &amp; FIZ</t>
  </si>
  <si>
    <t>7200 GLENLOC</t>
  </si>
  <si>
    <t>2639 BONNAFF</t>
  </si>
  <si>
    <t>5262 JEFFERS</t>
  </si>
  <si>
    <t>65 &amp; HADDINT</t>
  </si>
  <si>
    <t>2911 HARTVIL</t>
  </si>
  <si>
    <t>3700 WHITAKE</t>
  </si>
  <si>
    <t>100 B 53RD ST</t>
  </si>
  <si>
    <t>3021 GRANSBA</t>
  </si>
  <si>
    <t>2536 S FRANK</t>
  </si>
  <si>
    <t>4100 MARKLAN</t>
  </si>
  <si>
    <t>59TH &amp; THOMP</t>
  </si>
  <si>
    <t>700 &amp; MAPLE</t>
  </si>
  <si>
    <t>530 W ROCKLA</t>
  </si>
  <si>
    <t>49001 4TH</t>
  </si>
  <si>
    <t>1000 MOUNTAI</t>
  </si>
  <si>
    <t>53 HAVERFORD</t>
  </si>
  <si>
    <t>8TH &amp; MORRIS</t>
  </si>
  <si>
    <t>544 E ALLEGH</t>
  </si>
  <si>
    <t>BELGRADE &amp; BER</t>
  </si>
  <si>
    <t>5801 W THOMP</t>
  </si>
  <si>
    <t>7009 CARDINR</t>
  </si>
  <si>
    <t>4300 CHAMOUN</t>
  </si>
  <si>
    <t>500 LEHIGH A</t>
  </si>
  <si>
    <t>1800 MONMOUT</t>
  </si>
  <si>
    <t>6200 GRAYS A</t>
  </si>
  <si>
    <t>HENRY &amp; JAMEST</t>
  </si>
  <si>
    <t>3900 ELSIWOR</t>
  </si>
  <si>
    <t>3900 BENWIWS</t>
  </si>
  <si>
    <t>3510 E THOMP</t>
  </si>
  <si>
    <t>11TH &amp; WYOMING</t>
  </si>
  <si>
    <t>MARVINE &amp; WYOM</t>
  </si>
  <si>
    <t>2500 S CARRI</t>
  </si>
  <si>
    <t>2600 CLEARFI</t>
  </si>
  <si>
    <t>60TH &amp; IRVING</t>
  </si>
  <si>
    <t>2900 KENSINT</t>
  </si>
  <si>
    <t>1753 SCATTER</t>
  </si>
  <si>
    <t>10700 HEATHE</t>
  </si>
  <si>
    <t>11000 S 56TH</t>
  </si>
  <si>
    <t>61 &amp; CHRISTI</t>
  </si>
  <si>
    <t>62  &amp; ADDISO</t>
  </si>
  <si>
    <t>2654 S FAIRH</t>
  </si>
  <si>
    <t>1315 S LEITH</t>
  </si>
  <si>
    <t>6335 SHERWOO</t>
  </si>
  <si>
    <t>6810 MARTIN</t>
  </si>
  <si>
    <t>4062 SPRING</t>
  </si>
  <si>
    <t>256 S SAINTB</t>
  </si>
  <si>
    <t>6756 GILLESP</t>
  </si>
  <si>
    <t>RIDGE &amp; NOBLE</t>
  </si>
  <si>
    <t>10TH RIDGE A</t>
  </si>
  <si>
    <t>PERCY &amp; NOBLE</t>
  </si>
  <si>
    <t>200 KINSTON</t>
  </si>
  <si>
    <t>4700 S CHAMO</t>
  </si>
  <si>
    <t>5600 RIDEWOO</t>
  </si>
  <si>
    <t>200 W VICTOR</t>
  </si>
  <si>
    <t>200 E VICTOR</t>
  </si>
  <si>
    <t>4300 S CHAMO</t>
  </si>
  <si>
    <t>200 ALBRIGHT</t>
  </si>
  <si>
    <t>MANAYUNK &amp; PEN</t>
  </si>
  <si>
    <t>RIDGE &amp; MT VER</t>
  </si>
  <si>
    <t>401 ADGAS AV</t>
  </si>
  <si>
    <t>4500 CHAMOUN</t>
  </si>
  <si>
    <t>4200 CHAMOUN</t>
  </si>
  <si>
    <t>2451 LETTERL</t>
  </si>
  <si>
    <t>5368 HAZELHU</t>
  </si>
  <si>
    <t>5800 HAVERFO</t>
  </si>
  <si>
    <t>2900 CLEARFI</t>
  </si>
  <si>
    <t>4TH MIFFLIN0</t>
  </si>
  <si>
    <t>115 DEVEREAU</t>
  </si>
  <si>
    <t>1924 BERKSHI</t>
  </si>
  <si>
    <t>2ND &amp; CHELTEN</t>
  </si>
  <si>
    <t>MANSION &amp; GATE</t>
  </si>
  <si>
    <t>2103 S ISEMI</t>
  </si>
  <si>
    <t>2110 S ISEMI</t>
  </si>
  <si>
    <t>2300 W 23RD0</t>
  </si>
  <si>
    <t>1216 S MELLV</t>
  </si>
  <si>
    <t>3900 29TH ST</t>
  </si>
  <si>
    <t>19TH &amp; GIRARD</t>
  </si>
  <si>
    <t>800 N AMERIC</t>
  </si>
  <si>
    <t>5600 PENTRID</t>
  </si>
  <si>
    <t>5000 ELBERON</t>
  </si>
  <si>
    <t>16TH &amp; PIKE ST</t>
  </si>
  <si>
    <t>200 W HUNTIN</t>
  </si>
  <si>
    <t>1125 MONTROS</t>
  </si>
  <si>
    <t>1127 MONTROS</t>
  </si>
  <si>
    <t>1131 MONTROS</t>
  </si>
  <si>
    <t>800 S WHEELE</t>
  </si>
  <si>
    <t>601 CARPENTE</t>
  </si>
  <si>
    <t>201 SALAIGNA</t>
  </si>
  <si>
    <t>201 SALAGNAI</t>
  </si>
  <si>
    <t>1531 S 10TH0</t>
  </si>
  <si>
    <t>9946 E ROOSE</t>
  </si>
  <si>
    <t>3246 ARAMING</t>
  </si>
  <si>
    <t>4844 SILVERW</t>
  </si>
  <si>
    <t>4544 SILVERW</t>
  </si>
  <si>
    <t>200 E PACIFI</t>
  </si>
  <si>
    <t>4700 RISING</t>
  </si>
  <si>
    <t>3800 PALMETT</t>
  </si>
  <si>
    <t>500  N AMERI</t>
  </si>
  <si>
    <t>500 N AMERIC</t>
  </si>
  <si>
    <t>3907 PALMETT</t>
  </si>
  <si>
    <t>1700 HUNTING</t>
  </si>
  <si>
    <t>1800 HUNTING</t>
  </si>
  <si>
    <t>WOODLAND &amp; ISL</t>
  </si>
  <si>
    <t>6247 WASHING</t>
  </si>
  <si>
    <t>4500 SPRINGF</t>
  </si>
  <si>
    <t>4101 STIRLIN</t>
  </si>
  <si>
    <t>5746 HADDING</t>
  </si>
  <si>
    <t>5400 HAVERFO</t>
  </si>
  <si>
    <t>3000 THOMPSO</t>
  </si>
  <si>
    <t>5940 ELSINOR</t>
  </si>
  <si>
    <t>4724 LONGSHO</t>
  </si>
  <si>
    <t>4201 LAWNDAL</t>
  </si>
  <si>
    <t>LOTT &amp; CHAPELC</t>
  </si>
  <si>
    <t>1700 LONGSHO</t>
  </si>
  <si>
    <t>2400 N ORKNE</t>
  </si>
  <si>
    <t>5132 CATHERI</t>
  </si>
  <si>
    <t>2300 N JASPE</t>
  </si>
  <si>
    <t>5701 RISING</t>
  </si>
  <si>
    <t>13610 PHILMO</t>
  </si>
  <si>
    <t>1900 NEDRO A</t>
  </si>
  <si>
    <t>OREGON &amp; 12TH</t>
  </si>
  <si>
    <t>15158 BEVERL</t>
  </si>
  <si>
    <t>1000 N LEOPA</t>
  </si>
  <si>
    <t>1400 BUTTONW</t>
  </si>
  <si>
    <t>1 RICHMON</t>
  </si>
  <si>
    <t>1600 N PHILL</t>
  </si>
  <si>
    <t>500 E ALLEGH</t>
  </si>
  <si>
    <t>S 66TH KINGS</t>
  </si>
  <si>
    <t>1600 N PHILI</t>
  </si>
  <si>
    <t>5200 SYLVEST</t>
  </si>
  <si>
    <t>DAGGETT &amp; WOOD</t>
  </si>
  <si>
    <t>525 E ALLEGH</t>
  </si>
  <si>
    <t>1600 ORTHODO</t>
  </si>
  <si>
    <t>5700 WYALUSI</t>
  </si>
  <si>
    <t>750 W THOMPS</t>
  </si>
  <si>
    <t>1401 ENGLEWO</t>
  </si>
  <si>
    <t>63301 OXFORD</t>
  </si>
  <si>
    <t>5700 TABOR A</t>
  </si>
  <si>
    <t>10TH &amp; JACKSON</t>
  </si>
  <si>
    <t>5900 WOODBIN</t>
  </si>
  <si>
    <t>2058 N 63R</t>
  </si>
  <si>
    <t>3853 ELSINOR</t>
  </si>
  <si>
    <t>800 S LAWREN</t>
  </si>
  <si>
    <t>7559 GREENHI</t>
  </si>
  <si>
    <t>150 E CHAMPL</t>
  </si>
  <si>
    <t>6101 REEDLAN</t>
  </si>
  <si>
    <t>69TH WEBSTER</t>
  </si>
  <si>
    <t>BAKER &amp; GAY ST</t>
  </si>
  <si>
    <t>4500 S 51ST</t>
  </si>
  <si>
    <t>3701 VANDIKE</t>
  </si>
  <si>
    <t>PRESTON &amp; POWE</t>
  </si>
  <si>
    <t>PECHIN &amp; CONAR</t>
  </si>
  <si>
    <t>4000 TEESDAL</t>
  </si>
  <si>
    <t>117 S COBBS</t>
  </si>
  <si>
    <t>4847 CEDAR A</t>
  </si>
  <si>
    <t>66TH MALVERN</t>
  </si>
  <si>
    <t>7949 RID AVE</t>
  </si>
  <si>
    <t>2000 HORROCK</t>
  </si>
  <si>
    <t>1900 PRINCET</t>
  </si>
  <si>
    <t>400 TOMLINSO</t>
  </si>
  <si>
    <t>15900 GEIGER</t>
  </si>
  <si>
    <t>10900 GEIGER</t>
  </si>
  <si>
    <t>7000 DICKS A</t>
  </si>
  <si>
    <t>220O BLIEGH</t>
  </si>
  <si>
    <t>GRANGE &amp; VANKI</t>
  </si>
  <si>
    <t>5900 WOODCRE</t>
  </si>
  <si>
    <t>6545 N LAMBE</t>
  </si>
  <si>
    <t>1900 LETTERL</t>
  </si>
  <si>
    <t>5TH &amp; WILDER</t>
  </si>
  <si>
    <t>5328 WOODLAN</t>
  </si>
  <si>
    <t>23RD CAMBRIA</t>
  </si>
  <si>
    <t>BINGHAM &amp; ANCH</t>
  </si>
  <si>
    <t>CEDAR &amp; TIOGA</t>
  </si>
  <si>
    <t>WARREN &amp; BARIN</t>
  </si>
  <si>
    <t>300 E WYOMIN</t>
  </si>
  <si>
    <t>3600 ARAMING</t>
  </si>
  <si>
    <t>305 E WYOMIN</t>
  </si>
  <si>
    <t>175 W DUNCAN</t>
  </si>
  <si>
    <t>8226 ROSE PE</t>
  </si>
  <si>
    <t>130 E STERNE</t>
  </si>
  <si>
    <t>2000 E COMMI</t>
  </si>
  <si>
    <t>CECIL &amp; CHRIST</t>
  </si>
  <si>
    <t>4100 WINDRIM</t>
  </si>
  <si>
    <t>2500 W ALLEG</t>
  </si>
  <si>
    <t>10017 NORTHE</t>
  </si>
  <si>
    <t>2720 W ALLEG</t>
  </si>
  <si>
    <t>202 W SHELDE</t>
  </si>
  <si>
    <t>1500 W LEHIG</t>
  </si>
  <si>
    <t>3414 N CRYST</t>
  </si>
  <si>
    <t>600 ALLENGRO</t>
  </si>
  <si>
    <t>2600 S BONNA</t>
  </si>
  <si>
    <t>2700 S ISLAN</t>
  </si>
  <si>
    <t>547 ELKINS A</t>
  </si>
  <si>
    <t>DICKINSON &amp; FR</t>
  </si>
  <si>
    <t>4698 KINGSES</t>
  </si>
  <si>
    <t>GRAPE &amp; FLEMIN</t>
  </si>
  <si>
    <t>61ST &amp; CARPENT</t>
  </si>
  <si>
    <t>5400 HOUGHTO</t>
  </si>
  <si>
    <t>400 TOMLINS</t>
  </si>
  <si>
    <t>MANSION &amp; LEVE</t>
  </si>
  <si>
    <t>3500 FAIRMON</t>
  </si>
  <si>
    <t>BUIST &amp; THEODO</t>
  </si>
  <si>
    <t>6TH &amp; EARP</t>
  </si>
  <si>
    <t>2400 LAWRENC</t>
  </si>
  <si>
    <t>700 WINTER</t>
  </si>
  <si>
    <t>5206 N MASCH</t>
  </si>
  <si>
    <t>1800 E LIPPI</t>
  </si>
  <si>
    <t>700 N AMERIC</t>
  </si>
  <si>
    <t>6100 BUIST A</t>
  </si>
  <si>
    <t>6100 RISING</t>
  </si>
  <si>
    <t>1800 E LEHIG</t>
  </si>
  <si>
    <t>2500 N INDIA</t>
  </si>
  <si>
    <t>2400 W ALLEG</t>
  </si>
  <si>
    <t>2800 N 54TH</t>
  </si>
  <si>
    <t>3900W WALLEG</t>
  </si>
  <si>
    <t>1216 MELVILL</t>
  </si>
  <si>
    <t>1131 SHACKAM</t>
  </si>
  <si>
    <t>5100 WAYNE A</t>
  </si>
  <si>
    <t>3500 JOHNEY</t>
  </si>
  <si>
    <t>5724 PEMBERT</t>
  </si>
  <si>
    <t>4200 S 44TH</t>
  </si>
  <si>
    <t>5000 THOMPSO</t>
  </si>
  <si>
    <t>1200 PASSMOR</t>
  </si>
  <si>
    <t>580 PALETHOR</t>
  </si>
  <si>
    <t>669 E ANNSBU</t>
  </si>
  <si>
    <t>5200 WISSOHI</t>
  </si>
  <si>
    <t>3500 NEW QUE</t>
  </si>
  <si>
    <t>LYCEUM &amp; FLEMI</t>
  </si>
  <si>
    <t>2400 E SERGE</t>
  </si>
  <si>
    <t>3400 QUEEN L</t>
  </si>
  <si>
    <t>1563 DEVEREA</t>
  </si>
  <si>
    <t>2101 S ISEMI</t>
  </si>
  <si>
    <t>4400 TOMLINS</t>
  </si>
  <si>
    <t>TERRACE &amp; PENN</t>
  </si>
  <si>
    <t>PECHI &amp; MONAST</t>
  </si>
  <si>
    <t>4352 PECHI</t>
  </si>
  <si>
    <t>4500 WOODLAN</t>
  </si>
  <si>
    <t>46TH &amp; WOODLAN</t>
  </si>
  <si>
    <t>814 CARPENTE</t>
  </si>
  <si>
    <t>200 SALAUGNA</t>
  </si>
  <si>
    <t>2000 N ORKNE</t>
  </si>
  <si>
    <t>1800 E OAKDA</t>
  </si>
  <si>
    <t>4100 N AMERI</t>
  </si>
  <si>
    <t>1808 E WISNA</t>
  </si>
  <si>
    <t>1809 E LAPPI</t>
  </si>
  <si>
    <t>7321 DICKS A</t>
  </si>
  <si>
    <t>1447 CHESTON</t>
  </si>
  <si>
    <t>800 ROBINSON</t>
  </si>
  <si>
    <t>5800 N VANKI</t>
  </si>
  <si>
    <t>1200 GLENVIE</t>
  </si>
  <si>
    <t>1000 FOULKRO</t>
  </si>
  <si>
    <t>1411 E MOYAM</t>
  </si>
  <si>
    <t>29TH LEHIGH</t>
  </si>
  <si>
    <t>5000 HAVERFO</t>
  </si>
  <si>
    <t>2900 W LEHIG</t>
  </si>
  <si>
    <t>7500 SHERWOO</t>
  </si>
  <si>
    <t>8392 SUMMERD</t>
  </si>
  <si>
    <t>INDIANA &amp; TANE</t>
  </si>
  <si>
    <t>7938 EASTWOO</t>
  </si>
  <si>
    <t>200 PUPERT</t>
  </si>
  <si>
    <t>5500 WAYNE A</t>
  </si>
  <si>
    <t>2800 MARTHA</t>
  </si>
  <si>
    <t>2000 COMMISS</t>
  </si>
  <si>
    <t>PECHIN &amp; PENNS</t>
  </si>
  <si>
    <t>LEVINGTON &amp; WI</t>
  </si>
  <si>
    <t>BAKER &amp; CONARR</t>
  </si>
  <si>
    <t>5144 RANSTEA</t>
  </si>
  <si>
    <t>6600 TACKAWA</t>
  </si>
  <si>
    <t>7300 WOODCRE</t>
  </si>
  <si>
    <t>4400 ST DAVI</t>
  </si>
  <si>
    <t>507 W CUMBER</t>
  </si>
  <si>
    <t>VICARIS &amp; SUMA</t>
  </si>
  <si>
    <t>MANAYUNK &amp; SEV</t>
  </si>
  <si>
    <t>MANAYUNK &amp; REC</t>
  </si>
  <si>
    <t>2300 LETTERL</t>
  </si>
  <si>
    <t>2700 E CLEME</t>
  </si>
  <si>
    <t>4724 AST</t>
  </si>
  <si>
    <t>54TH MONTGOM</t>
  </si>
  <si>
    <t>1462 N WANAM</t>
  </si>
  <si>
    <t>ALDER &amp; SHUNK</t>
  </si>
  <si>
    <t>4800 WESTMIN</t>
  </si>
  <si>
    <t>4253 I STREE</t>
  </si>
  <si>
    <t>1133 SHACKAM</t>
  </si>
  <si>
    <t>4000 CAMBRIG</t>
  </si>
  <si>
    <t>8400 SUMMERD</t>
  </si>
  <si>
    <t>4000 CAMBRID</t>
  </si>
  <si>
    <t>CONARROE &amp; MAN</t>
  </si>
  <si>
    <t>3900 CAMBRIG</t>
  </si>
  <si>
    <t>AMERICAN &amp; BRO</t>
  </si>
  <si>
    <t>1364 HUNTING</t>
  </si>
  <si>
    <t>149 GREEN CO</t>
  </si>
  <si>
    <t>GREEN &amp; MANAYU</t>
  </si>
  <si>
    <t>5264 SYLVEST</t>
  </si>
  <si>
    <t>63&amp;MEDIA</t>
  </si>
  <si>
    <t>6300 MARTINS</t>
  </si>
  <si>
    <t>6300 MATINS</t>
  </si>
  <si>
    <t>MANAYUNK &amp; LYC</t>
  </si>
  <si>
    <t>MONASTERY TE</t>
  </si>
  <si>
    <t>FRONTENAC &amp; GI</t>
  </si>
  <si>
    <t>APPLE &amp; WENDOV</t>
  </si>
  <si>
    <t>1347&amp;LUZERNE</t>
  </si>
  <si>
    <t>1000 W ROCKL</t>
  </si>
  <si>
    <t>2300 E SUSQU</t>
  </si>
  <si>
    <t>100 HORTICUL</t>
  </si>
  <si>
    <t>100 HOLTICUL</t>
  </si>
  <si>
    <t>10 HORTICULT</t>
  </si>
  <si>
    <t>4100 MONTGOM</t>
  </si>
  <si>
    <t>400 HORTICUL</t>
  </si>
  <si>
    <t>549 CHELTENH</t>
  </si>
  <si>
    <t>800 KENILWOR</t>
  </si>
  <si>
    <t>5437 NORFORK</t>
  </si>
  <si>
    <t>4900 PARKSID</t>
  </si>
  <si>
    <t>PEACH &amp; RACE</t>
  </si>
  <si>
    <t>5300 THOMPSO</t>
  </si>
  <si>
    <t>2400 W SOMER</t>
  </si>
  <si>
    <t>5814 W THOMP</t>
  </si>
  <si>
    <t>5700 JEFFERS</t>
  </si>
  <si>
    <t>1100 MONTROS</t>
  </si>
  <si>
    <t>39 GREE</t>
  </si>
  <si>
    <t>1400 N VODGE</t>
  </si>
  <si>
    <t>201 W SHELDO</t>
  </si>
  <si>
    <t>1200 VAN KIR</t>
  </si>
  <si>
    <t>FRONTENAC &amp; FA</t>
  </si>
  <si>
    <t>1100 VAN KIR</t>
  </si>
  <si>
    <t>1740 DANFORT</t>
  </si>
  <si>
    <t>515 TOMLINSO</t>
  </si>
  <si>
    <t>1631 S FRANK</t>
  </si>
  <si>
    <t>6050 LORRETT</t>
  </si>
  <si>
    <t>2000 BOWER</t>
  </si>
  <si>
    <t>2101 W LEHIG</t>
  </si>
  <si>
    <t>3750 W GIRAR</t>
  </si>
  <si>
    <t>100 W DUNCAN</t>
  </si>
  <si>
    <t>100 LEVERIN</t>
  </si>
  <si>
    <t>ROCHELLE &amp; VIC</t>
  </si>
  <si>
    <t>3900 RICHMON</t>
  </si>
  <si>
    <t>REDFIELD &amp; LUD</t>
  </si>
  <si>
    <t>2300 SERGEAN</t>
  </si>
  <si>
    <t>1600 W C B M</t>
  </si>
  <si>
    <t>2619 BONAFFO</t>
  </si>
  <si>
    <t>2618 MASSEG</t>
  </si>
  <si>
    <t>KINDRY ST &amp; ST</t>
  </si>
  <si>
    <t>6700 GREEN W</t>
  </si>
  <si>
    <t>1604 W ALLEG</t>
  </si>
  <si>
    <t>OAKLAND</t>
  </si>
  <si>
    <t>6300 S 49TH</t>
  </si>
  <si>
    <t>5800 LANSDOW</t>
  </si>
  <si>
    <t>5300 BINGHAM</t>
  </si>
  <si>
    <t>100 CHAMPLOS</t>
  </si>
  <si>
    <t>5900 PALMETT</t>
  </si>
  <si>
    <t>54TH ARCH</t>
  </si>
  <si>
    <t>CARSON &amp; SEVIL</t>
  </si>
  <si>
    <t>CRESSON &amp; MARK</t>
  </si>
  <si>
    <t>5848 LANSDOW</t>
  </si>
  <si>
    <t>1800 N HANCO</t>
  </si>
  <si>
    <t>BOWER &amp; CHAPEL</t>
  </si>
  <si>
    <t>400 N REDFIE</t>
  </si>
  <si>
    <t>2000 TYSON A</t>
  </si>
  <si>
    <t>6900 BUIST A</t>
  </si>
  <si>
    <t>7TH ANNIN ST</t>
  </si>
  <si>
    <t>FRONT &amp; DAUP</t>
  </si>
  <si>
    <t>2810 S ALDEN</t>
  </si>
  <si>
    <t>1700 N ROCKL</t>
  </si>
  <si>
    <t>39 BARING</t>
  </si>
  <si>
    <t>HAVERFORD &amp; WA</t>
  </si>
  <si>
    <t>26TH &amp; INDIANA</t>
  </si>
  <si>
    <t>5344 WOODLAN</t>
  </si>
  <si>
    <t>1500 N PHILI</t>
  </si>
  <si>
    <t>2900 N ALLEG</t>
  </si>
  <si>
    <t>1900 E OAKDA</t>
  </si>
  <si>
    <t>5800 LAWRENC</t>
  </si>
  <si>
    <t>500 W INDIAN</t>
  </si>
  <si>
    <t>2200 W LEHIG</t>
  </si>
  <si>
    <t>1500 N BELMO</t>
  </si>
  <si>
    <t>1800 WINGOHO</t>
  </si>
  <si>
    <t>1400 FANSHAW</t>
  </si>
  <si>
    <t>12&amp;SHUNK</t>
  </si>
  <si>
    <t>3200 MARSDEN</t>
  </si>
  <si>
    <t>6700 CARLISL</t>
  </si>
  <si>
    <t>7563 GREENHI</t>
  </si>
  <si>
    <t>2900 N CLEAR</t>
  </si>
  <si>
    <t>2500 SHERIDA</t>
  </si>
  <si>
    <t>3099 THOMPSO</t>
  </si>
  <si>
    <t>5132 CATHARI</t>
  </si>
  <si>
    <t>433 DICKINSO</t>
  </si>
  <si>
    <t>57TH HADDING</t>
  </si>
  <si>
    <t>57TH CAMBRID</t>
  </si>
  <si>
    <t>49TH LOCUST</t>
  </si>
  <si>
    <t>56TH MORSE ST</t>
  </si>
  <si>
    <t>5539 JEFFERS</t>
  </si>
  <si>
    <t>100 W SPENCE</t>
  </si>
  <si>
    <t>7000 HORNOCK</t>
  </si>
  <si>
    <t>50TH HAZEL A</t>
  </si>
  <si>
    <t>6103 JEFFERS</t>
  </si>
  <si>
    <t>6000 HADDIN</t>
  </si>
  <si>
    <t>500 N SIMPSO</t>
  </si>
  <si>
    <t>2500 ALLEGHE</t>
  </si>
  <si>
    <t>7100 GRAYS A</t>
  </si>
  <si>
    <t>188 MARPLE</t>
  </si>
  <si>
    <t>ROXBOROUGH &amp; P</t>
  </si>
  <si>
    <t>800 BROOKMON</t>
  </si>
  <si>
    <t>6900 LAWRENC</t>
  </si>
  <si>
    <t>NEDRO &amp; LAWREN</t>
  </si>
  <si>
    <t>DIKE &amp; ELSINOR</t>
  </si>
  <si>
    <t>MANAYUNK &amp; MON</t>
  </si>
  <si>
    <t>2128 SHRAHLE</t>
  </si>
  <si>
    <t>800 MCCLELLA</t>
  </si>
  <si>
    <t>26TH &amp; OAKDALE</t>
  </si>
  <si>
    <t>2600 W INDIA</t>
  </si>
  <si>
    <t>2735 W LEHIG</t>
  </si>
  <si>
    <t>2000 CLEMENT</t>
  </si>
  <si>
    <t>4604 WOODLAN</t>
  </si>
  <si>
    <t>4600 WOODLAN</t>
  </si>
  <si>
    <t>500 W HUNTIN</t>
  </si>
  <si>
    <t>1341 N MASCH</t>
  </si>
  <si>
    <t>4602 WOODLAN</t>
  </si>
  <si>
    <t>200 W JEFFER</t>
  </si>
  <si>
    <t>5836 HAVERFO</t>
  </si>
  <si>
    <t>5811 WASHING</t>
  </si>
  <si>
    <t>100 DICKINSO</t>
  </si>
  <si>
    <t>1800 W WINGO</t>
  </si>
  <si>
    <t>1500 MCKINLE</t>
  </si>
  <si>
    <t>3900 LATONA</t>
  </si>
  <si>
    <t>200 WENDNER</t>
  </si>
  <si>
    <t>56TH MORSE</t>
  </si>
  <si>
    <t>54TH HAZELHU</t>
  </si>
  <si>
    <t>6400 RISING</t>
  </si>
  <si>
    <t>57TH DIAMOND</t>
  </si>
  <si>
    <t>6300 RISING</t>
  </si>
  <si>
    <t>44TH LOCUST</t>
  </si>
  <si>
    <t>10TH HOFFMAN</t>
  </si>
  <si>
    <t>10TH &amp; DUDLEY</t>
  </si>
  <si>
    <t>LOTT &amp; HOFF</t>
  </si>
  <si>
    <t>9729 CHAPELC</t>
  </si>
  <si>
    <t>200 BOWER</t>
  </si>
  <si>
    <t>ROXBOROUGH &amp; T</t>
  </si>
  <si>
    <t>801 CATHARIN</t>
  </si>
  <si>
    <t>STILLMAN &amp; ALL</t>
  </si>
  <si>
    <t>12003 BUSTLE</t>
  </si>
  <si>
    <t>1800 EDGEWOO</t>
  </si>
  <si>
    <t>4640 ROOS BL</t>
  </si>
  <si>
    <t>1330 W AIRDR</t>
  </si>
  <si>
    <t>N HIRST &amp; MARK</t>
  </si>
  <si>
    <t>1900 OLNEY A</t>
  </si>
  <si>
    <t>4700 S CONCO</t>
  </si>
  <si>
    <t>1500 HOLLYWO</t>
  </si>
  <si>
    <t>5447 FLORENE</t>
  </si>
  <si>
    <t>1004 S DORRA</t>
  </si>
  <si>
    <t>1800 OLNEY A</t>
  </si>
  <si>
    <t>1468 N REDFI</t>
  </si>
  <si>
    <t>4500 TEESDAL</t>
  </si>
  <si>
    <t>2200 PRINCET</t>
  </si>
  <si>
    <t>42ND CHESTER</t>
  </si>
  <si>
    <t>7930 BUSTLET</t>
  </si>
  <si>
    <t>11TH &amp; WOLF</t>
  </si>
  <si>
    <t>11TH &amp; JACKSON</t>
  </si>
  <si>
    <t>64 N ROBINSO</t>
  </si>
  <si>
    <t>8TH &amp; RITNER</t>
  </si>
  <si>
    <t>PERCY &amp; PORTER</t>
  </si>
  <si>
    <t>4500 N MARVI</t>
  </si>
  <si>
    <t>61ST CARPENT</t>
  </si>
  <si>
    <t>1300 W MOYAM</t>
  </si>
  <si>
    <t>SANGER &amp; TORRE</t>
  </si>
  <si>
    <t>5701 HAZEL A</t>
  </si>
  <si>
    <t>5000 W THOMP</t>
  </si>
  <si>
    <t>6200 SHELBOR</t>
  </si>
  <si>
    <t>6901 SYLVEST</t>
  </si>
  <si>
    <t>PLUM &amp; ALLEN</t>
  </si>
  <si>
    <t>5247 BRILL</t>
  </si>
  <si>
    <t>6TH MOUNTAIN</t>
  </si>
  <si>
    <t>50 MOUNTAIN</t>
  </si>
  <si>
    <t>4500 KINGSES</t>
  </si>
  <si>
    <t>HOUGHTON &amp; GER</t>
  </si>
  <si>
    <t>10900 GIFFOR</t>
  </si>
  <si>
    <t>1700 N LINDE</t>
  </si>
  <si>
    <t>2900 BELGRAD</t>
  </si>
  <si>
    <t>1679 E CHELT</t>
  </si>
  <si>
    <t>1100 DICKINS</t>
  </si>
  <si>
    <t>121 DICKINSO</t>
  </si>
  <si>
    <t>2500 ARAMING</t>
  </si>
  <si>
    <t>8TH &amp; TASKER</t>
  </si>
  <si>
    <t>3000 INDIANA</t>
  </si>
  <si>
    <t>5955 JANNETT</t>
  </si>
  <si>
    <t>2900 ORMES</t>
  </si>
  <si>
    <t>1500 N FRAZI</t>
  </si>
  <si>
    <t>1000 LEITHGO</t>
  </si>
  <si>
    <t>6341 MARTIN</t>
  </si>
  <si>
    <t>1730 W COURT</t>
  </si>
  <si>
    <t>1700 MONTROS</t>
  </si>
  <si>
    <t>21ST &amp; MONTROS</t>
  </si>
  <si>
    <t>400 CHAMPLOS</t>
  </si>
  <si>
    <t>300 HANSBERR</t>
  </si>
  <si>
    <t>10TH &amp; FITZWAT</t>
  </si>
  <si>
    <t>7200 HAVERFO</t>
  </si>
  <si>
    <t>1500 LINDENW</t>
  </si>
  <si>
    <t>HAVERFORD &amp; HO</t>
  </si>
  <si>
    <t>CASTOR &amp; PRINC</t>
  </si>
  <si>
    <t>LYCEUM &amp; DEXTE</t>
  </si>
  <si>
    <t>HIRST &amp; MARKET</t>
  </si>
  <si>
    <t>1400 STEVEN</t>
  </si>
  <si>
    <t>1300 MCKINLE</t>
  </si>
  <si>
    <t>65TH WINDSOR</t>
  </si>
  <si>
    <t>LAURSTON &amp; ROX</t>
  </si>
  <si>
    <t>MONASTERY &amp; FL</t>
  </si>
  <si>
    <t>300 MARKOE</t>
  </si>
  <si>
    <t>200 LEVERNGT</t>
  </si>
  <si>
    <t>1106 S LOMBA</t>
  </si>
  <si>
    <t>12TH &amp; REED</t>
  </si>
  <si>
    <t>728 E ALLEGH</t>
  </si>
  <si>
    <t>631 E WESTMO</t>
  </si>
  <si>
    <t>635 E WESTMO</t>
  </si>
  <si>
    <t>3300 ARGPLE</t>
  </si>
  <si>
    <t>3300 HARTVIL</t>
  </si>
  <si>
    <t>1400 LYCOMIN</t>
  </si>
  <si>
    <t>PERCY &amp; SHUNK</t>
  </si>
  <si>
    <t>61ST LOCUST</t>
  </si>
  <si>
    <t>2201 W LEHIG</t>
  </si>
  <si>
    <t>1720 MONTROS</t>
  </si>
  <si>
    <t>59TH HAZEL</t>
  </si>
  <si>
    <t>5300 RODMAN</t>
  </si>
  <si>
    <t>1916 E THAYE</t>
  </si>
  <si>
    <t>1437 N VODGE</t>
  </si>
  <si>
    <t>FORD RD &amp; MONU</t>
  </si>
  <si>
    <t>1930 BERKSHI</t>
  </si>
  <si>
    <t>5700 SUMMERD</t>
  </si>
  <si>
    <t>6238 DELANCE</t>
  </si>
  <si>
    <t>600 DEVEREAU</t>
  </si>
  <si>
    <t>52ND HARLAND</t>
  </si>
  <si>
    <t>6100 LAWNDAL</t>
  </si>
  <si>
    <t>DEARBORN &amp; BRO</t>
  </si>
  <si>
    <t>57TH LANDSDO</t>
  </si>
  <si>
    <t>1900 EDGEWOO</t>
  </si>
  <si>
    <t>64TH MEDIA ST</t>
  </si>
  <si>
    <t>6200 REACH</t>
  </si>
  <si>
    <t>2514 S ISEMI</t>
  </si>
  <si>
    <t>2516 S ISEMI</t>
  </si>
  <si>
    <t>1200 E SUSQU</t>
  </si>
  <si>
    <t>5TH &amp; BROWN</t>
  </si>
  <si>
    <t>ORIANNA &amp; BROW</t>
  </si>
  <si>
    <t>11TH &amp; POPLAR</t>
  </si>
  <si>
    <t>DITMAN &amp; LORIN</t>
  </si>
  <si>
    <t>1000 BRANDYW</t>
  </si>
  <si>
    <t>11TH &amp; WOOD</t>
  </si>
  <si>
    <t>MANAYUNK &amp; PER</t>
  </si>
  <si>
    <t>SHURS LN &amp; LAU</t>
  </si>
  <si>
    <t>LAURSTON &amp; BUR</t>
  </si>
  <si>
    <t>4TH &amp; GREEN</t>
  </si>
  <si>
    <t>999 BRIDLE</t>
  </si>
  <si>
    <t>146 W WYOMIN</t>
  </si>
  <si>
    <t>1300 BRANDYW</t>
  </si>
  <si>
    <t>BROWN &amp; 5TH</t>
  </si>
  <si>
    <t>6049 CARPENT</t>
  </si>
  <si>
    <t>5800 HADDFIE</t>
  </si>
  <si>
    <t>5700 W STEWA</t>
  </si>
  <si>
    <t>1547 N ALLIS</t>
  </si>
  <si>
    <t>KRAMS AVE &amp; MI</t>
  </si>
  <si>
    <t>FISHER &amp; AMERI</t>
  </si>
  <si>
    <t>SHUNK &amp; CAMAC</t>
  </si>
  <si>
    <t>5700 MONTROS</t>
  </si>
  <si>
    <t>400 E INDIAN</t>
  </si>
  <si>
    <t>249 S FRASIE</t>
  </si>
  <si>
    <t>4800 FILLMOR</t>
  </si>
  <si>
    <t>HIGH ST &amp; DUPO</t>
  </si>
  <si>
    <t>2ND &amp; WOLF</t>
  </si>
  <si>
    <t>5400 BUSTLET</t>
  </si>
  <si>
    <t>5420 CEDAR A</t>
  </si>
  <si>
    <t>5438 CEDAR A</t>
  </si>
  <si>
    <t>5649 CEDAR A</t>
  </si>
  <si>
    <t>56TH DIAMOND</t>
  </si>
  <si>
    <t>2331 E CLEAR</t>
  </si>
  <si>
    <t>CLEARFIELD &amp; M</t>
  </si>
  <si>
    <t>16TH RUSCOMB</t>
  </si>
  <si>
    <t>4600 HORROCK</t>
  </si>
  <si>
    <t>REDFIELD &amp; THO</t>
  </si>
  <si>
    <t>6600 BUSTLET</t>
  </si>
  <si>
    <t>KRAMS &amp; MANAYU</t>
  </si>
  <si>
    <t>MARKET &amp; CONES</t>
  </si>
  <si>
    <t>2640 E ONTAR</t>
  </si>
  <si>
    <t>400 GREENWIC</t>
  </si>
  <si>
    <t>532 GREENWIC</t>
  </si>
  <si>
    <t>436 DICKENSO</t>
  </si>
  <si>
    <t>4TH &amp; BROWN</t>
  </si>
  <si>
    <t>AMERICAN &amp; FAI</t>
  </si>
  <si>
    <t>2500 HUTCHIN</t>
  </si>
  <si>
    <t>11TH &amp; BUTTONW</t>
  </si>
  <si>
    <t>1700 E MOYAM</t>
  </si>
  <si>
    <t>8TH &amp; GREEN</t>
  </si>
  <si>
    <t>1600 W GODFR</t>
  </si>
  <si>
    <t>PALMETTO &amp; PIK</t>
  </si>
  <si>
    <t>1222 DEVEREA</t>
  </si>
  <si>
    <t>20TH &amp; STENTON</t>
  </si>
  <si>
    <t>1900 N DARIE</t>
  </si>
  <si>
    <t>BROWN &amp; HOFFMA</t>
  </si>
  <si>
    <t>6TH &amp; GREEN</t>
  </si>
  <si>
    <t>807 GREENWIC</t>
  </si>
  <si>
    <t>SALAIGNAC &amp; VI</t>
  </si>
  <si>
    <t>5427 SPRINGF</t>
  </si>
  <si>
    <t>446 LEVERING</t>
  </si>
  <si>
    <t>400 SOMERVIL</t>
  </si>
  <si>
    <t>8300 HORROCK</t>
  </si>
  <si>
    <t>5345 REINHAR</t>
  </si>
  <si>
    <t>59TH HADDING</t>
  </si>
  <si>
    <t>4927 WYNNEFI</t>
  </si>
  <si>
    <t>1010 JOHNSTO</t>
  </si>
  <si>
    <t>1425 S FRANK</t>
  </si>
  <si>
    <t>411 W ROCKLA</t>
  </si>
  <si>
    <t>4847 N LEITH</t>
  </si>
  <si>
    <t>ANCHOR &amp; FRONT</t>
  </si>
  <si>
    <t>66TH &amp; PASCHAL</t>
  </si>
  <si>
    <t>2938 GRANSBA</t>
  </si>
  <si>
    <t>5802 CEDARHU</t>
  </si>
  <si>
    <t>700 W CUMBER</t>
  </si>
  <si>
    <t>2500 N FRANK</t>
  </si>
  <si>
    <t>2400 N LEITH</t>
  </si>
  <si>
    <t>CAMAC &amp; BIGLER</t>
  </si>
  <si>
    <t>3600 N LEITH</t>
  </si>
  <si>
    <t>6900 KEYSTON</t>
  </si>
  <si>
    <t>8TH &amp; WASHINGT</t>
  </si>
  <si>
    <t>700 E ONTARI</t>
  </si>
  <si>
    <t>1400 W STILE</t>
  </si>
  <si>
    <t>1400 PRINCET</t>
  </si>
  <si>
    <t>3500 PENNHUR</t>
  </si>
  <si>
    <t>1300 STIRLIN</t>
  </si>
  <si>
    <t>3200 GRANSBA</t>
  </si>
  <si>
    <t>400 E ONTARI</t>
  </si>
  <si>
    <t>11TH &amp; MOUNTAI</t>
  </si>
  <si>
    <t>57TH CHRISTI</t>
  </si>
  <si>
    <t>1350 ENGLEWO</t>
  </si>
  <si>
    <t>400 ST VINCE</t>
  </si>
  <si>
    <t>3900 WYALUSI</t>
  </si>
  <si>
    <t>1717 HUNTING</t>
  </si>
  <si>
    <t>PRINCETON &amp; SH</t>
  </si>
  <si>
    <t>1600 FOULKRO</t>
  </si>
  <si>
    <t>719 W ERIE A</t>
  </si>
  <si>
    <t>100 W MONTGO</t>
  </si>
  <si>
    <t>1700 N HOWAR</t>
  </si>
  <si>
    <t>2400 N FAIRH</t>
  </si>
  <si>
    <t>600 DICKINSO</t>
  </si>
  <si>
    <t>3600 CONSHOH</t>
  </si>
  <si>
    <t>5423 HADFIEL</t>
  </si>
  <si>
    <t>MASTER &amp; EDGEW</t>
  </si>
  <si>
    <t>429 FITZGERA</t>
  </si>
  <si>
    <t>415 FITZGERA</t>
  </si>
  <si>
    <t>815 S WANNOV</t>
  </si>
  <si>
    <t>6345 OVERBRO</t>
  </si>
  <si>
    <t>OLD YORK &amp; WAG</t>
  </si>
  <si>
    <t>OLD YORK &amp; DUN</t>
  </si>
  <si>
    <t>6234 JEFFERS</t>
  </si>
  <si>
    <t>426 W ANNSBU</t>
  </si>
  <si>
    <t>2305 W SOMER</t>
  </si>
  <si>
    <t>10TH &amp; PINE</t>
  </si>
  <si>
    <t>2053 E ONTAR</t>
  </si>
  <si>
    <t>5400 OVERBRO</t>
  </si>
  <si>
    <t>WISHART &amp; FRAN</t>
  </si>
  <si>
    <t>1800 E RUSSE</t>
  </si>
  <si>
    <t>ALGON &amp; LEVICK</t>
  </si>
  <si>
    <t>1600 S YEWDA</t>
  </si>
  <si>
    <t>TYSON &amp; RUTLAN</t>
  </si>
  <si>
    <t>EAST &amp; TERRACE</t>
  </si>
  <si>
    <t>3RD &amp; MCKEAN</t>
  </si>
  <si>
    <t>SEVILLE &amp; TERR</t>
  </si>
  <si>
    <t>10TH &amp; SNYDER</t>
  </si>
  <si>
    <t>169 W SOMERS</t>
  </si>
  <si>
    <t>6900 SHELBOU</t>
  </si>
  <si>
    <t>2237 BRYNMAW</t>
  </si>
  <si>
    <t>131 W COURTL</t>
  </si>
  <si>
    <t>13TH &amp; WOLF</t>
  </si>
  <si>
    <t>264 W GODFRE</t>
  </si>
  <si>
    <t>3100 W ALLEG</t>
  </si>
  <si>
    <t>5451 WYALUSI</t>
  </si>
  <si>
    <t>1400 E SUSQU</t>
  </si>
  <si>
    <t>MASTER ST &amp; HO</t>
  </si>
  <si>
    <t>400 N EDGEWO</t>
  </si>
  <si>
    <t>137 E ALLEGH</t>
  </si>
  <si>
    <t>2100 FREIEND</t>
  </si>
  <si>
    <t>272 W CALVER</t>
  </si>
  <si>
    <t>2300 W ALLEG</t>
  </si>
  <si>
    <t>2200 W ALLEG</t>
  </si>
  <si>
    <t>2500 W INDIA</t>
  </si>
  <si>
    <t>2600 N FRANK</t>
  </si>
  <si>
    <t>2700 TORONTO</t>
  </si>
  <si>
    <t>2501 W LEHIG</t>
  </si>
  <si>
    <t>5400 PULAKSI</t>
  </si>
  <si>
    <t>7258 BUSTLET</t>
  </si>
  <si>
    <t>REDFIELD &amp; MAS</t>
  </si>
  <si>
    <t>OAKDALE</t>
  </si>
  <si>
    <t>4500 CRESSON</t>
  </si>
  <si>
    <t>6800 WHITAKE</t>
  </si>
  <si>
    <t>4200 WESTMIN</t>
  </si>
  <si>
    <t>HIRST ST &amp; MAR</t>
  </si>
  <si>
    <t>4822 SUMMERD</t>
  </si>
  <si>
    <t>1800 VENAGO</t>
  </si>
  <si>
    <t>400 W CUMBER</t>
  </si>
  <si>
    <t>1212 W AIRDR</t>
  </si>
  <si>
    <t>7354 WOODCRE</t>
  </si>
  <si>
    <t>6100 LARUE</t>
  </si>
  <si>
    <t>1000 DICKINS</t>
  </si>
  <si>
    <t>1400 W FISHE</t>
  </si>
  <si>
    <t>5TH &amp; MORRIS</t>
  </si>
  <si>
    <t>4500 FLAT RO</t>
  </si>
  <si>
    <t>60TH &amp; SPRUCE</t>
  </si>
  <si>
    <t>PEARL 38TH ST</t>
  </si>
  <si>
    <t>4106 W GIRAR</t>
  </si>
  <si>
    <t>900 MOYAMENS</t>
  </si>
  <si>
    <t>1236 MARLBOR</t>
  </si>
  <si>
    <t>2848 BELGRAD</t>
  </si>
  <si>
    <t>1600 S BANCR</t>
  </si>
  <si>
    <t>6TH &amp; MOORE</t>
  </si>
  <si>
    <t>3362 THOMPSO</t>
  </si>
  <si>
    <t>1363 E SUSQU</t>
  </si>
  <si>
    <t>6600 RONTENA</t>
  </si>
  <si>
    <t>THOMPSON &amp; CLE</t>
  </si>
  <si>
    <t>460 LEVERING</t>
  </si>
  <si>
    <t>1100 ORTHODO</t>
  </si>
  <si>
    <t>10TH &amp; WINTON</t>
  </si>
  <si>
    <t>5900 N HUTCH</t>
  </si>
  <si>
    <t>2200 LORETTO</t>
  </si>
  <si>
    <t>2500 N HOWAR</t>
  </si>
  <si>
    <t>GERMANTOWN &amp; W</t>
  </si>
  <si>
    <t>5TH &amp; GREENWIC</t>
  </si>
  <si>
    <t>42 PARRISH ST</t>
  </si>
  <si>
    <t>GRANGE &amp; LAWRENCE ST</t>
  </si>
  <si>
    <t>70TH &amp; ELMWOOD</t>
  </si>
  <si>
    <t>300 LIPPINCO</t>
  </si>
  <si>
    <t>400 W HUNTIN</t>
  </si>
  <si>
    <t>DREXEL RD &amp; HA</t>
  </si>
  <si>
    <t>6440 BUSTLET</t>
  </si>
  <si>
    <t>1300 S HOWAR</t>
  </si>
  <si>
    <t>188 COVERING</t>
  </si>
  <si>
    <t>5801 PEMBERT</t>
  </si>
  <si>
    <t>5858 PEMBERT</t>
  </si>
  <si>
    <t>TOWER &amp; RECTOR</t>
  </si>
  <si>
    <t>PALMETTO &amp; BLE</t>
  </si>
  <si>
    <t>301 N EDGEWO</t>
  </si>
  <si>
    <t>3700 N CARLI</t>
  </si>
  <si>
    <t>32ND &amp; BARING</t>
  </si>
  <si>
    <t>1020 N LEITH</t>
  </si>
  <si>
    <t>201 S CHRIST</t>
  </si>
  <si>
    <t>SUMMERDALE &amp; A</t>
  </si>
  <si>
    <t>AMERICAN &amp; POP</t>
  </si>
  <si>
    <t>POPLAR &amp; 3RD</t>
  </si>
  <si>
    <t>63&amp;RACE</t>
  </si>
  <si>
    <t>6739 TORRESD</t>
  </si>
  <si>
    <t>500 W MOYAME</t>
  </si>
  <si>
    <t>5650 HADDING</t>
  </si>
  <si>
    <t>4TH &amp; POPLAR</t>
  </si>
  <si>
    <t>700 DICKINSO</t>
  </si>
  <si>
    <t>5828 WASHING</t>
  </si>
  <si>
    <t>100 CRESSON</t>
  </si>
  <si>
    <t>4600 FLAT RO</t>
  </si>
  <si>
    <t>1426 LYCOMIN</t>
  </si>
  <si>
    <t>1635 CHRISTI</t>
  </si>
  <si>
    <t>PECHIN &amp; SHURS</t>
  </si>
  <si>
    <t>SUMMEDALE &amp; SC</t>
  </si>
  <si>
    <t>4800 RISING</t>
  </si>
  <si>
    <t>SHURS &amp; CRESSO</t>
  </si>
  <si>
    <t>60 COMLY</t>
  </si>
  <si>
    <t>21ST MONTROS</t>
  </si>
  <si>
    <t>9TH HUNTING</t>
  </si>
  <si>
    <t>2000 BONAFFO</t>
  </si>
  <si>
    <t>DAGGETT &amp; GERM</t>
  </si>
  <si>
    <t>1600 LONGSHO</t>
  </si>
  <si>
    <t>14101 BUSTLE</t>
  </si>
  <si>
    <t>4500 PALETHO</t>
  </si>
  <si>
    <t>179 E RAYMON</t>
  </si>
  <si>
    <t>155 E GODFRE</t>
  </si>
  <si>
    <t>ELKHART &amp; MILL</t>
  </si>
  <si>
    <t>500 W COURTL</t>
  </si>
  <si>
    <t>3300 E STREE</t>
  </si>
  <si>
    <t>6600 GLENLOC</t>
  </si>
  <si>
    <t>4900 W THOMP</t>
  </si>
  <si>
    <t>LEVERG &amp; TOWER</t>
  </si>
  <si>
    <t>3801 N FRANK</t>
  </si>
  <si>
    <t>2830 OVERING</t>
  </si>
  <si>
    <t>4500 WEYMOUT</t>
  </si>
  <si>
    <t>6142 EDWARD</t>
  </si>
  <si>
    <t>6101 N MASCH</t>
  </si>
  <si>
    <t>6200 N MASCH</t>
  </si>
  <si>
    <t>5805 LINDBER</t>
  </si>
  <si>
    <t>5746 JEFFERS</t>
  </si>
  <si>
    <t>900 HUNTING</t>
  </si>
  <si>
    <t>49TH &amp; CATHERI</t>
  </si>
  <si>
    <t>100 W COURTL</t>
  </si>
  <si>
    <t>7200 EASTWOO</t>
  </si>
  <si>
    <t>BAKER &amp;KRAMS</t>
  </si>
  <si>
    <t>5301 THOMPSO</t>
  </si>
  <si>
    <t>1100 LONGSHO</t>
  </si>
  <si>
    <t>2800 E EDGEM</t>
  </si>
  <si>
    <t>57&amp;HUNTER</t>
  </si>
  <si>
    <t>59&amp;HUNTER</t>
  </si>
  <si>
    <t>200 S EDGEWO</t>
  </si>
  <si>
    <t>1200 CONESTO</t>
  </si>
  <si>
    <t>MASTER &amp; REDFI</t>
  </si>
  <si>
    <t>2001 FLETCHE</t>
  </si>
  <si>
    <t>7700 MICHENE</t>
  </si>
  <si>
    <t>157 E ALLEGH</t>
  </si>
  <si>
    <t>2500 S BONNA</t>
  </si>
  <si>
    <t>5300 HADFIEL</t>
  </si>
  <si>
    <t>4219 THOMPSO</t>
  </si>
  <si>
    <t>2400 E NORRI</t>
  </si>
  <si>
    <t>5601 MONTROS</t>
  </si>
  <si>
    <t>100 LEVERIGT</t>
  </si>
  <si>
    <t>3160 FANSHAW</t>
  </si>
  <si>
    <t>595 TOMLINSO</t>
  </si>
  <si>
    <t>2100 E HAZZA</t>
  </si>
  <si>
    <t>818 W MOYAME</t>
  </si>
  <si>
    <t>4TH &amp; SIGEL</t>
  </si>
  <si>
    <t>3RD &amp; SPARKS</t>
  </si>
  <si>
    <t>432 CARVER ST</t>
  </si>
  <si>
    <t>2200 GRIFFIT</t>
  </si>
  <si>
    <t>300 SAUNDER</t>
  </si>
  <si>
    <t>6810 PELHAM</t>
  </si>
  <si>
    <t>LYNFORD &amp; COTT</t>
  </si>
  <si>
    <t>4TH &amp; OLNEY</t>
  </si>
  <si>
    <t>CHAMPLOST &amp; AM</t>
  </si>
  <si>
    <t>3RD &amp; CHAMPLOS</t>
  </si>
  <si>
    <t>200 E CHAMPL</t>
  </si>
  <si>
    <t>1040 BUTTONW</t>
  </si>
  <si>
    <t>OLD YORK ROA</t>
  </si>
  <si>
    <t>PHILIP &amp; CHAMP</t>
  </si>
  <si>
    <t>2000 E SUSQU</t>
  </si>
  <si>
    <t>51ST &amp; CHESTER</t>
  </si>
  <si>
    <t>5200 PENTRID</t>
  </si>
  <si>
    <t>55TH &amp; PEHTRID</t>
  </si>
  <si>
    <t>1220 W AIRDR</t>
  </si>
  <si>
    <t>2600 SOMERSE</t>
  </si>
  <si>
    <t>UNRUH &amp; RUTLAN</t>
  </si>
  <si>
    <t>535 MOUTAIN</t>
  </si>
  <si>
    <t>1700 BANCROF</t>
  </si>
  <si>
    <t>3021 THOMPSO</t>
  </si>
  <si>
    <t>4198 N DARIE</t>
  </si>
  <si>
    <t>4201 N FRANK</t>
  </si>
  <si>
    <t>4198 N FRANK</t>
  </si>
  <si>
    <t>701 W HUNTIN</t>
  </si>
  <si>
    <t>4000 N FAIRH</t>
  </si>
  <si>
    <t>49TH &amp; LOCUST</t>
  </si>
  <si>
    <t>200 S ST BER</t>
  </si>
  <si>
    <t>400 PIERCE03</t>
  </si>
  <si>
    <t>6024 PALMETT</t>
  </si>
  <si>
    <t>162 COVINGTO</t>
  </si>
  <si>
    <t>10900 GIEFFE</t>
  </si>
  <si>
    <t>CHAPELCROFT &amp;</t>
  </si>
  <si>
    <t>5240 GREENWA</t>
  </si>
  <si>
    <t>5232 GREENWA</t>
  </si>
  <si>
    <t>10069 SANDME</t>
  </si>
  <si>
    <t>10069 SADMEY</t>
  </si>
  <si>
    <t>5339 WOODLAN</t>
  </si>
  <si>
    <t>700 E CLEARF</t>
  </si>
  <si>
    <t>1601 WASHING</t>
  </si>
  <si>
    <t>281 ROCHELL</t>
  </si>
  <si>
    <t>1604 S BANCR</t>
  </si>
  <si>
    <t>3400 N HOWAR</t>
  </si>
  <si>
    <t>3400 N MASCH</t>
  </si>
  <si>
    <t>520 HERRIT</t>
  </si>
  <si>
    <t>8300 SUMMERD</t>
  </si>
  <si>
    <t>LYCUM &amp; MITCHE</t>
  </si>
  <si>
    <t>WOODLAND &amp; SHI</t>
  </si>
  <si>
    <t>S 20TH ST AL</t>
  </si>
  <si>
    <t>414 DICKINSO</t>
  </si>
  <si>
    <t>1300 HUNTING</t>
  </si>
  <si>
    <t>6990 EASTWOO</t>
  </si>
  <si>
    <t>148 W DAUPHI</t>
  </si>
  <si>
    <t>BROCKTON &amp; KIM</t>
  </si>
  <si>
    <t>5000 N BOUDI</t>
  </si>
  <si>
    <t>5801 WARRING</t>
  </si>
  <si>
    <t>3037 GRANSBA</t>
  </si>
  <si>
    <t>MANOR &amp; SALAIG</t>
  </si>
  <si>
    <t>5119 ROCHELL</t>
  </si>
  <si>
    <t>6311 SHERWOO</t>
  </si>
  <si>
    <t>4401 WINTON</t>
  </si>
  <si>
    <t>300 CARPENTE</t>
  </si>
  <si>
    <t>365 DUNFOR</t>
  </si>
  <si>
    <t>24 ORKNEY</t>
  </si>
  <si>
    <t>1200 ENGLEWO</t>
  </si>
  <si>
    <t>51ST &amp; LOCUST</t>
  </si>
  <si>
    <t>TERRACE &amp; EAST</t>
  </si>
  <si>
    <t>42TH VIOLA ST</t>
  </si>
  <si>
    <t>1900 WASHING</t>
  </si>
  <si>
    <t>7319 RISING</t>
  </si>
  <si>
    <t>52ND PENNSGR</t>
  </si>
  <si>
    <t>RACE &amp; LINDENW</t>
  </si>
  <si>
    <t>HAVERFORD &amp; WY</t>
  </si>
  <si>
    <t>109 GLADSTON</t>
  </si>
  <si>
    <t>118 ROSEBERR</t>
  </si>
  <si>
    <t>153 ROSEBERR</t>
  </si>
  <si>
    <t>5003 N MARVI</t>
  </si>
  <si>
    <t>175 W ALLEGH</t>
  </si>
  <si>
    <t>1801 TILGHMA</t>
  </si>
  <si>
    <t>1231 GLENVIE</t>
  </si>
  <si>
    <t>3300 SUNNYSI</t>
  </si>
  <si>
    <t>11000 FERNDA</t>
  </si>
  <si>
    <t>9800 BUSTLET</t>
  </si>
  <si>
    <t>LOTT &amp; CLARK</t>
  </si>
  <si>
    <t>1660 N ROBIN</t>
  </si>
  <si>
    <t>7500 WOODBIN</t>
  </si>
  <si>
    <t>1800 MORTON</t>
  </si>
  <si>
    <t>2900 E THOMP</t>
  </si>
  <si>
    <t>3400 W SYDEN</t>
  </si>
  <si>
    <t>6TH DUNCANNO</t>
  </si>
  <si>
    <t>2600 E SERGE</t>
  </si>
  <si>
    <t>2600 SERGEAN</t>
  </si>
  <si>
    <t>PERCY &amp; PORT</t>
  </si>
  <si>
    <t>75 W SOUTHAM</t>
  </si>
  <si>
    <t>3301 ARAMING</t>
  </si>
  <si>
    <t>1114 GREENWI</t>
  </si>
  <si>
    <t>70TH GROVER</t>
  </si>
  <si>
    <t>8402 SUMMERD</t>
  </si>
  <si>
    <t>MANAYUNK &amp; SCI</t>
  </si>
  <si>
    <t>CRESSON &amp; LEVE</t>
  </si>
  <si>
    <t>BUSTLETON &amp; TU</t>
  </si>
  <si>
    <t>807 ELLSWORT</t>
  </si>
  <si>
    <t>5103 WARRING</t>
  </si>
  <si>
    <t>6600 CEEDS</t>
  </si>
  <si>
    <t>CRESSON &amp; SEVI</t>
  </si>
  <si>
    <t>200 HEMITAG</t>
  </si>
  <si>
    <t>61ST &amp; VINE</t>
  </si>
  <si>
    <t>TOWER &amp; PENSDA</t>
  </si>
  <si>
    <t>JAMESTOWN &amp; TO</t>
  </si>
  <si>
    <t>413 LEVERING</t>
  </si>
  <si>
    <t>6526 LANSDOW</t>
  </si>
  <si>
    <t>1600 N ALLIS</t>
  </si>
  <si>
    <t>GIRARD &amp; LEIDY</t>
  </si>
  <si>
    <t>3700 MDIVALE</t>
  </si>
  <si>
    <t>5300 HORROCK</t>
  </si>
  <si>
    <t>5919 WOODCRE</t>
  </si>
  <si>
    <t>6400 EASTWOO</t>
  </si>
  <si>
    <t>COMLY &amp; FRONTE</t>
  </si>
  <si>
    <t>800 N KENMOR</t>
  </si>
  <si>
    <t>PORTER &amp; HUTCH</t>
  </si>
  <si>
    <t>2200 WHEATSH</t>
  </si>
  <si>
    <t>1337 E MONTG</t>
  </si>
  <si>
    <t>1400 E MONTG</t>
  </si>
  <si>
    <t>2200 W CAMBR</t>
  </si>
  <si>
    <t>13000 STEVEN</t>
  </si>
  <si>
    <t>MARIO LANZA &amp;</t>
  </si>
  <si>
    <t>MARIO LANZ &amp; C</t>
  </si>
  <si>
    <t>2526 E WESTM</t>
  </si>
  <si>
    <t>RUTH &amp; CAMBRIA</t>
  </si>
  <si>
    <t>1900 N AMERI</t>
  </si>
  <si>
    <t>4TH &amp; CHAMPLOS</t>
  </si>
  <si>
    <t>3RD &amp; WINTON</t>
  </si>
  <si>
    <t>AMERICAN &amp; CHA</t>
  </si>
  <si>
    <t>DEXTER &amp; ROXBO</t>
  </si>
  <si>
    <t>DUPONT &amp; BAKER</t>
  </si>
  <si>
    <t>2000 E MOYAM</t>
  </si>
  <si>
    <t>2700 DICKINS</t>
  </si>
  <si>
    <t>900 E CHRIST</t>
  </si>
  <si>
    <t>VINE &amp; EDGEWOO</t>
  </si>
  <si>
    <t>5800 ARDLEIG</t>
  </si>
  <si>
    <t>KRAMS &amp; WILDE</t>
  </si>
  <si>
    <t>52ND &amp; STILES</t>
  </si>
  <si>
    <t>MANOR &amp; HERMIT</t>
  </si>
  <si>
    <t>9TH &amp; MIFFLIN</t>
  </si>
  <si>
    <t>11TH &amp; MORRIS</t>
  </si>
  <si>
    <t>100 SAIGNAC</t>
  </si>
  <si>
    <t>1101 E PALME</t>
  </si>
  <si>
    <t>2600 FILLMOR</t>
  </si>
  <si>
    <t>57TH &amp; HAZEL</t>
  </si>
  <si>
    <t>2700 KIRKBRI</t>
  </si>
  <si>
    <t>MONTOUR &amp; GARL</t>
  </si>
  <si>
    <t>UMBRIA &amp; GATES</t>
  </si>
  <si>
    <t>7200 SUMMERD</t>
  </si>
  <si>
    <t>1347 UNRUH A</t>
  </si>
  <si>
    <t>4900 LARCHWO</t>
  </si>
  <si>
    <t>5952 STEWART</t>
  </si>
  <si>
    <t>115 SALAINGN</t>
  </si>
  <si>
    <t>2100 ISEMING</t>
  </si>
  <si>
    <t>7TH GRANGE A</t>
  </si>
  <si>
    <t>1500 WASHING</t>
  </si>
  <si>
    <t>810 E THOMPS</t>
  </si>
  <si>
    <t>7300 LAWNDAL</t>
  </si>
  <si>
    <t>1201 OLNEY A</t>
  </si>
  <si>
    <t>25TH &amp; LEHIGH</t>
  </si>
  <si>
    <t>24TH ALLEGHE</t>
  </si>
  <si>
    <t>2265 BRYN MA</t>
  </si>
  <si>
    <t>5501 HARBISO</t>
  </si>
  <si>
    <t>6TH RUSCOMB</t>
  </si>
  <si>
    <t>6100 SUMMERD</t>
  </si>
  <si>
    <t>GERMANTOWN &amp; B</t>
  </si>
  <si>
    <t>711 DICKINSO</t>
  </si>
  <si>
    <t>2301 CHRISTI</t>
  </si>
  <si>
    <t>LAWRENCE &amp; NED</t>
  </si>
  <si>
    <t>3RD CHAMPLOS</t>
  </si>
  <si>
    <t>2ND CHAMPLOS</t>
  </si>
  <si>
    <t>2ND WIDENER</t>
  </si>
  <si>
    <t>119 SALAINGN</t>
  </si>
  <si>
    <t>MONASTERY &amp; FR</t>
  </si>
  <si>
    <t>4091 CONSHOH</t>
  </si>
  <si>
    <t>1600 GERRITT</t>
  </si>
  <si>
    <t>13&amp;ALTER</t>
  </si>
  <si>
    <t>1900 PENNFEL</t>
  </si>
  <si>
    <t>BUIST &amp; BONNOF</t>
  </si>
  <si>
    <t>2700 ALLEGHE</t>
  </si>
  <si>
    <t>GRAPE &amp; SILVER</t>
  </si>
  <si>
    <t>1436 LYCOMIN</t>
  </si>
  <si>
    <t>2000 BONNOFF</t>
  </si>
  <si>
    <t>56TH &amp; DIAMOND</t>
  </si>
  <si>
    <t>800 ELLEN</t>
  </si>
  <si>
    <t>66TH GUYER A</t>
  </si>
  <si>
    <t>50 WIGARD</t>
  </si>
  <si>
    <t>TERRACE &amp; SEVI</t>
  </si>
  <si>
    <t>57TH &amp; STEWART</t>
  </si>
  <si>
    <t>57TH &amp; HUNTER</t>
  </si>
  <si>
    <t>806 E SCHILL</t>
  </si>
  <si>
    <t>6453 GLENMOR</t>
  </si>
  <si>
    <t>S 51ST &amp; LOCUS</t>
  </si>
  <si>
    <t>GODFREY &amp; BING</t>
  </si>
  <si>
    <t>MANAYUNK &amp; CON</t>
  </si>
  <si>
    <t>1003 DEVEREA</t>
  </si>
  <si>
    <t>800 SELMEN</t>
  </si>
  <si>
    <t>400 E ROCKLA</t>
  </si>
  <si>
    <t>1500 N FELTO</t>
  </si>
  <si>
    <t>BATTERSBY &amp; EL</t>
  </si>
  <si>
    <t>5913 THOMPSO</t>
  </si>
  <si>
    <t>5200 AMERICA</t>
  </si>
  <si>
    <t>100 W INDIAN</t>
  </si>
  <si>
    <t>FRONT &amp; TITA</t>
  </si>
  <si>
    <t>1801 OSAGE</t>
  </si>
  <si>
    <t>5200 SPRINGF</t>
  </si>
  <si>
    <t>6222 MONTAGU</t>
  </si>
  <si>
    <t>RIDGEAV &amp; GREE</t>
  </si>
  <si>
    <t>RIDGE &amp; SPRING</t>
  </si>
  <si>
    <t>10 E ELEANOR</t>
  </si>
  <si>
    <t>2800 S SHERI</t>
  </si>
  <si>
    <t>2700 SHERIDA</t>
  </si>
  <si>
    <t>2500 N PHILL</t>
  </si>
  <si>
    <t>400 W BRISTO</t>
  </si>
  <si>
    <t>6427 WOODLAN</t>
  </si>
  <si>
    <t>1700 W STENT</t>
  </si>
  <si>
    <t>100 W WYOMIN</t>
  </si>
  <si>
    <t>2100 HUNTING</t>
  </si>
  <si>
    <t>1700 LINDENW</t>
  </si>
  <si>
    <t>200 E MAYFIE</t>
  </si>
  <si>
    <t>BROAD &amp; HUNTIN</t>
  </si>
  <si>
    <t>300 WASHINGT</t>
  </si>
  <si>
    <t>BROAD &amp; GERMAN</t>
  </si>
  <si>
    <t>BELFIELD &amp; WIS</t>
  </si>
  <si>
    <t>BELFIELD &amp; CHE</t>
  </si>
  <si>
    <t>5001 CATHARI</t>
  </si>
  <si>
    <t>4499 LARCHWO</t>
  </si>
  <si>
    <t>330 W JOHNSO</t>
  </si>
  <si>
    <t>100 W DAUPHI</t>
  </si>
  <si>
    <t>6300 MCCALLU</t>
  </si>
  <si>
    <t>SILVERWOOD &amp; L</t>
  </si>
  <si>
    <t>2420 E SOMER</t>
  </si>
  <si>
    <t>6000 PALMETT</t>
  </si>
  <si>
    <t>700 W WYOMIN</t>
  </si>
  <si>
    <t>800 W WYOMIN</t>
  </si>
  <si>
    <t>1000 W WYOMI</t>
  </si>
  <si>
    <t>4200 N CRESS</t>
  </si>
  <si>
    <t>657 E ALLEGH</t>
  </si>
  <si>
    <t>1204 W BUTLE</t>
  </si>
  <si>
    <t>5817 HAVERFO</t>
  </si>
  <si>
    <t>6013 MARVIN</t>
  </si>
  <si>
    <t>800 SCATTERG</t>
  </si>
  <si>
    <t>WARNICK &amp; PORT</t>
  </si>
  <si>
    <t>LYNFORD ST &amp; C</t>
  </si>
  <si>
    <t>38TH HAVERFO</t>
  </si>
  <si>
    <t>7000 RISING</t>
  </si>
  <si>
    <t>3RD &amp; LINTON</t>
  </si>
  <si>
    <t>6320 SUMMERD</t>
  </si>
  <si>
    <t>LEITHGOW &amp; CHA</t>
  </si>
  <si>
    <t>900 SCATTERG</t>
  </si>
  <si>
    <t>7400 GLENDAL</t>
  </si>
  <si>
    <t>36TH WARRING</t>
  </si>
  <si>
    <t>19TH LATONA</t>
  </si>
  <si>
    <t>1500 CARLISL</t>
  </si>
  <si>
    <t>MASSEY &amp; BUIST</t>
  </si>
  <si>
    <t>3145 ARAMING</t>
  </si>
  <si>
    <t>870 SCATTERG</t>
  </si>
  <si>
    <t>1 N ST BERNA</t>
  </si>
  <si>
    <t>300 RIGHTU ST</t>
  </si>
  <si>
    <t>800 S ST BER</t>
  </si>
  <si>
    <t>5400 SYLVEST</t>
  </si>
  <si>
    <t>3000 ALLEGHE</t>
  </si>
  <si>
    <t>5602 WYALUSI</t>
  </si>
  <si>
    <t>2100 S ISEMI</t>
  </si>
  <si>
    <t>2000 DUPONT</t>
  </si>
  <si>
    <t>200 SALAIGNA</t>
  </si>
  <si>
    <t>5100 LORETTO</t>
  </si>
  <si>
    <t>55TH &amp; MCCLELL</t>
  </si>
  <si>
    <t>CHEV AV &amp; MARV</t>
  </si>
  <si>
    <t>8875 KREWSTO</t>
  </si>
  <si>
    <t>2700 N CROSK</t>
  </si>
  <si>
    <t>2400 W HUNTI</t>
  </si>
  <si>
    <t>1801 WASHING</t>
  </si>
  <si>
    <t>3RD &amp; RITNER</t>
  </si>
  <si>
    <t>5300 JEFFERS</t>
  </si>
  <si>
    <t>1800 E HAGER</t>
  </si>
  <si>
    <t>1900 N MASCH</t>
  </si>
  <si>
    <t>4100 CLARENC</t>
  </si>
  <si>
    <t>4200 BENNING</t>
  </si>
  <si>
    <t>COTTMAN &amp; LAWN</t>
  </si>
  <si>
    <t>9TH ST &amp; WILLO</t>
  </si>
  <si>
    <t>1300 CARLISL</t>
  </si>
  <si>
    <t>3054 N SWANS</t>
  </si>
  <si>
    <t>4948 HAWTHOR</t>
  </si>
  <si>
    <t>52&amp;UPLAND AV</t>
  </si>
  <si>
    <t>6100 PEACH</t>
  </si>
  <si>
    <t>13TH &amp; RITNER</t>
  </si>
  <si>
    <t>100 E WILLAR</t>
  </si>
  <si>
    <t>600 W WHARTO</t>
  </si>
  <si>
    <t>3100 THOMPSO</t>
  </si>
  <si>
    <t>2569 CLEARFI</t>
  </si>
  <si>
    <t>2731 ALLEGHE</t>
  </si>
  <si>
    <t>2600 ALLEGHE</t>
  </si>
  <si>
    <t>7617 RISING</t>
  </si>
  <si>
    <t>58TH &amp; WALTON</t>
  </si>
  <si>
    <t>5900 LEITHGO</t>
  </si>
  <si>
    <t>4228 W GIRAR</t>
  </si>
  <si>
    <t>QUEEN &amp; SWANSO</t>
  </si>
  <si>
    <t>6601 SYLVEST</t>
  </si>
  <si>
    <t>500 UMBRIA ST</t>
  </si>
  <si>
    <t>5300 WOODBIN</t>
  </si>
  <si>
    <t>58&amp;POPLAR</t>
  </si>
  <si>
    <t>1914 BERKSHI</t>
  </si>
  <si>
    <t>4700 SILVERW</t>
  </si>
  <si>
    <t>HOBART &amp; MEDIA</t>
  </si>
  <si>
    <t>1100 GREENWI</t>
  </si>
  <si>
    <t>LIMESSEY &amp; PEC</t>
  </si>
  <si>
    <t>3000 EDGEMON</t>
  </si>
  <si>
    <t>6300 GREENWA</t>
  </si>
  <si>
    <t>1200 E HUNTI</t>
  </si>
  <si>
    <t>6807 RIDGE A</t>
  </si>
  <si>
    <t>687 RIDGE AV</t>
  </si>
  <si>
    <t>6700 SOMMERD</t>
  </si>
  <si>
    <t>3200 EDGEMON</t>
  </si>
  <si>
    <t>46 BALTIMORE</t>
  </si>
  <si>
    <t>OLD YORK RD &amp;</t>
  </si>
  <si>
    <t>6400 WOODLAN</t>
  </si>
  <si>
    <t>LAWRENCE &amp; GRA</t>
  </si>
  <si>
    <t>10767 BUSTLE</t>
  </si>
  <si>
    <t>1903 E ALLEG</t>
  </si>
  <si>
    <t>600 E WILLAR</t>
  </si>
  <si>
    <t>2800 W ALLEG</t>
  </si>
  <si>
    <t>2430 E CUMBE</t>
  </si>
  <si>
    <t>1600 BANCROF</t>
  </si>
  <si>
    <t>1700 CATHARI</t>
  </si>
  <si>
    <t>1600 ROSEWOO</t>
  </si>
  <si>
    <t>1400 S TASKE</t>
  </si>
  <si>
    <t>3400 HARTVIL</t>
  </si>
  <si>
    <t>100 W CUMBER</t>
  </si>
  <si>
    <t>57 HARMER</t>
  </si>
  <si>
    <t>1300 S CLEVE</t>
  </si>
  <si>
    <t>ROBINSON &amp; LUD</t>
  </si>
  <si>
    <t>51ST &amp; WALNUT</t>
  </si>
  <si>
    <t>6700 SUMMRED</t>
  </si>
  <si>
    <t>500 DEVEREAU</t>
  </si>
  <si>
    <t>6535 WOODSTO</t>
  </si>
  <si>
    <t>OSBORN &amp; RIDGE</t>
  </si>
  <si>
    <t>17 ERIE AVE</t>
  </si>
  <si>
    <t>2500 SHELMIR</t>
  </si>
  <si>
    <t>1600 DICKINS</t>
  </si>
  <si>
    <t>2500 INDIANN</t>
  </si>
  <si>
    <t>5500 WISSAHC</t>
  </si>
  <si>
    <t>2000 CATHARI</t>
  </si>
  <si>
    <t>2200 CARPENT</t>
  </si>
  <si>
    <t>FRONT &amp; PEMBER</t>
  </si>
  <si>
    <t>FRONT &amp; MONROE</t>
  </si>
  <si>
    <t>547TH &amp; NASSAU</t>
  </si>
  <si>
    <t>57TH &amp; NASSAU</t>
  </si>
  <si>
    <t>3900 BRANDYW</t>
  </si>
  <si>
    <t>1489 PRINCET</t>
  </si>
  <si>
    <t>4800 DEVEREA</t>
  </si>
  <si>
    <t>ROXBOROUGH &amp; L</t>
  </si>
  <si>
    <t>COTTON ST &amp; FL</t>
  </si>
  <si>
    <t>BOONE &amp; GRAPE</t>
  </si>
  <si>
    <t>LINDENHURST &amp;</t>
  </si>
  <si>
    <t>309 W WYOMIN</t>
  </si>
  <si>
    <t>FISHER AVE &amp; O</t>
  </si>
  <si>
    <t>DUNCANNON AV</t>
  </si>
  <si>
    <t>2609 ALLEGHE</t>
  </si>
  <si>
    <t>6800 RIDCEAV</t>
  </si>
  <si>
    <t>QUENTIN 5488</t>
  </si>
  <si>
    <t>OLD YORK &amp; FIS</t>
  </si>
  <si>
    <t>2100 E BELLM</t>
  </si>
  <si>
    <t>2611 W LEHIG</t>
  </si>
  <si>
    <t>2811 W LEHIG</t>
  </si>
  <si>
    <t>72ND &amp; ELMWOOD</t>
  </si>
  <si>
    <t>3733 N  DELH</t>
  </si>
  <si>
    <t>1000 LAWRENC</t>
  </si>
  <si>
    <t>1645 WASHING</t>
  </si>
  <si>
    <t>RECTOR &amp; TERRA</t>
  </si>
  <si>
    <t>1469 REDFIEL</t>
  </si>
  <si>
    <t>4800 N LEITH</t>
  </si>
  <si>
    <t>VINE &amp; ORIANNA</t>
  </si>
  <si>
    <t>5622 OVERBRO</t>
  </si>
  <si>
    <t>2535 E WESTM</t>
  </si>
  <si>
    <t>2100 E WILLA</t>
  </si>
  <si>
    <t>EDGEWOOD &amp; MED</t>
  </si>
  <si>
    <t>600 E WISHAR</t>
  </si>
  <si>
    <t>MORTON &amp; WALNU</t>
  </si>
  <si>
    <t>900 GREENWIC</t>
  </si>
  <si>
    <t>626 E WESTMO</t>
  </si>
  <si>
    <t>200 W ROCKLA</t>
  </si>
  <si>
    <t>600 S CONEST</t>
  </si>
  <si>
    <t>800 W MIFFLI</t>
  </si>
  <si>
    <t>7300 THEODOR</t>
  </si>
  <si>
    <t>2900 CLEMENT</t>
  </si>
  <si>
    <t>631 E BELGRA</t>
  </si>
  <si>
    <t>1300 CLEVELA</t>
  </si>
  <si>
    <t>17TH &amp; ROSELYN</t>
  </si>
  <si>
    <t>1500 W SOMER</t>
  </si>
  <si>
    <t>400 W SPENCE</t>
  </si>
  <si>
    <t>60TH &amp; RACE</t>
  </si>
  <si>
    <t>6700 RIDGE A</t>
  </si>
  <si>
    <t>6015 WAYNE A</t>
  </si>
  <si>
    <t>7TH &amp; WASHINGT</t>
  </si>
  <si>
    <t>2511 S MILDR</t>
  </si>
  <si>
    <t>5100 HUTCHIN</t>
  </si>
  <si>
    <t>300 N 29</t>
  </si>
  <si>
    <t>6000 HAZELHU</t>
  </si>
  <si>
    <t>12TH &amp; OLNEY</t>
  </si>
  <si>
    <t>943 E WESTMO</t>
  </si>
  <si>
    <t>1200 E LYCOM</t>
  </si>
  <si>
    <t>1300 W VENAN</t>
  </si>
  <si>
    <t>3000 HARTVIL</t>
  </si>
  <si>
    <t>2815 W LEHIG</t>
  </si>
  <si>
    <t>300 W HUNTIN</t>
  </si>
  <si>
    <t>400 HUNTINGD</t>
  </si>
  <si>
    <t>2800 W LEHIG</t>
  </si>
  <si>
    <t>201 W EVERGR</t>
  </si>
  <si>
    <t>1715 AVONDAL</t>
  </si>
  <si>
    <t>4356 FREELAN</t>
  </si>
  <si>
    <t>2629 SOMERSE</t>
  </si>
  <si>
    <t>5233 RACE SG</t>
  </si>
  <si>
    <t>600 N MOLYN</t>
  </si>
  <si>
    <t>1400 S PATTI</t>
  </si>
  <si>
    <t>1322 WASHING</t>
  </si>
  <si>
    <t>13TH &amp; BAINBRIDGE ST</t>
  </si>
  <si>
    <t>600 W LUZERN</t>
  </si>
  <si>
    <t>500 E RUSCOM</t>
  </si>
  <si>
    <t>11TH &amp; PORTER</t>
  </si>
  <si>
    <t>3700 W GERMA</t>
  </si>
  <si>
    <t>4225 WESTMIN</t>
  </si>
  <si>
    <t>6600 SYLVESTE</t>
  </si>
  <si>
    <t>3101 FANSHAW</t>
  </si>
  <si>
    <t>30TH &amp; CAMBRID</t>
  </si>
  <si>
    <t>3001 W CAMBR</t>
  </si>
  <si>
    <t>2605 W POPLA</t>
  </si>
  <si>
    <t>DEXTER &amp; COTTO</t>
  </si>
  <si>
    <t>4TH &amp; ROSELYN</t>
  </si>
  <si>
    <t>4800 OGIE</t>
  </si>
  <si>
    <t>2520 S HOWAR</t>
  </si>
  <si>
    <t>2516 S HOWAR</t>
  </si>
  <si>
    <t>5800 TORRESD</t>
  </si>
  <si>
    <t>114 SALAIGNA</t>
  </si>
  <si>
    <t>1800 E CUMBE</t>
  </si>
  <si>
    <t>1729 CARPENT</t>
  </si>
  <si>
    <t>6564 LANSDOW</t>
  </si>
  <si>
    <t>242 N SALFOR</t>
  </si>
  <si>
    <t>6803 EMLER ST</t>
  </si>
  <si>
    <t>2000 RICHMON</t>
  </si>
  <si>
    <t>PEARL &amp; BARING</t>
  </si>
  <si>
    <t>00 N 23TRD</t>
  </si>
  <si>
    <t>SAUNDERS &amp; PEA</t>
  </si>
  <si>
    <t>MASTER &amp; WYNNE</t>
  </si>
  <si>
    <t>600 LEVERING</t>
  </si>
  <si>
    <t>56TH &amp; MARKETS</t>
  </si>
  <si>
    <t>1400 DEVEREA</t>
  </si>
  <si>
    <t>2000 BOWAN</t>
  </si>
  <si>
    <t>PARKING LOT</t>
  </si>
  <si>
    <t>76TH OGONTZ</t>
  </si>
  <si>
    <t>2000 S PHILL</t>
  </si>
  <si>
    <t>19TH &amp; ROSELYN</t>
  </si>
  <si>
    <t>235 DEVEREAU</t>
  </si>
  <si>
    <t>2833 OEVERRI</t>
  </si>
  <si>
    <t>4600 ALLEN ST</t>
  </si>
  <si>
    <t>1600 W HUNTI</t>
  </si>
  <si>
    <t>1700 W HUNTI</t>
  </si>
  <si>
    <t>5800 WOODSTO</t>
  </si>
  <si>
    <t>58TH &amp; LARCHWO</t>
  </si>
  <si>
    <t>1900 W HUNTI</t>
  </si>
  <si>
    <t>3500 STOCTON</t>
  </si>
  <si>
    <t>3500 STORTON</t>
  </si>
  <si>
    <t>BEECHWOOD &amp; WO</t>
  </si>
  <si>
    <t>7900 BUSTLET</t>
  </si>
  <si>
    <t>BANCROFT &amp; WOL</t>
  </si>
  <si>
    <t>2000 LONGSHO</t>
  </si>
  <si>
    <t>LONGSHORE &amp; KI</t>
  </si>
  <si>
    <t>14TH LEHIGH</t>
  </si>
  <si>
    <t>2129 BRYN MA</t>
  </si>
  <si>
    <t>6542 SAYBROO</t>
  </si>
  <si>
    <t>5843 CARPENT</t>
  </si>
  <si>
    <t>1100 ELBRIDG</t>
  </si>
  <si>
    <t>4200 WYALUSI</t>
  </si>
  <si>
    <t>BARNETT &amp; ERDR</t>
  </si>
  <si>
    <t>547 CHELTENH</t>
  </si>
  <si>
    <t>12TH BUTTONW</t>
  </si>
  <si>
    <t>3100 RICHMON</t>
  </si>
  <si>
    <t>325 W CHAMPL</t>
  </si>
  <si>
    <t>1200 POINT B</t>
  </si>
  <si>
    <t>2329 W SERGE</t>
  </si>
  <si>
    <t>1700 WASHING</t>
  </si>
  <si>
    <t>1301 ROCKLAN</t>
  </si>
  <si>
    <t>4354 LAURIST</t>
  </si>
  <si>
    <t>1600 HELLERM</t>
  </si>
  <si>
    <t>6200 WOODSTO</t>
  </si>
  <si>
    <t>3000 GRAYS F</t>
  </si>
  <si>
    <t>1400 ELLSWOR</t>
  </si>
  <si>
    <t>2629 W SOMER</t>
  </si>
  <si>
    <t>6721 DICKS A</t>
  </si>
  <si>
    <t>1800 W HUNTI</t>
  </si>
  <si>
    <t>10900 GRIFFO</t>
  </si>
  <si>
    <t>15TH &amp; CARPENT</t>
  </si>
  <si>
    <t>61&amp;NASSAU</t>
  </si>
  <si>
    <t>61&amp;JEFFERSON</t>
  </si>
  <si>
    <t>59TH &amp; LARCHWO</t>
  </si>
  <si>
    <t>60TH &amp; DELANCE</t>
  </si>
  <si>
    <t>20TH &amp; LAVEES</t>
  </si>
  <si>
    <t>RIDGE &amp; LAURIS</t>
  </si>
  <si>
    <t>14TH &amp; LEHIGH</t>
  </si>
  <si>
    <t>5100 TORRESD</t>
  </si>
  <si>
    <t>LINDENWOOD &amp; M</t>
  </si>
  <si>
    <t>1 N LINDENWO</t>
  </si>
  <si>
    <t>53RD &amp; MARKET</t>
  </si>
  <si>
    <t>60TH &amp; CHESTNU</t>
  </si>
  <si>
    <t>66&amp;LOTUS</t>
  </si>
  <si>
    <t>2900 SCHOOL</t>
  </si>
  <si>
    <t>LAMBERT &amp; SHUN</t>
  </si>
  <si>
    <t>9TH &amp; ROCKLAND</t>
  </si>
  <si>
    <t>5331 WAYNE A</t>
  </si>
  <si>
    <t>3900 CONSHOH</t>
  </si>
  <si>
    <t>100 W COULTE</t>
  </si>
  <si>
    <t>400 MCCLELLA</t>
  </si>
  <si>
    <t>9TH &amp; RITNER</t>
  </si>
  <si>
    <t>6500 RISING</t>
  </si>
  <si>
    <t>2085 E PACIF</t>
  </si>
  <si>
    <t>2311 E BOSTO</t>
  </si>
  <si>
    <t>2637 S BONNA</t>
  </si>
  <si>
    <t>17TH &amp; TITAN</t>
  </si>
  <si>
    <t>2500 ROBINSO</t>
  </si>
  <si>
    <t>300 W LINDLE</t>
  </si>
  <si>
    <t>6110 JEFFERS</t>
  </si>
  <si>
    <t>1400 W LOUDE</t>
  </si>
  <si>
    <t>942 W ROCKLA</t>
  </si>
  <si>
    <t>6600 CUTLER</t>
  </si>
  <si>
    <t>17000 TULIP</t>
  </si>
  <si>
    <t>4091 CONSHOC</t>
  </si>
  <si>
    <t>601 SEAR</t>
  </si>
  <si>
    <t>4200 AMERICA</t>
  </si>
  <si>
    <t>BURGESS &amp; GIFF</t>
  </si>
  <si>
    <t>6415 EASTWOO</t>
  </si>
  <si>
    <t>SWC 45TH LAI</t>
  </si>
  <si>
    <t>66&amp;MALVERN</t>
  </si>
  <si>
    <t>66&amp;MORRIS PA</t>
  </si>
  <si>
    <t>5600 THOMPSO</t>
  </si>
  <si>
    <t>62&amp;HADDINGTO</t>
  </si>
  <si>
    <t>5200 TABOR A</t>
  </si>
  <si>
    <t>6104 LANSDOW</t>
  </si>
  <si>
    <t>2000 DICKINS</t>
  </si>
  <si>
    <t>200 W SEYMOU</t>
  </si>
  <si>
    <t>4135 CLARIDG</t>
  </si>
  <si>
    <t>1800 DICKINS</t>
  </si>
  <si>
    <t>500 W LYCOMI</t>
  </si>
  <si>
    <t>1600 S CHADW</t>
  </si>
  <si>
    <t>544 W WATKIN</t>
  </si>
  <si>
    <t>1100 SOMERVI</t>
  </si>
  <si>
    <t>200 W ALBANU</t>
  </si>
  <si>
    <t>2700 E SCHIL</t>
  </si>
  <si>
    <t>700 W ROCKLA</t>
  </si>
  <si>
    <t>20TH &amp; HOFFMAN</t>
  </si>
  <si>
    <t>100 W DIAMON</t>
  </si>
  <si>
    <t>CROWELL &amp; HUNT</t>
  </si>
  <si>
    <t>2700 W ALLEG</t>
  </si>
  <si>
    <t>2800 WIEHART</t>
  </si>
  <si>
    <t>1300 SOMERVI</t>
  </si>
  <si>
    <t>2600 EDGEMON</t>
  </si>
  <si>
    <t>2600 E THOMP</t>
  </si>
  <si>
    <t>548 DEVEREAU</t>
  </si>
  <si>
    <t>4638 N HURLE</t>
  </si>
  <si>
    <t>2232 FRIENDS</t>
  </si>
  <si>
    <t>5519 LITCHFI</t>
  </si>
  <si>
    <t>OLD YORK &amp; SUM</t>
  </si>
  <si>
    <t>1500 SUSQUEH</t>
  </si>
  <si>
    <t>PHIL ELLENA &amp;</t>
  </si>
  <si>
    <t>738 ERDRICK</t>
  </si>
  <si>
    <t>56TH &amp; WOODCRE</t>
  </si>
  <si>
    <t>BROWN &amp; DEARBO</t>
  </si>
  <si>
    <t>4501 SPRINGF</t>
  </si>
  <si>
    <t>GERMANTOWN &amp; C</t>
  </si>
  <si>
    <t>46TH &amp; SPRUCE</t>
  </si>
  <si>
    <t>200 N WANAMA</t>
  </si>
  <si>
    <t>1900 CARPENT</t>
  </si>
  <si>
    <t>3000 STILLMA</t>
  </si>
  <si>
    <t>6010S 50TH</t>
  </si>
  <si>
    <t>407 W WELLEN</t>
  </si>
  <si>
    <t>1802 PEMBERT</t>
  </si>
  <si>
    <t>JANNETT &amp; MARI</t>
  </si>
  <si>
    <t>ROXBOROUGH &amp; F</t>
  </si>
  <si>
    <t>600 WEST MAS</t>
  </si>
  <si>
    <t>200 SALIAGNA</t>
  </si>
  <si>
    <t>200 E SERGEA</t>
  </si>
  <si>
    <t>1900 E LETTE</t>
  </si>
  <si>
    <t>1320 ROCKLAN</t>
  </si>
  <si>
    <t>7000 SUMMERD</t>
  </si>
  <si>
    <t>700 WEST CUM</t>
  </si>
  <si>
    <t>700 W DIAMON</t>
  </si>
  <si>
    <t>1237 MELVILL</t>
  </si>
  <si>
    <t>2100 LIPPINC</t>
  </si>
  <si>
    <t>2000 PRINCET</t>
  </si>
  <si>
    <t>128 W PHILEL</t>
  </si>
  <si>
    <t>6214 WOODLAN</t>
  </si>
  <si>
    <t>5235 WOODLAN</t>
  </si>
  <si>
    <t>2000 CARPENT</t>
  </si>
  <si>
    <t>59TH &amp; MARKET</t>
  </si>
  <si>
    <t>17TH &amp; SHUNK ST</t>
  </si>
  <si>
    <t>STENTON &amp; HENR</t>
  </si>
  <si>
    <t>SHARP &amp; HERMIT</t>
  </si>
  <si>
    <t>HERMIT &amp; CRESS</t>
  </si>
  <si>
    <t>2600 S ROBIN</t>
  </si>
  <si>
    <t>2833 OVERING</t>
  </si>
  <si>
    <t>EDGEMONT &amp; LEF</t>
  </si>
  <si>
    <t>61ST &amp; LOCUST</t>
  </si>
  <si>
    <t>6525 RISING</t>
  </si>
  <si>
    <t>1300 S CHADW</t>
  </si>
  <si>
    <t>17TH &amp; MIFFLIN</t>
  </si>
  <si>
    <t>CHADWICK &amp; MCK</t>
  </si>
  <si>
    <t>57TH &amp; DUNLAP</t>
  </si>
  <si>
    <t>18TH &amp; MIFFLIN</t>
  </si>
  <si>
    <t>KINDRED &amp; LONG</t>
  </si>
  <si>
    <t>CHADWICK &amp; MIF</t>
  </si>
  <si>
    <t>54TH &amp; MONTGOM</t>
  </si>
  <si>
    <t>LYNFORD &amp; LONG</t>
  </si>
  <si>
    <t>2000 UNRUH A</t>
  </si>
  <si>
    <t>873 E THOMPS</t>
  </si>
  <si>
    <t>4320 S 47TH</t>
  </si>
  <si>
    <t>5900 AUGUST</t>
  </si>
  <si>
    <t>100 SELTZER</t>
  </si>
  <si>
    <t>500 MCCLELLA</t>
  </si>
  <si>
    <t>1909 MONTROS</t>
  </si>
  <si>
    <t>1515 ALLEGHE</t>
  </si>
  <si>
    <t>13TH &amp; FEDERAL</t>
  </si>
  <si>
    <t>800 W ROCKLA</t>
  </si>
  <si>
    <t>CRESSON &amp; GRAP</t>
  </si>
  <si>
    <t>1237 S MELVI</t>
  </si>
  <si>
    <t>4900 WARRING</t>
  </si>
  <si>
    <t>PASSYUNK &amp; WHA</t>
  </si>
  <si>
    <t>8TH &amp; WHARTON</t>
  </si>
  <si>
    <t>22 SHIELDS ST</t>
  </si>
  <si>
    <t>2000 WASHING</t>
  </si>
  <si>
    <t>FELTON ST &amp; MA</t>
  </si>
  <si>
    <t>1500 W WESTM</t>
  </si>
  <si>
    <t>4190 STROUT</t>
  </si>
  <si>
    <t>SAUL ST &amp; CHEL</t>
  </si>
  <si>
    <t>1400 BELFIEL</t>
  </si>
  <si>
    <t>13TH &amp; WAGNER</t>
  </si>
  <si>
    <t>8200 RIDGE A</t>
  </si>
  <si>
    <t>BEULAH &amp; REED</t>
  </si>
  <si>
    <t>1031 CHRISTI</t>
  </si>
  <si>
    <t>2727 E INDIA</t>
  </si>
  <si>
    <t>19TH &amp; TITAN</t>
  </si>
  <si>
    <t>PECHEN &amp; CORIN</t>
  </si>
  <si>
    <t>OXFORD ST &amp; 63</t>
  </si>
  <si>
    <t>BINGHAM &amp; ROSA</t>
  </si>
  <si>
    <t>5400 PENTRID</t>
  </si>
  <si>
    <t>1100 HELLERM</t>
  </si>
  <si>
    <t>KNORR &amp; SYLVES</t>
  </si>
  <si>
    <t>KINDRED &amp; KNOR</t>
  </si>
  <si>
    <t>4200 GLENDAL</t>
  </si>
  <si>
    <t>4200 N CARLI</t>
  </si>
  <si>
    <t>1400 S MARST</t>
  </si>
  <si>
    <t>1727 W MON</t>
  </si>
  <si>
    <t>2700 E INDIA</t>
  </si>
  <si>
    <t>HICKS ST &amp; JAC</t>
  </si>
  <si>
    <t>MOLE &amp; PORTER</t>
  </si>
  <si>
    <t>MANYUNK &amp; LYCU</t>
  </si>
  <si>
    <t>GRAPE &amp; BOONE</t>
  </si>
  <si>
    <t>1400 S BEULA</t>
  </si>
  <si>
    <t>5929 N FRANK</t>
  </si>
  <si>
    <t>500 TOMLINSO</t>
  </si>
  <si>
    <t>7007 TASKER</t>
  </si>
  <si>
    <t>919 WOODBROO</t>
  </si>
  <si>
    <t>PECHIN &amp; MARLI</t>
  </si>
  <si>
    <t>GRANDE &amp; LAWRENCE ST</t>
  </si>
  <si>
    <t>400 W DIAMON</t>
  </si>
  <si>
    <t>LORETTO &amp; HOFF</t>
  </si>
  <si>
    <t>2624 S JUNIP</t>
  </si>
  <si>
    <t>12TH &amp; CHEW</t>
  </si>
  <si>
    <t>1600 W NORRI</t>
  </si>
  <si>
    <t>MSCHER &amp; NEDRO</t>
  </si>
  <si>
    <t>2701 E CUMBE</t>
  </si>
  <si>
    <t>WOODLAND &amp; GOU</t>
  </si>
  <si>
    <t>7333 CHELWYN</t>
  </si>
  <si>
    <t>1399 SOMMERV</t>
  </si>
  <si>
    <t>1736 AVONDAL</t>
  </si>
  <si>
    <t>6000 SUMMEDA</t>
  </si>
  <si>
    <t>EINSEIN ER</t>
  </si>
  <si>
    <t>400 SLOANE</t>
  </si>
  <si>
    <t>6800 RUTHLAN</t>
  </si>
  <si>
    <t>299 BENNEN</t>
  </si>
  <si>
    <t>38TH &amp; WALNUT</t>
  </si>
  <si>
    <t>3000 GRAYSFE</t>
  </si>
  <si>
    <t>500 E INDIAN</t>
  </si>
  <si>
    <t>2500 EDRICK</t>
  </si>
  <si>
    <t>400 HELLERMA</t>
  </si>
  <si>
    <t>3439 HARTVIL</t>
  </si>
  <si>
    <t>2020 ROBERT</t>
  </si>
  <si>
    <t>6100 DELANCE</t>
  </si>
  <si>
    <t>1620 S YEWDA</t>
  </si>
  <si>
    <t>1621 S YEWDA</t>
  </si>
  <si>
    <t>48TH &amp; PINE</t>
  </si>
  <si>
    <t>113 DEVEREAU</t>
  </si>
  <si>
    <t>4900 WOODCRE</t>
  </si>
  <si>
    <t>1335 GLENVIE</t>
  </si>
  <si>
    <t>6754 OLAKLAN</t>
  </si>
  <si>
    <t>2710 EDDINGT</t>
  </si>
  <si>
    <t>2636 EDDINGT</t>
  </si>
  <si>
    <t>4449 THOMPSO</t>
  </si>
  <si>
    <t>4400 EDGEMON</t>
  </si>
  <si>
    <t>6600 SUMMERD</t>
  </si>
  <si>
    <t>MANAYUNK &amp; MAR</t>
  </si>
  <si>
    <t>2999 EDGEMON</t>
  </si>
  <si>
    <t>57TH &amp; LANSDOW</t>
  </si>
  <si>
    <t>2500 S CHADW</t>
  </si>
  <si>
    <t>1229 E SUSQU</t>
  </si>
  <si>
    <t>58TH CHRISTI</t>
  </si>
  <si>
    <t>LEROY &amp; SILVER</t>
  </si>
  <si>
    <t>MANAYUNK &amp; ROX</t>
  </si>
  <si>
    <t>4500 MITFCHE</t>
  </si>
  <si>
    <t>ROCHELLE &amp; FRE</t>
  </si>
  <si>
    <t>MANAYUNK &amp; SOM</t>
  </si>
  <si>
    <t>HAVERFORD &amp; 58</t>
  </si>
  <si>
    <t>1707 CHRISTI</t>
  </si>
  <si>
    <t>1104 GREENWI</t>
  </si>
  <si>
    <t>1116 GREENWI</t>
  </si>
  <si>
    <t>2101 CHRISTI</t>
  </si>
  <si>
    <t>1100 FRIENDS</t>
  </si>
  <si>
    <t>29&amp;CHAL</t>
  </si>
  <si>
    <t>WARNOCK &amp; MIFF</t>
  </si>
  <si>
    <t>1025 MONTROS</t>
  </si>
  <si>
    <t>500 E ROCKLA</t>
  </si>
  <si>
    <t>MEDARY &amp; LAMBE</t>
  </si>
  <si>
    <t>MDARY &amp; LAMBET</t>
  </si>
  <si>
    <t>STENTON &amp; WOOD</t>
  </si>
  <si>
    <t>65TH LAMBERT</t>
  </si>
  <si>
    <t>CHELTEN &amp; OPAL</t>
  </si>
  <si>
    <t>4300 CLARISS</t>
  </si>
  <si>
    <t>1400 S COLUM</t>
  </si>
  <si>
    <t>1218 GLENVIE</t>
  </si>
  <si>
    <t>CHELTEN &amp; WOOD</t>
  </si>
  <si>
    <t>52ND &amp; DELANCE</t>
  </si>
  <si>
    <t>1818 MDEARY</t>
  </si>
  <si>
    <t>1434 W C B M</t>
  </si>
  <si>
    <t>4113 CLARIDG</t>
  </si>
  <si>
    <t>2550 E ALLEG</t>
  </si>
  <si>
    <t>1300 W CARLI</t>
  </si>
  <si>
    <t>2136 S LAMBE</t>
  </si>
  <si>
    <t>2130 S LAMBE</t>
  </si>
  <si>
    <t>2122 S LAMBE</t>
  </si>
  <si>
    <t>59TH &amp; SPRUCE</t>
  </si>
  <si>
    <t>6500 SUMMERD</t>
  </si>
  <si>
    <t>59TH &amp; WALTON</t>
  </si>
  <si>
    <t>RUBY &amp; MARKET</t>
  </si>
  <si>
    <t>ROCHELLE &amp; FRA</t>
  </si>
  <si>
    <t>700 WESTMORE</t>
  </si>
  <si>
    <t>FRIENDSHIP &amp; R</t>
  </si>
  <si>
    <t>500 SAINT MI</t>
  </si>
  <si>
    <t>8500 KENDRIC</t>
  </si>
  <si>
    <t>19TH &amp; BERKS</t>
  </si>
  <si>
    <t>1800 W ONTAR</t>
  </si>
  <si>
    <t>2500 S MARSH</t>
  </si>
  <si>
    <t>700 S COLORA</t>
  </si>
  <si>
    <t>141 SILVER</t>
  </si>
  <si>
    <t>1800 PEMBERT</t>
  </si>
  <si>
    <t>1900 W CHELT</t>
  </si>
  <si>
    <t>3200 RICHMON</t>
  </si>
  <si>
    <t>7600 CHELWYN</t>
  </si>
  <si>
    <t>400 N RUSOMB</t>
  </si>
  <si>
    <t>1400 W ALLEG</t>
  </si>
  <si>
    <t>1214 W AIRDR</t>
  </si>
  <si>
    <t>2622 E MEMPH</t>
  </si>
  <si>
    <t>DREXEL &amp; HAVER</t>
  </si>
  <si>
    <t>60TH &amp; ARCH</t>
  </si>
  <si>
    <t>6500 SAYBROO</t>
  </si>
  <si>
    <t>63RD &amp; HAVERFO</t>
  </si>
  <si>
    <t>4524 MILCHEL</t>
  </si>
  <si>
    <t>6700 HAWTHOR</t>
  </si>
  <si>
    <t>6701 HAWTHOR</t>
  </si>
  <si>
    <t>1333 S LINDE</t>
  </si>
  <si>
    <t>1400 MONTGOM</t>
  </si>
  <si>
    <t>6500 HASBROO</t>
  </si>
  <si>
    <t>200 E TUSCUL</t>
  </si>
  <si>
    <t>16TH &amp; MCKEAN</t>
  </si>
  <si>
    <t>50TH &amp; LARCHWO</t>
  </si>
  <si>
    <t>JAMESTOWN &amp; CR</t>
  </si>
  <si>
    <t>60TH &amp; LOCUST</t>
  </si>
  <si>
    <t>62ND &amp; JEFFERS</t>
  </si>
  <si>
    <t>2800 BOUDINO</t>
  </si>
  <si>
    <t>5716 HADDING</t>
  </si>
  <si>
    <t>200 W CHELTE</t>
  </si>
  <si>
    <t>2400 W QUEEN</t>
  </si>
  <si>
    <t>7300 MANSFIE</t>
  </si>
  <si>
    <t>RITTENHOUSE &amp;</t>
  </si>
  <si>
    <t>4300 SHELMIR</t>
  </si>
  <si>
    <t>3292 EDGEMON</t>
  </si>
  <si>
    <t>SARTAIN &amp; RITN</t>
  </si>
  <si>
    <t>5836 WASHING</t>
  </si>
  <si>
    <t>515 W SEDGWI</t>
  </si>
  <si>
    <t>6137 WAYNE A</t>
  </si>
  <si>
    <t>2622 E ALLEG</t>
  </si>
  <si>
    <t>300 COTTER ST</t>
  </si>
  <si>
    <t>7009 REEDLAN</t>
  </si>
  <si>
    <t>CALVERT &amp; PRIN</t>
  </si>
  <si>
    <t>110 E SEDGLE</t>
  </si>
  <si>
    <t>2200 S FELTO</t>
  </si>
  <si>
    <t>INDIANA &amp; BAIL</t>
  </si>
  <si>
    <t>3046 BELGRAD</t>
  </si>
  <si>
    <t>2300 S MARSH</t>
  </si>
  <si>
    <t>26TH &amp; LEHIGH</t>
  </si>
  <si>
    <t>2967 STILLMA</t>
  </si>
  <si>
    <t>MARSTON &amp; SOME</t>
  </si>
  <si>
    <t>EARP &amp; 7TH</t>
  </si>
  <si>
    <t>1431 N WANAM</t>
  </si>
  <si>
    <t>1400 N HOBAR</t>
  </si>
  <si>
    <t>5900 W MASTE</t>
  </si>
  <si>
    <t>100 E LIPPIN</t>
  </si>
  <si>
    <t>4400 PRINCET</t>
  </si>
  <si>
    <t>5900 RISING</t>
  </si>
  <si>
    <t>243 W CHAMPL</t>
  </si>
  <si>
    <t>1800 CARPENT</t>
  </si>
  <si>
    <t>16TH &amp; POLLOCK</t>
  </si>
  <si>
    <t>ST DAVIDS &amp; CA</t>
  </si>
  <si>
    <t>6386 OVERBRO</t>
  </si>
  <si>
    <t>5900 LAWRENC</t>
  </si>
  <si>
    <t>RITNER &amp; 8TH</t>
  </si>
  <si>
    <t>1500 WEST EN</t>
  </si>
  <si>
    <t>1200 W COLLE</t>
  </si>
  <si>
    <t>RACE &amp; ROBINSO</t>
  </si>
  <si>
    <t>200 W SPENCE</t>
  </si>
  <si>
    <t>6000 N PHILI</t>
  </si>
  <si>
    <t>2200 N HOBAR</t>
  </si>
  <si>
    <t>389 MONASTER</t>
  </si>
  <si>
    <t>6121 MCCALLU</t>
  </si>
  <si>
    <t>4TH &amp; DICKINSO</t>
  </si>
  <si>
    <t>5641 N AMERI</t>
  </si>
  <si>
    <t>ATWOOD &amp; LANSD</t>
  </si>
  <si>
    <t>251 WANAMAKE</t>
  </si>
  <si>
    <t>ARCH &amp; RUBY</t>
  </si>
  <si>
    <t>5900 ELSINOR</t>
  </si>
  <si>
    <t>246 E MAYFIE</t>
  </si>
  <si>
    <t>60&amp;SPRUCE</t>
  </si>
  <si>
    <t>GIRARD &amp; 64TH</t>
  </si>
  <si>
    <t>600 E CLEARF</t>
  </si>
  <si>
    <t>6024 DELANCE</t>
  </si>
  <si>
    <t>7300 RISING</t>
  </si>
  <si>
    <t>100 N EDGEWO</t>
  </si>
  <si>
    <t>1600 S ROSEW</t>
  </si>
  <si>
    <t>52ND &amp; PENNSGR</t>
  </si>
  <si>
    <t>61ST &amp; ARCH</t>
  </si>
  <si>
    <t>LINDENWOOD &amp; R</t>
  </si>
  <si>
    <t>RACE &amp; YEWDALL</t>
  </si>
  <si>
    <t>BENNER &amp; COTTA</t>
  </si>
  <si>
    <t>LANCASTER &amp; PA</t>
  </si>
  <si>
    <t>CHEW &amp; CLIVEDE</t>
  </si>
  <si>
    <t>IN FELTON</t>
  </si>
  <si>
    <t>2900 W ALLEG</t>
  </si>
  <si>
    <t>JACKSON &amp; MOYA</t>
  </si>
  <si>
    <t>41&amp;WOODLAND</t>
  </si>
  <si>
    <t>3RD DUNCANNO</t>
  </si>
  <si>
    <t>1120 GREENWI</t>
  </si>
  <si>
    <t>2272 FRIENDS</t>
  </si>
  <si>
    <t>500 WRIGHTER</t>
  </si>
  <si>
    <t>CHELTEN &amp; SMED</t>
  </si>
  <si>
    <t>3401 BRADDOC</t>
  </si>
  <si>
    <t>1023 MONTROS</t>
  </si>
  <si>
    <t>1400 W GIRAR</t>
  </si>
  <si>
    <t>859 E MADISO</t>
  </si>
  <si>
    <t>2000 ISLAND</t>
  </si>
  <si>
    <t>2400 W LEHIG</t>
  </si>
  <si>
    <t>6037 CEDARHU</t>
  </si>
  <si>
    <t>364 E CHELTE</t>
  </si>
  <si>
    <t>1822 E CORNW</t>
  </si>
  <si>
    <t>1363 S MARKO</t>
  </si>
  <si>
    <t>1241 S MARKO</t>
  </si>
  <si>
    <t>2728 ELBRIDG</t>
  </si>
  <si>
    <t>CHEW &amp; BENTON</t>
  </si>
  <si>
    <t>2000 HUNTING</t>
  </si>
  <si>
    <t>1600 HUNTING</t>
  </si>
  <si>
    <t>2200 ST VINC</t>
  </si>
  <si>
    <t>LEONARD &amp; CLAR</t>
  </si>
  <si>
    <t>2300 CATHARI</t>
  </si>
  <si>
    <t>229 S EDGEWO</t>
  </si>
  <si>
    <t>7600 SUMMERD</t>
  </si>
  <si>
    <t>HAVEFORD &amp; HOB</t>
  </si>
  <si>
    <t>2200 CATHARI</t>
  </si>
  <si>
    <t>52 NDST &amp; PENNS</t>
  </si>
  <si>
    <t>52&amp;PENNSGROV</t>
  </si>
  <si>
    <t>2500 CARPENT</t>
  </si>
  <si>
    <t>2400 CARPENT</t>
  </si>
  <si>
    <t>5801 THOMPSO</t>
  </si>
  <si>
    <t>SUMAC &amp; RIGHTE</t>
  </si>
  <si>
    <t>1599 E BERK</t>
  </si>
  <si>
    <t>LISMON &amp; 11TH</t>
  </si>
  <si>
    <t>51&amp;IRVING</t>
  </si>
  <si>
    <t>4TH &amp; BROWN ST</t>
  </si>
  <si>
    <t>77901 STATE</t>
  </si>
  <si>
    <t>4TH &amp; CHRISTIAN ST</t>
  </si>
  <si>
    <t>5TH &amp; NEDRO</t>
  </si>
  <si>
    <t>1401 ALLEGHE</t>
  </si>
  <si>
    <t>3116 RANKFOR</t>
  </si>
  <si>
    <t>48TH &amp; HAZEL</t>
  </si>
  <si>
    <t>18TH &amp; JOHNSTO</t>
  </si>
  <si>
    <t>40 POWELTON</t>
  </si>
  <si>
    <t>6700 LANSDOW</t>
  </si>
  <si>
    <t>522 E ALLEGH</t>
  </si>
  <si>
    <t>6TH &amp; RUSCOMB</t>
  </si>
  <si>
    <t>TOWER &amp; LEVERI</t>
  </si>
  <si>
    <t>800 W CUMBER</t>
  </si>
  <si>
    <t>1200 FOULKRO</t>
  </si>
  <si>
    <t>TERRACE &amp; CHUR</t>
  </si>
  <si>
    <t>52ND &amp; MARKET</t>
  </si>
  <si>
    <t>2401 ARAMING</t>
  </si>
  <si>
    <t>1002 E MOYAM</t>
  </si>
  <si>
    <t>6601 GREENWA</t>
  </si>
  <si>
    <t>67TH &amp; DOREL</t>
  </si>
  <si>
    <t>2301 WOODWAR</t>
  </si>
  <si>
    <t>67&amp;GUYER</t>
  </si>
  <si>
    <t>2800 ST VINC</t>
  </si>
  <si>
    <t>LANGDON &amp; LONE</t>
  </si>
  <si>
    <t>59TH &amp; FILBERT</t>
  </si>
  <si>
    <t>5900 BENNING</t>
  </si>
  <si>
    <t>2800 OVERING</t>
  </si>
  <si>
    <t>6600 GILLESP</t>
  </si>
  <si>
    <t>5700 TACKAWA</t>
  </si>
  <si>
    <t>1700 ROSEBER</t>
  </si>
  <si>
    <t>2500 S COLOR</t>
  </si>
  <si>
    <t>2501 S COLOR</t>
  </si>
  <si>
    <t>17TH &amp; PORTER</t>
  </si>
  <si>
    <t>TAMPA &amp; ONTARI</t>
  </si>
  <si>
    <t>301 LEVERING</t>
  </si>
  <si>
    <t>DEXTER &amp; LYCEU</t>
  </si>
  <si>
    <t>214 BUCKINGH</t>
  </si>
  <si>
    <t>6700 GUYER A</t>
  </si>
  <si>
    <t>7500 BROOKHA</t>
  </si>
  <si>
    <t>152 N SALFOR</t>
  </si>
  <si>
    <t>9TH &amp; OREGON</t>
  </si>
  <si>
    <t>LINDLEY &amp; HUTC</t>
  </si>
  <si>
    <t>8813 BRADFOR</t>
  </si>
  <si>
    <t>3755 ARAMING</t>
  </si>
  <si>
    <t>900 S ORIANN</t>
  </si>
  <si>
    <t>HUTCHINSON &amp; P</t>
  </si>
  <si>
    <t>1722 MONTROS</t>
  </si>
  <si>
    <t>1918 E THAYE</t>
  </si>
  <si>
    <t>3100 BELGRAD</t>
  </si>
  <si>
    <t>134 N REDFIE</t>
  </si>
  <si>
    <t>900 W CHAMPL</t>
  </si>
  <si>
    <t>301 E ALLEGH</t>
  </si>
  <si>
    <t>100 E CUMBER</t>
  </si>
  <si>
    <t>3178 BANCROF</t>
  </si>
  <si>
    <t>1600 LIPPINC</t>
  </si>
  <si>
    <t>1730 MONTROS</t>
  </si>
  <si>
    <t>800 E THOMPS</t>
  </si>
  <si>
    <t>1324 FRIENDS</t>
  </si>
  <si>
    <t>831 E THOMPS</t>
  </si>
  <si>
    <t>631 S CONEST</t>
  </si>
  <si>
    <t>6000 COBBS C</t>
  </si>
  <si>
    <t>187 W LURGY</t>
  </si>
  <si>
    <t>4100 LAURIST</t>
  </si>
  <si>
    <t>723 MARSDEN</t>
  </si>
  <si>
    <t>CALVERT &amp; FAUN</t>
  </si>
  <si>
    <t>4223 MARSDEN</t>
  </si>
  <si>
    <t>500 TACE ST</t>
  </si>
  <si>
    <t>46TH &amp; WALNUT</t>
  </si>
  <si>
    <t>9TH &amp; MOORE</t>
  </si>
  <si>
    <t>9TH GREENWIC</t>
  </si>
  <si>
    <t>9TH DICKINSO</t>
  </si>
  <si>
    <t>59&amp;LANSDOWNE</t>
  </si>
  <si>
    <t>48TH &amp; WARRING</t>
  </si>
  <si>
    <t>8300 LINDEBE</t>
  </si>
  <si>
    <t>8300 LINDENB</t>
  </si>
  <si>
    <t>2200 E LEHIG</t>
  </si>
  <si>
    <t>2831 WILMOR</t>
  </si>
  <si>
    <t>2000 E SERGE</t>
  </si>
  <si>
    <t>ALLEN &amp; ORTHOD</t>
  </si>
  <si>
    <t>BONSALL ST &amp; W</t>
  </si>
  <si>
    <t>HEMBERGER &amp; WO</t>
  </si>
  <si>
    <t>1700 W ROSEB</t>
  </si>
  <si>
    <t>2036 MARGARE</t>
  </si>
  <si>
    <t>8TH DUDLEY ST</t>
  </si>
  <si>
    <t>11TH LEMON</t>
  </si>
  <si>
    <t>12037 AUDOBO</t>
  </si>
  <si>
    <t>1635 FOULDRO</t>
  </si>
  <si>
    <t>2400 ALLEGHE</t>
  </si>
  <si>
    <t>15TH &amp; POLLOCK</t>
  </si>
  <si>
    <t>1142 LONGSHO</t>
  </si>
  <si>
    <t>2420 W ALLEG</t>
  </si>
  <si>
    <t>200 E WYOMIN</t>
  </si>
  <si>
    <t>3 N E WYOMIN</t>
  </si>
  <si>
    <t>2750 ARAMING</t>
  </si>
  <si>
    <t>2223 SAINT A</t>
  </si>
  <si>
    <t>300 W DIAMON</t>
  </si>
  <si>
    <t>1902 E PACIF</t>
  </si>
  <si>
    <t>5TH FISHER</t>
  </si>
  <si>
    <t>4600 E ROOSE</t>
  </si>
  <si>
    <t>6300 S REESE</t>
  </si>
  <si>
    <t>1600 W CB MO</t>
  </si>
  <si>
    <t>2004 E HUNTI</t>
  </si>
  <si>
    <t>2900 CEDAR A</t>
  </si>
  <si>
    <t>6900 DICKS A</t>
  </si>
  <si>
    <t>2117 E SUSQU</t>
  </si>
  <si>
    <t>4719 VAN KIR</t>
  </si>
  <si>
    <t>5144 HUTCHIN</t>
  </si>
  <si>
    <t>2500 SOMERSE</t>
  </si>
  <si>
    <t>E ANN &amp; CHATHA</t>
  </si>
  <si>
    <t>2200 W HUNTI</t>
  </si>
  <si>
    <t>D &amp; THELMA</t>
  </si>
  <si>
    <t>68TH ST &amp; GUYE</t>
  </si>
  <si>
    <t>2616 E CLEAR</t>
  </si>
  <si>
    <t>SALAIGNAC &amp; TE</t>
  </si>
  <si>
    <t>7TH BRISTOL</t>
  </si>
  <si>
    <t>CRESSON &amp; HERM</t>
  </si>
  <si>
    <t>MARVINE &amp; OREG</t>
  </si>
  <si>
    <t>CHEW &amp; BRINTON</t>
  </si>
  <si>
    <t>1500 LONGSHO</t>
  </si>
  <si>
    <t>PECHIN &amp; HERMI</t>
  </si>
  <si>
    <t>MITCHELL &amp; HER</t>
  </si>
  <si>
    <t>3300 HAVERFO</t>
  </si>
  <si>
    <t>1614 W LEHIG</t>
  </si>
  <si>
    <t>WHITBY &amp; YEWDA</t>
  </si>
  <si>
    <t>69010 DICKS</t>
  </si>
  <si>
    <t>20TH &amp; PORTER</t>
  </si>
  <si>
    <t>2500 COLOROD</t>
  </si>
  <si>
    <t>6120 W JEFFE</t>
  </si>
  <si>
    <t>ELLA &amp; INDIANA</t>
  </si>
  <si>
    <t>7100 RID AVE</t>
  </si>
  <si>
    <t>1640 HUNTING</t>
  </si>
  <si>
    <t>2925 CLEARFI</t>
  </si>
  <si>
    <t>5000 HORROCK</t>
  </si>
  <si>
    <t>5641 AMERICA</t>
  </si>
  <si>
    <t>2900 N FAIRH</t>
  </si>
  <si>
    <t>608 W HARTWE</t>
  </si>
  <si>
    <t>1500 E MONTG</t>
  </si>
  <si>
    <t>29TH &amp; LEHIGH</t>
  </si>
  <si>
    <t>RUSCOMB &amp; FRAN</t>
  </si>
  <si>
    <t>1400 W CECIL</t>
  </si>
  <si>
    <t>7131 LINDBER</t>
  </si>
  <si>
    <t>8200 LINDENB</t>
  </si>
  <si>
    <t>200 E WESTMO</t>
  </si>
  <si>
    <t>200 W HANSBE</t>
  </si>
  <si>
    <t>19TH &amp; W WINGO</t>
  </si>
  <si>
    <t>GERMANTOWN &amp; P</t>
  </si>
  <si>
    <t>MASCHER &amp; CHAM</t>
  </si>
  <si>
    <t>PASSYUNK &amp; OPA</t>
  </si>
  <si>
    <t>2400 W CAMBR</t>
  </si>
  <si>
    <t>78 W SHARPNA</t>
  </si>
  <si>
    <t>1800 POINT B</t>
  </si>
  <si>
    <t>20TH &amp; JACKSON</t>
  </si>
  <si>
    <t>1900 POINTBR</t>
  </si>
  <si>
    <t>1700 W ALLEG</t>
  </si>
  <si>
    <t>1300 COURTLA</t>
  </si>
  <si>
    <t>WOLF &amp; 19TH ST</t>
  </si>
  <si>
    <t>CRESSON &amp; DAWS</t>
  </si>
  <si>
    <t>1038 N ORIAN</t>
  </si>
  <si>
    <t>39TH &amp; LOCUST</t>
  </si>
  <si>
    <t>5900 LARCHWO</t>
  </si>
  <si>
    <t>21ST &amp; PORTER</t>
  </si>
  <si>
    <t>ROSALIE &amp; FRON</t>
  </si>
  <si>
    <t>20TH &amp; WOLF ST</t>
  </si>
  <si>
    <t>WASHINGTON &amp; M</t>
  </si>
  <si>
    <t>22ND &amp; RITNER</t>
  </si>
  <si>
    <t>MUSGRAVE &amp; GOR</t>
  </si>
  <si>
    <t>PORTER &amp; MOYAM</t>
  </si>
  <si>
    <t>12TH MOYAMEN</t>
  </si>
  <si>
    <t>MALLORY &amp; KRAM</t>
  </si>
  <si>
    <t>2600 E INDIA</t>
  </si>
  <si>
    <t>21ST &amp; JACKSON</t>
  </si>
  <si>
    <t>1303 MARLBOR</t>
  </si>
  <si>
    <t>GTOWN &amp; ROUMFO</t>
  </si>
  <si>
    <t>3207 N CARLI</t>
  </si>
  <si>
    <t>7200 ELGIN</t>
  </si>
  <si>
    <t>2953 N FAIRH</t>
  </si>
  <si>
    <t>1229 DICKINS</t>
  </si>
  <si>
    <t>244 E RICHMO</t>
  </si>
  <si>
    <t>6733 ELMEN</t>
  </si>
  <si>
    <t>2547 S SHERI</t>
  </si>
  <si>
    <t>2600 SCHULLE</t>
  </si>
  <si>
    <t>2500 N STANL</t>
  </si>
  <si>
    <t>100 LIPPINCO</t>
  </si>
  <si>
    <t>4200 N FRANK</t>
  </si>
  <si>
    <t>1320 FRIENDS</t>
  </si>
  <si>
    <t>900 W FITZWA</t>
  </si>
  <si>
    <t>50TH &amp; LOCUST</t>
  </si>
  <si>
    <t>10800 GIFFOR</t>
  </si>
  <si>
    <t>19TH &amp; WOLF ST</t>
  </si>
  <si>
    <t>4901 CATHARI</t>
  </si>
  <si>
    <t>15TH &amp; PACKER</t>
  </si>
  <si>
    <t>SICKELS &amp; WEST</t>
  </si>
  <si>
    <t>56TH STEWART</t>
  </si>
  <si>
    <t>1099 S FARRA</t>
  </si>
  <si>
    <t>5TH &amp; CHRISTIAN ST</t>
  </si>
  <si>
    <t>A &amp; INDIANA</t>
  </si>
  <si>
    <t>1920 BERKSHI</t>
  </si>
  <si>
    <t>1300 W WILLI</t>
  </si>
  <si>
    <t>2729 E INDIA</t>
  </si>
  <si>
    <t>6100 WAYNE A</t>
  </si>
  <si>
    <t>4299 S CONCO</t>
  </si>
  <si>
    <t>1715 TEESDAL</t>
  </si>
  <si>
    <t>4200 TORRESD</t>
  </si>
  <si>
    <t>4294 S CONCO</t>
  </si>
  <si>
    <t>2100 KELLY D</t>
  </si>
  <si>
    <t>1500 W HILTO</t>
  </si>
  <si>
    <t>2056 DEVEREA</t>
  </si>
  <si>
    <t>2200 KELLY D</t>
  </si>
  <si>
    <t>1500 KELLY D</t>
  </si>
  <si>
    <t>1600 KELLY D</t>
  </si>
  <si>
    <t>300 N SALFOR</t>
  </si>
  <si>
    <t>3901 WHITAKE</t>
  </si>
  <si>
    <t>MONTGOMERY &amp; B</t>
  </si>
  <si>
    <t>6401 S 64TH</t>
  </si>
  <si>
    <t>1400 S BELAU</t>
  </si>
  <si>
    <t>1412 E HUNTI</t>
  </si>
  <si>
    <t>5800 THOMPSO</t>
  </si>
  <si>
    <t>2443 S PHILI</t>
  </si>
  <si>
    <t>1700 N WILTO</t>
  </si>
  <si>
    <t>5257 W JEFFE</t>
  </si>
  <si>
    <t>5200 W JEFFE</t>
  </si>
  <si>
    <t>113 N EDGEWO</t>
  </si>
  <si>
    <t>2312 FRANKLI</t>
  </si>
  <si>
    <t>600 W HUNTIN</t>
  </si>
  <si>
    <t>11TH &amp; MCCLELL</t>
  </si>
  <si>
    <t>911 WASHINGT</t>
  </si>
  <si>
    <t>200 W INDIAN</t>
  </si>
  <si>
    <t>7600 CHARLES</t>
  </si>
  <si>
    <t>409 W WELLEN</t>
  </si>
  <si>
    <t>6200 SUMMERD</t>
  </si>
  <si>
    <t>1300 W RITNE</t>
  </si>
  <si>
    <t>2500 INDIAN</t>
  </si>
  <si>
    <t>10822 GIFFOR</t>
  </si>
  <si>
    <t>1300 W THOMP</t>
  </si>
  <si>
    <t>2ND &amp; DICKINSO</t>
  </si>
  <si>
    <t>5199 ROCHELL</t>
  </si>
  <si>
    <t>200 W SHELDO</t>
  </si>
  <si>
    <t>1300 N MARSH</t>
  </si>
  <si>
    <t>OLD YORK &amp; ROS</t>
  </si>
  <si>
    <t>6549 EDWARD</t>
  </si>
  <si>
    <t>6646 EDWARD</t>
  </si>
  <si>
    <t>EDMUNDST &amp; UNR</t>
  </si>
  <si>
    <t>KNORR ST &amp; TUL</t>
  </si>
  <si>
    <t>3290 EDGEMON</t>
  </si>
  <si>
    <t>1700 TYSON</t>
  </si>
  <si>
    <t>7146 HORROCK</t>
  </si>
  <si>
    <t>6348 DICKS A</t>
  </si>
  <si>
    <t>11617 BUSTLE</t>
  </si>
  <si>
    <t>2ND &amp; WIDNER</t>
  </si>
  <si>
    <t>CARLISLE &amp; WES</t>
  </si>
  <si>
    <t>6TH 5100</t>
  </si>
  <si>
    <t>1500 W ALLEG</t>
  </si>
  <si>
    <t>5829 WOODBIN</t>
  </si>
  <si>
    <t>15TH &amp; KITTYHA</t>
  </si>
  <si>
    <t>8000 ELVERSO</t>
  </si>
  <si>
    <t>8000 ELBEROW</t>
  </si>
  <si>
    <t>10877 PRALIN</t>
  </si>
  <si>
    <t>9900 GL RD</t>
  </si>
  <si>
    <t>6431 HELLERM</t>
  </si>
  <si>
    <t>5839 WOODBIN</t>
  </si>
  <si>
    <t>22200 E WYOM</t>
  </si>
  <si>
    <t>2800 N AMERI</t>
  </si>
  <si>
    <t>74TH ELMWOOD</t>
  </si>
  <si>
    <t>1700 ELLSWOR</t>
  </si>
  <si>
    <t>1200 S MARSH</t>
  </si>
  <si>
    <t>805 W  MORRI</t>
  </si>
  <si>
    <t>CHEW AVE &amp; CAM</t>
  </si>
  <si>
    <t>CHURCHVIEW &amp; T</t>
  </si>
  <si>
    <t>2333 WOODSTO</t>
  </si>
  <si>
    <t>6338 SHERWOO</t>
  </si>
  <si>
    <t>LEBANON &amp; WANA</t>
  </si>
  <si>
    <t>KRAMS &amp; PECHIN</t>
  </si>
  <si>
    <t>1900 E WENSL</t>
  </si>
  <si>
    <t>44TH &amp; CHESTNU</t>
  </si>
  <si>
    <t>BINGHAM &amp; CARV</t>
  </si>
  <si>
    <t>2900 W CLEAR</t>
  </si>
  <si>
    <t>ALDER ST &amp; ORE</t>
  </si>
  <si>
    <t>900 S ST BER</t>
  </si>
  <si>
    <t>232 S 31ST</t>
  </si>
  <si>
    <t>MEMPHIS &amp; CLEA</t>
  </si>
  <si>
    <t>CLEARFIELD &amp; R</t>
  </si>
  <si>
    <t>6100 REINHAR</t>
  </si>
  <si>
    <t>GERMANTOWN</t>
  </si>
  <si>
    <t>1460 S PATTO</t>
  </si>
  <si>
    <t>100 DICKENSO</t>
  </si>
  <si>
    <t>4520 N PALET</t>
  </si>
  <si>
    <t>TYSON &amp; LYNFOR</t>
  </si>
  <si>
    <t>BOUVIER &amp; SHUN</t>
  </si>
  <si>
    <t>801 W RISING</t>
  </si>
  <si>
    <t>4900 W WARNO</t>
  </si>
  <si>
    <t>4401 N MARSH</t>
  </si>
  <si>
    <t>1100 RUSOMB</t>
  </si>
  <si>
    <t>4062 N MARSH</t>
  </si>
  <si>
    <t>500 JAMESTOW</t>
  </si>
  <si>
    <t>701 W LUZERN</t>
  </si>
  <si>
    <t>801 W LUZERN</t>
  </si>
  <si>
    <t>S 10TH &amp; WASHI</t>
  </si>
  <si>
    <t>13011 STEVEN</t>
  </si>
  <si>
    <t>WARWICK &amp; STEV</t>
  </si>
  <si>
    <t>4100 BENNING</t>
  </si>
  <si>
    <t>300 E WILLIA</t>
  </si>
  <si>
    <t>800 FOULKROU</t>
  </si>
  <si>
    <t>8500 PROVIDE</t>
  </si>
  <si>
    <t>8500 PICKERI</t>
  </si>
  <si>
    <t>1323 W CHAMP</t>
  </si>
  <si>
    <t>1400 WELLING</t>
  </si>
  <si>
    <t>1418 WELLING</t>
  </si>
  <si>
    <t>700 E CATHED</t>
  </si>
  <si>
    <t>1900 N PALET</t>
  </si>
  <si>
    <t>1900 PALETHO</t>
  </si>
  <si>
    <t>56&amp;ARCH</t>
  </si>
  <si>
    <t>COLORADO &amp; SHU</t>
  </si>
  <si>
    <t>BATRAM &amp; ISLAN</t>
  </si>
  <si>
    <t>1918 WESTMOR</t>
  </si>
  <si>
    <t>2200 E MONMO</t>
  </si>
  <si>
    <t>2900 W CUMBE</t>
  </si>
  <si>
    <t>SHURS &amp; APPLE</t>
  </si>
  <si>
    <t>4200 PALMETT</t>
  </si>
  <si>
    <t>65TH DAREL</t>
  </si>
  <si>
    <t>1820 CECIL B</t>
  </si>
  <si>
    <t>1500 CECIL B</t>
  </si>
  <si>
    <t>CRESSON &amp; SELV</t>
  </si>
  <si>
    <t>5731 WYALUSI</t>
  </si>
  <si>
    <t>OREGON &amp; DARIE</t>
  </si>
  <si>
    <t>MAGEE &amp; MARSDE</t>
  </si>
  <si>
    <t>A &amp; LOUDON</t>
  </si>
  <si>
    <t>A &amp; ROCKLAND</t>
  </si>
  <si>
    <t>800 ST VINCE</t>
  </si>
  <si>
    <t>4221 N DARIE</t>
  </si>
  <si>
    <t>19&amp;PORTER</t>
  </si>
  <si>
    <t>20TH &amp; WOLF</t>
  </si>
  <si>
    <t>1358 E PALME</t>
  </si>
  <si>
    <t>51&amp;PINE</t>
  </si>
  <si>
    <t>1834 KENDRIC</t>
  </si>
  <si>
    <t>GIFFORD &amp; TOML</t>
  </si>
  <si>
    <t>700 FANSHAWN</t>
  </si>
  <si>
    <t>PENN &amp; MAGNOLI</t>
  </si>
  <si>
    <t>1000 COURTLA</t>
  </si>
  <si>
    <t>TYSON &amp; SYLVES</t>
  </si>
  <si>
    <t>25TH LEHIGH</t>
  </si>
  <si>
    <t>4101 STROUT</t>
  </si>
  <si>
    <t>2099 E CLEME</t>
  </si>
  <si>
    <t>MULTI PURPOS</t>
  </si>
  <si>
    <t>5304 ARLINGT</t>
  </si>
  <si>
    <t>COMMERCIAL RD</t>
  </si>
  <si>
    <t>2800 W DIAMO</t>
  </si>
  <si>
    <t>1100 ROOSEVELT BLVD</t>
  </si>
  <si>
    <t>3222 SPRING</t>
  </si>
  <si>
    <t>2200 COLORAD</t>
  </si>
  <si>
    <t>22ND &amp; SHUNK</t>
  </si>
  <si>
    <t>2000 CUMBERL</t>
  </si>
  <si>
    <t>FLEMING &amp; LYCE</t>
  </si>
  <si>
    <t>100 E CLEARF</t>
  </si>
  <si>
    <t>57TH &amp; OSAGE</t>
  </si>
  <si>
    <t>800 CARPENTE</t>
  </si>
  <si>
    <t>2838 CLEMENT</t>
  </si>
  <si>
    <t>2800 CLEMENT</t>
  </si>
  <si>
    <t>900 WASHINGT</t>
  </si>
  <si>
    <t>900 N MIFFLI</t>
  </si>
  <si>
    <t>1500 E PALME</t>
  </si>
  <si>
    <t>1617 E MOYAM</t>
  </si>
  <si>
    <t>7100 HUMMING</t>
  </si>
  <si>
    <t>46&amp;WALNUT</t>
  </si>
  <si>
    <t>1101 W MOYAM</t>
  </si>
  <si>
    <t>4319 HAVERFO</t>
  </si>
  <si>
    <t>DELMAR &amp; TIBBE</t>
  </si>
  <si>
    <t>1300 FANSHAV</t>
  </si>
  <si>
    <t>OREGON &amp; HUTCH</t>
  </si>
  <si>
    <t>6725 LANSDOW</t>
  </si>
  <si>
    <t>WYALUSING &amp; ST</t>
  </si>
  <si>
    <t>BLEIGH &amp; BINGH</t>
  </si>
  <si>
    <t>2641 S BONNA</t>
  </si>
  <si>
    <t>3100 E THOMP</t>
  </si>
  <si>
    <t>20TH &amp; FITZGER</t>
  </si>
  <si>
    <t>1507 E PALME</t>
  </si>
  <si>
    <t>12TH &amp; MOYAMEN</t>
  </si>
  <si>
    <t>6TH &amp; MCKEAN</t>
  </si>
  <si>
    <t>2211 W LEHIG</t>
  </si>
  <si>
    <t>2311 W LEHIG</t>
  </si>
  <si>
    <t>2400 E LEHIG</t>
  </si>
  <si>
    <t>2543 W LEHIG</t>
  </si>
  <si>
    <t>5700 FRONTNA</t>
  </si>
  <si>
    <t>400 W MCCLEL</t>
  </si>
  <si>
    <t>1300 W LOUDO</t>
  </si>
  <si>
    <t>1500 WESTMOR</t>
  </si>
  <si>
    <t>2634 S JUNIP</t>
  </si>
  <si>
    <t>250 LEITHGOW</t>
  </si>
  <si>
    <t>102 MAPLEWOO</t>
  </si>
  <si>
    <t>6200 MCCALLU</t>
  </si>
  <si>
    <t>8995 SPRINGV</t>
  </si>
  <si>
    <t>7300 BUSTLET</t>
  </si>
  <si>
    <t>426 E ALLEGH</t>
  </si>
  <si>
    <t>2500 N MUTTE</t>
  </si>
  <si>
    <t>1557 N FRAZI</t>
  </si>
  <si>
    <t>2204 HUNTING</t>
  </si>
  <si>
    <t>7300 HORROCK</t>
  </si>
  <si>
    <t>7748 MICHENE</t>
  </si>
  <si>
    <t>200 GREENWIC</t>
  </si>
  <si>
    <t>SNYDER &amp; OPAL</t>
  </si>
  <si>
    <t>101 W MT PLE</t>
  </si>
  <si>
    <t>NEWKIRK &amp; MIFF</t>
  </si>
  <si>
    <t>MUSGRAVE &amp; MEE</t>
  </si>
  <si>
    <t>800 SANGER ST</t>
  </si>
  <si>
    <t>5500 TORRESD</t>
  </si>
  <si>
    <t>2700 N RINGG</t>
  </si>
  <si>
    <t>1726 S RINGG</t>
  </si>
  <si>
    <t>17TH &amp; PULASKI</t>
  </si>
  <si>
    <t>17TH &amp; ERIE AV</t>
  </si>
  <si>
    <t>19TH &amp; MCKEAN</t>
  </si>
  <si>
    <t>5214 GLENOCH</t>
  </si>
  <si>
    <t>MITCHELL &amp; REC</t>
  </si>
  <si>
    <t>3225 EDGEMON</t>
  </si>
  <si>
    <t>813 GREENWIC</t>
  </si>
  <si>
    <t>4640 ROOS BV</t>
  </si>
  <si>
    <t>29TH &amp; CAMBRIA</t>
  </si>
  <si>
    <t>1701 W LEHIG</t>
  </si>
  <si>
    <t>700 MCCLELLA</t>
  </si>
  <si>
    <t>1344 TYSON A</t>
  </si>
  <si>
    <t>1500 W MONTG</t>
  </si>
  <si>
    <t>5028 FLORENC</t>
  </si>
  <si>
    <t>MAGEE AV &amp; HEG</t>
  </si>
  <si>
    <t>4700 ELK ST</t>
  </si>
  <si>
    <t>2635 E CAMBR</t>
  </si>
  <si>
    <t>1118 W MOYAM</t>
  </si>
  <si>
    <t>2600 WESTMOR</t>
  </si>
  <si>
    <t>2700 S MARSH</t>
  </si>
  <si>
    <t>1001 DELAWAR</t>
  </si>
  <si>
    <t>MEDIA &amp; FELTON</t>
  </si>
  <si>
    <t>5600 WARRING</t>
  </si>
  <si>
    <t>1800 MONTGOM</t>
  </si>
  <si>
    <t>1600 MONTGOM</t>
  </si>
  <si>
    <t>1600 FOUNTAI</t>
  </si>
  <si>
    <t>3709 SCHUYLE</t>
  </si>
  <si>
    <t>BROAD &amp; LEHIGH</t>
  </si>
  <si>
    <t>2400 E HAGER</t>
  </si>
  <si>
    <t>2100 W HUNTI</t>
  </si>
  <si>
    <t>EDGEWOOD &amp; RAC</t>
  </si>
  <si>
    <t>HEMITAGE &amp; SMI</t>
  </si>
  <si>
    <t>1600 W WESTM</t>
  </si>
  <si>
    <t>400 W ANNSBU</t>
  </si>
  <si>
    <t>7186 GILLESP</t>
  </si>
  <si>
    <t>6100 GILLESP</t>
  </si>
  <si>
    <t>6200 GILLESP</t>
  </si>
  <si>
    <t>ARAMINGO &amp; AUB</t>
  </si>
  <si>
    <t>1500 CARPENT</t>
  </si>
  <si>
    <t>BONSALL &amp; WOLF</t>
  </si>
  <si>
    <t>NORWOOD &amp; WOLF</t>
  </si>
  <si>
    <t>JUNIPER &amp; MCCL</t>
  </si>
  <si>
    <t>1900 MONTROS</t>
  </si>
  <si>
    <t>6TH &amp; DICKINSO</t>
  </si>
  <si>
    <t>1000 W MONTG</t>
  </si>
  <si>
    <t>1400 CECIL B</t>
  </si>
  <si>
    <t>11713 CENTEN</t>
  </si>
  <si>
    <t>1600 E CHELT</t>
  </si>
  <si>
    <t>8599 FERNDAL</t>
  </si>
  <si>
    <t>500 W GLENWO</t>
  </si>
  <si>
    <t>1027 ROCKLAN</t>
  </si>
  <si>
    <t>1408 E PALME</t>
  </si>
  <si>
    <t>2900 FOX</t>
  </si>
  <si>
    <t>2500 FOX</t>
  </si>
  <si>
    <t>ROBBINS &amp; ALGA</t>
  </si>
  <si>
    <t>DEVEREAUX &amp; MA</t>
  </si>
  <si>
    <t>3000 BELGRAD</t>
  </si>
  <si>
    <t>SYLVESTER &amp; RO</t>
  </si>
  <si>
    <t>7 W PHIL ELL</t>
  </si>
  <si>
    <t>PENN &amp; BRILL ST</t>
  </si>
  <si>
    <t>1600 WINGOHO</t>
  </si>
  <si>
    <t>5200 HENLEY</t>
  </si>
  <si>
    <t>2409 EDGEWOO</t>
  </si>
  <si>
    <t>FRONT &amp; FERS ST</t>
  </si>
  <si>
    <t>BROAD &amp; RUSCOM</t>
  </si>
  <si>
    <t>100 E ELANER</t>
  </si>
  <si>
    <t>73RD &amp; ELMWOOD</t>
  </si>
  <si>
    <t>800 E ELLEN</t>
  </si>
  <si>
    <t>MARKET &amp; ROBIN</t>
  </si>
  <si>
    <t>23 S ROBINSO</t>
  </si>
  <si>
    <t>60&amp;MANNING</t>
  </si>
  <si>
    <t>58&amp;LARCHWOOD</t>
  </si>
  <si>
    <t>6000 DELANCE</t>
  </si>
  <si>
    <t>CALVERT &amp; COTT</t>
  </si>
  <si>
    <t>62ND &amp; WEBSTER</t>
  </si>
  <si>
    <t>605 E ALLEGH</t>
  </si>
  <si>
    <t>2800 LAWRENC</t>
  </si>
  <si>
    <t>6200 CATHARI</t>
  </si>
  <si>
    <t>1300 S CORLI</t>
  </si>
  <si>
    <t>FELTON &amp; CEDAR</t>
  </si>
  <si>
    <t>61ST &amp; CEDAR</t>
  </si>
  <si>
    <t>3400 H ST3</t>
  </si>
  <si>
    <t>PECHIN &amp; PENSD</t>
  </si>
  <si>
    <t>1025 CATHERI</t>
  </si>
  <si>
    <t>3700 LAWRENC</t>
  </si>
  <si>
    <t>PHI LOADING</t>
  </si>
  <si>
    <t>300 W CHELTE</t>
  </si>
  <si>
    <t>5500 LAURENS</t>
  </si>
  <si>
    <t>2059 CATHARI</t>
  </si>
  <si>
    <t>5200 SCHUYLE</t>
  </si>
  <si>
    <t>531 W  LOUDO</t>
  </si>
  <si>
    <t>100 DEVEREAU</t>
  </si>
  <si>
    <t>4352 LAURIST</t>
  </si>
  <si>
    <t>LOCKART &amp; NAND</t>
  </si>
  <si>
    <t>300 MARLICE</t>
  </si>
  <si>
    <t>10900 BUSTLE</t>
  </si>
  <si>
    <t>MANAYUNK &amp; OSB</t>
  </si>
  <si>
    <t>4072 SPRING</t>
  </si>
  <si>
    <t>MARTIN ST &amp; PA</t>
  </si>
  <si>
    <t>2063 DEVEREA</t>
  </si>
  <si>
    <t>6201 FARNSWO</t>
  </si>
  <si>
    <t>700 E HUNTIN</t>
  </si>
  <si>
    <t>2375 WOODWAR</t>
  </si>
  <si>
    <t>805 E ALLEGH</t>
  </si>
  <si>
    <t>CRESSWOOD &amp; FE</t>
  </si>
  <si>
    <t>1929 NESPIT</t>
  </si>
  <si>
    <t>1929 BERKSHI</t>
  </si>
  <si>
    <t>2613 W LEHIG</t>
  </si>
  <si>
    <t>6025 CARPENT</t>
  </si>
  <si>
    <t>BROWN &amp; FRANKL</t>
  </si>
  <si>
    <t>56TH &amp; GIRARD</t>
  </si>
  <si>
    <t>100 W SYLVAN</t>
  </si>
  <si>
    <t>CASTOR &amp; COTTM</t>
  </si>
  <si>
    <t>7345 LAWRENC</t>
  </si>
  <si>
    <t>3100 BOISE P</t>
  </si>
  <si>
    <t>200 SPERCER</t>
  </si>
  <si>
    <t>5200 N AMERI</t>
  </si>
  <si>
    <t>4TH &amp; LINDLEY</t>
  </si>
  <si>
    <t>16TH &amp; MANTON</t>
  </si>
  <si>
    <t>2216 ST VINC</t>
  </si>
  <si>
    <t>2200 MONTROS</t>
  </si>
  <si>
    <t>600 RISING ST</t>
  </si>
  <si>
    <t>GIFFORD &amp; FOST</t>
  </si>
  <si>
    <t>1300 ELBRIDG</t>
  </si>
  <si>
    <t>1431 E MONTG</t>
  </si>
  <si>
    <t>CHEW &amp; UPSAL</t>
  </si>
  <si>
    <t>1430 E MONTG</t>
  </si>
  <si>
    <t>LAWNDALE &amp; BLE</t>
  </si>
  <si>
    <t>800 HUNTING</t>
  </si>
  <si>
    <t>4200 FRANKLI</t>
  </si>
  <si>
    <t>GREENE &amp; DUVAL</t>
  </si>
  <si>
    <t>CHEW &amp; JOHNSON</t>
  </si>
  <si>
    <t>129 COURTLAN</t>
  </si>
  <si>
    <t>5100 MALCOOM</t>
  </si>
  <si>
    <t>3RD &amp; WELLENS</t>
  </si>
  <si>
    <t>203 W ALBANU</t>
  </si>
  <si>
    <t>2ND &amp; ALBANUS</t>
  </si>
  <si>
    <t>MASCHER &amp; ROSE</t>
  </si>
  <si>
    <t>CELL PHONE L</t>
  </si>
  <si>
    <t>500 W RISING</t>
  </si>
  <si>
    <t>2200 ST ALBA</t>
  </si>
  <si>
    <t>1400 W THOMP</t>
  </si>
  <si>
    <t>1300 N CARLI</t>
  </si>
  <si>
    <t>2200 CLEARFI</t>
  </si>
  <si>
    <t>HANSBERRY &amp; KN</t>
  </si>
  <si>
    <t>900 MCCLELLA</t>
  </si>
  <si>
    <t>1500 CATHARI</t>
  </si>
  <si>
    <t>1000 MOYAMEN</t>
  </si>
  <si>
    <t>1412 HUNTING</t>
  </si>
  <si>
    <t>9TH &amp; MCCLELLA</t>
  </si>
  <si>
    <t>6337 HAVERFO</t>
  </si>
  <si>
    <t>900 WOUTH</t>
  </si>
  <si>
    <t>FRONTENAC &amp; OX</t>
  </si>
  <si>
    <t>37TH &amp; MT VERN</t>
  </si>
  <si>
    <t>2033 N BAMBR</t>
  </si>
  <si>
    <t>2526 S FRANK</t>
  </si>
  <si>
    <t>500 RISING ST</t>
  </si>
  <si>
    <t>39 BRANDYWIN</t>
  </si>
  <si>
    <t>2238 WASHING</t>
  </si>
  <si>
    <t>2500 W LEHIG</t>
  </si>
  <si>
    <t>3400 W ALLEG</t>
  </si>
  <si>
    <t>3300 W ALLEG</t>
  </si>
  <si>
    <t>S W 4TH &amp; CHES</t>
  </si>
  <si>
    <t>3700 RISING</t>
  </si>
  <si>
    <t>7301 PALMETT</t>
  </si>
  <si>
    <t>6336 ALGON A</t>
  </si>
  <si>
    <t>61ST &amp; MARKET</t>
  </si>
  <si>
    <t>600 W RAYMON</t>
  </si>
  <si>
    <t>125 N CONEST</t>
  </si>
  <si>
    <t>45 N CONESTO</t>
  </si>
  <si>
    <t>1300 JEFFERS</t>
  </si>
  <si>
    <t>1500 MONTGOM</t>
  </si>
  <si>
    <t>DEVEREAUX &amp; RE</t>
  </si>
  <si>
    <t>DEVEREAUX &amp; ME</t>
  </si>
  <si>
    <t>400 N CHAMPL</t>
  </si>
  <si>
    <t>3400 PALMETT</t>
  </si>
  <si>
    <t>6100 LINDBER</t>
  </si>
  <si>
    <t>7900 BRADFOR</t>
  </si>
  <si>
    <t>2400 MONTROS</t>
  </si>
  <si>
    <t>300 W 66TH A</t>
  </si>
  <si>
    <t>900 CARPENTE</t>
  </si>
  <si>
    <t>5400 JEFFERS</t>
  </si>
  <si>
    <t>CARVER &amp; BINGH</t>
  </si>
  <si>
    <t>ANCHOR &amp; BINGH</t>
  </si>
  <si>
    <t>4200 PENSSGR</t>
  </si>
  <si>
    <t>51ST &amp; HAZEL A</t>
  </si>
  <si>
    <t>4700 MERIDIA</t>
  </si>
  <si>
    <t>6035 N PHILI</t>
  </si>
  <si>
    <t>44TH &amp; SANSOM</t>
  </si>
  <si>
    <t>1800 BEUSC</t>
  </si>
  <si>
    <t>5300 SYLVEST</t>
  </si>
  <si>
    <t>EMERALD &amp; MONM</t>
  </si>
  <si>
    <t>SUMMERDALE &amp; G</t>
  </si>
  <si>
    <t>CEKK PHONE L</t>
  </si>
  <si>
    <t>SHARP &amp; HAINES</t>
  </si>
  <si>
    <t>4600 PALETHO</t>
  </si>
  <si>
    <t>3700 MANOR ST</t>
  </si>
  <si>
    <t>4500 RISING</t>
  </si>
  <si>
    <t>9TH &amp; JACKSON</t>
  </si>
  <si>
    <t>100 W RAYMON</t>
  </si>
  <si>
    <t>6129 MONTAGU</t>
  </si>
  <si>
    <t>11&amp;MOUNTAIN</t>
  </si>
  <si>
    <t>709 WASHINGT</t>
  </si>
  <si>
    <t>2150 E NORRI</t>
  </si>
  <si>
    <t>9TH &amp; PIERCE C</t>
  </si>
  <si>
    <t>11000 ROOS B</t>
  </si>
  <si>
    <t>400 W DICKIN</t>
  </si>
  <si>
    <t>2800 W CONVE</t>
  </si>
  <si>
    <t>3208 W GORDO</t>
  </si>
  <si>
    <t>4800 HUTCHIN</t>
  </si>
  <si>
    <t>5800 TABOR A</t>
  </si>
  <si>
    <t>5466 DELANCE</t>
  </si>
  <si>
    <t>301 W ALBANU</t>
  </si>
  <si>
    <t>5637 CARPENT</t>
  </si>
  <si>
    <t>213 S FRAZIE</t>
  </si>
  <si>
    <t>HELLERMAN &amp; TO</t>
  </si>
  <si>
    <t>2725 E INDIA</t>
  </si>
  <si>
    <t>2931 E THOMP</t>
  </si>
  <si>
    <t>6TH &amp; TASKER</t>
  </si>
  <si>
    <t>OGONTZ &amp; ROSEL</t>
  </si>
  <si>
    <t>2100 ST VINC</t>
  </si>
  <si>
    <t>ST VINCENT &amp; B</t>
  </si>
  <si>
    <t>RAMSEY &amp; HAVER</t>
  </si>
  <si>
    <t>BRILLS &amp; SUMME</t>
  </si>
  <si>
    <t>6900 SAYBROO</t>
  </si>
  <si>
    <t>3936 BENINTO</t>
  </si>
  <si>
    <t>2200 S BONNA</t>
  </si>
  <si>
    <t>1300 E AIRDR</t>
  </si>
  <si>
    <t>3951 HAVERFO</t>
  </si>
  <si>
    <t>4TH &amp; RITNER</t>
  </si>
  <si>
    <t>1800 MONTGMO</t>
  </si>
  <si>
    <t>REFIELD &amp; GIRA</t>
  </si>
  <si>
    <t>1632 PENNING</t>
  </si>
  <si>
    <t>1138 N BODIN</t>
  </si>
  <si>
    <t>1136 N BODIN</t>
  </si>
  <si>
    <t>1140 N BODIN</t>
  </si>
  <si>
    <t>LYNFORD &amp; TYSO</t>
  </si>
  <si>
    <t>800 E CORNWA</t>
  </si>
  <si>
    <t>300 RIGHTY ST</t>
  </si>
  <si>
    <t>6100 EASTWIC</t>
  </si>
  <si>
    <t>67&amp;GREENWAY</t>
  </si>
  <si>
    <t>1916 W DIAMO</t>
  </si>
  <si>
    <t>6600  EASTWO</t>
  </si>
  <si>
    <t>611 EDISON A</t>
  </si>
  <si>
    <t>4831 N HUTCH</t>
  </si>
  <si>
    <t>7200 S 49TH</t>
  </si>
  <si>
    <t>1400 E WALNU</t>
  </si>
  <si>
    <t>1500 E WALNU</t>
  </si>
  <si>
    <t>8100 SUMMERD</t>
  </si>
  <si>
    <t>19TH &amp; PORTER</t>
  </si>
  <si>
    <t>17TH &amp; ROSEBER</t>
  </si>
  <si>
    <t>1701 ROSEBER</t>
  </si>
  <si>
    <t>18TH &amp; ROSEBER</t>
  </si>
  <si>
    <t>18TH &amp; TREE ST</t>
  </si>
  <si>
    <t>FAIRHILL &amp; LIN</t>
  </si>
  <si>
    <t>46220 HURLEY</t>
  </si>
  <si>
    <t>10TH &amp; MOUNTAI</t>
  </si>
  <si>
    <t>4700 UNRUH A</t>
  </si>
  <si>
    <t>1400 ALLEGHE</t>
  </si>
  <si>
    <t>1900 E CLEAR</t>
  </si>
  <si>
    <t>2541 E BUTLE</t>
  </si>
  <si>
    <t>6201 MCCALLU</t>
  </si>
  <si>
    <t>5TH &amp; WOLF ST</t>
  </si>
  <si>
    <t>6400 DICKS A</t>
  </si>
  <si>
    <t>CAMAC &amp; CHEW</t>
  </si>
  <si>
    <t>1400 S FRANK</t>
  </si>
  <si>
    <t>DEPART D</t>
  </si>
  <si>
    <t>100 W SUSQUE</t>
  </si>
  <si>
    <t>400 GRANGE W</t>
  </si>
  <si>
    <t>LANCASTER &amp; PR</t>
  </si>
  <si>
    <t>MAGEE &amp; HAWTHO</t>
  </si>
  <si>
    <t>ERDRICK &amp; SHIR</t>
  </si>
  <si>
    <t>900 WYNNEWOO</t>
  </si>
  <si>
    <t>5847 FERNWOO</t>
  </si>
  <si>
    <t>526 W ASHDAL</t>
  </si>
  <si>
    <t>36&amp;MARKET</t>
  </si>
  <si>
    <t>66&amp;LEBANON</t>
  </si>
  <si>
    <t>2000 RIDGE A</t>
  </si>
  <si>
    <t>1600 WILLING</t>
  </si>
  <si>
    <t>1206 W AIRDR</t>
  </si>
  <si>
    <t>3300 N SYDEN</t>
  </si>
  <si>
    <t>18TH ARLINGT</t>
  </si>
  <si>
    <t>17TH ARLINGT</t>
  </si>
  <si>
    <t>5854 FLORENC</t>
  </si>
  <si>
    <t>2300 W CAMBR</t>
  </si>
  <si>
    <t>8000 PICKERI</t>
  </si>
  <si>
    <t>COTTAGE &amp; VIST</t>
  </si>
  <si>
    <t>6800 RISING</t>
  </si>
  <si>
    <t>MEMPHIS &amp; CAMB</t>
  </si>
  <si>
    <t>SHUNK &amp; GARNET</t>
  </si>
  <si>
    <t>277 W RITTEN</t>
  </si>
  <si>
    <t>4700 THOMPSO</t>
  </si>
  <si>
    <t>1 E BRINGHUR</t>
  </si>
  <si>
    <t>KINDRED 6700</t>
  </si>
  <si>
    <t>5200 GLENLOC</t>
  </si>
  <si>
    <t>5400 TACKAWA</t>
  </si>
  <si>
    <t>5700 MUSGRAV</t>
  </si>
  <si>
    <t>500 E MAYLAN</t>
  </si>
  <si>
    <t>SCHILLER &amp; E T</t>
  </si>
  <si>
    <t>4300 THOMPSO</t>
  </si>
  <si>
    <t>BC DEPART PI</t>
  </si>
  <si>
    <t>423 E ROCKLA</t>
  </si>
  <si>
    <t>400 NEDRO EB</t>
  </si>
  <si>
    <t>A EAST BAGGA</t>
  </si>
  <si>
    <t>WIDENER &amp; MASC</t>
  </si>
  <si>
    <t>1502 ELLSWOR</t>
  </si>
  <si>
    <t>1739 N HANCO</t>
  </si>
  <si>
    <t>7866 BUSTLET</t>
  </si>
  <si>
    <t>1400 LYCOMI</t>
  </si>
  <si>
    <t>600 E CRESTV</t>
  </si>
  <si>
    <t>300 CONESTOG</t>
  </si>
  <si>
    <t>200 E MANSFI</t>
  </si>
  <si>
    <t>1600 SYDENHA</t>
  </si>
  <si>
    <t>2045 CARPENT</t>
  </si>
  <si>
    <t>1319 LYCOMIN</t>
  </si>
  <si>
    <t>700 WASHINGT</t>
  </si>
  <si>
    <t>1000 CLEVELA</t>
  </si>
  <si>
    <t>TANEY &amp; SOMERS</t>
  </si>
  <si>
    <t>1544 MAGEE A</t>
  </si>
  <si>
    <t>2600 SHERADO</t>
  </si>
  <si>
    <t>1134 N BODIN</t>
  </si>
  <si>
    <t>200 N EDGEWO</t>
  </si>
  <si>
    <t>1900 HUNTING</t>
  </si>
  <si>
    <t>800 ELLENS ST</t>
  </si>
  <si>
    <t>100 E CHELTE</t>
  </si>
  <si>
    <t>5800 GERMENT</t>
  </si>
  <si>
    <t>N 53RD &amp; ARCH</t>
  </si>
  <si>
    <t>5700 GERMENT</t>
  </si>
  <si>
    <t>1000 ST BERN</t>
  </si>
  <si>
    <t>HICKS &amp; JACKSO</t>
  </si>
  <si>
    <t>PORTER &amp; CLEVE</t>
  </si>
  <si>
    <t>600 IRVING ST</t>
  </si>
  <si>
    <t>1400 W JEFFE</t>
  </si>
  <si>
    <t>59TH &amp; BALTIMO</t>
  </si>
  <si>
    <t>1701 W HUNTI</t>
  </si>
  <si>
    <t>1200 N CARLI</t>
  </si>
  <si>
    <t>6401 RISING</t>
  </si>
  <si>
    <t>5000 CEPLEY</t>
  </si>
  <si>
    <t>6200 CHRISTI</t>
  </si>
  <si>
    <t>3100 N BAMBR</t>
  </si>
  <si>
    <t>600 E THOMPS</t>
  </si>
  <si>
    <t>1301 LEITHGO</t>
  </si>
  <si>
    <t>RIPKA &amp; MANSIO</t>
  </si>
  <si>
    <t>10800 NANDIN</t>
  </si>
  <si>
    <t>WILDE &amp; KRAUS</t>
  </si>
  <si>
    <t>APPLE &amp; JAMEST</t>
  </si>
  <si>
    <t>MITCHELL &amp; KIN</t>
  </si>
  <si>
    <t>2000 AVONDAL</t>
  </si>
  <si>
    <t>1400 E PALME</t>
  </si>
  <si>
    <t>3000 E THOMP</t>
  </si>
  <si>
    <t>6600 BROUS A</t>
  </si>
  <si>
    <t>2300 MONTROS</t>
  </si>
  <si>
    <t>2100 N PALET</t>
  </si>
  <si>
    <t>WYNNEWOOD &amp; ME</t>
  </si>
  <si>
    <t>2800 SHERIDA</t>
  </si>
  <si>
    <t>8434 ARDLEIG</t>
  </si>
  <si>
    <t>275 GEIGE RD</t>
  </si>
  <si>
    <t>ROCHELLE &amp; OSB</t>
  </si>
  <si>
    <t>MANAYUNK &amp; HER</t>
  </si>
  <si>
    <t>300 E SHELDO</t>
  </si>
  <si>
    <t>400 W CHAMPL</t>
  </si>
  <si>
    <t>1800 W CB MO</t>
  </si>
  <si>
    <t>2900 GRAYS F</t>
  </si>
  <si>
    <t>2324 MARAGAR</t>
  </si>
  <si>
    <t>3301 CHIPPEN</t>
  </si>
  <si>
    <t>6300 SUMMERD</t>
  </si>
  <si>
    <t>1200 N GERMA</t>
  </si>
  <si>
    <t>1226 W AIRDR</t>
  </si>
  <si>
    <t>VERNON &amp; MICAE</t>
  </si>
  <si>
    <t>17TH &amp; WINGOHO</t>
  </si>
  <si>
    <t>1300 ROCKLAN</t>
  </si>
  <si>
    <t>1800 MONTROS</t>
  </si>
  <si>
    <t>100 KALOS A</t>
  </si>
  <si>
    <t>7100 MONTAQU</t>
  </si>
  <si>
    <t>52ND &amp; CATHARI</t>
  </si>
  <si>
    <t>1800 S YEWDA</t>
  </si>
  <si>
    <t>1216 N CARLI</t>
  </si>
  <si>
    <t>5526 WYALUSI</t>
  </si>
  <si>
    <t>800 CATHARIN</t>
  </si>
  <si>
    <t>6701 SYLVEST</t>
  </si>
  <si>
    <t>50TH &amp; SPRUCE</t>
  </si>
  <si>
    <t>2213 S CROSK</t>
  </si>
  <si>
    <t>2313 S CROSK</t>
  </si>
  <si>
    <t>1800 ELLSWOR</t>
  </si>
  <si>
    <t>2239 S COLOR</t>
  </si>
  <si>
    <t>2500 MUHFELD</t>
  </si>
  <si>
    <t>15TH &amp; PORTER</t>
  </si>
  <si>
    <t>1124 DICKINS</t>
  </si>
  <si>
    <t>6500 BROUS A</t>
  </si>
  <si>
    <t>363 LEVERING</t>
  </si>
  <si>
    <t>5916 CHRISTI</t>
  </si>
  <si>
    <t>1024 CHRISTI</t>
  </si>
  <si>
    <t>4700 BELGRAD</t>
  </si>
  <si>
    <t>4155 ELBRIDG</t>
  </si>
  <si>
    <t>1032 E COLUM</t>
  </si>
  <si>
    <t>54TH &amp; KERSHAW</t>
  </si>
  <si>
    <t>6116 DELANCE</t>
  </si>
  <si>
    <t>3800 N 21</t>
  </si>
  <si>
    <t>2916 HELLERM</t>
  </si>
  <si>
    <t>3000 FANSHAW</t>
  </si>
  <si>
    <t>2238 E CAMBR</t>
  </si>
  <si>
    <t>17TH &amp; WOLF</t>
  </si>
  <si>
    <t>1230 W AIRDR</t>
  </si>
  <si>
    <t>1400 PEMBERT</t>
  </si>
  <si>
    <t>180 MCCLELLA</t>
  </si>
  <si>
    <t>17TH &amp; MONTROS</t>
  </si>
  <si>
    <t>4200 EDGEMON</t>
  </si>
  <si>
    <t>1900 S BANCR</t>
  </si>
  <si>
    <t>4333 N FRANK</t>
  </si>
  <si>
    <t>SEC 16TH W M</t>
  </si>
  <si>
    <t>3000 W HARPE</t>
  </si>
  <si>
    <t>60 THSPRUCE</t>
  </si>
  <si>
    <t>2900 W CAMBR</t>
  </si>
  <si>
    <t>2900 W HARPE</t>
  </si>
  <si>
    <t>ROWLAND &amp; FRIE</t>
  </si>
  <si>
    <t>HICK &amp; MOORE</t>
  </si>
  <si>
    <t>2700 UNRUH A</t>
  </si>
  <si>
    <t>5400 WISSIHI</t>
  </si>
  <si>
    <t>700 W MOYAME</t>
  </si>
  <si>
    <t>2329 E CLEAR</t>
  </si>
  <si>
    <t>1700 W BUTLE</t>
  </si>
  <si>
    <t>2637 E CLEAR</t>
  </si>
  <si>
    <t>1605 E MONTG</t>
  </si>
  <si>
    <t>2500 CLEARFI</t>
  </si>
  <si>
    <t>56TH &amp; LANSDOW</t>
  </si>
  <si>
    <t>5200 N HOP</t>
  </si>
  <si>
    <t>2038 W TURNE</t>
  </si>
  <si>
    <t>5048 HAZEL A</t>
  </si>
  <si>
    <t>2301 ORTHODO</t>
  </si>
  <si>
    <t>1800 CB MOOR</t>
  </si>
  <si>
    <t>8100 PICKERI</t>
  </si>
  <si>
    <t>700 MOYAMENS</t>
  </si>
  <si>
    <t>2705 W ALLEG</t>
  </si>
  <si>
    <t>2500 CHRISTI</t>
  </si>
  <si>
    <t>TANEY &amp; POPLAR</t>
  </si>
  <si>
    <t>BAILEY &amp; POPLA</t>
  </si>
  <si>
    <t>5500 N LAURE</t>
  </si>
  <si>
    <t>1728 W MONTG</t>
  </si>
  <si>
    <t>SWC N 17TH W</t>
  </si>
  <si>
    <t>7300 SANDELI</t>
  </si>
  <si>
    <t>7300 SANDERL</t>
  </si>
  <si>
    <t>4600 SPRINGF</t>
  </si>
  <si>
    <t>4698 SPRINGF</t>
  </si>
  <si>
    <t>1100 LYCOMIN</t>
  </si>
  <si>
    <t>2858 N 2RD</t>
  </si>
  <si>
    <t>10700 FOX CH</t>
  </si>
  <si>
    <t>1703 MONTROS</t>
  </si>
  <si>
    <t>5300 WAYNE A</t>
  </si>
  <si>
    <t>6800 GREEN ST</t>
  </si>
  <si>
    <t>4800 TIBBER</t>
  </si>
  <si>
    <t>12TH &amp; MT VERN</t>
  </si>
  <si>
    <t>6800 BUSTLET</t>
  </si>
  <si>
    <t>7931 BUSTLET</t>
  </si>
  <si>
    <t>2200 EASTWOO</t>
  </si>
  <si>
    <t>QUEEN &amp; PULASK</t>
  </si>
  <si>
    <t>RHAWN &amp; BRADFO</t>
  </si>
  <si>
    <t>140 HUNTINGD</t>
  </si>
  <si>
    <t>2835 W LEHIG</t>
  </si>
  <si>
    <t>7100 BUSTLET</t>
  </si>
  <si>
    <t>102 W MAPLEW</t>
  </si>
  <si>
    <t>6240 WASHIN</t>
  </si>
  <si>
    <t>6500 N WOODS</t>
  </si>
  <si>
    <t>1629 ROUMFOR</t>
  </si>
  <si>
    <t>1914 NESTON</t>
  </si>
  <si>
    <t>5739 CEDAR A</t>
  </si>
  <si>
    <t>GERMANTOWN &amp; H</t>
  </si>
  <si>
    <t>2745 LEFERRE</t>
  </si>
  <si>
    <t>1602 S BANCR</t>
  </si>
  <si>
    <t>6612 LYFORD</t>
  </si>
  <si>
    <t>4700 RICHMON</t>
  </si>
  <si>
    <t>1400 W BUTLE</t>
  </si>
  <si>
    <t>160 SALAIGNA</t>
  </si>
  <si>
    <t>50TH &amp; HAZEL A</t>
  </si>
  <si>
    <t>3800 BRANDYW</t>
  </si>
  <si>
    <t>5900 BELFIEL</t>
  </si>
  <si>
    <t>SOUDER &amp; ST VI</t>
  </si>
  <si>
    <t>1734 W MONTG</t>
  </si>
  <si>
    <t>1732 W MONTG</t>
  </si>
  <si>
    <t>1730 W MONTG</t>
  </si>
  <si>
    <t>W MONTGOMERY</t>
  </si>
  <si>
    <t>1601 W GIRAR</t>
  </si>
  <si>
    <t>1627 W THOMP</t>
  </si>
  <si>
    <t>W OXFORD &amp; N 1</t>
  </si>
  <si>
    <t>TERRACE &amp; SILV</t>
  </si>
  <si>
    <t>2700 E SERGE</t>
  </si>
  <si>
    <t>N 17TH &amp; OXFOR</t>
  </si>
  <si>
    <t>1400 WASHING</t>
  </si>
  <si>
    <t>3900 BENNING</t>
  </si>
  <si>
    <t>1132 E COLUM</t>
  </si>
  <si>
    <t>5TH &amp; CHELTEN</t>
  </si>
  <si>
    <t>500 MCCLOLLU</t>
  </si>
  <si>
    <t>19TH MONTGOM</t>
  </si>
  <si>
    <t>100 N WANAMA</t>
  </si>
  <si>
    <t>2920 FOX ST</t>
  </si>
  <si>
    <t>600 N PRESTO</t>
  </si>
  <si>
    <t>1210 W ROCKL</t>
  </si>
  <si>
    <t>1900 WESTMOR</t>
  </si>
  <si>
    <t>2215 W LEHIG</t>
  </si>
  <si>
    <t>7317 DICKS A</t>
  </si>
  <si>
    <t>4354 LAUNIST</t>
  </si>
  <si>
    <t>1400 S GRAYS</t>
  </si>
  <si>
    <t>52ND &amp; HAZEL A</t>
  </si>
  <si>
    <t>11TH &amp; RIDGE A</t>
  </si>
  <si>
    <t>6547 WALNUT</t>
  </si>
  <si>
    <t>122 E WYOMIN</t>
  </si>
  <si>
    <t>126 E WYOMIN</t>
  </si>
  <si>
    <t>17TH &amp; W WINGO</t>
  </si>
  <si>
    <t>2100 CATHERI</t>
  </si>
  <si>
    <t>1700 CONESTO</t>
  </si>
  <si>
    <t>4646 SILVERW</t>
  </si>
  <si>
    <t>400 MONASTY</t>
  </si>
  <si>
    <t>4107 W GIRAR</t>
  </si>
  <si>
    <t>SOUDER &amp; PRINC</t>
  </si>
  <si>
    <t>RUTLAND &amp; PRIN</t>
  </si>
  <si>
    <t>5400 HORROCK</t>
  </si>
  <si>
    <t>1800 S VODGE</t>
  </si>
  <si>
    <t>66TH &amp; 8TH ST</t>
  </si>
  <si>
    <t>2900 S FELTO</t>
  </si>
  <si>
    <t>18TH &amp; SHUNK</t>
  </si>
  <si>
    <t>2735 W CAMB</t>
  </si>
  <si>
    <t>19TH &amp; RITNER</t>
  </si>
  <si>
    <t>2898 E THOMP</t>
  </si>
  <si>
    <t>4613 BOUDINO</t>
  </si>
  <si>
    <t>2400 S SARTA</t>
  </si>
  <si>
    <t>5600 HEGERMA</t>
  </si>
  <si>
    <t>1900 W ALLEG</t>
  </si>
  <si>
    <t>1200 E MONTG</t>
  </si>
  <si>
    <t>1700 W LEHIG</t>
  </si>
  <si>
    <t>HAVERFORD &amp; LA</t>
  </si>
  <si>
    <t>900 SANGEFR</t>
  </si>
  <si>
    <t>12TH ST &amp; SPRI</t>
  </si>
  <si>
    <t>2900 ALLEGHE</t>
  </si>
  <si>
    <t>61ST &amp; JEFFERS</t>
  </si>
  <si>
    <t>1618 E HEWSO</t>
  </si>
  <si>
    <t>5200 CARPENT</t>
  </si>
  <si>
    <t>56&amp;LARCHWOOD</t>
  </si>
  <si>
    <t>6311 REEDLAN</t>
  </si>
  <si>
    <t>10799 SEANS</t>
  </si>
  <si>
    <t>2800 N SOMER</t>
  </si>
  <si>
    <t>4320 GLENDAL</t>
  </si>
  <si>
    <t>5300 CLARIDG</t>
  </si>
  <si>
    <t>7TH &amp; CATHARIN</t>
  </si>
  <si>
    <t>2536 W MAS</t>
  </si>
  <si>
    <t>1300 E COLUM</t>
  </si>
  <si>
    <t>4644 SHELBOU</t>
  </si>
  <si>
    <t>4500 SHELBOU</t>
  </si>
  <si>
    <t>1600 UNRUH A</t>
  </si>
  <si>
    <t>18TH ST &amp; MOOR</t>
  </si>
  <si>
    <t>SAUL &amp; SANGER</t>
  </si>
  <si>
    <t>700 SOUDER ST</t>
  </si>
  <si>
    <t>1801 S 46TH</t>
  </si>
  <si>
    <t>6500 N PINE</t>
  </si>
  <si>
    <t>BROUS &amp; RAWLE</t>
  </si>
  <si>
    <t>LONGSHORE &amp; BR</t>
  </si>
  <si>
    <t>243 W TULPEH</t>
  </si>
  <si>
    <t>1800 WAGTERL</t>
  </si>
  <si>
    <t>2918 W CAMBR</t>
  </si>
  <si>
    <t>2920 W CAMBR</t>
  </si>
  <si>
    <t>2924 W CAMBR</t>
  </si>
  <si>
    <t>2930 W CAMBR</t>
  </si>
  <si>
    <t>2934 W CAMBR</t>
  </si>
  <si>
    <t>2940 W CAMBR</t>
  </si>
  <si>
    <t>1900 S 1900</t>
  </si>
  <si>
    <t>2701 E INDIA</t>
  </si>
  <si>
    <t>2400 S MARSH</t>
  </si>
  <si>
    <t>2055 E CAMBR</t>
  </si>
  <si>
    <t>1328 ROCKLAN</t>
  </si>
  <si>
    <t>4807 SPRINGF</t>
  </si>
  <si>
    <t>1242 E SUSQU</t>
  </si>
  <si>
    <t>LORETTO &amp; GILH</t>
  </si>
  <si>
    <t>8700 G TOWN</t>
  </si>
  <si>
    <t>2900 EDGEMON</t>
  </si>
  <si>
    <t>600 PETONI P</t>
  </si>
  <si>
    <t>33 E MT PLEA</t>
  </si>
  <si>
    <t>4640 ROS BLV</t>
  </si>
  <si>
    <t>NANDINA ST &amp; N</t>
  </si>
  <si>
    <t>8000 ELBERGI</t>
  </si>
  <si>
    <t>13 S REDFIEL</t>
  </si>
  <si>
    <t>2401 E CLEAR</t>
  </si>
  <si>
    <t>3701 HAVERFO</t>
  </si>
  <si>
    <t>2500 W CLEAR</t>
  </si>
  <si>
    <t>1900 FOXCHAS</t>
  </si>
  <si>
    <t>2700 W LEHIG</t>
  </si>
  <si>
    <t>6631 LANSDOW</t>
  </si>
  <si>
    <t>ROCK &amp; RIGHTER</t>
  </si>
  <si>
    <t>6315 KINGSES</t>
  </si>
  <si>
    <t>52&amp;STILES ST</t>
  </si>
  <si>
    <t>6100 MONTAGU</t>
  </si>
  <si>
    <t>BRIDLE &amp; JEANS</t>
  </si>
  <si>
    <t>6400 SYDENHA</t>
  </si>
  <si>
    <t>CHADWICK &amp; RIT</t>
  </si>
  <si>
    <t>4000TH POWEL</t>
  </si>
  <si>
    <t>SALAGNAC &amp; SHA</t>
  </si>
  <si>
    <t>2600 S BANCR</t>
  </si>
  <si>
    <t>2725 CLEARFI</t>
  </si>
  <si>
    <t>AMBER &amp; TIOGA</t>
  </si>
  <si>
    <t>1 E HURLT</t>
  </si>
  <si>
    <t>61 W WASHING</t>
  </si>
  <si>
    <t>6500 HORROCK</t>
  </si>
  <si>
    <t>RACE &amp; UNDENWO</t>
  </si>
  <si>
    <t>7020 RUTHLAN</t>
  </si>
  <si>
    <t>1445 E MONTG</t>
  </si>
  <si>
    <t>16TH &amp; DIAMOND</t>
  </si>
  <si>
    <t>19TH &amp; SNYDER</t>
  </si>
  <si>
    <t>19TH &amp; JACKSON</t>
  </si>
  <si>
    <t>2900 CAMBRID</t>
  </si>
  <si>
    <t>3900 WEBSTER</t>
  </si>
  <si>
    <t>POPLAR &amp; PENNO</t>
  </si>
  <si>
    <t>4601 SPRINGF</t>
  </si>
  <si>
    <t>21ST &amp; MCKEAN</t>
  </si>
  <si>
    <t>1200 MAGEE A</t>
  </si>
  <si>
    <t>CLEMENTINE &amp; C</t>
  </si>
  <si>
    <t>2124 S ISEMI</t>
  </si>
  <si>
    <t>2104 S ISEMI</t>
  </si>
  <si>
    <t>600 E WINGOH</t>
  </si>
  <si>
    <t>600 E WINGHO</t>
  </si>
  <si>
    <t>43RD &amp; MARKET</t>
  </si>
  <si>
    <t>RIDGE AV &amp; WAL</t>
  </si>
  <si>
    <t>66TH &amp; 20TH ST</t>
  </si>
  <si>
    <t>100 EL LEHIG</t>
  </si>
  <si>
    <t>ROUMFORT &amp; BOY</t>
  </si>
  <si>
    <t>3400 MADISON</t>
  </si>
  <si>
    <t>5TH &amp; 66TH</t>
  </si>
  <si>
    <t>4300 DEVERAU</t>
  </si>
  <si>
    <t>3700 MANOR</t>
  </si>
  <si>
    <t>600 CARPENTE</t>
  </si>
  <si>
    <t>15TH &amp; ALLEGHE</t>
  </si>
  <si>
    <t>177 W TIBS</t>
  </si>
  <si>
    <t>2423 HEMBURG</t>
  </si>
  <si>
    <t>ROCK &amp; VIACARI</t>
  </si>
  <si>
    <t>1862 GLENDAL</t>
  </si>
  <si>
    <t>LEONARD &amp; RHAW</t>
  </si>
  <si>
    <t>300 MONASTER</t>
  </si>
  <si>
    <t>SMICK &amp; HERMIT</t>
  </si>
  <si>
    <t>2201 S CHRIS</t>
  </si>
  <si>
    <t>1500 W GIRAR</t>
  </si>
  <si>
    <t>6800 CARLISL</t>
  </si>
  <si>
    <t>6316 OVERBRO</t>
  </si>
  <si>
    <t>23RD &amp; POPLAR</t>
  </si>
  <si>
    <t>60&amp;CARPENTER</t>
  </si>
  <si>
    <t>60&amp;CHESTNUT</t>
  </si>
  <si>
    <t>CHESTNUT &amp; DAL</t>
  </si>
  <si>
    <t>1300 CHADWIC</t>
  </si>
  <si>
    <t>5814 PEMBERT</t>
  </si>
  <si>
    <t>1425 E MOYAM</t>
  </si>
  <si>
    <t>1400 CATHARI</t>
  </si>
  <si>
    <t>1900 ELLSWOR</t>
  </si>
  <si>
    <t>5200 RODNER</t>
  </si>
  <si>
    <t>1242 RIDGE A</t>
  </si>
  <si>
    <t>5128 M CAMAC</t>
  </si>
  <si>
    <t>SWC 5TH CHRI</t>
  </si>
  <si>
    <t>SEC 4TH CHRI</t>
  </si>
  <si>
    <t>62&amp;IRVING</t>
  </si>
  <si>
    <t>62&amp;CARPENTER</t>
  </si>
  <si>
    <t>2543 S DARIE</t>
  </si>
  <si>
    <t>61&amp;CATHERINE</t>
  </si>
  <si>
    <t>4760 RICHMON</t>
  </si>
  <si>
    <t>2909 EDGEMON</t>
  </si>
  <si>
    <t>7000 DISSTON</t>
  </si>
  <si>
    <t>2107 CLEMENT</t>
  </si>
  <si>
    <t>400 W ONTARI</t>
  </si>
  <si>
    <t>3800 N MARSH</t>
  </si>
  <si>
    <t>GRISCOM &amp; CHUR</t>
  </si>
  <si>
    <t>8600 EVERGRE</t>
  </si>
  <si>
    <t>4100 MEIR ST</t>
  </si>
  <si>
    <t>208 W CLAPIE</t>
  </si>
  <si>
    <t>6000 ADDISON</t>
  </si>
  <si>
    <t>1236 W AIRDR</t>
  </si>
  <si>
    <t>34TH &amp; HAVERFO</t>
  </si>
  <si>
    <t>4300 TYSON A</t>
  </si>
  <si>
    <t>2500 E NORRI</t>
  </si>
  <si>
    <t>100 W GLADST</t>
  </si>
  <si>
    <t>2600 N INDIA</t>
  </si>
  <si>
    <t>3000 W CAMBR</t>
  </si>
  <si>
    <t>853 N WYNNEW</t>
  </si>
  <si>
    <t>6709 CINNAMO</t>
  </si>
  <si>
    <t>7300 CASTOR3</t>
  </si>
  <si>
    <t>1400 DICKINS</t>
  </si>
  <si>
    <t>SALFORD &amp; CHES</t>
  </si>
  <si>
    <t>61ST &amp; DEWEY ST</t>
  </si>
  <si>
    <t>1500 N CARLI</t>
  </si>
  <si>
    <t>4200 PENSGRO</t>
  </si>
  <si>
    <t>700 W HUNTIN</t>
  </si>
  <si>
    <t>7100 MONTAUG</t>
  </si>
  <si>
    <t>8100 MICHENE</t>
  </si>
  <si>
    <t>6700 EASTWOO</t>
  </si>
  <si>
    <t>5800 CEDAR A</t>
  </si>
  <si>
    <t>4199 N FRANK</t>
  </si>
  <si>
    <t>6000 WASHING</t>
  </si>
  <si>
    <t>303 E ONTARI</t>
  </si>
  <si>
    <t>4298 N DARIE</t>
  </si>
  <si>
    <t>34 ORMES ST</t>
  </si>
  <si>
    <t>6040 DELANCE</t>
  </si>
  <si>
    <t>5212 DELANCE</t>
  </si>
  <si>
    <t>218 S BUCKIN</t>
  </si>
  <si>
    <t>4200 THOMPSO</t>
  </si>
  <si>
    <t>4800 THOMPSO</t>
  </si>
  <si>
    <t>2878 ORTHODO</t>
  </si>
  <si>
    <t>4651 HAZEL A</t>
  </si>
  <si>
    <t>4654 HAZEL A</t>
  </si>
  <si>
    <t>4TH &amp; POPLAR ST</t>
  </si>
  <si>
    <t>2100 DORRANC</t>
  </si>
  <si>
    <t>18TH &amp; MOORE ST</t>
  </si>
  <si>
    <t>ASH &amp; EDGEMONT</t>
  </si>
  <si>
    <t>59&amp;CHRISTIAN</t>
  </si>
  <si>
    <t>5915 CHRISTI</t>
  </si>
  <si>
    <t>PRINCETON &amp; OA</t>
  </si>
  <si>
    <t>59TH &amp; OSAGE A</t>
  </si>
  <si>
    <t>59TH &amp; ADDISON</t>
  </si>
  <si>
    <t>62&amp;CEDAR AVE</t>
  </si>
  <si>
    <t>18TH &amp; MANTON</t>
  </si>
  <si>
    <t>LARGE ST &amp; ST</t>
  </si>
  <si>
    <t>5921 RISING</t>
  </si>
  <si>
    <t>500 ALLEGHEN</t>
  </si>
  <si>
    <t>2211 W LEHGI</t>
  </si>
  <si>
    <t>1913 MONTROS</t>
  </si>
  <si>
    <t>125 E MT AIR</t>
  </si>
  <si>
    <t>5818 HAZEL A</t>
  </si>
  <si>
    <t>STILLMAN &amp; CAM</t>
  </si>
  <si>
    <t>2845 SHERIDA</t>
  </si>
  <si>
    <t>MARKET &amp; EDGEW</t>
  </si>
  <si>
    <t>4200 CLARISS</t>
  </si>
  <si>
    <t>2500 S CARRO</t>
  </si>
  <si>
    <t>5301 HADFIEL</t>
  </si>
  <si>
    <t>1100 COURTLA</t>
  </si>
  <si>
    <t>8400 LINDBER</t>
  </si>
  <si>
    <t>1100 W COURT</t>
  </si>
  <si>
    <t>4200 HELLERM</t>
  </si>
  <si>
    <t>559 ALLENGRO</t>
  </si>
  <si>
    <t>200 BATTERSB</t>
  </si>
  <si>
    <t>1500 DICKINS</t>
  </si>
  <si>
    <t>2700 EDDINGT</t>
  </si>
  <si>
    <t>5740 PEMBERT</t>
  </si>
  <si>
    <t>ANN ST &amp; ALMON</t>
  </si>
  <si>
    <t>4600 THOMPSO</t>
  </si>
  <si>
    <t>4600 EDGEMON</t>
  </si>
  <si>
    <t>CHATHAM &amp; CLEM</t>
  </si>
  <si>
    <t>HOLLY &amp; SPRING</t>
  </si>
  <si>
    <t>WIOTA &amp; SPRING</t>
  </si>
  <si>
    <t>2200 S ROSEW</t>
  </si>
  <si>
    <t>1 E WISTE</t>
  </si>
  <si>
    <t>5600 WASHING</t>
  </si>
  <si>
    <t>EDGEMONT &amp; CAM</t>
  </si>
  <si>
    <t>49&amp;PARRISH ST</t>
  </si>
  <si>
    <t>1601 FOULKRO</t>
  </si>
  <si>
    <t>5417 CEDAR A</t>
  </si>
  <si>
    <t>2819 W POPLA</t>
  </si>
  <si>
    <t>CUB LOT</t>
  </si>
  <si>
    <t>2065 S SALFO</t>
  </si>
  <si>
    <t>500 CHELTENH</t>
  </si>
  <si>
    <t>2600 BONNAFO</t>
  </si>
  <si>
    <t>1900 GREYMON</t>
  </si>
  <si>
    <t>3300 SYDENHA</t>
  </si>
  <si>
    <t>59&amp;HADDINGTO</t>
  </si>
  <si>
    <t>1824 E RUSSE</t>
  </si>
  <si>
    <t>7300 RYERS A</t>
  </si>
  <si>
    <t>8940 KREWSTO</t>
  </si>
  <si>
    <t>600 E CLEMEN</t>
  </si>
  <si>
    <t>7700 SHERWOO</t>
  </si>
  <si>
    <t>3300 SYNDENH</t>
  </si>
  <si>
    <t>1857 CLEMENT</t>
  </si>
  <si>
    <t>7500 TORRESD</t>
  </si>
  <si>
    <t>2000 MCKINLE</t>
  </si>
  <si>
    <t>4819 LONGSHO</t>
  </si>
  <si>
    <t>5801 ELLSWOR</t>
  </si>
  <si>
    <t>19TH &amp; SHUNK ST</t>
  </si>
  <si>
    <t>5200 CHARLES</t>
  </si>
  <si>
    <t>HERMIT &amp; SHARP</t>
  </si>
  <si>
    <t>HERMIT &amp; MANOR</t>
  </si>
  <si>
    <t>ANN &amp; ALMOND ST</t>
  </si>
  <si>
    <t>46TH LUDLOW</t>
  </si>
  <si>
    <t>6100 LESSEN</t>
  </si>
  <si>
    <t>1600 FILLMOR</t>
  </si>
  <si>
    <t>13TH ST &amp; CECI</t>
  </si>
  <si>
    <t>4051 HAVERFO</t>
  </si>
  <si>
    <t>2024 GREYMON</t>
  </si>
  <si>
    <t>2ND &amp; CARPENTE</t>
  </si>
  <si>
    <t>4400 HAVERFO</t>
  </si>
  <si>
    <t>3000 MARIO L</t>
  </si>
  <si>
    <t>CELL PARK LO</t>
  </si>
  <si>
    <t>GREEN &amp; 8TH ST</t>
  </si>
  <si>
    <t>32 STRAWBERR</t>
  </si>
  <si>
    <t>1300 W LEHIG</t>
  </si>
  <si>
    <t>5624 LITCHFI</t>
  </si>
  <si>
    <t>5647 WARRING</t>
  </si>
  <si>
    <t>CHEW &amp; CAMAC</t>
  </si>
  <si>
    <t>1200 W WILLI</t>
  </si>
  <si>
    <t>2409 W LEHIG</t>
  </si>
  <si>
    <t>35TH &amp; HAMILTO</t>
  </si>
  <si>
    <t>10TH &amp; CHEW</t>
  </si>
  <si>
    <t>6432 ALGON A</t>
  </si>
  <si>
    <t>1100 DEVEREA</t>
  </si>
  <si>
    <t>1739 W MONTG</t>
  </si>
  <si>
    <t>6807 BRADFOR</t>
  </si>
  <si>
    <t>25 S FARRAGU</t>
  </si>
  <si>
    <t>6500 GLENMOR</t>
  </si>
  <si>
    <t>2000 ENGLEWO</t>
  </si>
  <si>
    <t>LAURISTEN &amp; MO</t>
  </si>
  <si>
    <t>6300 TORRESD</t>
  </si>
  <si>
    <t>500 E CHELTE</t>
  </si>
  <si>
    <t>5800 WEYMONT</t>
  </si>
  <si>
    <t>6000 RISING</t>
  </si>
  <si>
    <t>2700 CLEARFI</t>
  </si>
  <si>
    <t>5443 LARCHWO</t>
  </si>
  <si>
    <t>5TH NEDRO NE</t>
  </si>
  <si>
    <t>5450 LARCHWO</t>
  </si>
  <si>
    <t>3300 N HARTV</t>
  </si>
  <si>
    <t>TULPENHOCKEN</t>
  </si>
  <si>
    <t>CHELTENHAM &amp; B</t>
  </si>
  <si>
    <t>COLORADO &amp; WOL</t>
  </si>
  <si>
    <t>700 SHUNK AT</t>
  </si>
  <si>
    <t>DEWEY &amp; LINDBE</t>
  </si>
  <si>
    <t>2ND &amp; TASKER ST</t>
  </si>
  <si>
    <t>CHADWICK &amp; POR</t>
  </si>
  <si>
    <t>6900 SYLVEST</t>
  </si>
  <si>
    <t>5300 HAZEL</t>
  </si>
  <si>
    <t>100 ROSEBERR</t>
  </si>
  <si>
    <t>1018 RANDOLP</t>
  </si>
  <si>
    <t>5456 VIACARI</t>
  </si>
  <si>
    <t>52ND LUDLOW</t>
  </si>
  <si>
    <t>200 LONGSHOR</t>
  </si>
  <si>
    <t>1305 E PALME</t>
  </si>
  <si>
    <t>400 NEDRO WB</t>
  </si>
  <si>
    <t>279 SUMAL ST</t>
  </si>
  <si>
    <t>600 CATHEDRA</t>
  </si>
  <si>
    <t>2100 EASTBUR</t>
  </si>
  <si>
    <t>4000 HAVERFO</t>
  </si>
  <si>
    <t>5256 CEDAR A</t>
  </si>
  <si>
    <t>4300 ODGEN ST</t>
  </si>
  <si>
    <t>832 S 86TH ST</t>
  </si>
  <si>
    <t>6829 MARTINS</t>
  </si>
  <si>
    <t>9778 HILSPAC</t>
  </si>
  <si>
    <t>1100 S FRANK</t>
  </si>
  <si>
    <t>1226 W THOMP</t>
  </si>
  <si>
    <t>1342 ORTHODO</t>
  </si>
  <si>
    <t>201 W CALVER</t>
  </si>
  <si>
    <t>1949 MOYAMEN</t>
  </si>
  <si>
    <t>5501 LARCHWO</t>
  </si>
  <si>
    <t>5400 CEDAR A</t>
  </si>
  <si>
    <t>6TH &amp; PORTER</t>
  </si>
  <si>
    <t>66&amp;GREENWAY</t>
  </si>
  <si>
    <t>900 S LEO ST</t>
  </si>
  <si>
    <t>WOLF &amp; BANCROF</t>
  </si>
  <si>
    <t>SUMAC &amp; MANAYU</t>
  </si>
  <si>
    <t>UNRUH &amp; VAN DI</t>
  </si>
  <si>
    <t>4900 RICHMON</t>
  </si>
  <si>
    <t>2600 THOMPSO</t>
  </si>
  <si>
    <t>300 E ASHDAL</t>
  </si>
  <si>
    <t>UNRUH &amp; 1200</t>
  </si>
  <si>
    <t>6400 SUMMERD</t>
  </si>
  <si>
    <t>1454 S MARST</t>
  </si>
  <si>
    <t>700 E WOODLA</t>
  </si>
  <si>
    <t>1300 WINGOHO</t>
  </si>
  <si>
    <t>62ND SANSOM</t>
  </si>
  <si>
    <t>SUMMERDALE &amp; W</t>
  </si>
  <si>
    <t>SUMMERDALE &amp; P</t>
  </si>
  <si>
    <t>10877 PAR</t>
  </si>
  <si>
    <t>AVON ST</t>
  </si>
  <si>
    <t>6700 BROUS A</t>
  </si>
  <si>
    <t>1900 BERKSHI</t>
  </si>
  <si>
    <t>1900 HELLERM</t>
  </si>
  <si>
    <t>N 15TH &amp; NORRI</t>
  </si>
  <si>
    <t>1300 E SUSQU</t>
  </si>
  <si>
    <t>5800 5TH NB</t>
  </si>
  <si>
    <t>10TH &amp; MIFFLIN</t>
  </si>
  <si>
    <t>400 W ROSELY</t>
  </si>
  <si>
    <t>4700 N REESE</t>
  </si>
  <si>
    <t>1600 MONTROS</t>
  </si>
  <si>
    <t>2500 W SOMER</t>
  </si>
  <si>
    <t>KING &amp; LAURENS</t>
  </si>
  <si>
    <t>700 E CURARF</t>
  </si>
  <si>
    <t>MARVINE &amp; CHEW</t>
  </si>
  <si>
    <t>2360 W OREGO</t>
  </si>
  <si>
    <t>FRONT &amp; MIFFLI</t>
  </si>
  <si>
    <t>7200 RISING</t>
  </si>
  <si>
    <t>2ND &amp; MIFFLIN</t>
  </si>
  <si>
    <t>2700 CHATAM</t>
  </si>
  <si>
    <t>1900 W DIAMO</t>
  </si>
  <si>
    <t>2100 COBBS C</t>
  </si>
  <si>
    <t>2025 MOYAMEN</t>
  </si>
  <si>
    <t>6700 RISING</t>
  </si>
  <si>
    <t>4200 WOODLAN</t>
  </si>
  <si>
    <t>1900 E NORRI</t>
  </si>
  <si>
    <t>2300 E CLEAR</t>
  </si>
  <si>
    <t>9TH &amp; TASKER</t>
  </si>
  <si>
    <t>1600 WB CB M</t>
  </si>
  <si>
    <t>3200 ALLEGHE</t>
  </si>
  <si>
    <t>7450 EDRICK</t>
  </si>
  <si>
    <t>PARRISH &amp; FALL</t>
  </si>
  <si>
    <t>51ST ADDISON</t>
  </si>
  <si>
    <t>2538 W SOMER</t>
  </si>
  <si>
    <t>5051 HAVERFO</t>
  </si>
  <si>
    <t>DEXTER &amp; MARKL</t>
  </si>
  <si>
    <t>15TH &amp; SHUNK</t>
  </si>
  <si>
    <t>BROAD &amp; DIAMON</t>
  </si>
  <si>
    <t>1000 NE AVE</t>
  </si>
  <si>
    <t>1700 JOHNSTO</t>
  </si>
  <si>
    <t>17TH &amp; OREGON</t>
  </si>
  <si>
    <t>5700 W SPRUC</t>
  </si>
  <si>
    <t>4800 FLORENC</t>
  </si>
  <si>
    <t>4801 FLORENC</t>
  </si>
  <si>
    <t>4798 CEDAR A</t>
  </si>
  <si>
    <t>4938 N MARVI</t>
  </si>
  <si>
    <t>1022 WASHING</t>
  </si>
  <si>
    <t>2ND &amp; ROSEBERR</t>
  </si>
  <si>
    <t>1800 E HILTO</t>
  </si>
  <si>
    <t>5800 FERNWOO</t>
  </si>
  <si>
    <t>1 S FARRA</t>
  </si>
  <si>
    <t>1600 CARPENT</t>
  </si>
  <si>
    <t>4338 SILVERW</t>
  </si>
  <si>
    <t>3101 ENGLEWO</t>
  </si>
  <si>
    <t>808 E ONTARI</t>
  </si>
  <si>
    <t>HELLERMAN &amp; OA</t>
  </si>
  <si>
    <t>200 POPLAR 0</t>
  </si>
  <si>
    <t>APPLE &amp; SHURS</t>
  </si>
  <si>
    <t>3349 N ORKNE</t>
  </si>
  <si>
    <t>1600 W BUTLE</t>
  </si>
  <si>
    <t>1002 S DORRA</t>
  </si>
  <si>
    <t>800 ELLEN ST</t>
  </si>
  <si>
    <t>5200 WESTER</t>
  </si>
  <si>
    <t>5700 LARCHWO</t>
  </si>
  <si>
    <t>UMRUH &amp; RUTLAN</t>
  </si>
  <si>
    <t>VANKIRK &amp; HASB</t>
  </si>
  <si>
    <t>6100 BLE</t>
  </si>
  <si>
    <t>19&amp;75TH</t>
  </si>
  <si>
    <t>VANKIRK &amp; BING</t>
  </si>
  <si>
    <t>200 S BUCKIN</t>
  </si>
  <si>
    <t>19TH HOFFMAN</t>
  </si>
  <si>
    <t>1000 DORRANC</t>
  </si>
  <si>
    <t>5699 HAZEL A</t>
  </si>
  <si>
    <t>809 N ORIANN</t>
  </si>
  <si>
    <t>FAIRMOUNT &amp; 4T</t>
  </si>
  <si>
    <t>3404 WHEYMOU</t>
  </si>
  <si>
    <t>6355 GREENWA</t>
  </si>
  <si>
    <t>307 W WELLEN</t>
  </si>
  <si>
    <t>2538 S FRANK</t>
  </si>
  <si>
    <t>6100 CEDAR A</t>
  </si>
  <si>
    <t>41ST LOCUST</t>
  </si>
  <si>
    <t>17TH WASHING</t>
  </si>
  <si>
    <t>1138 E SUSQU</t>
  </si>
  <si>
    <t>1710 CHRISTI</t>
  </si>
  <si>
    <t>5000 SUMMERD</t>
  </si>
  <si>
    <t>1200 ROCKLAN</t>
  </si>
  <si>
    <t>8500 OLD LIN</t>
  </si>
  <si>
    <t>SHURS &amp; LAURIS</t>
  </si>
  <si>
    <t>4300 CLARRIS</t>
  </si>
  <si>
    <t>529 S REDFIE</t>
  </si>
  <si>
    <t>3100 S SMEDL</t>
  </si>
  <si>
    <t>1701 HUNTING</t>
  </si>
  <si>
    <t>2400 E CLEME</t>
  </si>
  <si>
    <t>17TH &amp; HUNTING</t>
  </si>
  <si>
    <t>MARKLE &amp; MITCH</t>
  </si>
  <si>
    <t>53RD &amp; ARCH ST</t>
  </si>
  <si>
    <t>MCCALLUM &amp; TUL</t>
  </si>
  <si>
    <t>1700 ARLINGT</t>
  </si>
  <si>
    <t>38TH &amp; PEARL ST</t>
  </si>
  <si>
    <t>CRESSON &amp; JAME</t>
  </si>
  <si>
    <t>400 NEILSON</t>
  </si>
  <si>
    <t>4000 DUNCAN</t>
  </si>
  <si>
    <t>2200 BRIGHTO</t>
  </si>
  <si>
    <t>389 LYCEUM A</t>
  </si>
  <si>
    <t>3500 BRANDYW</t>
  </si>
  <si>
    <t>35TH &amp; HAVERFO</t>
  </si>
  <si>
    <t>2100 HARTVIL</t>
  </si>
  <si>
    <t>SOUDER &amp; TYSON</t>
  </si>
  <si>
    <t>800 E CHELTE</t>
  </si>
  <si>
    <t>7328 CLARIDG</t>
  </si>
  <si>
    <t>MONTGOMERY &amp; G</t>
  </si>
  <si>
    <t>1500 S MARSH</t>
  </si>
  <si>
    <t>1131 BUTTONW</t>
  </si>
  <si>
    <t>600 ALLEGHEN</t>
  </si>
  <si>
    <t>3900 N FAIRH</t>
  </si>
  <si>
    <t>2700 RINGGOL</t>
  </si>
  <si>
    <t>501 W HORTTE</t>
  </si>
  <si>
    <t>2444 CARPENT</t>
  </si>
  <si>
    <t>2000 S POPLA</t>
  </si>
  <si>
    <t>500 W ANNSBU</t>
  </si>
  <si>
    <t>908 W MOYAME</t>
  </si>
  <si>
    <t>5708 N LAMBE</t>
  </si>
  <si>
    <t>6700 CARLISE</t>
  </si>
  <si>
    <t>2500 N STAN</t>
  </si>
  <si>
    <t>7519 TORRESD</t>
  </si>
  <si>
    <t>1201 E CHELT</t>
  </si>
  <si>
    <t>VISTA &amp; WALKER</t>
  </si>
  <si>
    <t>9200 S 21ST</t>
  </si>
  <si>
    <t>CARSON &amp; BAKER</t>
  </si>
  <si>
    <t>1573 E MONTG</t>
  </si>
  <si>
    <t>774 CINAMINS</t>
  </si>
  <si>
    <t>4651 RICHMON</t>
  </si>
  <si>
    <t>1100 E COLUM</t>
  </si>
  <si>
    <t>300 ELLA ST</t>
  </si>
  <si>
    <t>2700 CAMBRID</t>
  </si>
  <si>
    <t>500 S CONEST</t>
  </si>
  <si>
    <t>1316 HELLERM</t>
  </si>
  <si>
    <t>158 N WANAMA</t>
  </si>
  <si>
    <t>3900 FRANKLI</t>
  </si>
  <si>
    <t>RETTA &amp; ROCHEL</t>
  </si>
  <si>
    <t>5301 TORRESD</t>
  </si>
  <si>
    <t>300 W CHAMPL</t>
  </si>
  <si>
    <t>8300 BUSTLET</t>
  </si>
  <si>
    <t>TORRESDALE &amp; L</t>
  </si>
  <si>
    <t>S 23RD KAUFF</t>
  </si>
  <si>
    <t>1800 E CORNW</t>
  </si>
  <si>
    <t>4800 N HUTCH</t>
  </si>
  <si>
    <t>10TH &amp; RIDGE</t>
  </si>
  <si>
    <t>OLD YORK &amp; LIN</t>
  </si>
  <si>
    <t>60TH &amp; WOLF</t>
  </si>
  <si>
    <t>4464 RICHMON</t>
  </si>
  <si>
    <t>2725 E CLEAR</t>
  </si>
  <si>
    <t>4547 THOMPSO</t>
  </si>
  <si>
    <t>41ST &amp; PINE ST</t>
  </si>
  <si>
    <t>2600 LEGEVRE</t>
  </si>
  <si>
    <t>65TH &amp; GUYER A</t>
  </si>
  <si>
    <t>65TH &amp; DOREL ST</t>
  </si>
  <si>
    <t>3000 E ALLEG</t>
  </si>
  <si>
    <t>27TH &amp; SNYDER</t>
  </si>
  <si>
    <t>2700 W CAMBR</t>
  </si>
  <si>
    <t>6000 JEFFERS</t>
  </si>
  <si>
    <t>3500 EDGEMON</t>
  </si>
  <si>
    <t>7400 BREWSTE</t>
  </si>
  <si>
    <t>7600 BREWSTE</t>
  </si>
  <si>
    <t>ELLEHART &amp; TIL</t>
  </si>
  <si>
    <t>4900 GRANGE</t>
  </si>
  <si>
    <t>216 W RUBICA</t>
  </si>
  <si>
    <t>2100 E NORRI</t>
  </si>
  <si>
    <t>FARIMOUNT &amp; AM</t>
  </si>
  <si>
    <t>3316 W ALLEG</t>
  </si>
  <si>
    <t>805 N LAWREN</t>
  </si>
  <si>
    <t>1001 WASHING</t>
  </si>
  <si>
    <t>1750 N HOWAR</t>
  </si>
  <si>
    <t>8410 BUSTLET</t>
  </si>
  <si>
    <t>1700 LYCOMIN</t>
  </si>
  <si>
    <t>1400 BUTLTER</t>
  </si>
  <si>
    <t>329 W MT PLE</t>
  </si>
  <si>
    <t>4300 HAVERFO</t>
  </si>
  <si>
    <t>300 W WELLEN</t>
  </si>
  <si>
    <t>400 W WELLEN</t>
  </si>
  <si>
    <t>57&amp;PEMBERTON</t>
  </si>
  <si>
    <t>1400 W WINDR</t>
  </si>
  <si>
    <t>2531 GRAYS F</t>
  </si>
  <si>
    <t>72ND UBER</t>
  </si>
  <si>
    <t>17TH &amp; PASSYUN</t>
  </si>
  <si>
    <t>28TH &amp; DUDLEY</t>
  </si>
  <si>
    <t>WALKER &amp; COTTM</t>
  </si>
  <si>
    <t>WALKER &amp; LORIN</t>
  </si>
  <si>
    <t>1207 EDGEWOO</t>
  </si>
  <si>
    <t>235 W RITTEN</t>
  </si>
  <si>
    <t>5874 MAGDALE</t>
  </si>
  <si>
    <t>5872 MAGDALE</t>
  </si>
  <si>
    <t>5868 MAGDALE</t>
  </si>
  <si>
    <t>5848 MAGDALE</t>
  </si>
  <si>
    <t>5842 MAGDALE</t>
  </si>
  <si>
    <t>800 CALENDON</t>
  </si>
  <si>
    <t>58 MAGDALENA</t>
  </si>
  <si>
    <t>LOWBE &amp; DUVAL</t>
  </si>
  <si>
    <t>3201 BELGRAD</t>
  </si>
  <si>
    <t>BC DEPARTURE</t>
  </si>
  <si>
    <t>CRAIG &amp; MERIDI</t>
  </si>
  <si>
    <t>1400 GLENWOO</t>
  </si>
  <si>
    <t>900 DICKINSO</t>
  </si>
  <si>
    <t>8100 MEADOWB</t>
  </si>
  <si>
    <t>9362 OLD BUS</t>
  </si>
  <si>
    <t>1100 COLUMBU</t>
  </si>
  <si>
    <t>19TH &amp; GLADSTO</t>
  </si>
  <si>
    <t>18TH &amp; GLADSTO</t>
  </si>
  <si>
    <t>3033 RICHMON</t>
  </si>
  <si>
    <t>A E BAGGAGE</t>
  </si>
  <si>
    <t>1330 ROCKLAN</t>
  </si>
  <si>
    <t>1821 CECIL B</t>
  </si>
  <si>
    <t>1857 E CLEME</t>
  </si>
  <si>
    <t>2000 BERGOS</t>
  </si>
  <si>
    <t>6146 WAYNE A</t>
  </si>
  <si>
    <t>2600 SCHILLE</t>
  </si>
  <si>
    <t>2900 FOX BAK</t>
  </si>
  <si>
    <t>1900 W LEAGU</t>
  </si>
  <si>
    <t>1360 CARLISL</t>
  </si>
  <si>
    <t>1800 NADINA</t>
  </si>
  <si>
    <t>4100 N FAIHI</t>
  </si>
  <si>
    <t>JEANES &amp; GORMA</t>
  </si>
  <si>
    <t>1300 TULPEHO</t>
  </si>
  <si>
    <t>900 W LUZERN</t>
  </si>
  <si>
    <t>6200 CRITTEN</t>
  </si>
  <si>
    <t>8862 N 7TH ST</t>
  </si>
  <si>
    <t>LOWBER &amp; MAYLA</t>
  </si>
  <si>
    <t>6200 MARTIN</t>
  </si>
  <si>
    <t>1 E HORTT</t>
  </si>
  <si>
    <t>4400 WELLING</t>
  </si>
  <si>
    <t>7400 MARSDEN</t>
  </si>
  <si>
    <t>5800 SINGSES</t>
  </si>
  <si>
    <t>5312 SYLVEST</t>
  </si>
  <si>
    <t>2100 W CAMBR</t>
  </si>
  <si>
    <t>6TH &amp; CANTRELL</t>
  </si>
  <si>
    <t>17 ST</t>
  </si>
  <si>
    <t>5701 WYALUSI</t>
  </si>
  <si>
    <t>1800 CHADWIC</t>
  </si>
  <si>
    <t>PARRISH &amp; WATT</t>
  </si>
  <si>
    <t>6568 LIMEKIL</t>
  </si>
  <si>
    <t>6600 HEGEMAN</t>
  </si>
  <si>
    <t>6244 WASHING</t>
  </si>
  <si>
    <t>5900 CHRISTI</t>
  </si>
  <si>
    <t>SACKETT &amp; WELL</t>
  </si>
  <si>
    <t>1939 GRANT A</t>
  </si>
  <si>
    <t>1500 LYCOMIN</t>
  </si>
  <si>
    <t>4300 GLENDAL</t>
  </si>
  <si>
    <t>38 POWELTON</t>
  </si>
  <si>
    <t>2000 E KIGST</t>
  </si>
  <si>
    <t>1730 WASHING</t>
  </si>
  <si>
    <t>1914 E THAYE</t>
  </si>
  <si>
    <t>1330 W ROCKL</t>
  </si>
  <si>
    <t>400 W INDIAN</t>
  </si>
  <si>
    <t>600 N BRACH</t>
  </si>
  <si>
    <t>2401 OREGON</t>
  </si>
  <si>
    <t>6TH ST &amp; GREEN</t>
  </si>
  <si>
    <t>UPSAL &amp; CEDARB</t>
  </si>
  <si>
    <t>UPSAL &amp; 80TH A</t>
  </si>
  <si>
    <t>2900 S CARLI</t>
  </si>
  <si>
    <t>3000 S CARLI</t>
  </si>
  <si>
    <t>56&amp;RODMAN ST</t>
  </si>
  <si>
    <t>6730 GREENWA</t>
  </si>
  <si>
    <t>246 W RITTEN</t>
  </si>
  <si>
    <t>1308 BELFIEL</t>
  </si>
  <si>
    <t>49TH &amp; HAZEL A</t>
  </si>
  <si>
    <t>GARLAND &amp; ROOS</t>
  </si>
  <si>
    <t>2000 GILLING</t>
  </si>
  <si>
    <t>3RD &amp; NEDRO</t>
  </si>
  <si>
    <t>10849 NANDIN</t>
  </si>
  <si>
    <t>MASCHER &amp; SPEN</t>
  </si>
  <si>
    <t>8806 MARSDEN</t>
  </si>
  <si>
    <t>5013 CEDAR A</t>
  </si>
  <si>
    <t>4500 ELIZABE</t>
  </si>
  <si>
    <t>RED LION &amp; HAL</t>
  </si>
  <si>
    <t>2500 PARMA ST</t>
  </si>
  <si>
    <t>1851 C COLUM</t>
  </si>
  <si>
    <t>2100 W VENAN</t>
  </si>
  <si>
    <t>13TH &amp; TASKER</t>
  </si>
  <si>
    <t>3646 LIVINGS</t>
  </si>
  <si>
    <t>1900 W WESTM</t>
  </si>
  <si>
    <t>10200 BUSTLE</t>
  </si>
  <si>
    <t>60TH &amp; CHRISTI</t>
  </si>
  <si>
    <t>126 TOMLINSO</t>
  </si>
  <si>
    <t>3298 BELGRAD</t>
  </si>
  <si>
    <t>426 BROWN RE</t>
  </si>
  <si>
    <t>3099 EDGEMON</t>
  </si>
  <si>
    <t>7400 BRADFOR</t>
  </si>
  <si>
    <t>4601 SHELMIR</t>
  </si>
  <si>
    <t>206 E SHELDO</t>
  </si>
  <si>
    <t>10401 BUSTLE</t>
  </si>
  <si>
    <t>MIRIAM &amp; PRATT</t>
  </si>
  <si>
    <t>2515 W SELTZ</t>
  </si>
  <si>
    <t>6600 EASTWOO</t>
  </si>
  <si>
    <t>EDGEMONT &amp; ALL</t>
  </si>
  <si>
    <t>45800 SILVER</t>
  </si>
  <si>
    <t>244 W RITTEN</t>
  </si>
  <si>
    <t>DEPT E</t>
  </si>
  <si>
    <t>200 ROSINA ST</t>
  </si>
  <si>
    <t>7406 WHITAKE</t>
  </si>
  <si>
    <t>10606 LOCKAR</t>
  </si>
  <si>
    <t>10656 LOCKAR</t>
  </si>
  <si>
    <t>10700 LOCKAR</t>
  </si>
  <si>
    <t>2000 W BOSTO</t>
  </si>
  <si>
    <t>2337 ORTHODO</t>
  </si>
  <si>
    <t>2600 S FAIRH</t>
  </si>
  <si>
    <t>67000 WHEELE</t>
  </si>
  <si>
    <t>30TH &amp; MASTER</t>
  </si>
  <si>
    <t>182 W SPENCE</t>
  </si>
  <si>
    <t>1601 S CHRIS</t>
  </si>
  <si>
    <t>700 W GLENWO</t>
  </si>
  <si>
    <t>66 S WESTMOR</t>
  </si>
  <si>
    <t>9217 AMBASSA</t>
  </si>
  <si>
    <t>3RD FISHER</t>
  </si>
  <si>
    <t>3RD DELPHINE</t>
  </si>
  <si>
    <t>2000 E WESTM</t>
  </si>
  <si>
    <t>2112 W SPENC</t>
  </si>
  <si>
    <t>500 W CHELTE</t>
  </si>
  <si>
    <t>400 W CHELTE</t>
  </si>
  <si>
    <t>GODFREY &amp; LIME</t>
  </si>
  <si>
    <t>3736 N BOUVI</t>
  </si>
  <si>
    <t>ARRIVAL A AT</t>
  </si>
  <si>
    <t>ARRIVAL B</t>
  </si>
  <si>
    <t>254 W CLAPIE</t>
  </si>
  <si>
    <t>260 W CLAPIE</t>
  </si>
  <si>
    <t>6000 CATHERI</t>
  </si>
  <si>
    <t>2000 HELLERM</t>
  </si>
  <si>
    <t>WYOMING &amp; CAMA</t>
  </si>
  <si>
    <t>3400 BRANDWI</t>
  </si>
  <si>
    <t>5000 CEDAR A</t>
  </si>
  <si>
    <t>5900 WEYMOUT</t>
  </si>
  <si>
    <t>3800 LAWNDAL</t>
  </si>
  <si>
    <t>900 E SHACKA</t>
  </si>
  <si>
    <t>WEYMOUTH &amp; WYO</t>
  </si>
  <si>
    <t>4501 PENNHUR</t>
  </si>
  <si>
    <t>4601 PENNHUR</t>
  </si>
  <si>
    <t>1030 N AMERI</t>
  </si>
  <si>
    <t>1800 E ONTAR</t>
  </si>
  <si>
    <t>5700 HOWLAND</t>
  </si>
  <si>
    <t>17TH &amp; WOLF ST</t>
  </si>
  <si>
    <t>17 THJ &amp; WOLF ST</t>
  </si>
  <si>
    <t>900 ST VINCE</t>
  </si>
  <si>
    <t>2800 SOMERSE</t>
  </si>
  <si>
    <t>8400 ESSINGT</t>
  </si>
  <si>
    <t>16TH &amp; MIFFLIN</t>
  </si>
  <si>
    <t>FLEMING &amp; COTT</t>
  </si>
  <si>
    <t>B/C DEPART P</t>
  </si>
  <si>
    <t>DEPT D</t>
  </si>
  <si>
    <t>DEPART F</t>
  </si>
  <si>
    <t>1200 JEFFERS</t>
  </si>
  <si>
    <t>4641 BOUDINO</t>
  </si>
  <si>
    <t>6000 SUMMERD</t>
  </si>
  <si>
    <t>KENMORE RD &amp; L</t>
  </si>
  <si>
    <t>6300 HORROCK</t>
  </si>
  <si>
    <t>557 1/2 ROSA</t>
  </si>
  <si>
    <t>COTTAGE &amp; COTT</t>
  </si>
  <si>
    <t>500 S SALFOR</t>
  </si>
  <si>
    <t>5700 GERRMAN</t>
  </si>
  <si>
    <t>1100 SEDGWIC</t>
  </si>
  <si>
    <t>100 W WIDENE</t>
  </si>
  <si>
    <t>251 WALNUT P</t>
  </si>
  <si>
    <t>1088 GIFFORD</t>
  </si>
  <si>
    <t>51ST HAZEL</t>
  </si>
  <si>
    <t>3500 QUEEN L</t>
  </si>
  <si>
    <t>6800 LIMEKIL</t>
  </si>
  <si>
    <t>EASTBURN &amp; WOO</t>
  </si>
  <si>
    <t>W OXFORD &amp; 21S</t>
  </si>
  <si>
    <t>1300 W SUSQU</t>
  </si>
  <si>
    <t>1400 W MONTG</t>
  </si>
  <si>
    <t>5700 LANDGON</t>
  </si>
  <si>
    <t>929 N AMERIC</t>
  </si>
  <si>
    <t>1826 W ROCKL</t>
  </si>
  <si>
    <t>1500 MYRTLEW</t>
  </si>
  <si>
    <t>2116 S COLUM</t>
  </si>
  <si>
    <t>3400 FOX</t>
  </si>
  <si>
    <t>BELFIELD &amp; TUL</t>
  </si>
  <si>
    <t>3400 FOX ST</t>
  </si>
  <si>
    <t>4847 LEITHGO</t>
  </si>
  <si>
    <t>1000 FRIENDS</t>
  </si>
  <si>
    <t>1900 PLYMOUT</t>
  </si>
  <si>
    <t>2500 BANCROF</t>
  </si>
  <si>
    <t>WOLF &amp; CHADWIC</t>
  </si>
  <si>
    <t>29TH WHARTON</t>
  </si>
  <si>
    <t>25TH FEDERAL</t>
  </si>
  <si>
    <t>TABOR &amp; BENNER</t>
  </si>
  <si>
    <t>BIRGHAM &amp; VANK</t>
  </si>
  <si>
    <t>31ST WHARTON</t>
  </si>
  <si>
    <t>6 W WILLOW G</t>
  </si>
  <si>
    <t>7500 BREWSTE</t>
  </si>
  <si>
    <t>4814 SUMMERD</t>
  </si>
  <si>
    <t>DEPARTURE E</t>
  </si>
  <si>
    <t>6100 MCCALLU</t>
  </si>
  <si>
    <t>9731 CHAPELC</t>
  </si>
  <si>
    <t>DEPT D/E</t>
  </si>
  <si>
    <t>4000 W PARRI</t>
  </si>
  <si>
    <t>1300 ENGLEWO</t>
  </si>
  <si>
    <t>2300 W SOMER</t>
  </si>
  <si>
    <t>ALCOTT &amp; SUMME</t>
  </si>
  <si>
    <t>151 W LUZERN</t>
  </si>
  <si>
    <t>3343 MARTA ST</t>
  </si>
  <si>
    <t>513 E ASHMEA</t>
  </si>
  <si>
    <t>20TH &amp; RITNER</t>
  </si>
  <si>
    <t>2241 S COLOR</t>
  </si>
  <si>
    <t>15TH &amp; JACKSON</t>
  </si>
  <si>
    <t>1800 ELLWORT</t>
  </si>
  <si>
    <t>2350 ORTHODO</t>
  </si>
  <si>
    <t>700 N FRANKL</t>
  </si>
  <si>
    <t>2113 HOFFNAG</t>
  </si>
  <si>
    <t>200 WENDDOVE</t>
  </si>
  <si>
    <t>1111 GREENWI</t>
  </si>
  <si>
    <t>MANAYUNK &amp; JAM</t>
  </si>
  <si>
    <t>RIPKA &amp; ST DAV</t>
  </si>
  <si>
    <t>3400 W HUNTI</t>
  </si>
  <si>
    <t>B/C DEPARTUR</t>
  </si>
  <si>
    <t>915 W LINDLE</t>
  </si>
  <si>
    <t>2340 E ALLEG</t>
  </si>
  <si>
    <t>2971 ARAMING</t>
  </si>
  <si>
    <t>4614 VAN KIR</t>
  </si>
  <si>
    <t>1846 E VENAN</t>
  </si>
  <si>
    <t>50TH BALTIMO</t>
  </si>
  <si>
    <t>4613 WOODLAN</t>
  </si>
  <si>
    <t>4640 E ROOS</t>
  </si>
  <si>
    <t>3000 GRAYFER</t>
  </si>
  <si>
    <t>48TH &amp; PARRISH</t>
  </si>
  <si>
    <t>2200 BONAFFO</t>
  </si>
  <si>
    <t>2200 HUNTING</t>
  </si>
  <si>
    <t>MOORE &amp; CLEVEL</t>
  </si>
  <si>
    <t>8200 ARCH ST</t>
  </si>
  <si>
    <t>100 SALGINAC</t>
  </si>
  <si>
    <t>JOHNSON &amp; GREE</t>
  </si>
  <si>
    <t>2900 W GIRAR</t>
  </si>
  <si>
    <t>4799 SPRINGF</t>
  </si>
  <si>
    <t>ROXBOROUGH &amp; B</t>
  </si>
  <si>
    <t>1715 DANFORT</t>
  </si>
  <si>
    <t>13TH WESTMOR</t>
  </si>
  <si>
    <t>1700 S ORIAN</t>
  </si>
  <si>
    <t>OXFORD &amp; FRONT</t>
  </si>
  <si>
    <t>2300 W CLEAR</t>
  </si>
  <si>
    <t>FOX &amp; ROBERTS</t>
  </si>
  <si>
    <t>5500 LAWRENC</t>
  </si>
  <si>
    <t>2411 W LEHIG</t>
  </si>
  <si>
    <t>5700 CHRISTI</t>
  </si>
  <si>
    <t>414 W ALLEGH</t>
  </si>
  <si>
    <t>FOX &amp; ROBERT</t>
  </si>
  <si>
    <t>FOX &amp; ROBERTS0</t>
  </si>
  <si>
    <t>2200 WANNAMA</t>
  </si>
  <si>
    <t>6602 RIDGE A</t>
  </si>
  <si>
    <t>3500 FOX ST</t>
  </si>
  <si>
    <t>3000 ELLEN</t>
  </si>
  <si>
    <t>5800 PEMBERT</t>
  </si>
  <si>
    <t>300 E ELHURS</t>
  </si>
  <si>
    <t>19TH &amp; MIFFLIN</t>
  </si>
  <si>
    <t>1900 LONGSHO</t>
  </si>
  <si>
    <t>GREENE &amp; WALNU</t>
  </si>
  <si>
    <t>9TH &amp; REED</t>
  </si>
  <si>
    <t>5800 WEYMOUT</t>
  </si>
  <si>
    <t>WOODSTOCK &amp; PO</t>
  </si>
  <si>
    <t>1017 ELLSWOR</t>
  </si>
  <si>
    <t>WOLF &amp; HEMBERG</t>
  </si>
  <si>
    <t>1700 W FRENC</t>
  </si>
  <si>
    <t>CHADWICK &amp; MOO</t>
  </si>
  <si>
    <t>1949 S BOUVI</t>
  </si>
  <si>
    <t>GARNET &amp; PORTE</t>
  </si>
  <si>
    <t>20TH &amp; MCKEAN</t>
  </si>
  <si>
    <t>4800 OGLE S0</t>
  </si>
  <si>
    <t>600 E WYOMIN</t>
  </si>
  <si>
    <t>MANAYUNK &amp; KAL</t>
  </si>
  <si>
    <t>400 W WHARTO</t>
  </si>
  <si>
    <t>2ND &amp; SPRUCE</t>
  </si>
  <si>
    <t>3100 EDGEMON</t>
  </si>
  <si>
    <t>2025 CLEARFI</t>
  </si>
  <si>
    <t>GREEN &amp; SILVER</t>
  </si>
  <si>
    <t>1655 W MORRI</t>
  </si>
  <si>
    <t>101 EAST OLN</t>
  </si>
  <si>
    <t>ONE EAST OLN</t>
  </si>
  <si>
    <t>926 S FARRAG</t>
  </si>
  <si>
    <t>3300 BELGRAD</t>
  </si>
  <si>
    <t>21ST &amp; YORK</t>
  </si>
  <si>
    <t>800 S ROSEWO</t>
  </si>
  <si>
    <t>2513 MYRTLEW</t>
  </si>
  <si>
    <t>1306 CARLISL</t>
  </si>
  <si>
    <t>864 E SCHILL</t>
  </si>
  <si>
    <t>810 E SCHILL</t>
  </si>
  <si>
    <t>1500 S FRANK</t>
  </si>
  <si>
    <t>2ND &amp; ROSELYN</t>
  </si>
  <si>
    <t>5800 AMERICA</t>
  </si>
  <si>
    <t>NANAYUNK &amp; MON</t>
  </si>
  <si>
    <t>21ST &amp; KATER</t>
  </si>
  <si>
    <t>3900 TILDEN</t>
  </si>
  <si>
    <t>JACKSON &amp; BRID</t>
  </si>
  <si>
    <t>2300 E WESTM</t>
  </si>
  <si>
    <t>3400 CRAWFOR</t>
  </si>
  <si>
    <t>6219 WOODLAN</t>
  </si>
  <si>
    <t>PALMETTO &amp; COT</t>
  </si>
  <si>
    <t>3800 CONROD</t>
  </si>
  <si>
    <t>1445 N VODGE</t>
  </si>
  <si>
    <t>5014 SPRINGF</t>
  </si>
  <si>
    <t>1500 STIRLIN</t>
  </si>
  <si>
    <t>2300 S HUTCH</t>
  </si>
  <si>
    <t>1239 POINTBR</t>
  </si>
  <si>
    <t>APPLE &amp; BURNSI</t>
  </si>
  <si>
    <t>4812 PALTHOR</t>
  </si>
  <si>
    <t>4816 PALETHO</t>
  </si>
  <si>
    <t>4818 PALTHOR</t>
  </si>
  <si>
    <t>3836 CAMBRID</t>
  </si>
  <si>
    <t>6123 WAYNE A</t>
  </si>
  <si>
    <t>1222 FRIENDS</t>
  </si>
  <si>
    <t>1100 RIDGE A</t>
  </si>
  <si>
    <t>2541 E INDIA</t>
  </si>
  <si>
    <t>2536 E INDIA</t>
  </si>
  <si>
    <t>1900 AMBASSD</t>
  </si>
  <si>
    <t>1210 W AIRDR</t>
  </si>
  <si>
    <t>200 W ALLEGH</t>
  </si>
  <si>
    <t>2200 WANAMAK</t>
  </si>
  <si>
    <t>12737 W LEHI</t>
  </si>
  <si>
    <t>600 BROOKMON</t>
  </si>
  <si>
    <t>FAIRMOUNT &amp; OR</t>
  </si>
  <si>
    <t>W ROCKLAND &amp; N</t>
  </si>
  <si>
    <t>1400 ELBRIDG</t>
  </si>
  <si>
    <t>1600 S FRAIZ</t>
  </si>
  <si>
    <t>2000 W HUNTI</t>
  </si>
  <si>
    <t>PHILIP &amp; MCKEA</t>
  </si>
  <si>
    <t>4616 N HURLE</t>
  </si>
  <si>
    <t>4628 N HURLE</t>
  </si>
  <si>
    <t>4642 N HURLE</t>
  </si>
  <si>
    <t>4654 N HURLE</t>
  </si>
  <si>
    <t>4600 N HURLE</t>
  </si>
  <si>
    <t>4600 BOUDINO</t>
  </si>
  <si>
    <t>4639 N BOUDI</t>
  </si>
  <si>
    <t>4637 N BOUDI</t>
  </si>
  <si>
    <t>4633 N BOUDI</t>
  </si>
  <si>
    <t>4631 N BOUDI</t>
  </si>
  <si>
    <t>4600 N PALET</t>
  </si>
  <si>
    <t>2214 S DARIE</t>
  </si>
  <si>
    <t>5TH OLIVE ST</t>
  </si>
  <si>
    <t>6300 N AMBRO</t>
  </si>
  <si>
    <t>6300 N GREEN</t>
  </si>
  <si>
    <t>16TH &amp; MOORE</t>
  </si>
  <si>
    <t>6200 SHELBOU</t>
  </si>
  <si>
    <t>1 N FELTON 1</t>
  </si>
  <si>
    <t>5900 COGATE &amp; A</t>
  </si>
  <si>
    <t>27TH &amp; MOORE ST</t>
  </si>
  <si>
    <t>6936 SYLVEST</t>
  </si>
  <si>
    <t>28TH &amp; WHARTON</t>
  </si>
  <si>
    <t>2732 SOMERSE</t>
  </si>
  <si>
    <t>SPRINGFIELD &amp;</t>
  </si>
  <si>
    <t>2803 W ALLEG</t>
  </si>
  <si>
    <t>COBBS CREEK</t>
  </si>
  <si>
    <t>27TH &amp; TASKER</t>
  </si>
  <si>
    <t>26TH &amp; LATONA</t>
  </si>
  <si>
    <t>1800 KENDRIC</t>
  </si>
  <si>
    <t>627 E WENSLE</t>
  </si>
  <si>
    <t>400 S GREENW</t>
  </si>
  <si>
    <t>57TH HAZEL A</t>
  </si>
  <si>
    <t>5649 WARRING</t>
  </si>
  <si>
    <t>1638 CARPENT</t>
  </si>
  <si>
    <t>18TH &amp; EDGLEY</t>
  </si>
  <si>
    <t>STATE ST &amp; BAR</t>
  </si>
  <si>
    <t>1000 E BRIST</t>
  </si>
  <si>
    <t>6013 N RD ST</t>
  </si>
  <si>
    <t>300 N PRESTO</t>
  </si>
  <si>
    <t>17TH &amp; DIAMOND</t>
  </si>
  <si>
    <t>1600 W LEHIG</t>
  </si>
  <si>
    <t>2422 W ALLEG</t>
  </si>
  <si>
    <t>669 F ST</t>
  </si>
  <si>
    <t>744 FISHER A</t>
  </si>
  <si>
    <t>900 N ST BER</t>
  </si>
  <si>
    <t>607 ALLEGHEN</t>
  </si>
  <si>
    <t>1800 CLEMENT</t>
  </si>
  <si>
    <t>18TH &amp; MCLELLA</t>
  </si>
  <si>
    <t>3300 BRANDYW</t>
  </si>
  <si>
    <t>1 W CHELT</t>
  </si>
  <si>
    <t>5218 SCHUYLE</t>
  </si>
  <si>
    <t>1600 W MONTG</t>
  </si>
  <si>
    <t>1628 N GRAT</t>
  </si>
  <si>
    <t>N 17TH &amp; W C B</t>
  </si>
  <si>
    <t>N 17TH &amp; W OXF</t>
  </si>
  <si>
    <t>500 E WINGOH</t>
  </si>
  <si>
    <t>6200 N SMEDL</t>
  </si>
  <si>
    <t>2300 W VENAN</t>
  </si>
  <si>
    <t>3850 HAVERFO</t>
  </si>
  <si>
    <t>4800 PATLHOR</t>
  </si>
  <si>
    <t>400 N SICKEL</t>
  </si>
  <si>
    <t>2206 WASHING</t>
  </si>
  <si>
    <t>1300 W ROCKL</t>
  </si>
  <si>
    <t>18TH &amp; SHUNK ST</t>
  </si>
  <si>
    <t>16TH &amp; HAINES</t>
  </si>
  <si>
    <t>2033 E ONTAR</t>
  </si>
  <si>
    <t>1779 SCATTER</t>
  </si>
  <si>
    <t>4500 WHITAKE</t>
  </si>
  <si>
    <t>3217 SPANGLE</t>
  </si>
  <si>
    <t>4913 N FRANK</t>
  </si>
  <si>
    <t>556 FOUTAIN</t>
  </si>
  <si>
    <t>14TH &amp; RITNER</t>
  </si>
  <si>
    <t>7201 BRADFOR</t>
  </si>
  <si>
    <t>4501 N SMEDL</t>
  </si>
  <si>
    <t>3862 N FRANK</t>
  </si>
  <si>
    <t>1903 WHITTEN</t>
  </si>
  <si>
    <t>1910 WHITTEN</t>
  </si>
  <si>
    <t>CZARNECKI</t>
  </si>
  <si>
    <t>600 SHARON L</t>
  </si>
  <si>
    <t>DEPARTURE D</t>
  </si>
  <si>
    <t>5400 CLARIDG</t>
  </si>
  <si>
    <t>4727 SHEFFIE</t>
  </si>
  <si>
    <t>6028 CATHARI</t>
  </si>
  <si>
    <t>3900 WHITAKE</t>
  </si>
  <si>
    <t>3077 N THOMP</t>
  </si>
  <si>
    <t>400 SLOAN</t>
  </si>
  <si>
    <t>1941 CHRISTI</t>
  </si>
  <si>
    <t>5633 N WARNO</t>
  </si>
  <si>
    <t>613 E WYOMIN</t>
  </si>
  <si>
    <t>BARING &amp; STATE</t>
  </si>
  <si>
    <t>6540 WOODLAN</t>
  </si>
  <si>
    <t>1900 W OREGO</t>
  </si>
  <si>
    <t>56TH SANSOM</t>
  </si>
  <si>
    <t>5700 HENRY AVE</t>
  </si>
  <si>
    <t>1700 N HOLLY</t>
  </si>
  <si>
    <t>1600 W WINGO</t>
  </si>
  <si>
    <t>4058 N 55TH</t>
  </si>
  <si>
    <t>200 E CLIVED</t>
  </si>
  <si>
    <t>91 E SHARPNA</t>
  </si>
  <si>
    <t>4224 PENNSGR</t>
  </si>
  <si>
    <t>1600 CATHARI</t>
  </si>
  <si>
    <t>1900 CATHARI</t>
  </si>
  <si>
    <t>PASSYUNK &amp; CHA</t>
  </si>
  <si>
    <t>1100 S CLIFT</t>
  </si>
  <si>
    <t>1820 W CB MO</t>
  </si>
  <si>
    <t>ETTING &amp; MOORE</t>
  </si>
  <si>
    <t>2600 S FRAZI</t>
  </si>
  <si>
    <t>D</t>
  </si>
  <si>
    <t>FAIRMOUNT &amp; MA</t>
  </si>
  <si>
    <t>7100 SUMMERD</t>
  </si>
  <si>
    <t>1720 BELFIEL</t>
  </si>
  <si>
    <t>5965 OVERBRO</t>
  </si>
  <si>
    <t>4600 ROOS BL</t>
  </si>
  <si>
    <t>700 E BELGRA</t>
  </si>
  <si>
    <t>3001 BELGRAD</t>
  </si>
  <si>
    <t>5900 HUTCHIN</t>
  </si>
  <si>
    <t>1300 E CAYUG</t>
  </si>
  <si>
    <t>1500 E CAYUG</t>
  </si>
  <si>
    <t>29TH &amp; ALLEGHE</t>
  </si>
  <si>
    <t>1100 MCCLELL</t>
  </si>
  <si>
    <t>1700 N SYDEN</t>
  </si>
  <si>
    <t>370 LYCEUM A</t>
  </si>
  <si>
    <t>PRICE &amp; GERMAN</t>
  </si>
  <si>
    <t>77TH AVE</t>
  </si>
  <si>
    <t>3419 BELGRAD</t>
  </si>
  <si>
    <t>7000 CRESHIE</t>
  </si>
  <si>
    <t>5700J BINGHA</t>
  </si>
  <si>
    <t>LEBANON &amp; DIAM</t>
  </si>
  <si>
    <t>DIAMOND &amp; LEBA</t>
  </si>
  <si>
    <t>300 COGAN ST</t>
  </si>
  <si>
    <t>500 HANSBERR</t>
  </si>
  <si>
    <t>5100 LARCHWO</t>
  </si>
  <si>
    <t>BROAD &amp; JACKSO</t>
  </si>
  <si>
    <t>TOMLINSON RD</t>
  </si>
  <si>
    <t>4800 ORMES ST</t>
  </si>
  <si>
    <t>4800 ROSEHIL</t>
  </si>
  <si>
    <t>B C DEPARTUR</t>
  </si>
  <si>
    <t>8601 EVERGRE</t>
  </si>
  <si>
    <t>66&amp;SAYBROOK</t>
  </si>
  <si>
    <t>BAMBREY &amp; INDI</t>
  </si>
  <si>
    <t>1215 E PALME</t>
  </si>
  <si>
    <t>1400 WADSWOR</t>
  </si>
  <si>
    <t>2643 W LEHIG</t>
  </si>
  <si>
    <t>2637 W LEHIG</t>
  </si>
  <si>
    <t>1700 W WINGO</t>
  </si>
  <si>
    <t>520 WESTMORE</t>
  </si>
  <si>
    <t>1800 E THAYE</t>
  </si>
  <si>
    <t>ALDER &amp; LATONA</t>
  </si>
  <si>
    <t>13TH &amp; COURTLA</t>
  </si>
  <si>
    <t>4844 CEDAR A</t>
  </si>
  <si>
    <t>315 LEVERING</t>
  </si>
  <si>
    <t>1512 MOYAMEN</t>
  </si>
  <si>
    <t>WEYMOUTH &amp; ANN</t>
  </si>
  <si>
    <t>WEYMOUTH &amp; COU</t>
  </si>
  <si>
    <t>4942 PARKSID</t>
  </si>
  <si>
    <t>BELGRADE &amp; VEN</t>
  </si>
  <si>
    <t>2600 E WESTM</t>
  </si>
  <si>
    <t>5642 N MASCH</t>
  </si>
  <si>
    <t>62ND &amp; CARPENT</t>
  </si>
  <si>
    <t>PECHIN &amp; KINGS</t>
  </si>
  <si>
    <t>400 MITCHELL</t>
  </si>
  <si>
    <t>MONASTARY &amp; FR</t>
  </si>
  <si>
    <t>3860 N SMEDL</t>
  </si>
  <si>
    <t>3700 CARLISL</t>
  </si>
  <si>
    <t>127 E WYOMIN</t>
  </si>
  <si>
    <t>244 W JOHNSO</t>
  </si>
  <si>
    <t>4900 BOUDINO</t>
  </si>
  <si>
    <t>4900 HURLEY</t>
  </si>
  <si>
    <t>FRONT &amp; LIPPIN</t>
  </si>
  <si>
    <t>1931 ATLANTI</t>
  </si>
  <si>
    <t>19TH DICKINS</t>
  </si>
  <si>
    <t>7300 SUMMERD</t>
  </si>
  <si>
    <t>1700 FOX CHA</t>
  </si>
  <si>
    <t>6165 DELANCE</t>
  </si>
  <si>
    <t>1900 S MOVE</t>
  </si>
  <si>
    <t>62&amp;IRVING ST</t>
  </si>
  <si>
    <t>29TH &amp; OXFORD</t>
  </si>
  <si>
    <t>62&amp;HAZEL</t>
  </si>
  <si>
    <t>16TH &amp; MOORE ST</t>
  </si>
  <si>
    <t>62&amp;CEDAR</t>
  </si>
  <si>
    <t>58TH &amp; RODMAN</t>
  </si>
  <si>
    <t>1519 W CHELT</t>
  </si>
  <si>
    <t>6750 SYLVEST</t>
  </si>
  <si>
    <t>200 FLORISH</t>
  </si>
  <si>
    <t>512 E WESTMO</t>
  </si>
  <si>
    <t>441 E ONTARI</t>
  </si>
  <si>
    <t>COURTLAND &amp; OL</t>
  </si>
  <si>
    <t>13TH &amp; ROCKLAN</t>
  </si>
  <si>
    <t>1701 S PACKE</t>
  </si>
  <si>
    <t>6045 SUMMERD</t>
  </si>
  <si>
    <t>MIFFLIN &amp; WOOD</t>
  </si>
  <si>
    <t>6TH &amp; TASKER ST</t>
  </si>
  <si>
    <t>1752 WASHING</t>
  </si>
  <si>
    <t>2400 E ALLEG</t>
  </si>
  <si>
    <t>7300 WOOLSTE</t>
  </si>
  <si>
    <t>7300 SOMMER</t>
  </si>
  <si>
    <t>300 AGAT</t>
  </si>
  <si>
    <t>1500 CARLISE</t>
  </si>
  <si>
    <t>1543 W SELTZ</t>
  </si>
  <si>
    <t>1529 CARLISL</t>
  </si>
  <si>
    <t>1900 STERLIN</t>
  </si>
  <si>
    <t>3234 STILLMA</t>
  </si>
  <si>
    <t>2649 E ELKHA</t>
  </si>
  <si>
    <t>900 W GODFRE</t>
  </si>
  <si>
    <t>3700 N BOUVI</t>
  </si>
  <si>
    <t>3878 GLENWOO</t>
  </si>
  <si>
    <t>2300 W LEHIG</t>
  </si>
  <si>
    <t>9920 BUSTLET</t>
  </si>
  <si>
    <t>3126 ENGLEWO</t>
  </si>
  <si>
    <t>2702 W CAMBR</t>
  </si>
  <si>
    <t>722 WASHINGT</t>
  </si>
  <si>
    <t>114  W MASTE</t>
  </si>
  <si>
    <t>5TH &amp; LYCOMING</t>
  </si>
  <si>
    <t>2361 E BOSTO</t>
  </si>
  <si>
    <t>2300 E BOSTO</t>
  </si>
  <si>
    <t>FRONT &amp; WESTMO</t>
  </si>
  <si>
    <t>1525 CARPENT</t>
  </si>
  <si>
    <t>133 W TULPEH</t>
  </si>
  <si>
    <t>1400 UNRUH A</t>
  </si>
  <si>
    <t>UBER &amp; 72ND</t>
  </si>
  <si>
    <t>1300 TUPLEHO</t>
  </si>
  <si>
    <t>5800 N PHILI</t>
  </si>
  <si>
    <t>1221 N ST BE</t>
  </si>
  <si>
    <t>5800 N 56TH</t>
  </si>
  <si>
    <t>4600 E ROOSV</t>
  </si>
  <si>
    <t>2000 PEMBERT</t>
  </si>
  <si>
    <t>633 W RITTEN</t>
  </si>
  <si>
    <t>53RD &amp; CEDAR</t>
  </si>
  <si>
    <t>4015 GLENDAL</t>
  </si>
  <si>
    <t>6406 ALGON A</t>
  </si>
  <si>
    <t>6315 RISING</t>
  </si>
  <si>
    <t>6148 REEDLAN</t>
  </si>
  <si>
    <t>2700 E MADIS</t>
  </si>
  <si>
    <t>1420 CATHERI</t>
  </si>
  <si>
    <t>A</t>
  </si>
  <si>
    <t>5900 N FRANK</t>
  </si>
  <si>
    <t>5700 WEYMOUT</t>
  </si>
  <si>
    <t>1238 COLLOWH</t>
  </si>
  <si>
    <t>6800 MUSGRAV</t>
  </si>
  <si>
    <t>1500 PRINCET</t>
  </si>
  <si>
    <t>425 E ALLEGH</t>
  </si>
  <si>
    <t>5500 BLAKEMO</t>
  </si>
  <si>
    <t>2500 GRAYSFE</t>
  </si>
  <si>
    <t>2400 GRAYSFE</t>
  </si>
  <si>
    <t>49TH &amp; PASCHAL</t>
  </si>
  <si>
    <t>400 MEDARY A</t>
  </si>
  <si>
    <t>1800 CATHARI</t>
  </si>
  <si>
    <t>3000 W GIRAR</t>
  </si>
  <si>
    <t>1000 N 30TH</t>
  </si>
  <si>
    <t>200 W JOHNSO</t>
  </si>
  <si>
    <t>3461 W HUNTI</t>
  </si>
  <si>
    <t>2805 N MASCH</t>
  </si>
  <si>
    <t>2200 E CAMBR</t>
  </si>
  <si>
    <t>1634 W STILE</t>
  </si>
  <si>
    <t>1 W RITTENHO</t>
  </si>
  <si>
    <t>1501 W LEHIG</t>
  </si>
  <si>
    <t>1201 S EDGEW</t>
  </si>
  <si>
    <t>LORETTO &amp; STAN</t>
  </si>
  <si>
    <t>6625 MCCALLO</t>
  </si>
  <si>
    <t>PHILMONT &amp; NAP</t>
  </si>
  <si>
    <t>61 CHEROKEE</t>
  </si>
  <si>
    <t>2245 S COLOR</t>
  </si>
  <si>
    <t>231 KENILWOR</t>
  </si>
  <si>
    <t>349 W MOUNT</t>
  </si>
  <si>
    <t>7TH &amp; ANNIN</t>
  </si>
  <si>
    <t>6733 MELEN</t>
  </si>
  <si>
    <t>3100 N FRANK</t>
  </si>
  <si>
    <t>RIDGE &amp; WALLAC</t>
  </si>
  <si>
    <t>6101 WASHING</t>
  </si>
  <si>
    <t>17TH &amp; MOYAMEN</t>
  </si>
  <si>
    <t>500 E WINGHO</t>
  </si>
  <si>
    <t>55TH CEDAR</t>
  </si>
  <si>
    <t>3900 NECTARI</t>
  </si>
  <si>
    <t>9300 KREWSTO</t>
  </si>
  <si>
    <t>55TH &amp; WESTMIN</t>
  </si>
  <si>
    <t>1105 BRANDYW</t>
  </si>
  <si>
    <t>6309 CRESCEN</t>
  </si>
  <si>
    <t>6309 CRSECEN</t>
  </si>
  <si>
    <t>109 E MT AIR</t>
  </si>
  <si>
    <t>1146 E MT AI</t>
  </si>
  <si>
    <t>HERMITAGE &amp; MA</t>
  </si>
  <si>
    <t>1741 SCATTER</t>
  </si>
  <si>
    <t>1749 SCATTER</t>
  </si>
  <si>
    <t>BAILEY &amp; CAMBR</t>
  </si>
  <si>
    <t>GAY &amp; BAKER ST</t>
  </si>
  <si>
    <t>CAMBRIA &amp; BAIL</t>
  </si>
  <si>
    <t>6401 GREEN</t>
  </si>
  <si>
    <t>5308 SYLVEST</t>
  </si>
  <si>
    <t>2712 KIRKBRI</t>
  </si>
  <si>
    <t>22ND &amp; JACKSON</t>
  </si>
  <si>
    <t>861 N LAWREN</t>
  </si>
  <si>
    <t>300 DEVEREAU</t>
  </si>
  <si>
    <t>17TH FEDERAL</t>
  </si>
  <si>
    <t>18TH FEDERAL</t>
  </si>
  <si>
    <t>16TH FEDERAL</t>
  </si>
  <si>
    <t>812 N LAWREN</t>
  </si>
  <si>
    <t>1900 E ALLEG</t>
  </si>
  <si>
    <t>400 E THOMPS</t>
  </si>
  <si>
    <t>900 W INDIAN</t>
  </si>
  <si>
    <t>1806 FOXCHAS</t>
  </si>
  <si>
    <t>2ND &amp; FRONT</t>
  </si>
  <si>
    <t>8566 WILLIAM</t>
  </si>
  <si>
    <t>BOYER &amp; ROUMFO</t>
  </si>
  <si>
    <t>1400 BARRING</t>
  </si>
  <si>
    <t>RORER &amp; CLEARF</t>
  </si>
  <si>
    <t>127 E MT AIR</t>
  </si>
  <si>
    <t>116 MAPLEWOO</t>
  </si>
  <si>
    <t>51ST &amp; HAVERFO</t>
  </si>
  <si>
    <t>RICHMOND &amp; EDD</t>
  </si>
  <si>
    <t>95 RAMP PHL</t>
  </si>
  <si>
    <t>95 RAMP &amp; PHL</t>
  </si>
  <si>
    <t>23RD &amp; OREGON</t>
  </si>
  <si>
    <t>200 E CHELTE</t>
  </si>
  <si>
    <t>TABOR &amp; MAYFAI</t>
  </si>
  <si>
    <t>500 E ASHMEA</t>
  </si>
  <si>
    <t>19100 S BOUV</t>
  </si>
  <si>
    <t>4610 ROOS BL</t>
  </si>
  <si>
    <t>2000 GLENDAL</t>
  </si>
  <si>
    <t>1400 BRIGHTO</t>
  </si>
  <si>
    <t>6243 CARPENT</t>
  </si>
  <si>
    <t>3501 ARAMING</t>
  </si>
  <si>
    <t>5961 ELSINOR</t>
  </si>
  <si>
    <t>1500 JEFFERS</t>
  </si>
  <si>
    <t>6556 HORROCK</t>
  </si>
  <si>
    <t>1700 MONTGOM</t>
  </si>
  <si>
    <t>2700 W POPLA</t>
  </si>
  <si>
    <t>2800 W POPLA</t>
  </si>
  <si>
    <t>3000 W POPLA</t>
  </si>
  <si>
    <t>30TH &amp; POPLAR</t>
  </si>
  <si>
    <t>4300 FRANKLI</t>
  </si>
  <si>
    <t>3RD &amp; POPLAR</t>
  </si>
  <si>
    <t>900 SHACKAMA</t>
  </si>
  <si>
    <t>5400 WAYNE A</t>
  </si>
  <si>
    <t>8TH &amp; ELLSWORT</t>
  </si>
  <si>
    <t>814 N ORIANN</t>
  </si>
  <si>
    <t>6500 CRAWFOR</t>
  </si>
  <si>
    <t>2953 RIDGE A</t>
  </si>
  <si>
    <t>601 W CLIVED</t>
  </si>
  <si>
    <t>700 KINDRED</t>
  </si>
  <si>
    <t>5964 RISING</t>
  </si>
  <si>
    <t>19TH &amp; FEDERAL</t>
  </si>
  <si>
    <t>7300 COTTMAN</t>
  </si>
  <si>
    <t>1520 WINGOHO</t>
  </si>
  <si>
    <t>20TH &amp; KIMBALL</t>
  </si>
  <si>
    <t>18TH &amp; SNYDER</t>
  </si>
  <si>
    <t>4200 CARLISL</t>
  </si>
  <si>
    <t>1200 S CORLI</t>
  </si>
  <si>
    <t>300 W SPENCE</t>
  </si>
  <si>
    <t>6600 LNYFORD</t>
  </si>
  <si>
    <t>5034 N SYDEN</t>
  </si>
  <si>
    <t>4812 WESTMIN</t>
  </si>
  <si>
    <t>3600 N GERMA</t>
  </si>
  <si>
    <t>GRANT &amp; CLARK</t>
  </si>
  <si>
    <t>DEPARTURE F</t>
  </si>
  <si>
    <t>3640 N GERMA</t>
  </si>
  <si>
    <t>2300 ALLEGHE</t>
  </si>
  <si>
    <t>4700 WHITAKE</t>
  </si>
  <si>
    <t>5400 COLGATE</t>
  </si>
  <si>
    <t>MASTER &amp; PEACH</t>
  </si>
  <si>
    <t>D &amp; WYOMING</t>
  </si>
  <si>
    <t>RIPKA &amp; BAKER</t>
  </si>
  <si>
    <t>234 W ALLEGH</t>
  </si>
  <si>
    <t>500 E COURTL</t>
  </si>
  <si>
    <t>500 W CORNWA</t>
  </si>
  <si>
    <t>21ST &amp; MERCY</t>
  </si>
  <si>
    <t>1800 TYSON A</t>
  </si>
  <si>
    <t>5601 CHEST</t>
  </si>
  <si>
    <t>1035 KERWYN</t>
  </si>
  <si>
    <t>DUVAL &amp; BURBRI</t>
  </si>
  <si>
    <t>6724 GREENWA</t>
  </si>
  <si>
    <t>100 PARHER A</t>
  </si>
  <si>
    <t>GRANGE &amp; LARGE</t>
  </si>
  <si>
    <t>52 WALTON</t>
  </si>
  <si>
    <t>5049 NORTH ST</t>
  </si>
  <si>
    <t>3649 N GERMA</t>
  </si>
  <si>
    <t>5400 CHRISTI</t>
  </si>
  <si>
    <t>1 E CHELT</t>
  </si>
  <si>
    <t>8400 PICKERI</t>
  </si>
  <si>
    <t>BUIST AVE &amp; HO</t>
  </si>
  <si>
    <t>BONNAFFON ST</t>
  </si>
  <si>
    <t>4100 N FAIRH</t>
  </si>
  <si>
    <t>237 WESTMORE</t>
  </si>
  <si>
    <t>9300 OLD BUS</t>
  </si>
  <si>
    <t>5776 JEFFERS</t>
  </si>
  <si>
    <t>1600 S BEULA</t>
  </si>
  <si>
    <t>6349 MARSLU</t>
  </si>
  <si>
    <t>52&amp;CEDAR</t>
  </si>
  <si>
    <t>1973 SCATTER</t>
  </si>
  <si>
    <t>4256 TACKAWA</t>
  </si>
  <si>
    <t>4262 N FAIRH</t>
  </si>
  <si>
    <t>6300 LAWNDAL</t>
  </si>
  <si>
    <t>JUDSON &amp; SOMER</t>
  </si>
  <si>
    <t>100 W 65TH A</t>
  </si>
  <si>
    <t>FAIRHILL &amp; FIS</t>
  </si>
  <si>
    <t>5TH &amp; JACKSON</t>
  </si>
  <si>
    <t>20TH &amp; ELSTON</t>
  </si>
  <si>
    <t>1 RD</t>
  </si>
  <si>
    <t>7028 HEGARMA</t>
  </si>
  <si>
    <t>2731 CLEARFI</t>
  </si>
  <si>
    <t>8500 SUMMERD</t>
  </si>
  <si>
    <t>5819 CARPENT</t>
  </si>
  <si>
    <t>1623 ROUMFOR</t>
  </si>
  <si>
    <t>MARRIOTT HOT</t>
  </si>
  <si>
    <t>1433 W GIRAR</t>
  </si>
  <si>
    <t>123 E LUZERN</t>
  </si>
  <si>
    <t>DEPT D E</t>
  </si>
  <si>
    <t>300 E LUZERN</t>
  </si>
  <si>
    <t>863 E WESTMO</t>
  </si>
  <si>
    <t>4833 LEITHGO</t>
  </si>
  <si>
    <t>538 E WESTMO</t>
  </si>
  <si>
    <t>1300 CUMBERL</t>
  </si>
  <si>
    <t>2311 S CROSK</t>
  </si>
  <si>
    <t>1616 W WINGO</t>
  </si>
  <si>
    <t>3RD &amp; LINTON ST</t>
  </si>
  <si>
    <t>1500 HULSEMA</t>
  </si>
  <si>
    <t>74 ST</t>
  </si>
  <si>
    <t>50&amp;ARCH ST</t>
  </si>
  <si>
    <t>1500 SMYRTLE</t>
  </si>
  <si>
    <t>600 W WINGHO</t>
  </si>
  <si>
    <t>5900 BELDER</t>
  </si>
  <si>
    <t>343 E HOLLAN</t>
  </si>
  <si>
    <t>ECONOMY LOT</t>
  </si>
  <si>
    <t>ECONO LOT PI</t>
  </si>
  <si>
    <t>6444 MORRIS</t>
  </si>
  <si>
    <t>546 ALLEGHEN</t>
  </si>
  <si>
    <t>LINCOLN DRIV</t>
  </si>
  <si>
    <t>827 RISING ST</t>
  </si>
  <si>
    <t>TABOR &amp; MAYFIE</t>
  </si>
  <si>
    <t>MAYFIELD &amp; TAB</t>
  </si>
  <si>
    <t>50TH SPRINGF</t>
  </si>
  <si>
    <t>THOURON &amp; CLIV</t>
  </si>
  <si>
    <t>53RD &amp; CATHERI</t>
  </si>
  <si>
    <t>DITMAN &amp; KIRSE</t>
  </si>
  <si>
    <t>100 W WASHIN</t>
  </si>
  <si>
    <t>200 CHELTENH</t>
  </si>
  <si>
    <t>1300 E PALME</t>
  </si>
  <si>
    <t>2600 S MASSE</t>
  </si>
  <si>
    <t>1700 WESTMOR</t>
  </si>
  <si>
    <t>MOLE &amp; MIFFLIN</t>
  </si>
  <si>
    <t>199 W SOMERS</t>
  </si>
  <si>
    <t>128 W CHESTN</t>
  </si>
  <si>
    <t>136 W CHESTN</t>
  </si>
  <si>
    <t>1618 W STI</t>
  </si>
  <si>
    <t>2323 HOFFNAG</t>
  </si>
  <si>
    <t>1020 W WALNU</t>
  </si>
  <si>
    <t>1505 DICKINS</t>
  </si>
  <si>
    <t>1502 DICKSON</t>
  </si>
  <si>
    <t>7500 BATTERS</t>
  </si>
  <si>
    <t>1300 W ALBAN</t>
  </si>
  <si>
    <t>1615 WALNU</t>
  </si>
  <si>
    <t>1521 SPRIN</t>
  </si>
  <si>
    <t>1619 SPRUC</t>
  </si>
  <si>
    <t>A BAGGAGE LO</t>
  </si>
  <si>
    <t>1531 SPRIN</t>
  </si>
  <si>
    <t>4400 WESTMIN</t>
  </si>
  <si>
    <t>SPANGLER &amp; ALL</t>
  </si>
  <si>
    <t>1605 WALNU</t>
  </si>
  <si>
    <t>1131 E SHACK</t>
  </si>
  <si>
    <t>2700 S COLOR</t>
  </si>
  <si>
    <t>400 W ABBOTT</t>
  </si>
  <si>
    <t>2007 WASHING</t>
  </si>
  <si>
    <t>1819 W MEDAR</t>
  </si>
  <si>
    <t>SAUNDERS &amp; BAR</t>
  </si>
  <si>
    <t>449 W STAFFO</t>
  </si>
  <si>
    <t>4200 MONTGOM</t>
  </si>
  <si>
    <t>2ND &amp; FISHER</t>
  </si>
  <si>
    <t>121 W SHARPN</t>
  </si>
  <si>
    <t>3000 S SYDEN</t>
  </si>
  <si>
    <t>300 E SOMERS</t>
  </si>
  <si>
    <t>PASSYUNK &amp; CHR</t>
  </si>
  <si>
    <t>1700 CARPENT</t>
  </si>
  <si>
    <t>1100 CHESWOR</t>
  </si>
  <si>
    <t>4231 SHEFFIE</t>
  </si>
  <si>
    <t>3646 N GERMA</t>
  </si>
  <si>
    <t>2127 B ARCH</t>
  </si>
  <si>
    <t>2608 BRADDOC</t>
  </si>
  <si>
    <t>4300 PALMETT</t>
  </si>
  <si>
    <t>1604 W DIAMO</t>
  </si>
  <si>
    <t>7432 GEORGE</t>
  </si>
  <si>
    <t>37TH ASPEN ST</t>
  </si>
  <si>
    <t>1300 W CHAMP</t>
  </si>
  <si>
    <t>2800 CAMBRID</t>
  </si>
  <si>
    <t>1528 MARCY P</t>
  </si>
  <si>
    <t>1900 ST VINC</t>
  </si>
  <si>
    <t>1002 JEANES</t>
  </si>
  <si>
    <t>6300 HOROCK</t>
  </si>
  <si>
    <t>500 CONESTOG</t>
  </si>
  <si>
    <t>17&amp;BIGLER</t>
  </si>
  <si>
    <t>1800 CATHERI</t>
  </si>
  <si>
    <t>SNYDER &amp; COLOR</t>
  </si>
  <si>
    <t>5500 MATTHEW</t>
  </si>
  <si>
    <t>18TH S &amp; BERKS</t>
  </si>
  <si>
    <t>1500 ZIGLER</t>
  </si>
  <si>
    <t>1900 LAWRENC</t>
  </si>
  <si>
    <t>23RD KIMBALL</t>
  </si>
  <si>
    <t>23RD LEAGUE</t>
  </si>
  <si>
    <t>1734 MONTROS</t>
  </si>
  <si>
    <t>1500 MAGEE A</t>
  </si>
  <si>
    <t>400 HART LAN</t>
  </si>
  <si>
    <t>418 E WYOMIN</t>
  </si>
  <si>
    <t>2000 W SUSQU</t>
  </si>
  <si>
    <t>400 W 66TH A</t>
  </si>
  <si>
    <t>5700 GTOWN</t>
  </si>
  <si>
    <t>17TH ST &amp; OXFO</t>
  </si>
  <si>
    <t>DEPT A/E</t>
  </si>
  <si>
    <t>5900 WAY MOU</t>
  </si>
  <si>
    <t>18TH &amp; BERKS</t>
  </si>
  <si>
    <t>1210 ENGLEWO</t>
  </si>
  <si>
    <t>125 W SHARPN</t>
  </si>
  <si>
    <t>529 CARPENTE</t>
  </si>
  <si>
    <t>500 GODREY A</t>
  </si>
  <si>
    <t>3001 TYSON A</t>
  </si>
  <si>
    <t>424 W WINGOH</t>
  </si>
  <si>
    <t>5400 WESTFOR</t>
  </si>
  <si>
    <t>100 S INDEPE</t>
  </si>
  <si>
    <t>7016 MCCALLU</t>
  </si>
  <si>
    <t>RISING SUN &amp; W</t>
  </si>
  <si>
    <t>76TH ELMWOOD</t>
  </si>
  <si>
    <t>6117 MAGONOL</t>
  </si>
  <si>
    <t>1500 CHRISTI</t>
  </si>
  <si>
    <t>4355 LAURIST</t>
  </si>
  <si>
    <t>7201 PALMETT</t>
  </si>
  <si>
    <t>KINDRED &amp; ST V</t>
  </si>
  <si>
    <t>01 W SOUTHAM</t>
  </si>
  <si>
    <t>727 W ATLANT</t>
  </si>
  <si>
    <t>2615 S CARRO</t>
  </si>
  <si>
    <t>1500 W NORRI</t>
  </si>
  <si>
    <t>6049 KEYSTON</t>
  </si>
  <si>
    <t>7820 ANITA D</t>
  </si>
  <si>
    <t>600 BRANDYWI</t>
  </si>
  <si>
    <t>1900 WOODSTO</t>
  </si>
  <si>
    <t>3000 CAMBRID</t>
  </si>
  <si>
    <t>1300 HOLLYWO</t>
  </si>
  <si>
    <t>123 E ALBANU</t>
  </si>
  <si>
    <t>135 E ALBANU</t>
  </si>
  <si>
    <t>33RD &amp; BRANDYW</t>
  </si>
  <si>
    <t>28TH &amp; OAKFORD</t>
  </si>
  <si>
    <t>5231 HARBISO</t>
  </si>
  <si>
    <t>1806 CALLO</t>
  </si>
  <si>
    <t>4500 WELLING</t>
  </si>
  <si>
    <t>1911 HAMILT</t>
  </si>
  <si>
    <t>100 W SCHOOL</t>
  </si>
  <si>
    <t>526 E WESTMO</t>
  </si>
  <si>
    <t>280 MIDVALE</t>
  </si>
  <si>
    <t>6070 E ROOSE</t>
  </si>
  <si>
    <t>7TH &amp; ANNIN ST</t>
  </si>
  <si>
    <t>1600 S CONES</t>
  </si>
  <si>
    <t>6734 CARLISL</t>
  </si>
  <si>
    <t>2100 CARPENT</t>
  </si>
  <si>
    <t>3500 INDIAN</t>
  </si>
  <si>
    <t>WARREN &amp; WILTO</t>
  </si>
  <si>
    <t>4600 N BOUDI</t>
  </si>
  <si>
    <t>10TH &amp; NOBLE</t>
  </si>
  <si>
    <t>2900 FOX ST</t>
  </si>
  <si>
    <t>1015 WALNU</t>
  </si>
  <si>
    <t>400 WOOD ST0</t>
  </si>
  <si>
    <t>2900 S 40TH</t>
  </si>
  <si>
    <t>1700 WILLING</t>
  </si>
  <si>
    <t>1500 W WALNU</t>
  </si>
  <si>
    <t>2700 S SMEDL</t>
  </si>
  <si>
    <t>600 CREIGHTO</t>
  </si>
  <si>
    <t>6800 CHRISTI</t>
  </si>
  <si>
    <t>6500 BEECHWO</t>
  </si>
  <si>
    <t>1800 MOYAMEN</t>
  </si>
  <si>
    <t>1700 MOYAMEN</t>
  </si>
  <si>
    <t>58TH &amp; CHESTNU</t>
  </si>
  <si>
    <t>714 N AMERIC</t>
  </si>
  <si>
    <t>6444 N SMEDL</t>
  </si>
  <si>
    <t>232 E CLIVED</t>
  </si>
  <si>
    <t>2949 GRANSBA</t>
  </si>
  <si>
    <t>1100 CLEVELA</t>
  </si>
  <si>
    <t>3801 N GERMA</t>
  </si>
  <si>
    <t>6100 LIMEKIL</t>
  </si>
  <si>
    <t>5900 LAWNDAL</t>
  </si>
  <si>
    <t>450 MAYOR ST</t>
  </si>
  <si>
    <t>6000 GRAYS A</t>
  </si>
  <si>
    <t>2300 N LAMBE</t>
  </si>
  <si>
    <t>5420 FLORENC</t>
  </si>
  <si>
    <t>53&amp;IRVING</t>
  </si>
  <si>
    <t>17TH &amp; GIRARD</t>
  </si>
  <si>
    <t>3900 SCHOOL</t>
  </si>
  <si>
    <t>GRATZ ST &amp; C B</t>
  </si>
  <si>
    <t>2100 S FRAZI</t>
  </si>
  <si>
    <t>1929 SPRIN</t>
  </si>
  <si>
    <t>4811 TYSON A</t>
  </si>
  <si>
    <t>5430 SYLVEST</t>
  </si>
  <si>
    <t>1020 LOCUS</t>
  </si>
  <si>
    <t>1622 LOCUS</t>
  </si>
  <si>
    <t>1511 WALNU</t>
  </si>
  <si>
    <t>RED LION &amp; FER</t>
  </si>
  <si>
    <t>10800 LOCKAR</t>
  </si>
  <si>
    <t>1100 S CHADW</t>
  </si>
  <si>
    <t>2200 SOMERSE</t>
  </si>
  <si>
    <t>6800 SYLVEST</t>
  </si>
  <si>
    <t>5525 RISING</t>
  </si>
  <si>
    <t>6200 TABOR A</t>
  </si>
  <si>
    <t>1200 W CECIL</t>
  </si>
  <si>
    <t>1839 PEMBERT</t>
  </si>
  <si>
    <t>2200 GRAYSFE</t>
  </si>
  <si>
    <t>RIDGE &amp; WOOD</t>
  </si>
  <si>
    <t>2308 ELLSWOR</t>
  </si>
  <si>
    <t>4416 FALLS C</t>
  </si>
  <si>
    <t>2046 MONTROS</t>
  </si>
  <si>
    <t>200 TOMLINSO</t>
  </si>
  <si>
    <t>8543 WILLIAM</t>
  </si>
  <si>
    <t>4TH &amp; RITNER ST</t>
  </si>
  <si>
    <t>1600 WASHING</t>
  </si>
  <si>
    <t>4300 FREEDLA</t>
  </si>
  <si>
    <t>4356 FREEDLA</t>
  </si>
  <si>
    <t>PIA</t>
  </si>
  <si>
    <t>2600 MAYFIEL</t>
  </si>
  <si>
    <t>500 S RANDOL</t>
  </si>
  <si>
    <t>600 S 3TH ST</t>
  </si>
  <si>
    <t>6700 BETTONS</t>
  </si>
  <si>
    <t>328 E ALLEGH</t>
  </si>
  <si>
    <t>6129 WAYNE A</t>
  </si>
  <si>
    <t>HILL &amp; VIOGT RD</t>
  </si>
  <si>
    <t>ALLEN &amp; OVERIN</t>
  </si>
  <si>
    <t>2100 RIDGE A</t>
  </si>
  <si>
    <t>3500 LAURENS</t>
  </si>
  <si>
    <t>159 E PLEASA</t>
  </si>
  <si>
    <t>2939 CLEMENT</t>
  </si>
  <si>
    <t>10900 GUIFFO</t>
  </si>
  <si>
    <t>STILLMAN</t>
  </si>
  <si>
    <t>5700 N MARSH</t>
  </si>
  <si>
    <t>5000 SCHUYLE</t>
  </si>
  <si>
    <t>FARADAY ST &amp; P</t>
  </si>
  <si>
    <t>ERWIN ST &amp; PHI</t>
  </si>
  <si>
    <t>REBECCA DR &amp; P</t>
  </si>
  <si>
    <t>665 E WESTMO</t>
  </si>
  <si>
    <t>1442 E ALLEG</t>
  </si>
  <si>
    <t>1700 W BRIST</t>
  </si>
  <si>
    <t>1700 MONUMEN</t>
  </si>
  <si>
    <t>6222 GRAYS A</t>
  </si>
  <si>
    <t>224  E WISTE</t>
  </si>
  <si>
    <t>459 E WYOMIN</t>
  </si>
  <si>
    <t>246 W WALNU</t>
  </si>
  <si>
    <t>6201 MCCALLO</t>
  </si>
  <si>
    <t>1742 N BOUVI</t>
  </si>
  <si>
    <t>200 CATHARIN</t>
  </si>
  <si>
    <t>13000 BLAKES</t>
  </si>
  <si>
    <t>SHIRMON &amp; JOHN</t>
  </si>
  <si>
    <t>1500 CATHERI</t>
  </si>
  <si>
    <t>55TH &amp; HARMER</t>
  </si>
  <si>
    <t>4507 MAGEE A</t>
  </si>
  <si>
    <t>18TH W FRENC</t>
  </si>
  <si>
    <t>1506 SANSO</t>
  </si>
  <si>
    <t>1619 WALNU</t>
  </si>
  <si>
    <t>1800 CLLOWHI</t>
  </si>
  <si>
    <t>1700 W CHELT</t>
  </si>
  <si>
    <t>1625 WALNU</t>
  </si>
  <si>
    <t>600 S SCHUYK</t>
  </si>
  <si>
    <t>700 SOUDER</t>
  </si>
  <si>
    <t>1000 CHESNUT</t>
  </si>
  <si>
    <t>334  W DUUN</t>
  </si>
  <si>
    <t>105  E GARFI</t>
  </si>
  <si>
    <t>4600 JFK BLV</t>
  </si>
  <si>
    <t>8950 KREWSTO</t>
  </si>
  <si>
    <t>2800 DAUHIN</t>
  </si>
  <si>
    <t>3000 MAGEE A</t>
  </si>
  <si>
    <t>1631 W TORON</t>
  </si>
  <si>
    <t>GREENE &amp; JOHNS</t>
  </si>
  <si>
    <t>4400 COLORAD</t>
  </si>
  <si>
    <t>229 W HENRY</t>
  </si>
  <si>
    <t>1500 S LINDE</t>
  </si>
  <si>
    <t>2007 WASHIN</t>
  </si>
  <si>
    <t>2028 WASHING</t>
  </si>
  <si>
    <t>29 W WILLOW</t>
  </si>
  <si>
    <t>1532 SANSO</t>
  </si>
  <si>
    <t>1518 SANSO</t>
  </si>
  <si>
    <t>1934 WAVER</t>
  </si>
  <si>
    <t>1426 CALLO</t>
  </si>
  <si>
    <t>1510 CHEST</t>
  </si>
  <si>
    <t>1900 DELANCE</t>
  </si>
  <si>
    <t>18TH W BERKS</t>
  </si>
  <si>
    <t>57&amp;OSAGE AVE</t>
  </si>
  <si>
    <t>1530 CHEST</t>
  </si>
  <si>
    <t>3700 W MIDVA</t>
  </si>
  <si>
    <t>2000 DELANCE</t>
  </si>
  <si>
    <t>3300 ALLEGHE</t>
  </si>
  <si>
    <t>1600 S C B M</t>
  </si>
  <si>
    <t>2841 W CLEMI</t>
  </si>
  <si>
    <t>2228 OXFORD2</t>
  </si>
  <si>
    <t>87TH &amp; LEEDS</t>
  </si>
  <si>
    <t>1400 PHIL EL</t>
  </si>
  <si>
    <t>1500 GREENWO</t>
  </si>
  <si>
    <t>27TH &amp; GIRARD</t>
  </si>
  <si>
    <t>1200 ROUMFOR</t>
  </si>
  <si>
    <t>TUPLEHOCKEN</t>
  </si>
  <si>
    <t>OXFORD ST &amp; 29</t>
  </si>
  <si>
    <t>2910 W CAMBR</t>
  </si>
  <si>
    <t>2930 W CAMBI</t>
  </si>
  <si>
    <t>2936 W CAMBI</t>
  </si>
  <si>
    <t>5100 MCMAHON</t>
  </si>
  <si>
    <t>HOMER &amp;FORRE</t>
  </si>
  <si>
    <t>1500 SYDENHA</t>
  </si>
  <si>
    <t>600 E RUSCOM</t>
  </si>
  <si>
    <t>BRING &amp; LANCAS</t>
  </si>
  <si>
    <t>BARING &amp; LANCA</t>
  </si>
  <si>
    <t>1414 N ORIAN</t>
  </si>
  <si>
    <t>2500 S BANCR</t>
  </si>
  <si>
    <t>100 LUDLOW ST</t>
  </si>
  <si>
    <t>GRATZ &amp; MONTGO</t>
  </si>
  <si>
    <t>1620 LOCUS</t>
  </si>
  <si>
    <t>1740 BLIGH A</t>
  </si>
  <si>
    <t>2200 DELANCE</t>
  </si>
  <si>
    <t>NEWTOWN AV 6</t>
  </si>
  <si>
    <t>1901 LOMBA</t>
  </si>
  <si>
    <t>1760 MARKE</t>
  </si>
  <si>
    <t>WILLINGTON &amp; O</t>
  </si>
  <si>
    <t>1800 N BOUVI</t>
  </si>
  <si>
    <t>1500 N ALLIS</t>
  </si>
  <si>
    <t>OXFORD &amp; WILLI</t>
  </si>
  <si>
    <t>E</t>
  </si>
  <si>
    <t>5500 N FAIRH</t>
  </si>
  <si>
    <t>5400 N FAIRH</t>
  </si>
  <si>
    <t>500 SOMMEVIL</t>
  </si>
  <si>
    <t>5TH &amp; TABOR</t>
  </si>
  <si>
    <t>4TH &amp; FISHER</t>
  </si>
  <si>
    <t>3RD &amp; RUSCOMB</t>
  </si>
  <si>
    <t>2300 W CB MO</t>
  </si>
  <si>
    <t>1025 WALNU</t>
  </si>
  <si>
    <t>16TH &amp; MONTGOM</t>
  </si>
  <si>
    <t>1732 W MOYAM</t>
  </si>
  <si>
    <t>2200 S SHEIL</t>
  </si>
  <si>
    <t>62&amp;WHEELER</t>
  </si>
  <si>
    <t>49&amp;RENO ST</t>
  </si>
  <si>
    <t>48&amp;BROWN ST</t>
  </si>
  <si>
    <t>6137 GLENMOR</t>
  </si>
  <si>
    <t>LANSDOWNE &amp; 61</t>
  </si>
  <si>
    <t>72ND &amp; OLD YORK RD</t>
  </si>
  <si>
    <t>300 E ROCK</t>
  </si>
  <si>
    <t>1733 W GIRAR</t>
  </si>
  <si>
    <t>1633 MARKE</t>
  </si>
  <si>
    <t>1337 FARIMOU</t>
  </si>
  <si>
    <t>1913 LOMBA</t>
  </si>
  <si>
    <t>1907 LOMBA</t>
  </si>
  <si>
    <t>507 E ALLEGH</t>
  </si>
  <si>
    <t>3200 ROREA</t>
  </si>
  <si>
    <t>1942 DELAN</t>
  </si>
  <si>
    <t>1400 W LUZER</t>
  </si>
  <si>
    <t>1400 W LYCOM</t>
  </si>
  <si>
    <t>1926 WAVER</t>
  </si>
  <si>
    <t>1903 LOMBA</t>
  </si>
  <si>
    <t>DUPONT ST</t>
  </si>
  <si>
    <t>6138 REEDLAN</t>
  </si>
  <si>
    <t>60&amp;CHRISTIAN</t>
  </si>
  <si>
    <t>1500 S STILL</t>
  </si>
  <si>
    <t>BAYNTON &amp; ARMA</t>
  </si>
  <si>
    <t>1700 S RINGG</t>
  </si>
  <si>
    <t>SEC N 28TH N</t>
  </si>
  <si>
    <t>2831 W POPLA</t>
  </si>
  <si>
    <t>9TH &amp;MCLELLA</t>
  </si>
  <si>
    <t>2059 ST ALBA</t>
  </si>
  <si>
    <t>10TH FERNON</t>
  </si>
  <si>
    <t>100 E LUZERN</t>
  </si>
  <si>
    <t>17TH &amp; MOORE</t>
  </si>
  <si>
    <t>15 DIAMOND</t>
  </si>
  <si>
    <t>15 W DIAMOND</t>
  </si>
  <si>
    <t>1530 LOCUS</t>
  </si>
  <si>
    <t>1905 LOMBA</t>
  </si>
  <si>
    <t>1907 SPRUC</t>
  </si>
  <si>
    <t>18TH BERKS</t>
  </si>
  <si>
    <t>2100 DELANCE</t>
  </si>
  <si>
    <t>4630 WHITAKE</t>
  </si>
  <si>
    <t>1628 CHEST</t>
  </si>
  <si>
    <t>2014 WAVER</t>
  </si>
  <si>
    <t>45 W QUEEN L</t>
  </si>
  <si>
    <t>1704 W WINGO</t>
  </si>
  <si>
    <t>1847 LEITHGO</t>
  </si>
  <si>
    <t>8TH &amp; WALLACE</t>
  </si>
  <si>
    <t>BOUVIER &amp; BERK</t>
  </si>
  <si>
    <t>3360 HARTVIL</t>
  </si>
  <si>
    <t>AMERICAN &amp; RIT</t>
  </si>
  <si>
    <t>23RD KAUFFMA</t>
  </si>
  <si>
    <t>1442 MCKINLE</t>
  </si>
  <si>
    <t>798 W BRISTO</t>
  </si>
  <si>
    <t>1300 E JOHNS</t>
  </si>
  <si>
    <t>501 W LYCOMI</t>
  </si>
  <si>
    <t>512 W LYCOMI</t>
  </si>
  <si>
    <t>4909-11 VANK</t>
  </si>
  <si>
    <t>1400 SBEULAH</t>
  </si>
  <si>
    <t>2700 S HUTCH</t>
  </si>
  <si>
    <t>4582 LEVERIN</t>
  </si>
  <si>
    <t>6711 TORRESD</t>
  </si>
  <si>
    <t>1517 SPRUC</t>
  </si>
  <si>
    <t>MARKET &amp; SALFO</t>
  </si>
  <si>
    <t>1111 LOCUS</t>
  </si>
  <si>
    <t>1207 LOCUS</t>
  </si>
  <si>
    <t>1233 LOCUS</t>
  </si>
  <si>
    <t>1327 SPRUC</t>
  </si>
  <si>
    <t>792 CINNAMIN</t>
  </si>
  <si>
    <t>1525 LOCUS</t>
  </si>
  <si>
    <t>1417 LOCUS</t>
  </si>
  <si>
    <t>6655 MCCALLU</t>
  </si>
  <si>
    <t>BURNSIDE &amp; LAU</t>
  </si>
  <si>
    <t>2402 CATHARI</t>
  </si>
  <si>
    <t>5545 BLAKEMO</t>
  </si>
  <si>
    <t>1328 SPRUC</t>
  </si>
  <si>
    <t>1400 PASSMOR</t>
  </si>
  <si>
    <t>20TH TITAN ST</t>
  </si>
  <si>
    <t>341 N MARSHA</t>
  </si>
  <si>
    <t>11TH &amp; CALLOWH</t>
  </si>
  <si>
    <t>18 TH FRENCH</t>
  </si>
  <si>
    <t>12TH &amp; RIDGE</t>
  </si>
  <si>
    <t>40TH &amp; SANSOM</t>
  </si>
  <si>
    <t>1300 N FRON</t>
  </si>
  <si>
    <t>1431 S PATTO</t>
  </si>
  <si>
    <t>NEC W CAMBRI</t>
  </si>
  <si>
    <t>2922 W CAMBR</t>
  </si>
  <si>
    <t>1024 FILLMOR</t>
  </si>
  <si>
    <t>1600 SOLLY A</t>
  </si>
  <si>
    <t>FILBERT &amp; 40TH</t>
  </si>
  <si>
    <t>6100 N FRANK</t>
  </si>
  <si>
    <t>4560 SILVERW</t>
  </si>
  <si>
    <t>709 N HANCOC</t>
  </si>
  <si>
    <t>427 W RAYMO</t>
  </si>
  <si>
    <t>2100 PEMBERT</t>
  </si>
  <si>
    <t>20TH &amp; FITZWAT</t>
  </si>
  <si>
    <t>2654 E MAYFI</t>
  </si>
  <si>
    <t>514 E WESTMO</t>
  </si>
  <si>
    <t>2100 ELLSWOR</t>
  </si>
  <si>
    <t>1464 N WANAM</t>
  </si>
  <si>
    <t>2003 W POPLA</t>
  </si>
  <si>
    <t>200 E WILLAR</t>
  </si>
  <si>
    <t>218 E WILLAR</t>
  </si>
  <si>
    <t>1508 SANSO</t>
  </si>
  <si>
    <t>1500 RANSTEA</t>
  </si>
  <si>
    <t>1522 SANSO</t>
  </si>
  <si>
    <t>1710 LOCUS</t>
  </si>
  <si>
    <t>1714 LOCUS</t>
  </si>
  <si>
    <t>1500 MORAVIA</t>
  </si>
  <si>
    <t>6736 EASTWOO</t>
  </si>
  <si>
    <t>1625 SPRUC</t>
  </si>
  <si>
    <t>1307 LOMBA</t>
  </si>
  <si>
    <t>2500 W CAMBR</t>
  </si>
  <si>
    <t>1315 WALNU</t>
  </si>
  <si>
    <t>1111 WALNU</t>
  </si>
  <si>
    <t>1706 LOCUS</t>
  </si>
  <si>
    <t>1503 WALNU</t>
  </si>
  <si>
    <t>5900 ELMHURS</t>
  </si>
  <si>
    <t>2100 E LETTE</t>
  </si>
  <si>
    <t>6900 RID AV</t>
  </si>
  <si>
    <t>6442 CHELWYN</t>
  </si>
  <si>
    <t>199 W ROCKLA</t>
  </si>
  <si>
    <t>FRANKLIN &amp; BRO</t>
  </si>
  <si>
    <t>1300 STEINBE</t>
  </si>
  <si>
    <t>2821 N BAILE</t>
  </si>
  <si>
    <t>10 S 5THST</t>
  </si>
  <si>
    <t>18TH &amp; BERKS ST</t>
  </si>
  <si>
    <t>01 EAST CHEL</t>
  </si>
  <si>
    <t>6566 LANSDOW</t>
  </si>
  <si>
    <t>1600 SPRING</t>
  </si>
  <si>
    <t>1635 MARKE</t>
  </si>
  <si>
    <t>334 S 211ST</t>
  </si>
  <si>
    <t>1400 CAL</t>
  </si>
  <si>
    <t>1600 CALLHOW</t>
  </si>
  <si>
    <t>1610 CHEST</t>
  </si>
  <si>
    <t>1622 CHEST</t>
  </si>
  <si>
    <t>1500 GLENWOO</t>
  </si>
  <si>
    <t>1421 W TORON</t>
  </si>
  <si>
    <t>3000 N CARLI</t>
  </si>
  <si>
    <t>1400 W TORON</t>
  </si>
  <si>
    <t>500 M 17TH</t>
  </si>
  <si>
    <t>1700 MARKE</t>
  </si>
  <si>
    <t>299 S11TH</t>
  </si>
  <si>
    <t>1435 S BEULA</t>
  </si>
  <si>
    <t>5524 ERVING</t>
  </si>
  <si>
    <t>6700 BUSTLET</t>
  </si>
  <si>
    <t>29TH &amp; WHARTON</t>
  </si>
  <si>
    <t>28TH &amp; MOORE ST</t>
  </si>
  <si>
    <t>6000 N AMERI</t>
  </si>
  <si>
    <t>CHEW &amp; UBER</t>
  </si>
  <si>
    <t>1521 N BAILE</t>
  </si>
  <si>
    <t>6400 MARTINS</t>
  </si>
  <si>
    <t>LANKENAU &amp; DAP</t>
  </si>
  <si>
    <t>1240 N CARLI</t>
  </si>
  <si>
    <t>1244 N CARLI</t>
  </si>
  <si>
    <t>1242 N CARLI</t>
  </si>
  <si>
    <t>4300 WESTMIN</t>
  </si>
  <si>
    <t>4000 WESTMIN</t>
  </si>
  <si>
    <t>1700 RANSTEA</t>
  </si>
  <si>
    <t>1426 CALLOW</t>
  </si>
  <si>
    <t>BARING &amp; SLOAN</t>
  </si>
  <si>
    <t>1111 LOCUAT</t>
  </si>
  <si>
    <t>200 S 11TH 0</t>
  </si>
  <si>
    <t>1720 CHESTN</t>
  </si>
  <si>
    <t>2200 BAMBRID</t>
  </si>
  <si>
    <t>1945 E SHELL</t>
  </si>
  <si>
    <t>1926 WAVERK</t>
  </si>
  <si>
    <t>2600 DELANCE</t>
  </si>
  <si>
    <t>1900 JFK BLD</t>
  </si>
  <si>
    <t>237 W GODFRE</t>
  </si>
  <si>
    <t>6200 OSAGE A</t>
  </si>
  <si>
    <t>60&amp;COBBS CRE</t>
  </si>
  <si>
    <t>MADISON &amp; GRAY</t>
  </si>
  <si>
    <t>16TH &amp; BAINBRIDGE ST</t>
  </si>
  <si>
    <t>DARIEN &amp; OREGO</t>
  </si>
  <si>
    <t>5342 WESTFOR</t>
  </si>
  <si>
    <t>1700 CLEVELA</t>
  </si>
  <si>
    <t>20TH &amp; MOORE ST</t>
  </si>
  <si>
    <t>NWC N 27TH</t>
  </si>
  <si>
    <t>16TH &amp; MORRIS</t>
  </si>
  <si>
    <t>1500 S MORRI</t>
  </si>
  <si>
    <t>5401 ARLINGT</t>
  </si>
  <si>
    <t>2916 W CAMBR</t>
  </si>
  <si>
    <t>1400 S MORRI</t>
  </si>
  <si>
    <t>NWC CAMBRIDG</t>
  </si>
  <si>
    <t>1500 S TASKE</t>
  </si>
  <si>
    <t>17TH &amp; TASKER</t>
  </si>
  <si>
    <t>20TH &amp; DICKINS</t>
  </si>
  <si>
    <t>17TH WHARTON</t>
  </si>
  <si>
    <t>SWC W MASTER</t>
  </si>
  <si>
    <t>17TH &amp; FEDERAL</t>
  </si>
  <si>
    <t>2100 E HAINE</t>
  </si>
  <si>
    <t>15TH &amp; MOORE ST</t>
  </si>
  <si>
    <t>1900 CAMBRID</t>
  </si>
  <si>
    <t>1699 W HUNTI</t>
  </si>
  <si>
    <t>4065 22ND</t>
  </si>
  <si>
    <t>1 N9TH</t>
  </si>
  <si>
    <t>1628 CHESTN</t>
  </si>
  <si>
    <t>1 NTH 10S</t>
  </si>
  <si>
    <t>1600 CALLOW</t>
  </si>
  <si>
    <t>2000 WINGOHO</t>
  </si>
  <si>
    <t>1628-36 CHE</t>
  </si>
  <si>
    <t>PENN &amp; BELFIEL</t>
  </si>
  <si>
    <t>2000 PANAM</t>
  </si>
  <si>
    <t>1 S11TH</t>
  </si>
  <si>
    <t>100 CONARROU</t>
  </si>
  <si>
    <t>13TH &amp; FITZWAT</t>
  </si>
  <si>
    <t>1800 CARWITH</t>
  </si>
  <si>
    <t>RIDGE AV &amp; OSB</t>
  </si>
  <si>
    <t>6700 CRITTEN</t>
  </si>
  <si>
    <t>57TH HAZEL</t>
  </si>
  <si>
    <t>1000 BRIDLE</t>
  </si>
  <si>
    <t>SWC N 16TH ST</t>
  </si>
  <si>
    <t>GREYMONT &amp; JEA</t>
  </si>
  <si>
    <t>19TH ELLSWOR</t>
  </si>
  <si>
    <t>3315 BRANDYW</t>
  </si>
  <si>
    <t>1300 MAGEE A</t>
  </si>
  <si>
    <t>247 S17TH</t>
  </si>
  <si>
    <t>2900 W NICHO</t>
  </si>
  <si>
    <t>930 LOCUSR</t>
  </si>
  <si>
    <t>100 S23RD</t>
  </si>
  <si>
    <t>245 S10TH</t>
  </si>
  <si>
    <t>3413 FOX ST</t>
  </si>
  <si>
    <t>45 E CLIVEDE</t>
  </si>
  <si>
    <t>2000 ST ALBA</t>
  </si>
  <si>
    <t>2300 GRAYS F</t>
  </si>
  <si>
    <t>776 CINNAMIN</t>
  </si>
  <si>
    <t>2435 CHRISTI</t>
  </si>
  <si>
    <t>6023 CLIFFOR</t>
  </si>
  <si>
    <t>1 N32</t>
  </si>
  <si>
    <t>13TH &amp; FILBERT</t>
  </si>
  <si>
    <t>17TH &amp; JACKSON</t>
  </si>
  <si>
    <t>6154 SOUTH</t>
  </si>
  <si>
    <t>4299 THOMPSO</t>
  </si>
  <si>
    <t>600 PASSYYUN</t>
  </si>
  <si>
    <t>1627 CATHARI</t>
  </si>
  <si>
    <t>18TH CATHARI</t>
  </si>
  <si>
    <t>2060 PEMBERT</t>
  </si>
  <si>
    <t>1 WARMAT ST</t>
  </si>
  <si>
    <t>701 W BRISTO</t>
  </si>
  <si>
    <t>600 W LYCOMI</t>
  </si>
  <si>
    <t>2800 W CAMBR</t>
  </si>
  <si>
    <t>700 S MARTA</t>
  </si>
  <si>
    <t>GAY &amp; CRESSON</t>
  </si>
  <si>
    <t>400 W COURTL</t>
  </si>
  <si>
    <t>2800 S SMEDL</t>
  </si>
  <si>
    <t>OPAL &amp; DAUPHIN</t>
  </si>
  <si>
    <t>1602 PEMBERT</t>
  </si>
  <si>
    <t>1700 W MONTG</t>
  </si>
  <si>
    <t>2030 MONTROS</t>
  </si>
  <si>
    <t>800 ESSINGTO</t>
  </si>
  <si>
    <t>2000 LETTERL</t>
  </si>
  <si>
    <t>1420 CATHARI</t>
  </si>
  <si>
    <t>JEANES &amp; BARTL</t>
  </si>
  <si>
    <t>5517 MATTHEW</t>
  </si>
  <si>
    <t>ARDLEIGH &amp; GOR</t>
  </si>
  <si>
    <t>6900 TORRESD</t>
  </si>
  <si>
    <t>555 WISSAHIC</t>
  </si>
  <si>
    <t>3700 PALISAD</t>
  </si>
  <si>
    <t>8312 PICKERI</t>
  </si>
  <si>
    <t>4299 N FRANK</t>
  </si>
  <si>
    <t>6387 SHERWOO</t>
  </si>
  <si>
    <t>WILLINGTON &amp; M</t>
  </si>
  <si>
    <t>6524 RISING</t>
  </si>
  <si>
    <t>SALAIGNAC ST</t>
  </si>
  <si>
    <t>54&amp;LARCHWOOD</t>
  </si>
  <si>
    <t>1727 ABERDEE</t>
  </si>
  <si>
    <t>1726 CHEST</t>
  </si>
  <si>
    <t>1718 CHEST</t>
  </si>
  <si>
    <t>2ND ROSEBERR</t>
  </si>
  <si>
    <t>8638 MICHENE</t>
  </si>
  <si>
    <t>13512 BUSTLE</t>
  </si>
  <si>
    <t>POPLAR &amp; CORIN</t>
  </si>
  <si>
    <t>17TH &amp;SHUNK</t>
  </si>
  <si>
    <t>1500 S COLOR</t>
  </si>
  <si>
    <t>C B MOORE &amp; GR</t>
  </si>
  <si>
    <t>1400 W WESTM</t>
  </si>
  <si>
    <t>1526 W RITNE</t>
  </si>
  <si>
    <t>2500 W MARST</t>
  </si>
  <si>
    <t>4600 PATHORP</t>
  </si>
  <si>
    <t>13TH &amp; GREEN ST</t>
  </si>
  <si>
    <t>2ND &amp; DELANCEY</t>
  </si>
  <si>
    <t>121 SUMOE ST</t>
  </si>
  <si>
    <t>50TH ARCH</t>
  </si>
  <si>
    <t>300 W MT AIR</t>
  </si>
  <si>
    <t>BERKS &amp; GRATZ</t>
  </si>
  <si>
    <t>18TH &amp; MONTGOM</t>
  </si>
  <si>
    <t>1904 PLYMOUT</t>
  </si>
  <si>
    <t>2300 E THOMP</t>
  </si>
  <si>
    <t>2532 W MAST</t>
  </si>
  <si>
    <t>29TH &amp; GIRARD</t>
  </si>
  <si>
    <t>1159 W GLENW</t>
  </si>
  <si>
    <t>3206 CB MOOR</t>
  </si>
  <si>
    <t>2654 BANCROF</t>
  </si>
  <si>
    <t>1523 W CHAMP</t>
  </si>
  <si>
    <t>1600 CALLWOH</t>
  </si>
  <si>
    <t>15TH &amp; GREEN ST</t>
  </si>
  <si>
    <t>3400 LANSDOW</t>
  </si>
  <si>
    <t>1705 CHESNUT</t>
  </si>
  <si>
    <t>1926 WAVERL</t>
  </si>
  <si>
    <t>1500 W BUTLE</t>
  </si>
  <si>
    <t>1100 S SANSO</t>
  </si>
  <si>
    <t>2800 STEVEN</t>
  </si>
  <si>
    <t>WOODSTOCK &amp; RI</t>
  </si>
  <si>
    <t>1600 WINGHOC</t>
  </si>
  <si>
    <t>1900 CUMBERL</t>
  </si>
  <si>
    <t>DEWEY &amp; LUDLOW</t>
  </si>
  <si>
    <t>3300 N ARGYL</t>
  </si>
  <si>
    <t>BC DEPART PH</t>
  </si>
  <si>
    <t>2107 ELLSWOR</t>
  </si>
  <si>
    <t>3035 W GIRAR</t>
  </si>
  <si>
    <t>BROCKTON &amp; 76T</t>
  </si>
  <si>
    <t>WANAMAKER &amp; WO</t>
  </si>
  <si>
    <t>TABOR &amp; ANCHOR</t>
  </si>
  <si>
    <t>1543 DICKINS</t>
  </si>
  <si>
    <t>30TH &amp; NICHOLA</t>
  </si>
  <si>
    <t>DEPT E PHL</t>
  </si>
  <si>
    <t>4649 RORER ST</t>
  </si>
  <si>
    <t>4633 RORER ST</t>
  </si>
  <si>
    <t>435 W SOMERS</t>
  </si>
  <si>
    <t>2100 WASHING</t>
  </si>
  <si>
    <t>2200 NAUDRAI</t>
  </si>
  <si>
    <t>6220 E ROOSE</t>
  </si>
  <si>
    <t>700 E WILLAR</t>
  </si>
  <si>
    <t>P5900 IRVING</t>
  </si>
  <si>
    <t>5900 LAWNSDA</t>
  </si>
  <si>
    <t>4354 N FRANK</t>
  </si>
  <si>
    <t>17TH &amp; WESTMON</t>
  </si>
  <si>
    <t>17TH &amp; CECIL B</t>
  </si>
  <si>
    <t>DEPART E</t>
  </si>
  <si>
    <t>68 E BRINGHU</t>
  </si>
  <si>
    <t>DELL ST &amp; MCFE</t>
  </si>
  <si>
    <t>1518 SAMSO</t>
  </si>
  <si>
    <t>1738 MEGAREE</t>
  </si>
  <si>
    <t>1119 E CHELT</t>
  </si>
  <si>
    <t>408 VAN PE</t>
  </si>
  <si>
    <t>3900 CHESNUT</t>
  </si>
  <si>
    <t>1936 LOMBA</t>
  </si>
  <si>
    <t>02044 SAMSO</t>
  </si>
  <si>
    <t>114 CHESTN</t>
  </si>
  <si>
    <t>110 CHESTN</t>
  </si>
  <si>
    <t>BONNAFFON &amp; EL</t>
  </si>
  <si>
    <t>102 CHESTN</t>
  </si>
  <si>
    <t>1345 LOCUS</t>
  </si>
  <si>
    <t>72ND &amp; 20TH</t>
  </si>
  <si>
    <t>2649 E SOMER</t>
  </si>
  <si>
    <t>6100 CHRISTI</t>
  </si>
  <si>
    <t>6400 ALGON A</t>
  </si>
  <si>
    <t>17TH ELLSWOR</t>
  </si>
  <si>
    <t>1311 SPRUC</t>
  </si>
  <si>
    <t>1213 LOCUS</t>
  </si>
  <si>
    <t>1203 SPRUC</t>
  </si>
  <si>
    <t>700 PORT RO</t>
  </si>
  <si>
    <t>330 LYCEUM A</t>
  </si>
  <si>
    <t>7004 GEORGI</t>
  </si>
  <si>
    <t>2345 GARRETT</t>
  </si>
  <si>
    <t>6336 GARDEN</t>
  </si>
  <si>
    <t>JEANS &amp; BARTLE</t>
  </si>
  <si>
    <t>UBER &amp; 66TH</t>
  </si>
  <si>
    <t>500 W DAUPHI</t>
  </si>
  <si>
    <t>313 E RITTEN</t>
  </si>
  <si>
    <t>4200 MACALAS</t>
  </si>
  <si>
    <t>1100 N ORIAN</t>
  </si>
  <si>
    <t>4200 MACALES</t>
  </si>
  <si>
    <t>4800 WHITAKE</t>
  </si>
  <si>
    <t>1733 SCATTER</t>
  </si>
  <si>
    <t>6900 CRISTIA</t>
  </si>
  <si>
    <t>1501 W C B M</t>
  </si>
  <si>
    <t>5899 BAYNTO</t>
  </si>
  <si>
    <t>1700 S TORRA</t>
  </si>
  <si>
    <t>301 E HUNTIN</t>
  </si>
  <si>
    <t>1700 S CHADW</t>
  </si>
  <si>
    <t>MARKET &amp; RUBY</t>
  </si>
  <si>
    <t>MARKET &amp; PEACH</t>
  </si>
  <si>
    <t>1641 CHRISTI</t>
  </si>
  <si>
    <t>1700 DORRANC</t>
  </si>
  <si>
    <t>4321 LAURIST</t>
  </si>
  <si>
    <t>900 W ERIE A</t>
  </si>
  <si>
    <t>6752 DICKS A</t>
  </si>
  <si>
    <t>ROXBORUGH &amp; MI</t>
  </si>
  <si>
    <t>58TH HOFFMAN</t>
  </si>
  <si>
    <t>1300 S STANL</t>
  </si>
  <si>
    <t>8TH BUTLER ST</t>
  </si>
  <si>
    <t>2701 E ELKHA</t>
  </si>
  <si>
    <t>3012 EDGEMON</t>
  </si>
  <si>
    <t>7034 HEGERMA</t>
  </si>
  <si>
    <t>19101 OREGON</t>
  </si>
  <si>
    <t>5440 SYLVEST</t>
  </si>
  <si>
    <t>D &amp; 8800 ESSIN</t>
  </si>
  <si>
    <t>A &amp; WESTMORELA</t>
  </si>
  <si>
    <t>1800 JOHNSTO</t>
  </si>
  <si>
    <t>1500 PASTORI</t>
  </si>
  <si>
    <t>2007 WASHINT</t>
  </si>
  <si>
    <t>700 S ROSEWO</t>
  </si>
  <si>
    <t>1500 E MOYAM</t>
  </si>
  <si>
    <t>200 TULPEHOC</t>
  </si>
  <si>
    <t>1627 SPRUC</t>
  </si>
  <si>
    <t>5916 N WARNO</t>
  </si>
  <si>
    <t>1100 LOCUS</t>
  </si>
  <si>
    <t>1151 W VENAN</t>
  </si>
  <si>
    <t>215 W ALLEGH</t>
  </si>
  <si>
    <t>PARK &amp; CHEW</t>
  </si>
  <si>
    <t>1846 THOMPSO</t>
  </si>
  <si>
    <t>29TH &amp; DAUPHIN</t>
  </si>
  <si>
    <t>4400 SAINT D</t>
  </si>
  <si>
    <t>6649 WOODLAN</t>
  </si>
  <si>
    <t>5800 LANGDOR</t>
  </si>
  <si>
    <t>4816 N LEITH</t>
  </si>
  <si>
    <t>16TH &amp; OREGON</t>
  </si>
  <si>
    <t>2500 CLEVELA</t>
  </si>
  <si>
    <t>BERDAN &amp; SHARP</t>
  </si>
  <si>
    <t>2203 SPRUC</t>
  </si>
  <si>
    <t>790 STATE RD</t>
  </si>
  <si>
    <t>637 W ROCKLA</t>
  </si>
  <si>
    <t>2205 SPRUC</t>
  </si>
  <si>
    <t>5212 AMERICA</t>
  </si>
  <si>
    <t>1751 SCATTER</t>
  </si>
  <si>
    <t>300 B 18 ST</t>
  </si>
  <si>
    <t>5600 WINDOOR</t>
  </si>
  <si>
    <t>2300 GLENWOO</t>
  </si>
  <si>
    <t>1199 N ORIAN</t>
  </si>
  <si>
    <t>1500 COLL</t>
  </si>
  <si>
    <t>1200 E FLETC</t>
  </si>
  <si>
    <t>1000 S 26TH</t>
  </si>
  <si>
    <t>301 FLEMING</t>
  </si>
  <si>
    <t>4315 PENMNSG</t>
  </si>
  <si>
    <t>1900 N JUDSO</t>
  </si>
  <si>
    <t>2700 W GORDO</t>
  </si>
  <si>
    <t>1819 MCDARY</t>
  </si>
  <si>
    <t>4245 20TH ST</t>
  </si>
  <si>
    <t>2009 DELANCE</t>
  </si>
  <si>
    <t>1 E BRING</t>
  </si>
  <si>
    <t>1617  WALNU</t>
  </si>
  <si>
    <t>8100 HALSTEA</t>
  </si>
  <si>
    <t>1800 S MOYAM</t>
  </si>
  <si>
    <t>MASTER &amp; CARLI</t>
  </si>
  <si>
    <t>2404 W SEYBE</t>
  </si>
  <si>
    <t>2406 W SEYBE</t>
  </si>
  <si>
    <t>2200 E SUSQU</t>
  </si>
  <si>
    <t>PENNOCK &amp; POPL</t>
  </si>
  <si>
    <t>2829 W POPLA</t>
  </si>
  <si>
    <t>CAMBRIDGE ST</t>
  </si>
  <si>
    <t>1 E SOUTH</t>
  </si>
  <si>
    <t>3801 MARKE</t>
  </si>
  <si>
    <t>2205K SPRU</t>
  </si>
  <si>
    <t>3908 S 39TH</t>
  </si>
  <si>
    <t>2412 CARPENT</t>
  </si>
  <si>
    <t>7979 ALGON A</t>
  </si>
  <si>
    <t>5800 WOODLAN</t>
  </si>
  <si>
    <t>4223 N DARIE</t>
  </si>
  <si>
    <t>1422 CALLO</t>
  </si>
  <si>
    <t>29TH DAUPHIN</t>
  </si>
  <si>
    <t>2077 BELLMOR</t>
  </si>
  <si>
    <t>OLNEY &amp; LAWREN</t>
  </si>
  <si>
    <t>1400 MAYFIEL</t>
  </si>
  <si>
    <t>3920 SANSO</t>
  </si>
  <si>
    <t>422-BS 21S</t>
  </si>
  <si>
    <t>1535 LOCUS</t>
  </si>
  <si>
    <t>2200 WHESTSH</t>
  </si>
  <si>
    <t>1101 S 11T</t>
  </si>
  <si>
    <t>1900 WAKELIN</t>
  </si>
  <si>
    <t>7200 N ANDRE</t>
  </si>
  <si>
    <t>1500 S BIGLE</t>
  </si>
  <si>
    <t>4030 CAMBRID</t>
  </si>
  <si>
    <t>WILLINGTON &amp; B</t>
  </si>
  <si>
    <t>2460 CHRISTI</t>
  </si>
  <si>
    <t>31 E MT PLEA</t>
  </si>
  <si>
    <t>2735 CAMBRID</t>
  </si>
  <si>
    <t>7TH &amp; WHARTON</t>
  </si>
  <si>
    <t>726 W ROCKLA</t>
  </si>
  <si>
    <t>REESE ST &amp; SHU</t>
  </si>
  <si>
    <t>AMERICAN &amp; POR</t>
  </si>
  <si>
    <t>SHUNK &amp; MARSHA</t>
  </si>
  <si>
    <t>2531 GRAYSFE</t>
  </si>
  <si>
    <t>1209 LOCUS</t>
  </si>
  <si>
    <t>2800 HAR</t>
  </si>
  <si>
    <t>1219 SPRUC</t>
  </si>
  <si>
    <t>2100 SHIELD</t>
  </si>
  <si>
    <t>220 MONASTER</t>
  </si>
  <si>
    <t>1307 LOCUS</t>
  </si>
  <si>
    <t>1205 LOCUS</t>
  </si>
  <si>
    <t>5901 CARPENT</t>
  </si>
  <si>
    <t>1513 CADWALL</t>
  </si>
  <si>
    <t>2406 S HUTCH</t>
  </si>
  <si>
    <t>2901 SUSQUEH</t>
  </si>
  <si>
    <t>1400 GREENWA</t>
  </si>
  <si>
    <t>1717 W HUNTI</t>
  </si>
  <si>
    <t>BROAD &amp; 65TH A</t>
  </si>
  <si>
    <t>6347 MCCALLU</t>
  </si>
  <si>
    <t>2000 LAWN</t>
  </si>
  <si>
    <t>1900 W WINGO</t>
  </si>
  <si>
    <t>15TH &amp; POLLACK</t>
  </si>
  <si>
    <t>DEPARTURE B</t>
  </si>
  <si>
    <t>1701 W BUTLE</t>
  </si>
  <si>
    <t>DEPARTURE A</t>
  </si>
  <si>
    <t>1533 DEVEREA</t>
  </si>
  <si>
    <t>2800 CHELTEN</t>
  </si>
  <si>
    <t>799 PICKENIN</t>
  </si>
  <si>
    <t>6314 ALGON A</t>
  </si>
  <si>
    <t>1500 GREENWA</t>
  </si>
  <si>
    <t>1713 S CONES</t>
  </si>
  <si>
    <t>1400 MT PLEA</t>
  </si>
  <si>
    <t>8000 MICHENE</t>
  </si>
  <si>
    <t>4147 DEVEREA</t>
  </si>
  <si>
    <t>1963 N SPENC</t>
  </si>
  <si>
    <t>3200 GLENVIE</t>
  </si>
  <si>
    <t>RAND &amp; TIOGA</t>
  </si>
  <si>
    <t>400 CLEARFIE</t>
  </si>
  <si>
    <t>1924 PENFIEL</t>
  </si>
  <si>
    <t>40&amp;LANCASTER</t>
  </si>
  <si>
    <t>NEC N 29TH</t>
  </si>
  <si>
    <t>100 W WISHAR</t>
  </si>
  <si>
    <t>2500 E CLEME</t>
  </si>
  <si>
    <t>SHEDWICK &amp; LAN</t>
  </si>
  <si>
    <t>CARLISLE &amp; MAS</t>
  </si>
  <si>
    <t>2059 NEXTER</t>
  </si>
  <si>
    <t>3901 WALNU</t>
  </si>
  <si>
    <t>5200 W WALTO</t>
  </si>
  <si>
    <t>3305 N BRAND</t>
  </si>
  <si>
    <t>6625 MCCALLU</t>
  </si>
  <si>
    <t>1701 MARK</t>
  </si>
  <si>
    <t>2100 CHRISTI</t>
  </si>
  <si>
    <t>2200 CHRISTI</t>
  </si>
  <si>
    <t>2801 W GIRAR</t>
  </si>
  <si>
    <t>29TH &amp; CAMBRID</t>
  </si>
  <si>
    <t>2057 E LIPPI</t>
  </si>
  <si>
    <t>27TH &amp; CECIL B</t>
  </si>
  <si>
    <t>1920 E ALLEG</t>
  </si>
  <si>
    <t>D ST &amp; WINGOHO</t>
  </si>
  <si>
    <t>724 W RAYMON</t>
  </si>
  <si>
    <t>2036 DELANCE</t>
  </si>
  <si>
    <t>6000 LAWNDAL</t>
  </si>
  <si>
    <t>1615 WANUT</t>
  </si>
  <si>
    <t>200 W RITTEN</t>
  </si>
  <si>
    <t>1100 E MT PL</t>
  </si>
  <si>
    <t>1900 RITTENH</t>
  </si>
  <si>
    <t>1100 S DARIE</t>
  </si>
  <si>
    <t>1400 W MASTE</t>
  </si>
  <si>
    <t>1036 LEITHGO</t>
  </si>
  <si>
    <t>200 W ZERALD</t>
  </si>
  <si>
    <t>1400 S CHADW</t>
  </si>
  <si>
    <t>HERMAN &amp; BELFI</t>
  </si>
  <si>
    <t>500 W VENANG</t>
  </si>
  <si>
    <t>900 S 24T ST</t>
  </si>
  <si>
    <t>2534 W MAST</t>
  </si>
  <si>
    <t>8700 OLDLINE</t>
  </si>
  <si>
    <t>223 W CHAMPL</t>
  </si>
  <si>
    <t>GIRARD &amp; 26TH</t>
  </si>
  <si>
    <t>42&amp;VIOLA ST</t>
  </si>
  <si>
    <t>7238 LAWNDAL</t>
  </si>
  <si>
    <t>298 MARTIN ST</t>
  </si>
  <si>
    <t>3001 W GIRAR</t>
  </si>
  <si>
    <t>300 W JOHNSO</t>
  </si>
  <si>
    <t>299 RITTENHO</t>
  </si>
  <si>
    <t>5371 MONTGOM</t>
  </si>
  <si>
    <t>1800 W RITTE</t>
  </si>
  <si>
    <t>1409 BARRING</t>
  </si>
  <si>
    <t>3939 LUDLO</t>
  </si>
  <si>
    <t>5701 N MARSH</t>
  </si>
  <si>
    <t>800 W RUSCOM</t>
  </si>
  <si>
    <t>730 S BANCRO</t>
  </si>
  <si>
    <t>100 WINONA</t>
  </si>
  <si>
    <t>3345 SHEFFIE</t>
  </si>
  <si>
    <t>5200 HORROCK</t>
  </si>
  <si>
    <t>1500 E SUSQU</t>
  </si>
  <si>
    <t>7800 NEIL RD</t>
  </si>
  <si>
    <t>1500 W MASTE</t>
  </si>
  <si>
    <t>2730 W CAMBR</t>
  </si>
  <si>
    <t>2915 W CAMBR</t>
  </si>
  <si>
    <t>5700 LANGTER</t>
  </si>
  <si>
    <t>1400 MANNING</t>
  </si>
  <si>
    <t>220 W RITTEN</t>
  </si>
  <si>
    <t>1818 W RITTE</t>
  </si>
  <si>
    <t>5732 N WOODS</t>
  </si>
  <si>
    <t>4600 WHITNEY</t>
  </si>
  <si>
    <t>B GARAGE ROO</t>
  </si>
  <si>
    <t>299 W RITTEN</t>
  </si>
  <si>
    <t>2100 CB MOOR</t>
  </si>
  <si>
    <t>39 W MAPLEWO</t>
  </si>
  <si>
    <t>57 E MAPLEWO</t>
  </si>
  <si>
    <t>2000 WARNOCK</t>
  </si>
  <si>
    <t>901 CALLOWHI</t>
  </si>
  <si>
    <t>2100 S COLUM</t>
  </si>
  <si>
    <t>6240 WASHING</t>
  </si>
  <si>
    <t>5300 WINGOHO</t>
  </si>
  <si>
    <t>5250 BELFIEL</t>
  </si>
  <si>
    <t>15TH &amp; STILES</t>
  </si>
  <si>
    <t>200 BRINGHUR</t>
  </si>
  <si>
    <t>2500 E ELKHA</t>
  </si>
  <si>
    <t>11TH &amp; RITNER</t>
  </si>
  <si>
    <t>1501 W DIAMO</t>
  </si>
  <si>
    <t>1906 S RITTE</t>
  </si>
  <si>
    <t>2203 DELANCE</t>
  </si>
  <si>
    <t>67TH &amp; BUIST</t>
  </si>
  <si>
    <t>3817 MARKE</t>
  </si>
  <si>
    <t>2100 CARLISL</t>
  </si>
  <si>
    <t>2129 CYPRE</t>
  </si>
  <si>
    <t>201 SALAINGN</t>
  </si>
  <si>
    <t>2125 N NEWKI</t>
  </si>
  <si>
    <t>1909 LOMBA</t>
  </si>
  <si>
    <t>1400 W DIAMO</t>
  </si>
  <si>
    <t>300 WALNUT 0</t>
  </si>
  <si>
    <t>200 RITTENHO</t>
  </si>
  <si>
    <t>3772 C ST</t>
  </si>
  <si>
    <t>5900 THEODOR</t>
  </si>
  <si>
    <t>3100 HEMBERG</t>
  </si>
  <si>
    <t>700 S CHADWI</t>
  </si>
  <si>
    <t>1325 SPRUC</t>
  </si>
  <si>
    <t>333 S BROA</t>
  </si>
  <si>
    <t>1309 SPRUC</t>
  </si>
  <si>
    <t>1133 SPRUC</t>
  </si>
  <si>
    <t>2984 LOMBARD</t>
  </si>
  <si>
    <t>1619 GRANT A</t>
  </si>
  <si>
    <t>1403 FANSHAW</t>
  </si>
  <si>
    <t>26&amp;LEHIGH</t>
  </si>
  <si>
    <t>2400 SOMERSE</t>
  </si>
  <si>
    <t>1022 VAN KIR</t>
  </si>
  <si>
    <t>75TH &amp; BEVERLY</t>
  </si>
  <si>
    <t>1845 WALNU</t>
  </si>
  <si>
    <t>1919 WALNU</t>
  </si>
  <si>
    <t>01921 WALNU</t>
  </si>
  <si>
    <t>01951 LOCUS</t>
  </si>
  <si>
    <t>1628 WALNUT0</t>
  </si>
  <si>
    <t>1522 CHEST</t>
  </si>
  <si>
    <t>2004 SANSO</t>
  </si>
  <si>
    <t>2054 SANSO</t>
  </si>
  <si>
    <t>1720 CHEST</t>
  </si>
  <si>
    <t>1620 CHEST</t>
  </si>
  <si>
    <t>GERMANTOWN A</t>
  </si>
  <si>
    <t>1 N PENNFIEL</t>
  </si>
  <si>
    <t>W THOMPSON &amp; N</t>
  </si>
  <si>
    <t>D DEPT</t>
  </si>
  <si>
    <t>ROOSEVELT &amp; WO</t>
  </si>
  <si>
    <t>GRATZ &amp; BERKS</t>
  </si>
  <si>
    <t>1930 DELANC</t>
  </si>
  <si>
    <t>2054 ELLSWOR</t>
  </si>
  <si>
    <t>2398 WOODWAR</t>
  </si>
  <si>
    <t>9TH &amp; SOMERSET</t>
  </si>
  <si>
    <t>200 N NATRON</t>
  </si>
  <si>
    <t>3451 WALNU</t>
  </si>
  <si>
    <t>2401 W ALLEG</t>
  </si>
  <si>
    <t>3440 CARLISL</t>
  </si>
  <si>
    <t>1100 W LOUDO</t>
  </si>
  <si>
    <t>4341 LAURIST</t>
  </si>
  <si>
    <t>RIPKA &amp; BACKER</t>
  </si>
  <si>
    <t>1622 CHESTN</t>
  </si>
  <si>
    <t>1606 CHESTN</t>
  </si>
  <si>
    <t>OVERINGTON &amp; R</t>
  </si>
  <si>
    <t>1500 S WALNU</t>
  </si>
  <si>
    <t>1018 S 401TH</t>
  </si>
  <si>
    <t>1133 W COLON</t>
  </si>
  <si>
    <t>1810 W RITTE</t>
  </si>
  <si>
    <t>1911 CHRISTI</t>
  </si>
  <si>
    <t>1604 ALLEGHE</t>
  </si>
  <si>
    <t>29TH CAMBRID</t>
  </si>
  <si>
    <t>2821 W POPLA</t>
  </si>
  <si>
    <t>CASTOR &amp; ARAMI</t>
  </si>
  <si>
    <t>123 W SHARPN</t>
  </si>
  <si>
    <t>49&amp;BALTIMORE</t>
  </si>
  <si>
    <t>1830 W RITTE</t>
  </si>
  <si>
    <t>2103 LOMBAR</t>
  </si>
  <si>
    <t>1610 CHESTN</t>
  </si>
  <si>
    <t>UNITN 17 ST</t>
  </si>
  <si>
    <t>2703 W GLENW</t>
  </si>
  <si>
    <t>104 ALLEGHEN</t>
  </si>
  <si>
    <t>5748 CEDAR A</t>
  </si>
  <si>
    <t>HENRY &amp; WALNUT</t>
  </si>
  <si>
    <t>200 E MT AIR</t>
  </si>
  <si>
    <t>521 E WASHIN</t>
  </si>
  <si>
    <t>29&amp;THOMPSON</t>
  </si>
  <si>
    <t>6205 LIMEKIL</t>
  </si>
  <si>
    <t>6203 LIMEKIL</t>
  </si>
  <si>
    <t>4353 LAURIST</t>
  </si>
  <si>
    <t>200 SALIAIGN</t>
  </si>
  <si>
    <t>19TH W BERKS</t>
  </si>
  <si>
    <t>800 RIDGE AV</t>
  </si>
  <si>
    <t>2815 W ALLEG</t>
  </si>
  <si>
    <t>2500 THOMPSO</t>
  </si>
  <si>
    <t>1913 LOMBAR</t>
  </si>
  <si>
    <t>8100 WILLIAM</t>
  </si>
  <si>
    <t>HASBROOK &amp; HAR</t>
  </si>
  <si>
    <t>200 SYNDENHA</t>
  </si>
  <si>
    <t>6900 CRESHIO</t>
  </si>
  <si>
    <t>5800 WAKEFIE</t>
  </si>
  <si>
    <t>15TH &amp; GIRARD</t>
  </si>
  <si>
    <t>6900 EASTWOO</t>
  </si>
  <si>
    <t>1616 ORTHODO</t>
  </si>
  <si>
    <t>1820 W RITTE</t>
  </si>
  <si>
    <t>1400 CALLLOW</t>
  </si>
  <si>
    <t>1425 WALNU</t>
  </si>
  <si>
    <t>1700 SYDENHA</t>
  </si>
  <si>
    <t>1500 LOCUS</t>
  </si>
  <si>
    <t>2399 COHMAN</t>
  </si>
  <si>
    <t>500 W ERIE A</t>
  </si>
  <si>
    <t>900 W COLLEG</t>
  </si>
  <si>
    <t>1432 W CB MO</t>
  </si>
  <si>
    <t>1415 W GIRAR</t>
  </si>
  <si>
    <t>3010 GRANSBA</t>
  </si>
  <si>
    <t>4824 SUMMERD</t>
  </si>
  <si>
    <t>6371 OVERBRO</t>
  </si>
  <si>
    <t>1422 CATHARI</t>
  </si>
  <si>
    <t>345 E PHIL E</t>
  </si>
  <si>
    <t>CHELTEN &amp; KENY</t>
  </si>
  <si>
    <t>3460 CHEST</t>
  </si>
  <si>
    <t>1500 W STILE</t>
  </si>
  <si>
    <t>8505 RISING</t>
  </si>
  <si>
    <t>1200 W VENAN</t>
  </si>
  <si>
    <t>3401 WALNU</t>
  </si>
  <si>
    <t>3460 SAMSO</t>
  </si>
  <si>
    <t>3609 CHEST</t>
  </si>
  <si>
    <t>2200 LYNFORD &amp;</t>
  </si>
  <si>
    <t>GIRARD &amp; POPLA</t>
  </si>
  <si>
    <t>3400 SHEFFIE</t>
  </si>
  <si>
    <t>200 ROSELYN</t>
  </si>
  <si>
    <t>6754 GILLESP</t>
  </si>
  <si>
    <t>1265 E CHELT</t>
  </si>
  <si>
    <t>LIMEKILN &amp; FAY</t>
  </si>
  <si>
    <t>3200 N NEWKI</t>
  </si>
  <si>
    <t>6731 CARLISL</t>
  </si>
  <si>
    <t>LEIDY &amp; W GIRA</t>
  </si>
  <si>
    <t>9TH &amp; CATHERIN</t>
  </si>
  <si>
    <t>3400 CHESNUT</t>
  </si>
  <si>
    <t>1900 S RITTE</t>
  </si>
  <si>
    <t>3900 CHESETN</t>
  </si>
  <si>
    <t>1501-03 SPRI</t>
  </si>
  <si>
    <t>US AIRWAY EX</t>
  </si>
  <si>
    <t>1800 CUTHBER</t>
  </si>
  <si>
    <t>1450 N WANAM</t>
  </si>
  <si>
    <t>1300 BRANDWI</t>
  </si>
  <si>
    <t>4300 FREELAN</t>
  </si>
  <si>
    <t>2854 MICHENE</t>
  </si>
  <si>
    <t>45TH &amp; LOCUST</t>
  </si>
  <si>
    <t>300 W WYOMIN</t>
  </si>
  <si>
    <t>44 &amp; PARRISH</t>
  </si>
  <si>
    <t>2549 ORTHODO</t>
  </si>
  <si>
    <t>1200 SASNSOM</t>
  </si>
  <si>
    <t>2000 E VENAN</t>
  </si>
  <si>
    <t>125 W MAPLEW</t>
  </si>
  <si>
    <t>222 W RITTEN</t>
  </si>
  <si>
    <t>900 W LINDLE</t>
  </si>
  <si>
    <t>1103 CHESWOR</t>
  </si>
  <si>
    <t>5500 PALETHO</t>
  </si>
  <si>
    <t>2312 S 11T</t>
  </si>
  <si>
    <t>S 23RD CLYME</t>
  </si>
  <si>
    <t>1815 N BOUVI</t>
  </si>
  <si>
    <t>AIRDRE &amp; 5TH</t>
  </si>
  <si>
    <t>2920 CAMBRID</t>
  </si>
  <si>
    <t>2926 CAMBRID</t>
  </si>
  <si>
    <t>SHARPNACK &amp; EM</t>
  </si>
  <si>
    <t>3200 SPANGLE</t>
  </si>
  <si>
    <t>2735 W GIRAR</t>
  </si>
  <si>
    <t>RUGBY &amp; IVY HI</t>
  </si>
  <si>
    <t>4221 N DARRI</t>
  </si>
  <si>
    <t>906 WOODBROO</t>
  </si>
  <si>
    <t>1217 S SAMSO</t>
  </si>
  <si>
    <t>1217 S SANSO</t>
  </si>
  <si>
    <t>1118 S WALNU</t>
  </si>
  <si>
    <t>2000 S 40TH</t>
  </si>
  <si>
    <t>2211 SPRUC</t>
  </si>
  <si>
    <t>4249 PALMETT</t>
  </si>
  <si>
    <t>1818 ELSTOR</t>
  </si>
  <si>
    <t>1200 W SOMER</t>
  </si>
  <si>
    <t>1 E HORTE</t>
  </si>
  <si>
    <t>A EAST SHORT</t>
  </si>
  <si>
    <t>2230 ALLEGHE</t>
  </si>
  <si>
    <t>DEPT A WEST</t>
  </si>
  <si>
    <t>2400 CARLISL</t>
  </si>
  <si>
    <t>4345 LAURIST</t>
  </si>
  <si>
    <t>3226 C B MOO</t>
  </si>
  <si>
    <t>4015 KNOX ST</t>
  </si>
  <si>
    <t>SANSOM ST</t>
  </si>
  <si>
    <t>500 W SOMERV</t>
  </si>
  <si>
    <t>TULPENHICKEN</t>
  </si>
  <si>
    <t>1844 CHRISTI</t>
  </si>
  <si>
    <t>4201 W GIRAR</t>
  </si>
  <si>
    <t>70TH &amp; GROVE</t>
  </si>
  <si>
    <t>400 N RANSTE</t>
  </si>
  <si>
    <t>200 S SYDENH</t>
  </si>
  <si>
    <t>1500 W DIAMO</t>
  </si>
  <si>
    <t>ERIC &amp; BOUIV</t>
  </si>
  <si>
    <t>1726 CHESTN</t>
  </si>
  <si>
    <t>DEPART A</t>
  </si>
  <si>
    <t>572 E CHELTE</t>
  </si>
  <si>
    <t>1800 C B MOO</t>
  </si>
  <si>
    <t>1600 RIDGE A</t>
  </si>
  <si>
    <t>1200 CARLISL</t>
  </si>
  <si>
    <t>1228 CHESTN</t>
  </si>
  <si>
    <t>6700 GALON ST</t>
  </si>
  <si>
    <t>A &amp; WESTMORE</t>
  </si>
  <si>
    <t>2000 RITTENH</t>
  </si>
  <si>
    <t>4400 WALLACE</t>
  </si>
  <si>
    <t>1637 GRIFFIT</t>
  </si>
  <si>
    <t>1614 W MOYAM</t>
  </si>
  <si>
    <t>1500 S HOLLY</t>
  </si>
  <si>
    <t>2000 CHRISTI</t>
  </si>
  <si>
    <t>2100 E HAGER</t>
  </si>
  <si>
    <t>2420 E HUNTI</t>
  </si>
  <si>
    <t>6153 W COLUM</t>
  </si>
  <si>
    <t>7339 CLARIDG</t>
  </si>
  <si>
    <t>7500 BEVENYN</t>
  </si>
  <si>
    <t>2204 E WASHI</t>
  </si>
  <si>
    <t>1710 FOX CHA</t>
  </si>
  <si>
    <t>1000 W LIVEZ</t>
  </si>
  <si>
    <t>18TH &amp; HARTRAN</t>
  </si>
  <si>
    <t>20TH &amp; TITAN ST</t>
  </si>
  <si>
    <t>STILES &amp; N 29T</t>
  </si>
  <si>
    <t>1616 LATIME</t>
  </si>
  <si>
    <t>638 E WESTMO</t>
  </si>
  <si>
    <t>1 E SCHOOLHO</t>
  </si>
  <si>
    <t>2200 E GORDO</t>
  </si>
  <si>
    <t>2000 ELLSWOR</t>
  </si>
  <si>
    <t>2344 E ALLEG</t>
  </si>
  <si>
    <t>A &amp; DUNCANNON</t>
  </si>
  <si>
    <t>3401 S 34TH</t>
  </si>
  <si>
    <t>3500 S CHEST</t>
  </si>
  <si>
    <t>2034 CHESTN</t>
  </si>
  <si>
    <t>2032 CHESTN</t>
  </si>
  <si>
    <t>1718 CHESTN</t>
  </si>
  <si>
    <t>1424 CHESTN</t>
  </si>
  <si>
    <t>804-806 SOUT</t>
  </si>
  <si>
    <t>1816 CHESTN</t>
  </si>
  <si>
    <t>2443 E CLEAR</t>
  </si>
  <si>
    <t>5925 ELSINOR</t>
  </si>
  <si>
    <t>534-536 SOUT</t>
  </si>
  <si>
    <t>1920 CHESTN</t>
  </si>
  <si>
    <t>1518 WALNUT0</t>
  </si>
  <si>
    <t>1420 N CORLI</t>
  </si>
  <si>
    <t>1432 N CORLI</t>
  </si>
  <si>
    <t>3RD &amp; CHAMPL</t>
  </si>
  <si>
    <t>2993 THOMPSO</t>
  </si>
  <si>
    <t>2000 CATHERI</t>
  </si>
  <si>
    <t>2500 S CLEVE</t>
  </si>
  <si>
    <t>1800 RITTENH</t>
  </si>
  <si>
    <t>2700 AMERICA</t>
  </si>
  <si>
    <t>1700 S RITTE</t>
  </si>
  <si>
    <t>1 S LETIT</t>
  </si>
  <si>
    <t>1718 LOCUS</t>
  </si>
  <si>
    <t>8661 MICHENE</t>
  </si>
  <si>
    <t>6561 WOODSTO</t>
  </si>
  <si>
    <t>20TH &amp; PATTISO</t>
  </si>
  <si>
    <t>TULPEHOCKEN</t>
  </si>
  <si>
    <t>1026 E CAYUG</t>
  </si>
  <si>
    <t>1900 FOX CHA</t>
  </si>
  <si>
    <t>7301 THEODOR</t>
  </si>
  <si>
    <t>1907 LOMBAR</t>
  </si>
  <si>
    <t>19TH &amp; DIAMO</t>
  </si>
  <si>
    <t>1225 S SPRU</t>
  </si>
  <si>
    <t>12127 S SANS</t>
  </si>
  <si>
    <t>1827 CALLOW</t>
  </si>
  <si>
    <t>15 W ABINGTO</t>
  </si>
  <si>
    <t>1201 S  SANS</t>
  </si>
  <si>
    <t>SHIELDS &amp; ELMW</t>
  </si>
  <si>
    <t>2810 LAMBER</t>
  </si>
  <si>
    <t>2000 S HOBSO</t>
  </si>
  <si>
    <t>1518 LATIM</t>
  </si>
  <si>
    <t>100 W ASHMEA</t>
  </si>
  <si>
    <t>100 E WELLEN</t>
  </si>
  <si>
    <t>1901 CARPENT</t>
  </si>
  <si>
    <t>1400 S RINGG</t>
  </si>
  <si>
    <t>2249 CATHARI</t>
  </si>
  <si>
    <t>2349 CATHARI</t>
  </si>
  <si>
    <t>700 RITTENHO</t>
  </si>
  <si>
    <t>BC DEPATURE</t>
  </si>
  <si>
    <t>66TH &amp; 20TH</t>
  </si>
  <si>
    <t>1500 N DIAMO</t>
  </si>
  <si>
    <t>1905 LOMBAR</t>
  </si>
  <si>
    <t>392 S WALNU</t>
  </si>
  <si>
    <t>1 S LIETI</t>
  </si>
  <si>
    <t>1830 RITTENH</t>
  </si>
  <si>
    <t>1700 CHESNUT</t>
  </si>
  <si>
    <t>A WEST TAXI</t>
  </si>
  <si>
    <t>6719 EMLER ST</t>
  </si>
  <si>
    <t>6TH LINDLEY</t>
  </si>
  <si>
    <t>1800 WASHING</t>
  </si>
  <si>
    <t>7200 ANDREW</t>
  </si>
  <si>
    <t>3864 W GIRAR</t>
  </si>
  <si>
    <t>4900 WYLUSIN</t>
  </si>
  <si>
    <t>1600 GLENWOO</t>
  </si>
  <si>
    <t>8400 GTOWN A</t>
  </si>
  <si>
    <t>8500 GTOWN A</t>
  </si>
  <si>
    <t>5600 GTOWN A</t>
  </si>
  <si>
    <t>8600 GTOWN A</t>
  </si>
  <si>
    <t>8500 GTOWN</t>
  </si>
  <si>
    <t>8400 GTOWN</t>
  </si>
  <si>
    <t>6800 GERMANT</t>
  </si>
  <si>
    <t>8600 GTOWN</t>
  </si>
  <si>
    <t>8300 GTOWN A</t>
  </si>
  <si>
    <t>8100 GTOWN A</t>
  </si>
  <si>
    <t>7900 GTOWN A</t>
  </si>
  <si>
    <t>8700 GTOWN A</t>
  </si>
  <si>
    <t>7100 GTOWN A</t>
  </si>
  <si>
    <t>7000 GTOWN A</t>
  </si>
  <si>
    <t>6900 GTOWN A</t>
  </si>
  <si>
    <t>6700 GTOWN A</t>
  </si>
  <si>
    <t>6656 GTOWN A</t>
  </si>
  <si>
    <t>6333 GTOWN</t>
  </si>
  <si>
    <t>6353 GTOWN A</t>
  </si>
  <si>
    <t>6365 GTOWN</t>
  </si>
  <si>
    <t>6367 GTOWN</t>
  </si>
  <si>
    <t>6400 GTOWN</t>
  </si>
  <si>
    <t>7800 GTOWN A</t>
  </si>
  <si>
    <t>DEPART A WES</t>
  </si>
  <si>
    <t>5372 HAZELHU</t>
  </si>
  <si>
    <t>UNION &amp; PARRIS</t>
  </si>
  <si>
    <t>1700 PARK TOWNE PL</t>
  </si>
  <si>
    <t>7330 GOWEN A</t>
  </si>
  <si>
    <t>1602 BANCROF</t>
  </si>
  <si>
    <t>1518 LATIME</t>
  </si>
  <si>
    <t>1901 LOMBAR</t>
  </si>
  <si>
    <t>611 E RAYMON</t>
  </si>
  <si>
    <t>625 E RAYMON</t>
  </si>
  <si>
    <t>1200 S LOCUS</t>
  </si>
  <si>
    <t>1 S STRAW</t>
  </si>
  <si>
    <t>1422 CALLOW</t>
  </si>
  <si>
    <t>105 S12TH ST</t>
  </si>
  <si>
    <t>1550 LATIME</t>
  </si>
  <si>
    <t>WASHINGTON &amp;</t>
  </si>
  <si>
    <t>1000 WALNUT0</t>
  </si>
  <si>
    <t>1353 PASSMOR</t>
  </si>
  <si>
    <t>5TH &amp; MOORE</t>
  </si>
  <si>
    <t>600 GODREY A</t>
  </si>
  <si>
    <t>8400 PROVIDE</t>
  </si>
  <si>
    <t>1730 W CHELT</t>
  </si>
  <si>
    <t>7800 CRITTEN</t>
  </si>
  <si>
    <t>220 W SEDGAR</t>
  </si>
  <si>
    <t>55TH &amp; CATHE</t>
  </si>
  <si>
    <t>1220 SANSO</t>
  </si>
  <si>
    <t>1319 LOCUS</t>
  </si>
  <si>
    <t>33 &amp; SPRING</t>
  </si>
  <si>
    <t>3210 HAVERFO</t>
  </si>
  <si>
    <t>1401 N CARLI</t>
  </si>
  <si>
    <t>3000 DICKINS</t>
  </si>
  <si>
    <t>1321 SPRUC</t>
  </si>
  <si>
    <t>1127 SPRUC</t>
  </si>
  <si>
    <t>6800 EMLER ST</t>
  </si>
  <si>
    <t>165 E PLEASA</t>
  </si>
  <si>
    <t>1206 POINT B</t>
  </si>
  <si>
    <t>1800 W WALLA</t>
  </si>
  <si>
    <t>1500 W MT VE</t>
  </si>
  <si>
    <t>946 NEW MARK</t>
  </si>
  <si>
    <t>49 &amp; FAIRMOU</t>
  </si>
  <si>
    <t>1 ST BERN</t>
  </si>
  <si>
    <t>2100 BELLEVU</t>
  </si>
  <si>
    <t>2160 BELLEVU</t>
  </si>
  <si>
    <t>5341 WAKEFIE</t>
  </si>
  <si>
    <t>1 EAST CH</t>
  </si>
  <si>
    <t>1849 E VENAN</t>
  </si>
  <si>
    <t>1226 CHESTN</t>
  </si>
  <si>
    <t>6810 EMLER ST</t>
  </si>
  <si>
    <t>6803 FOWLER</t>
  </si>
  <si>
    <t>7150 CHANCELLOR ST</t>
  </si>
  <si>
    <t>2400 W WALNU</t>
  </si>
  <si>
    <t>RITTENHOUSE</t>
  </si>
  <si>
    <t>138 W TULPEH</t>
  </si>
  <si>
    <t>1800 SPRING</t>
  </si>
  <si>
    <t>2526 W MAST</t>
  </si>
  <si>
    <t>100 ABBOTTSF</t>
  </si>
  <si>
    <t>175 W HANSBE</t>
  </si>
  <si>
    <t>100 W ABBOTS</t>
  </si>
  <si>
    <t>231 E LUZERN</t>
  </si>
  <si>
    <t>199S 10TH ST</t>
  </si>
  <si>
    <t>2100 APPLETR</t>
  </si>
  <si>
    <t>1229 S CHEST</t>
  </si>
  <si>
    <t>1422 CALLH</t>
  </si>
  <si>
    <t>7110 GUYER A</t>
  </si>
  <si>
    <t>5000 WAKEFIE</t>
  </si>
  <si>
    <t>570 RIPKA</t>
  </si>
  <si>
    <t>36TH ST &amp; BARI</t>
  </si>
  <si>
    <t>5313 HORROCK</t>
  </si>
  <si>
    <t>2307 MONTROS</t>
  </si>
  <si>
    <t>1116 S WALNU</t>
  </si>
  <si>
    <t>4300 SHEFFIE</t>
  </si>
  <si>
    <t>125 W SCHOOL</t>
  </si>
  <si>
    <t>1800 COMMERE</t>
  </si>
  <si>
    <t>201 W MT PLE</t>
  </si>
  <si>
    <t>1924 E THAYE</t>
  </si>
  <si>
    <t>3300 RIDGE A</t>
  </si>
  <si>
    <t>1826 E ONTAR</t>
  </si>
  <si>
    <t>24TH &amp; CATHA</t>
  </si>
  <si>
    <t>2400 CHRISTI</t>
  </si>
  <si>
    <t>2000 N CLEVE</t>
  </si>
  <si>
    <t>6500 THEODOR</t>
  </si>
  <si>
    <t>B/C DEPART</t>
  </si>
  <si>
    <t>1818 RITTENH</t>
  </si>
  <si>
    <t>6500 LANFORD</t>
  </si>
  <si>
    <t>1 VAN PEL</t>
  </si>
  <si>
    <t>6611 ARDLEIG</t>
  </si>
  <si>
    <t>STONEY LN &amp; NE</t>
  </si>
  <si>
    <t>139 W POMPEI</t>
  </si>
  <si>
    <t>1820 RITTEHO</t>
  </si>
  <si>
    <t>1900 JFL BLV</t>
  </si>
  <si>
    <t>1700 W GODFR</t>
  </si>
  <si>
    <t>5339 BELFIEL</t>
  </si>
  <si>
    <t>FDR</t>
  </si>
  <si>
    <t>1200 STAFFOR</t>
  </si>
  <si>
    <t>7414 PENN ST</t>
  </si>
  <si>
    <t>1800 S CARPE</t>
  </si>
  <si>
    <t>2200 INDEPEN</t>
  </si>
  <si>
    <t>3539 ENGLEWO</t>
  </si>
  <si>
    <t>3101 ARAMING</t>
  </si>
  <si>
    <t>7200 KEYSTON</t>
  </si>
  <si>
    <t>1100 COLORAD</t>
  </si>
  <si>
    <t>1332 S BANCR</t>
  </si>
  <si>
    <t>2000 E ONTAR</t>
  </si>
  <si>
    <t>1400 RITTENH</t>
  </si>
  <si>
    <t>308 BAINBR</t>
  </si>
  <si>
    <t>416 BAINBR</t>
  </si>
  <si>
    <t>418 BAINBR</t>
  </si>
  <si>
    <t>19TH &amp; CB MO</t>
  </si>
  <si>
    <t>19TH FEDERAL</t>
  </si>
  <si>
    <t>100 W SEDGWI</t>
  </si>
  <si>
    <t>318 BAINBR</t>
  </si>
  <si>
    <t>9TH &amp; FEDERA</t>
  </si>
  <si>
    <t>633 E ONTARI</t>
  </si>
  <si>
    <t>3700 LANKENA</t>
  </si>
  <si>
    <t>3729 COUNTRY</t>
  </si>
  <si>
    <t>1421 W GIRAR</t>
  </si>
  <si>
    <t>1315 W HUNTI</t>
  </si>
  <si>
    <t>1700 MOAVIAN</t>
  </si>
  <si>
    <t>1117 LOCUS</t>
  </si>
  <si>
    <t>5900 MCCALLU</t>
  </si>
  <si>
    <t>STENTON &amp; MT P</t>
  </si>
  <si>
    <t>ROBINSON &amp; M</t>
  </si>
  <si>
    <t>100 LOCKHART</t>
  </si>
  <si>
    <t>1018 FANSHAW</t>
  </si>
  <si>
    <t>7TH &amp; SEARS</t>
  </si>
  <si>
    <t>6930 MCCALLU</t>
  </si>
  <si>
    <t>1836 TULPEHO</t>
  </si>
  <si>
    <t>4614  CHESTE</t>
  </si>
  <si>
    <t>22ND &amp; FITZW</t>
  </si>
  <si>
    <t>MONASTARY &amp; FL</t>
  </si>
  <si>
    <t>2705 E SOMER</t>
  </si>
  <si>
    <t>500 W HORTTE</t>
  </si>
  <si>
    <t>5215 RANDOLP</t>
  </si>
  <si>
    <t>6031 CATHERI</t>
  </si>
  <si>
    <t>7335 RISING</t>
  </si>
  <si>
    <t>20TH &amp; SHUNK</t>
  </si>
  <si>
    <t>1721 MONTGOM</t>
  </si>
  <si>
    <t>2100 LONGSHO</t>
  </si>
  <si>
    <t>1728 MONTGOM</t>
  </si>
  <si>
    <t>7615 LINDBER</t>
  </si>
  <si>
    <t>8222 PICKERI</t>
  </si>
  <si>
    <t>2200 ST ABLA</t>
  </si>
  <si>
    <t>200 CARPENTE</t>
  </si>
  <si>
    <t>15TH &amp; WOLF ST</t>
  </si>
  <si>
    <t>B C DEPART P</t>
  </si>
  <si>
    <t>1111 S  LOCU</t>
  </si>
  <si>
    <t>1210 CHESTN</t>
  </si>
  <si>
    <t>58TH &amp; MEDIA</t>
  </si>
  <si>
    <t>1700 MORAVIA</t>
  </si>
  <si>
    <t>1211 S LOCU</t>
  </si>
  <si>
    <t>220 RITTENHO</t>
  </si>
  <si>
    <t>100 CONNOROE</t>
  </si>
  <si>
    <t>1214 S SPRUC</t>
  </si>
  <si>
    <t>1800 JFL BLV</t>
  </si>
  <si>
    <t>1702 W ONTAR</t>
  </si>
  <si>
    <t>1 W SCHOOLHO</t>
  </si>
  <si>
    <t>C-11 CARGO C</t>
  </si>
  <si>
    <t>2300 CLEARFI</t>
  </si>
  <si>
    <t>C GARAGE</t>
  </si>
  <si>
    <t>165 ROXOBORO</t>
  </si>
  <si>
    <t>2100 MONTROS</t>
  </si>
  <si>
    <t>1600 CB MOOR</t>
  </si>
  <si>
    <t>3148 SYDENHA</t>
  </si>
  <si>
    <t>2600 MAGEE</t>
  </si>
  <si>
    <t>COULTER &amp; WAYN</t>
  </si>
  <si>
    <t>3146 W ALLEG</t>
  </si>
  <si>
    <t>100 FILBERT</t>
  </si>
  <si>
    <t>DEPT</t>
  </si>
  <si>
    <t>FRONTENAC &amp; AN</t>
  </si>
  <si>
    <t>2008 CAMBRID</t>
  </si>
  <si>
    <t>5500 N GODFR</t>
  </si>
  <si>
    <t>500 E S PLEA</t>
  </si>
  <si>
    <t>7400 MANSFIE</t>
  </si>
  <si>
    <t>19TH PENNFIE</t>
  </si>
  <si>
    <t>2600 CATHARI</t>
  </si>
  <si>
    <t>1003 N RANDO</t>
  </si>
  <si>
    <t>1906 RITTENH</t>
  </si>
  <si>
    <t>1000 W HUNGI</t>
  </si>
  <si>
    <t>S 8TH &amp; JACKSO</t>
  </si>
  <si>
    <t>20TH &amp; CHEW</t>
  </si>
  <si>
    <t>POWELTON &amp; LAN</t>
  </si>
  <si>
    <t>OPAL &amp; MEDERY</t>
  </si>
  <si>
    <t>200 W SOLIS</t>
  </si>
  <si>
    <t>200 E ASHDAL</t>
  </si>
  <si>
    <t>5700 CATHERI</t>
  </si>
  <si>
    <t>SALAIGNA &amp; QUE</t>
  </si>
  <si>
    <t>2133 DELANC</t>
  </si>
  <si>
    <t>1700 STOCK E</t>
  </si>
  <si>
    <t>2322 DELANC</t>
  </si>
  <si>
    <t>8800 W ESSIN</t>
  </si>
  <si>
    <t>199S 17TH ST</t>
  </si>
  <si>
    <t>34TH ST &amp; MT V</t>
  </si>
  <si>
    <t>LANCASTER AV</t>
  </si>
  <si>
    <t>4314 FREELAN</t>
  </si>
  <si>
    <t>01 S BEACH ST</t>
  </si>
  <si>
    <t>01 S  BEACH</t>
  </si>
  <si>
    <t>2430 CHRISTI</t>
  </si>
  <si>
    <t>300 MARTILE</t>
  </si>
  <si>
    <t>TOWER &amp; SHORS</t>
  </si>
  <si>
    <t>DAWSON &amp; SHARP</t>
  </si>
  <si>
    <t>LAURISTON &amp; PE</t>
  </si>
  <si>
    <t>7949 RIDGE A</t>
  </si>
  <si>
    <t>4 &amp; CHRISTIAN ST</t>
  </si>
  <si>
    <t>8TH &amp; MCKEAN</t>
  </si>
  <si>
    <t>BURNSIDE &amp; MAN</t>
  </si>
  <si>
    <t>57TH &amp; CEDAR</t>
  </si>
  <si>
    <t>100 HUTCHINS</t>
  </si>
  <si>
    <t>48TH &amp; KINGS</t>
  </si>
  <si>
    <t>5400 GREENWA</t>
  </si>
  <si>
    <t>5401 CHEW AV</t>
  </si>
  <si>
    <t>WOODLAWN &amp; ARD</t>
  </si>
  <si>
    <t>1000 E CHELT</t>
  </si>
  <si>
    <t>19TH &amp; SNYDE</t>
  </si>
  <si>
    <t>6900 CEDAR</t>
  </si>
  <si>
    <t>1700 W SUSQU</t>
  </si>
  <si>
    <t>2207 SPRUC</t>
  </si>
  <si>
    <t>2018 WALN</t>
  </si>
  <si>
    <t>1400 CARPENT</t>
  </si>
  <si>
    <t>2045 WALNU</t>
  </si>
  <si>
    <t>600 S SCHUYL</t>
  </si>
  <si>
    <t>6728 WOODSTO</t>
  </si>
  <si>
    <t>BLOYD &amp; LOCUST</t>
  </si>
  <si>
    <t>833 CHURCH L</t>
  </si>
  <si>
    <t>1000 E WOODL</t>
  </si>
  <si>
    <t>5600 MATTHEW</t>
  </si>
  <si>
    <t>5600 BLAKEMO</t>
  </si>
  <si>
    <t>1032 E CHELT</t>
  </si>
  <si>
    <t>2503 S CLEVE</t>
  </si>
  <si>
    <t>CHEW &amp; CHELTEN</t>
  </si>
  <si>
    <t>BOYER &amp; LOCUST</t>
  </si>
  <si>
    <t>20TH &amp; JACKS</t>
  </si>
  <si>
    <t>19TH &amp; MASTE</t>
  </si>
  <si>
    <t>500 E ASHDAL</t>
  </si>
  <si>
    <t>800 ARCH ST0</t>
  </si>
  <si>
    <t>5300 MATTHEW</t>
  </si>
  <si>
    <t>499 MONASTER</t>
  </si>
  <si>
    <t>5317 HAVERFO</t>
  </si>
  <si>
    <t>512 DICKINSO</t>
  </si>
  <si>
    <t>30 GRAYSFERR</t>
  </si>
  <si>
    <t>2200 RITTENH</t>
  </si>
  <si>
    <t>1000 FOUNTAI</t>
  </si>
  <si>
    <t>5838 FERNWOO</t>
  </si>
  <si>
    <t>11011 PHILMO</t>
  </si>
  <si>
    <t>700 S CLEVEL</t>
  </si>
  <si>
    <t>1618 W CB MO</t>
  </si>
  <si>
    <t>1929-B S 10T</t>
  </si>
  <si>
    <t>37 &amp; LANCAST</t>
  </si>
  <si>
    <t>1901 RITTENH</t>
  </si>
  <si>
    <t>1 ST</t>
  </si>
  <si>
    <t>2320 CATHARI</t>
  </si>
  <si>
    <t>HAINES &amp; SHARP</t>
  </si>
  <si>
    <t>5862 CHRISTI</t>
  </si>
  <si>
    <t>2233 GRAYSFE</t>
  </si>
  <si>
    <t>200 ELBOW IN</t>
  </si>
  <si>
    <t>800 S ROOSWE</t>
  </si>
  <si>
    <t>800 S ROOSEW</t>
  </si>
  <si>
    <t>10TH &amp; MCCLELL</t>
  </si>
  <si>
    <t>2042 S COLOR</t>
  </si>
  <si>
    <t>2400 CUMBERL</t>
  </si>
  <si>
    <t>1400 W HAGER</t>
  </si>
  <si>
    <t>7201 RANDOLP</t>
  </si>
  <si>
    <t>3570 INDIAN</t>
  </si>
  <si>
    <t>58TH THOMPSO</t>
  </si>
  <si>
    <t>28TH THOMPSO</t>
  </si>
  <si>
    <t>2800 W WHART</t>
  </si>
  <si>
    <t>1722 SAMSO</t>
  </si>
  <si>
    <t>6783 RIDGE A</t>
  </si>
  <si>
    <t>1614 RITNE ST</t>
  </si>
  <si>
    <t>640 A SOUTH</t>
  </si>
  <si>
    <t>1633 W CB MO</t>
  </si>
  <si>
    <t>25TH CECIL B</t>
  </si>
  <si>
    <t>2056 PEMBERT</t>
  </si>
  <si>
    <t>4313 1/2 FLE</t>
  </si>
  <si>
    <t>9950 E ROOSE</t>
  </si>
  <si>
    <t>PARK &amp; CECIL B</t>
  </si>
  <si>
    <t>700 E LIVEZE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</si>
</sst>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0"/>
      <name val="Arial"/>
    </font>
    <font>
      <sz val="8"/>
      <name val="Arial"/>
      <family val="2"/>
    </font>
    <font>
      <u/>
      <sz val="10"/>
      <color indexed="12"/>
      <name val="Gill Sans MT"/>
      <family val="2"/>
    </font>
    <font>
      <sz val="12"/>
      <name val="Arial"/>
      <family val="2"/>
    </font>
    <font>
      <b/>
      <sz val="12"/>
      <name val="Arial"/>
      <family val="2"/>
    </font>
    <font>
      <sz val="9"/>
      <color indexed="23"/>
      <name val="Arial"/>
      <family val="2"/>
    </font>
    <font>
      <sz val="10"/>
      <name val="Arial"/>
      <family val="2"/>
    </font>
    <font>
      <b/>
      <sz val="14"/>
      <name val="Arial"/>
      <family val="2"/>
    </font>
    <font>
      <b/>
      <sz val="10"/>
      <name val="Arial"/>
      <family val="2"/>
    </font>
    <font>
      <sz val="10"/>
      <name val="Arial"/>
      <family val="2"/>
    </font>
    <font>
      <sz val="9"/>
      <color rgb="FF494949"/>
      <name val="Courier New"/>
      <family val="3"/>
    </font>
    <font>
      <b/>
      <sz val="12"/>
      <color theme="1"/>
      <name val="Arial"/>
      <family val="2"/>
    </font>
    <font>
      <u/>
      <sz val="10"/>
      <color theme="0" tint="-0.499984740745262"/>
      <name val="Arial"/>
      <family val="2"/>
    </font>
    <font>
      <sz val="10"/>
      <color rgb="FF000000"/>
      <name val="Gill Sans MT"/>
      <family val="2"/>
    </font>
  </fonts>
  <fills count="3">
    <fill>
      <patternFill patternType="none"/>
    </fill>
    <fill>
      <patternFill patternType="gray125"/>
    </fill>
    <fill>
      <patternFill patternType="solid">
        <fgColor indexed="2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2" fillId="0" borderId="0" applyNumberFormat="0" applyFill="0" applyBorder="0" applyAlignment="0" applyProtection="0">
      <alignment vertical="top"/>
      <protection locked="0"/>
    </xf>
  </cellStyleXfs>
  <cellXfs count="26">
    <xf numFmtId="0" fontId="0" fillId="0" borderId="0" xfId="0"/>
    <xf numFmtId="0" fontId="3" fillId="0" borderId="0" xfId="0" applyFont="1" applyAlignment="1">
      <alignment horizontal="right"/>
    </xf>
    <xf numFmtId="0" fontId="3" fillId="0" borderId="0" xfId="0" applyFont="1"/>
    <xf numFmtId="0" fontId="4" fillId="0" borderId="0" xfId="0" applyFont="1" applyAlignment="1">
      <alignment horizontal="right"/>
    </xf>
    <xf numFmtId="0" fontId="4" fillId="0" borderId="0" xfId="0" applyFont="1" applyAlignment="1">
      <alignment horizontal="left"/>
    </xf>
    <xf numFmtId="0" fontId="3" fillId="2" borderId="1" xfId="0" applyFont="1" applyFill="1" applyBorder="1"/>
    <xf numFmtId="0" fontId="5" fillId="0" borderId="0" xfId="0" applyFont="1"/>
    <xf numFmtId="0" fontId="3" fillId="0" borderId="0" xfId="0" applyFont="1" applyAlignment="1">
      <alignment vertical="top" wrapText="1"/>
    </xf>
    <xf numFmtId="0" fontId="3" fillId="0" borderId="0" xfId="0" applyFont="1" applyAlignment="1">
      <alignment vertical="top"/>
    </xf>
    <xf numFmtId="0" fontId="6" fillId="0" borderId="0" xfId="0" applyFont="1"/>
    <xf numFmtId="0" fontId="5" fillId="0" borderId="0" xfId="0" applyFont="1" applyAlignment="1">
      <alignment vertical="top"/>
    </xf>
    <xf numFmtId="0" fontId="7" fillId="0" borderId="0" xfId="0" applyFont="1" applyAlignment="1">
      <alignment horizontal="left"/>
    </xf>
    <xf numFmtId="0" fontId="8" fillId="0" borderId="0" xfId="0" applyFont="1"/>
    <xf numFmtId="0" fontId="1" fillId="0" borderId="0" xfId="0" applyFont="1"/>
    <xf numFmtId="0" fontId="3" fillId="2" borderId="1" xfId="0" applyFont="1" applyFill="1" applyBorder="1" applyAlignment="1"/>
    <xf numFmtId="0" fontId="3" fillId="2" borderId="2" xfId="0" applyFont="1" applyFill="1" applyBorder="1" applyAlignment="1">
      <alignment vertical="center"/>
    </xf>
    <xf numFmtId="0" fontId="2" fillId="0" borderId="0" xfId="1" applyAlignment="1" applyProtection="1"/>
    <xf numFmtId="0" fontId="10" fillId="0" borderId="0" xfId="0" applyFont="1" applyAlignment="1">
      <alignment vertical="center" wrapText="1"/>
    </xf>
    <xf numFmtId="0" fontId="3" fillId="0" borderId="0" xfId="0" quotePrefix="1" applyFont="1"/>
    <xf numFmtId="0" fontId="0" fillId="0" borderId="0" xfId="0" applyAlignment="1"/>
    <xf numFmtId="0" fontId="9" fillId="0" borderId="0" xfId="0" applyFont="1" applyAlignment="1"/>
    <xf numFmtId="0" fontId="9" fillId="0" borderId="0" xfId="0" applyFont="1"/>
    <xf numFmtId="0" fontId="11" fillId="0" borderId="0" xfId="0" applyFont="1" applyAlignment="1">
      <alignment horizontal="right"/>
    </xf>
    <xf numFmtId="0" fontId="12" fillId="0" borderId="0" xfId="1" applyFont="1" applyAlignment="1" applyProtection="1">
      <alignment vertical="top"/>
    </xf>
    <xf numFmtId="0" fontId="4" fillId="0" borderId="0" xfId="0" applyFont="1" applyAlignment="1">
      <alignment vertical="top" wrapText="1"/>
    </xf>
    <xf numFmtId="49" fontId="0" fillId="0" borderId="0" xfId="0" applyNumberFormat="1"/>
  </cellXfs>
  <cellStyles count="2">
    <cellStyle name="Hyperlink" xfId="1" builtinId="8"/>
    <cellStyle name="Normal" xfId="0" builtinId="0"/>
  </cellStyles>
  <dxfs count="4">
    <dxf>
      <font>
        <condense val="0"/>
        <extend val="0"/>
        <color indexed="55"/>
      </font>
      <fill>
        <patternFill>
          <bgColor indexed="22"/>
        </patternFill>
      </fill>
      <border>
        <left style="thin">
          <color indexed="55"/>
        </left>
        <right style="thin">
          <color indexed="55"/>
        </right>
        <top style="thin">
          <color indexed="55"/>
        </top>
        <bottom style="thin">
          <color indexed="55"/>
        </bottom>
      </border>
    </dxf>
    <dxf>
      <fill>
        <patternFill>
          <bgColor indexed="52"/>
        </patternFill>
      </fill>
      <border>
        <left style="thin">
          <color indexed="10"/>
        </left>
        <right style="thin">
          <color indexed="10"/>
        </right>
        <top style="thin">
          <color indexed="10"/>
        </top>
        <bottom style="thin">
          <color indexed="10"/>
        </bottom>
      </border>
    </dxf>
    <dxf>
      <font>
        <b/>
        <i val="0"/>
        <condense val="0"/>
        <extend val="0"/>
        <color indexed="8"/>
      </font>
    </dxf>
    <dxf>
      <font>
        <condense val="0"/>
        <extend val="0"/>
        <color indexed="10"/>
      </font>
      <fill>
        <patternFill>
          <bgColor indexed="52"/>
        </patternFill>
      </fill>
      <border>
        <left style="thin">
          <color indexed="10"/>
        </left>
        <right style="thin">
          <color indexed="10"/>
        </right>
        <top style="thin">
          <color indexed="10"/>
        </top>
        <bottom style="thin">
          <color indexed="1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FF66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1190625</xdr:colOff>
          <xdr:row>19</xdr:row>
          <xdr:rowOff>152400</xdr:rowOff>
        </xdr:from>
        <xdr:to>
          <xdr:col>2</xdr:col>
          <xdr:colOff>2800350</xdr:colOff>
          <xdr:row>21</xdr:row>
          <xdr:rowOff>66675</xdr:rowOff>
        </xdr:to>
        <xdr:sp macro="" textlink="">
          <xdr:nvSpPr>
            <xdr:cNvPr id="21859" name="Button 355" hidden="1">
              <a:extLst>
                <a:ext uri="{63B3BB69-23CF-44E3-9099-C40C66FF867C}">
                  <a14:compatExt spid="_x0000_s21859"/>
                </a:ext>
                <a:ext uri="{FF2B5EF4-FFF2-40B4-BE49-F238E27FC236}">
                  <a16:creationId xmlns:a16="http://schemas.microsoft.com/office/drawing/2014/main" id="{00000000-0008-0000-0000-00006355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Gill Sans MT"/>
                </a:rPr>
                <a:t>Are Macros enabled?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85725</xdr:colOff>
          <xdr:row>5</xdr:row>
          <xdr:rowOff>85725</xdr:rowOff>
        </xdr:to>
        <xdr:grpSp>
          <xdr:nvGrpSpPr>
            <xdr:cNvPr id="21086" name="Group 1">
              <a:extLst>
                <a:ext uri="{FF2B5EF4-FFF2-40B4-BE49-F238E27FC236}">
                  <a16:creationId xmlns:a16="http://schemas.microsoft.com/office/drawing/2014/main" id="{00000000-0008-0000-0100-00005E520000}"/>
                </a:ext>
              </a:extLst>
            </xdr:cNvPr>
            <xdr:cNvGrpSpPr>
              <a:grpSpLocks/>
            </xdr:cNvGrpSpPr>
          </xdr:nvGrpSpPr>
          <xdr:grpSpPr bwMode="auto">
            <a:xfrm>
              <a:off x="0" y="0"/>
              <a:ext cx="1590675" cy="1066800"/>
              <a:chOff x="0" y="0"/>
              <a:chExt cx="1590675" cy="1066800"/>
            </a:xfrm>
          </xdr:grpSpPr>
          <xdr:sp macro="" textlink="">
            <xdr:nvSpPr>
              <xdr:cNvPr id="20546" name="Button 66" hidden="1">
                <a:extLst>
                  <a:ext uri="{63B3BB69-23CF-44E3-9099-C40C66FF867C}">
                    <a14:compatExt spid="_x0000_s20546"/>
                  </a:ext>
                  <a:ext uri="{FF2B5EF4-FFF2-40B4-BE49-F238E27FC236}">
                    <a16:creationId xmlns:a16="http://schemas.microsoft.com/office/drawing/2014/main" id="{00000000-0008-0000-0100-000042500000}"/>
                  </a:ext>
                </a:extLst>
              </xdr:cNvPr>
              <xdr:cNvSpPr/>
            </xdr:nvSpPr>
            <xdr:spPr bwMode="auto">
              <a:xfrm>
                <a:off x="0" y="0"/>
                <a:ext cx="1590675" cy="276225"/>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Gill Sans MT"/>
                  </a:rPr>
                  <a:t>Geocode selected rows</a:t>
                </a:r>
              </a:p>
            </xdr:txBody>
          </xdr:sp>
          <xdr:sp macro="" textlink="">
            <xdr:nvSpPr>
              <xdr:cNvPr id="20547" name="Button 67" hidden="1">
                <a:extLst>
                  <a:ext uri="{63B3BB69-23CF-44E3-9099-C40C66FF867C}">
                    <a14:compatExt spid="_x0000_s20547"/>
                  </a:ext>
                  <a:ext uri="{FF2B5EF4-FFF2-40B4-BE49-F238E27FC236}">
                    <a16:creationId xmlns:a16="http://schemas.microsoft.com/office/drawing/2014/main" id="{00000000-0008-0000-0100-000043500000}"/>
                  </a:ext>
                </a:extLst>
              </xdr:cNvPr>
              <xdr:cNvSpPr/>
            </xdr:nvSpPr>
            <xdr:spPr bwMode="auto">
              <a:xfrm>
                <a:off x="0" y="276225"/>
                <a:ext cx="1590675" cy="257175"/>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Gill Sans MT"/>
                  </a:rPr>
                  <a:t>Geocode all rows</a:t>
                </a:r>
              </a:p>
            </xdr:txBody>
          </xdr:sp>
          <xdr:sp macro="" textlink="">
            <xdr:nvSpPr>
              <xdr:cNvPr id="20548" name="Button 68" hidden="1">
                <a:extLst>
                  <a:ext uri="{63B3BB69-23CF-44E3-9099-C40C66FF867C}">
                    <a14:compatExt spid="_x0000_s20548"/>
                  </a:ext>
                  <a:ext uri="{FF2B5EF4-FFF2-40B4-BE49-F238E27FC236}">
                    <a16:creationId xmlns:a16="http://schemas.microsoft.com/office/drawing/2014/main" id="{00000000-0008-0000-0100-000044500000}"/>
                  </a:ext>
                </a:extLst>
              </xdr:cNvPr>
              <xdr:cNvSpPr/>
            </xdr:nvSpPr>
            <xdr:spPr bwMode="auto">
              <a:xfrm>
                <a:off x="0" y="533400"/>
                <a:ext cx="1590675" cy="257175"/>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Gill Sans MT"/>
                  </a:rPr>
                  <a:t>Geocode Not Found rows</a:t>
                </a:r>
              </a:p>
            </xdr:txBody>
          </xdr:sp>
          <xdr:sp macro="" textlink="">
            <xdr:nvSpPr>
              <xdr:cNvPr id="20551" name="Button 71" hidden="1">
                <a:extLst>
                  <a:ext uri="{63B3BB69-23CF-44E3-9099-C40C66FF867C}">
                    <a14:compatExt spid="_x0000_s20551"/>
                  </a:ext>
                  <a:ext uri="{FF2B5EF4-FFF2-40B4-BE49-F238E27FC236}">
                    <a16:creationId xmlns:a16="http://schemas.microsoft.com/office/drawing/2014/main" id="{00000000-0008-0000-0100-000047500000}"/>
                  </a:ext>
                </a:extLst>
              </xdr:cNvPr>
              <xdr:cNvSpPr/>
            </xdr:nvSpPr>
            <xdr:spPr bwMode="auto">
              <a:xfrm>
                <a:off x="0" y="790575"/>
                <a:ext cx="1590675" cy="276225"/>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Gill Sans MT"/>
                  </a:rPr>
                  <a:t>Clear Data Entry Area</a:t>
                </a:r>
              </a:p>
            </xdr:txBody>
          </xdr:sp>
        </xdr:grp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msdn.microsoft.com/en-us/library/ff701711.aspx" TargetMode="External"/><Relationship Id="rId1" Type="http://schemas.openxmlformats.org/officeDocument/2006/relationships/hyperlink" Target="http://msdn.microsoft.com/en-us/library/ff428642.aspx"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B1:AB63"/>
  <sheetViews>
    <sheetView showGridLines="0" workbookViewId="0">
      <selection activeCell="D11" sqref="D11"/>
    </sheetView>
  </sheetViews>
  <sheetFormatPr defaultColWidth="11.42578125" defaultRowHeight="12.75" x14ac:dyDescent="0.2"/>
  <cols>
    <col min="1" max="1" width="11.42578125" style="9" customWidth="1"/>
    <col min="2" max="2" width="30.42578125" style="9" bestFit="1" customWidth="1"/>
    <col min="3" max="3" width="88" style="9" customWidth="1"/>
    <col min="4" max="25" width="11.42578125" style="9"/>
    <col min="26" max="26" width="16.140625" style="9" bestFit="1" customWidth="1"/>
    <col min="27" max="16384" width="11.42578125" style="9"/>
  </cols>
  <sheetData>
    <row r="1" spans="2:28" s="2" customFormat="1" ht="30" customHeight="1" x14ac:dyDescent="0.2">
      <c r="B1" s="1"/>
      <c r="Z1" s="18" t="s">
        <v>27</v>
      </c>
      <c r="AA1" s="2" t="s">
        <v>32</v>
      </c>
    </row>
    <row r="2" spans="2:28" s="2" customFormat="1" ht="18" x14ac:dyDescent="0.25">
      <c r="B2" s="3"/>
      <c r="C2" s="11" t="s">
        <v>0</v>
      </c>
      <c r="Z2" s="18" t="s">
        <v>28</v>
      </c>
      <c r="AA2" s="2" t="s">
        <v>19</v>
      </c>
      <c r="AB2" s="2" t="s">
        <v>15</v>
      </c>
    </row>
    <row r="3" spans="2:28" s="2" customFormat="1" ht="15.75" x14ac:dyDescent="0.25">
      <c r="B3" s="3"/>
      <c r="C3" s="4"/>
      <c r="Z3" s="18" t="s">
        <v>29</v>
      </c>
      <c r="AA3" s="2" t="s">
        <v>30</v>
      </c>
      <c r="AB3" s="2" t="s">
        <v>31</v>
      </c>
    </row>
    <row r="4" spans="2:28" s="2" customFormat="1" ht="15.75" x14ac:dyDescent="0.25">
      <c r="B4" s="3" t="s">
        <v>10</v>
      </c>
      <c r="C4" s="5" t="s">
        <v>32</v>
      </c>
      <c r="Z4" s="18"/>
    </row>
    <row r="5" spans="2:28" s="2" customFormat="1" ht="15" x14ac:dyDescent="0.2">
      <c r="B5" s="1"/>
      <c r="C5" s="10" t="s">
        <v>36</v>
      </c>
    </row>
    <row r="6" spans="2:28" s="2" customFormat="1" ht="15" x14ac:dyDescent="0.2">
      <c r="B6" s="1"/>
    </row>
    <row r="7" spans="2:28" s="2" customFormat="1" ht="20.25" customHeight="1" x14ac:dyDescent="0.25">
      <c r="B7" s="22" t="s">
        <v>33</v>
      </c>
      <c r="C7" s="14" t="s">
        <v>40</v>
      </c>
    </row>
    <row r="8" spans="2:28" s="2" customFormat="1" ht="13.5" customHeight="1" x14ac:dyDescent="0.2">
      <c r="B8" s="1"/>
      <c r="C8" s="23" t="s">
        <v>34</v>
      </c>
    </row>
    <row r="9" spans="2:28" s="2" customFormat="1" ht="14.25" customHeight="1" x14ac:dyDescent="0.2">
      <c r="B9" s="1"/>
      <c r="C9" s="23" t="s">
        <v>35</v>
      </c>
    </row>
    <row r="10" spans="2:28" s="2" customFormat="1" ht="15" x14ac:dyDescent="0.2">
      <c r="B10" s="1"/>
      <c r="C10" s="10"/>
    </row>
    <row r="11" spans="2:28" s="2" customFormat="1" ht="15" x14ac:dyDescent="0.2">
      <c r="B11" s="1"/>
      <c r="C11" s="6"/>
    </row>
    <row r="12" spans="2:28" s="2" customFormat="1" ht="20.25" customHeight="1" x14ac:dyDescent="0.25">
      <c r="B12" s="3" t="s">
        <v>20</v>
      </c>
      <c r="C12" s="15" t="s">
        <v>15</v>
      </c>
    </row>
    <row r="13" spans="2:28" s="2" customFormat="1" ht="23.25" customHeight="1" x14ac:dyDescent="0.25">
      <c r="B13" s="3" t="s">
        <v>12</v>
      </c>
      <c r="C13" s="15" t="s">
        <v>14</v>
      </c>
    </row>
    <row r="14" spans="2:28" s="2" customFormat="1" ht="15" x14ac:dyDescent="0.2">
      <c r="B14" s="1"/>
      <c r="C14" s="10" t="s">
        <v>21</v>
      </c>
    </row>
    <row r="15" spans="2:28" s="2" customFormat="1" ht="15.75" x14ac:dyDescent="0.25">
      <c r="B15" s="3" t="s">
        <v>26</v>
      </c>
      <c r="C15" s="15" t="s">
        <v>31</v>
      </c>
    </row>
    <row r="16" spans="2:28" s="2" customFormat="1" ht="15.75" x14ac:dyDescent="0.25">
      <c r="B16" s="3"/>
      <c r="C16"/>
    </row>
    <row r="17" spans="2:3" s="2" customFormat="1" ht="20.25" customHeight="1" x14ac:dyDescent="0.25">
      <c r="B17" s="1"/>
      <c r="C17" s="11" t="s">
        <v>1</v>
      </c>
    </row>
    <row r="18" spans="2:3" s="2" customFormat="1" ht="13.5" customHeight="1" x14ac:dyDescent="0.2">
      <c r="B18" s="1"/>
    </row>
    <row r="19" spans="2:3" s="2" customFormat="1" ht="75" x14ac:dyDescent="0.2">
      <c r="B19" s="1"/>
      <c r="C19" s="7" t="s">
        <v>16</v>
      </c>
    </row>
    <row r="20" spans="2:3" s="2" customFormat="1" ht="15" x14ac:dyDescent="0.2">
      <c r="B20" s="1"/>
    </row>
    <row r="21" spans="2:3" s="2" customFormat="1" ht="15" x14ac:dyDescent="0.2">
      <c r="B21" s="1"/>
      <c r="C21" s="7"/>
    </row>
    <row r="22" spans="2:3" s="2" customFormat="1" ht="15" x14ac:dyDescent="0.2">
      <c r="B22" s="1"/>
      <c r="C22" s="8"/>
    </row>
    <row r="23" spans="2:3" s="2" customFormat="1" ht="30" x14ac:dyDescent="0.2">
      <c r="B23" s="1"/>
      <c r="C23" s="7" t="s">
        <v>17</v>
      </c>
    </row>
    <row r="24" spans="2:3" s="2" customFormat="1" ht="15" x14ac:dyDescent="0.2">
      <c r="B24" s="1"/>
      <c r="C24" s="7"/>
    </row>
    <row r="25" spans="2:3" s="2" customFormat="1" ht="60" x14ac:dyDescent="0.2">
      <c r="B25" s="1"/>
      <c r="C25" s="7" t="s">
        <v>7</v>
      </c>
    </row>
    <row r="26" spans="2:3" s="2" customFormat="1" ht="15" x14ac:dyDescent="0.2">
      <c r="B26" s="1"/>
      <c r="C26" s="7"/>
    </row>
    <row r="27" spans="2:3" s="2" customFormat="1" ht="60" x14ac:dyDescent="0.2">
      <c r="B27" s="1"/>
      <c r="C27" s="7" t="s">
        <v>18</v>
      </c>
    </row>
    <row r="28" spans="2:3" s="2" customFormat="1" ht="15" x14ac:dyDescent="0.2">
      <c r="B28" s="1"/>
      <c r="C28" s="7"/>
    </row>
    <row r="29" spans="2:3" s="2" customFormat="1" ht="15.75" x14ac:dyDescent="0.2">
      <c r="B29" s="1"/>
      <c r="C29" s="24" t="s">
        <v>39</v>
      </c>
    </row>
    <row r="30" spans="2:3" s="2" customFormat="1" ht="15" x14ac:dyDescent="0.2">
      <c r="B30" s="1"/>
      <c r="C30" s="17" t="s">
        <v>25</v>
      </c>
    </row>
    <row r="31" spans="2:3" s="2" customFormat="1" ht="15" x14ac:dyDescent="0.2">
      <c r="B31" s="1"/>
      <c r="C31" s="17" t="s">
        <v>37</v>
      </c>
    </row>
    <row r="32" spans="2:3" s="2" customFormat="1" ht="15" x14ac:dyDescent="0.2">
      <c r="B32" s="1"/>
      <c r="C32"/>
    </row>
    <row r="33" spans="2:3" s="2" customFormat="1" ht="72" x14ac:dyDescent="0.2">
      <c r="B33" s="1"/>
      <c r="C33" s="17" t="s">
        <v>22</v>
      </c>
    </row>
    <row r="34" spans="2:3" s="2" customFormat="1" ht="15" x14ac:dyDescent="0.2">
      <c r="B34" s="1"/>
      <c r="C34"/>
    </row>
    <row r="35" spans="2:3" s="2" customFormat="1" ht="24" x14ac:dyDescent="0.2">
      <c r="B35" s="1"/>
      <c r="C35" s="17" t="s">
        <v>23</v>
      </c>
    </row>
    <row r="36" spans="2:3" s="2" customFormat="1" ht="15" x14ac:dyDescent="0.2">
      <c r="B36" s="1"/>
      <c r="C36"/>
    </row>
    <row r="37" spans="2:3" s="2" customFormat="1" ht="72" x14ac:dyDescent="0.2">
      <c r="B37" s="1"/>
      <c r="C37" s="17" t="s">
        <v>24</v>
      </c>
    </row>
    <row r="38" spans="2:3" s="2" customFormat="1" ht="15" x14ac:dyDescent="0.2">
      <c r="B38" s="1"/>
    </row>
    <row r="39" spans="2:3" s="2" customFormat="1" ht="15" x14ac:dyDescent="0.2">
      <c r="B39" s="1"/>
    </row>
    <row r="40" spans="2:3" s="2" customFormat="1" ht="15" x14ac:dyDescent="0.2">
      <c r="B40" s="1"/>
    </row>
    <row r="41" spans="2:3" s="2" customFormat="1" ht="15" x14ac:dyDescent="0.2">
      <c r="B41" s="1"/>
    </row>
    <row r="42" spans="2:3" s="2" customFormat="1" ht="15" x14ac:dyDescent="0.2">
      <c r="B42" s="1"/>
    </row>
    <row r="43" spans="2:3" s="2" customFormat="1" ht="15" x14ac:dyDescent="0.2">
      <c r="B43" s="1"/>
    </row>
    <row r="44" spans="2:3" s="2" customFormat="1" ht="15" x14ac:dyDescent="0.2">
      <c r="B44" s="1"/>
    </row>
    <row r="45" spans="2:3" s="2" customFormat="1" ht="15" x14ac:dyDescent="0.2">
      <c r="B45" s="1"/>
    </row>
    <row r="46" spans="2:3" s="2" customFormat="1" ht="15" x14ac:dyDescent="0.2">
      <c r="B46" s="1"/>
    </row>
    <row r="47" spans="2:3" s="2" customFormat="1" ht="15" x14ac:dyDescent="0.2">
      <c r="B47" s="1"/>
    </row>
    <row r="48" spans="2:3" s="2" customFormat="1" ht="15" x14ac:dyDescent="0.2">
      <c r="B48" s="1"/>
    </row>
    <row r="49" spans="2:3" s="2" customFormat="1" ht="15" x14ac:dyDescent="0.2">
      <c r="B49" s="1"/>
    </row>
    <row r="50" spans="2:3" s="2" customFormat="1" ht="15" x14ac:dyDescent="0.2">
      <c r="B50" s="1"/>
    </row>
    <row r="51" spans="2:3" s="2" customFormat="1" ht="15" x14ac:dyDescent="0.2">
      <c r="B51" s="1"/>
    </row>
    <row r="52" spans="2:3" s="2" customFormat="1" ht="15" x14ac:dyDescent="0.2">
      <c r="B52" s="1"/>
    </row>
    <row r="53" spans="2:3" s="2" customFormat="1" ht="15" x14ac:dyDescent="0.2">
      <c r="B53" s="1"/>
    </row>
    <row r="54" spans="2:3" s="2" customFormat="1" ht="15" x14ac:dyDescent="0.2">
      <c r="B54" s="1"/>
    </row>
    <row r="55" spans="2:3" s="2" customFormat="1" ht="15" x14ac:dyDescent="0.2">
      <c r="B55" s="1"/>
    </row>
    <row r="56" spans="2:3" s="2" customFormat="1" ht="15" x14ac:dyDescent="0.2">
      <c r="B56" s="1"/>
    </row>
    <row r="57" spans="2:3" s="2" customFormat="1" ht="15" x14ac:dyDescent="0.2">
      <c r="B57" s="1"/>
    </row>
    <row r="58" spans="2:3" s="2" customFormat="1" ht="15" x14ac:dyDescent="0.2">
      <c r="B58" s="1"/>
    </row>
    <row r="59" spans="2:3" s="2" customFormat="1" ht="15" x14ac:dyDescent="0.2">
      <c r="B59" s="9"/>
      <c r="C59" s="9"/>
    </row>
    <row r="60" spans="2:3" s="2" customFormat="1" ht="15" x14ac:dyDescent="0.2">
      <c r="B60" s="9"/>
      <c r="C60" s="9"/>
    </row>
    <row r="61" spans="2:3" s="2" customFormat="1" ht="15" x14ac:dyDescent="0.2">
      <c r="B61" s="9"/>
      <c r="C61" s="9"/>
    </row>
    <row r="62" spans="2:3" s="2" customFormat="1" ht="15" x14ac:dyDescent="0.2">
      <c r="B62" s="9"/>
      <c r="C62" s="9"/>
    </row>
    <row r="63" spans="2:3" s="2" customFormat="1" ht="15" x14ac:dyDescent="0.2">
      <c r="B63" s="9"/>
      <c r="C63" s="9"/>
    </row>
  </sheetData>
  <phoneticPr fontId="1" type="noConversion"/>
  <conditionalFormatting sqref="C4">
    <cfRule type="cellIs" dxfId="3" priority="1" stopIfTrue="1" operator="equal">
      <formula>""</formula>
    </cfRule>
  </conditionalFormatting>
  <conditionalFormatting sqref="B7">
    <cfRule type="expression" dxfId="2" priority="2" stopIfTrue="1">
      <formula>$C$4="Yahoo"</formula>
    </cfRule>
  </conditionalFormatting>
  <conditionalFormatting sqref="C7">
    <cfRule type="expression" dxfId="1" priority="4" stopIfTrue="1">
      <formula>AND($C$4="Yahoo",$C$7="")</formula>
    </cfRule>
    <cfRule type="expression" dxfId="0" priority="5" stopIfTrue="1">
      <formula>$C$4&lt;&gt;"Yahoo"</formula>
    </cfRule>
  </conditionalFormatting>
  <dataValidations count="3">
    <dataValidation type="list" allowBlank="1" showInputMessage="1" showErrorMessage="1" sqref="C4">
      <formula1>$AA$1:$AA$1</formula1>
    </dataValidation>
    <dataValidation type="list" allowBlank="1" showInputMessage="1" showErrorMessage="1" sqref="C12">
      <formula1>$AA$2:$AB$2</formula1>
    </dataValidation>
    <dataValidation type="list" allowBlank="1" showInputMessage="1" showErrorMessage="1" sqref="C15:C16">
      <formula1>$AA$3:$AB$3</formula1>
    </dataValidation>
  </dataValidations>
  <hyperlinks>
    <hyperlink ref="C8" r:id="rId1"/>
    <hyperlink ref="C9" r:id="rId2"/>
  </hyperlinks>
  <pageMargins left="0.75" right="0.75" top="1" bottom="1" header="0.5" footer="0.5"/>
  <pageSetup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1859" r:id="rId6" name="Button 355">
              <controlPr defaultSize="0" print="0" autoFill="0" autoPict="0" macro="[0]!MacrosWorking">
                <anchor moveWithCells="1" sizeWithCells="1">
                  <from>
                    <xdr:col>2</xdr:col>
                    <xdr:colOff>1190625</xdr:colOff>
                    <xdr:row>19</xdr:row>
                    <xdr:rowOff>152400</xdr:rowOff>
                  </from>
                  <to>
                    <xdr:col>2</xdr:col>
                    <xdr:colOff>2800350</xdr:colOff>
                    <xdr:row>21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eocode"/>
  <dimension ref="A1:K32340"/>
  <sheetViews>
    <sheetView showGridLines="0" tabSelected="1" zoomScaleNormal="100" workbookViewId="0">
      <pane ySplit="12" topLeftCell="A13" activePane="bottomLeft" state="frozen"/>
      <selection activeCell="T11" sqref="T11"/>
      <selection pane="bottomLeft" activeCell="A13" sqref="A13:B13617"/>
    </sheetView>
  </sheetViews>
  <sheetFormatPr defaultColWidth="8.85546875" defaultRowHeight="12.75" x14ac:dyDescent="0.2"/>
  <cols>
    <col min="1" max="1" width="10.42578125" bestFit="1" customWidth="1"/>
    <col min="2" max="2" width="12.140625" bestFit="1" customWidth="1"/>
    <col min="3" max="3" width="12.140625" customWidth="1"/>
    <col min="4" max="4" width="39.140625" customWidth="1"/>
    <col min="5" max="5" width="21.85546875" customWidth="1"/>
    <col min="6" max="6" width="20" bestFit="1" customWidth="1"/>
    <col min="7" max="7" width="12" bestFit="1" customWidth="1"/>
    <col min="8" max="8" width="16.140625" bestFit="1" customWidth="1"/>
    <col min="9" max="9" width="21.7109375" customWidth="1"/>
    <col min="10" max="10" width="17.28515625" customWidth="1"/>
    <col min="11" max="11" width="15.7109375" style="19" customWidth="1"/>
    <col min="12" max="12" width="61.7109375" customWidth="1"/>
    <col min="14" max="14" width="8.42578125" bestFit="1" customWidth="1"/>
    <col min="15" max="15" width="12.140625" customWidth="1"/>
    <col min="20" max="20" width="43.140625" customWidth="1"/>
    <col min="22" max="22" width="41.140625" bestFit="1" customWidth="1"/>
    <col min="23" max="23" width="82.85546875" bestFit="1" customWidth="1"/>
    <col min="24" max="24" width="21.140625" customWidth="1"/>
  </cols>
  <sheetData>
    <row r="1" spans="1:11" ht="26.25" customHeight="1" x14ac:dyDescent="0.2">
      <c r="D1" t="s">
        <v>4</v>
      </c>
      <c r="E1">
        <f>MAX(COUNTA(D13:D65536),COUNTA(G13:G65536))</f>
        <v>13474</v>
      </c>
      <c r="F1" s="13"/>
    </row>
    <row r="2" spans="1:11" x14ac:dyDescent="0.2">
      <c r="D2" t="s">
        <v>3</v>
      </c>
      <c r="E2">
        <f>COUNTA(A13:A65536)</f>
        <v>13474</v>
      </c>
      <c r="F2" s="13" t="str">
        <f>IF(E1=0,"",TEXT(E2/E1,"##0%")&amp;" "&amp;REPT("|",FLOOR(50*E2/E1,1)))</f>
        <v>100% ||||||||||||||||||||||||||||||||||||||||||||||||||</v>
      </c>
    </row>
    <row r="3" spans="1:11" x14ac:dyDescent="0.2">
      <c r="D3" t="s">
        <v>2</v>
      </c>
      <c r="E3">
        <f>COUNT(A13:A65536)</f>
        <v>12081</v>
      </c>
      <c r="F3" s="13" t="str">
        <f>IF(E2=0,"",TEXT(E3/E2,"0%")&amp;" "&amp;REPT("|",FLOOR(50*E3/E2,1)))</f>
        <v>90% ||||||||||||||||||||||||||||||||||||||||||||</v>
      </c>
    </row>
    <row r="12" spans="1:11" ht="31.5" customHeight="1" x14ac:dyDescent="0.2">
      <c r="A12" s="12" t="s">
        <v>5</v>
      </c>
      <c r="B12" s="12" t="s">
        <v>6</v>
      </c>
      <c r="C12" s="12" t="s">
        <v>38</v>
      </c>
      <c r="D12" s="12" t="s">
        <v>11</v>
      </c>
      <c r="E12" s="12" t="s">
        <v>8</v>
      </c>
      <c r="F12" s="12" t="s">
        <v>9</v>
      </c>
      <c r="G12" s="12" t="s">
        <v>13</v>
      </c>
    </row>
    <row r="13" spans="1:11" ht="15" x14ac:dyDescent="0.3">
      <c r="A13">
        <v>36.978527964581701</v>
      </c>
      <c r="B13">
        <v>-85.951505187538601</v>
      </c>
      <c r="C13" t="s">
        <v>41</v>
      </c>
      <c r="D13" t="s">
        <v>45</v>
      </c>
      <c r="F13" s="21"/>
      <c r="G13" s="16" t="str">
        <f>HYPERLINK("http://maps.google.com/maps?f=q&amp;hl=en&amp;geocode=&amp;q=36.9785279645817,-85.9515051875386")</f>
        <v>http://maps.google.com/maps?f=q&amp;hl=en&amp;geocode=&amp;q=36.9785279645817,-85.9515051875386</v>
      </c>
      <c r="K13" s="20"/>
    </row>
    <row r="14" spans="1:11" ht="15" x14ac:dyDescent="0.3">
      <c r="A14">
        <v>44.909567842649501</v>
      </c>
      <c r="B14">
        <v>-90.319693539583596</v>
      </c>
      <c r="C14" t="s">
        <v>41</v>
      </c>
      <c r="D14" t="s">
        <v>46</v>
      </c>
      <c r="F14" s="21"/>
      <c r="G14" s="16" t="str">
        <f>HYPERLINK("http://maps.google.com/maps?f=q&amp;hl=en&amp;geocode=&amp;q=44.9095678426495,-90.3196935395836")</f>
        <v>http://maps.google.com/maps?f=q&amp;hl=en&amp;geocode=&amp;q=44.9095678426495,-90.3196935395836</v>
      </c>
    </row>
    <row r="15" spans="1:11" ht="15" x14ac:dyDescent="0.3">
      <c r="A15">
        <v>42.425122405934303</v>
      </c>
      <c r="B15">
        <v>-123.379369034653</v>
      </c>
      <c r="C15" t="s">
        <v>41</v>
      </c>
      <c r="D15" t="s">
        <v>47</v>
      </c>
      <c r="F15" s="21"/>
      <c r="G15" s="16" t="str">
        <f>HYPERLINK("http://maps.google.com/maps?f=q&amp;hl=en&amp;geocode=&amp;q=42.4251224059343,-123.379369034653")</f>
        <v>http://maps.google.com/maps?f=q&amp;hl=en&amp;geocode=&amp;q=42.4251224059343,-123.379369034653</v>
      </c>
    </row>
    <row r="16" spans="1:11" ht="15" x14ac:dyDescent="0.3">
      <c r="A16" t="s">
        <v>44</v>
      </c>
      <c r="B16" t="s">
        <v>44</v>
      </c>
      <c r="C16" t="s">
        <v>44</v>
      </c>
      <c r="D16" t="s">
        <v>48</v>
      </c>
      <c r="F16" s="21"/>
      <c r="G16" s="16"/>
    </row>
    <row r="17" spans="1:7" ht="15" x14ac:dyDescent="0.3">
      <c r="A17">
        <v>-32.487789900000003</v>
      </c>
      <c r="B17">
        <v>137.76979</v>
      </c>
      <c r="C17" t="s">
        <v>41</v>
      </c>
      <c r="D17" t="s">
        <v>49</v>
      </c>
      <c r="F17" s="21"/>
      <c r="G17" s="16" t="str">
        <f>HYPERLINK("http://maps.google.com/maps?f=q&amp;hl=en&amp;geocode=&amp;q=-32.4877899,137.76979")</f>
        <v>http://maps.google.com/maps?f=q&amp;hl=en&amp;geocode=&amp;q=-32.4877899,137.76979</v>
      </c>
    </row>
    <row r="18" spans="1:7" ht="15" x14ac:dyDescent="0.3">
      <c r="A18">
        <v>43.424946664101803</v>
      </c>
      <c r="B18">
        <v>-98.404086155766393</v>
      </c>
      <c r="C18" t="s">
        <v>41</v>
      </c>
      <c r="D18" t="s">
        <v>50</v>
      </c>
      <c r="F18" s="21"/>
      <c r="G18" s="16" t="str">
        <f>HYPERLINK("http://maps.google.com/maps?f=q&amp;hl=en&amp;geocode=&amp;q=43.4249466641018,-98.4040861557664")</f>
        <v>http://maps.google.com/maps?f=q&amp;hl=en&amp;geocode=&amp;q=43.4249466641018,-98.4040861557664</v>
      </c>
    </row>
    <row r="19" spans="1:7" ht="15" x14ac:dyDescent="0.3">
      <c r="A19">
        <v>36.383634418760103</v>
      </c>
      <c r="B19">
        <v>-78.635280298519305</v>
      </c>
      <c r="C19" t="s">
        <v>41</v>
      </c>
      <c r="D19" t="s">
        <v>51</v>
      </c>
      <c r="F19" s="21"/>
      <c r="G19" s="16" t="str">
        <f>HYPERLINK("http://maps.google.com/maps?f=q&amp;hl=en&amp;geocode=&amp;q=36.3836344187601,-78.6352802985193")</f>
        <v>http://maps.google.com/maps?f=q&amp;hl=en&amp;geocode=&amp;q=36.3836344187601,-78.6352802985193</v>
      </c>
    </row>
    <row r="20" spans="1:7" ht="15" x14ac:dyDescent="0.3">
      <c r="A20" s="21">
        <v>-32.7033500671387</v>
      </c>
      <c r="B20" s="21">
        <v>137.70617675781301</v>
      </c>
      <c r="C20" s="21" t="s">
        <v>41</v>
      </c>
      <c r="D20" t="s">
        <v>52</v>
      </c>
      <c r="F20" s="21"/>
      <c r="G20" s="16" t="str">
        <f>HYPERLINK("http://maps.google.com/maps?f=q&amp;hl=en&amp;geocode=&amp;q=-32.7033500671387,137.706176757813")</f>
        <v>http://maps.google.com/maps?f=q&amp;hl=en&amp;geocode=&amp;q=-32.7033500671387,137.706176757813</v>
      </c>
    </row>
    <row r="21" spans="1:7" ht="15" x14ac:dyDescent="0.3">
      <c r="A21" t="s">
        <v>44</v>
      </c>
      <c r="B21" t="s">
        <v>44</v>
      </c>
      <c r="C21" t="s">
        <v>44</v>
      </c>
      <c r="D21" t="s">
        <v>53</v>
      </c>
      <c r="F21" s="21"/>
      <c r="G21" s="16"/>
    </row>
    <row r="22" spans="1:7" ht="15" x14ac:dyDescent="0.3">
      <c r="A22">
        <v>39.925139999999999</v>
      </c>
      <c r="B22">
        <v>-75.235380000000006</v>
      </c>
      <c r="C22" t="s">
        <v>41</v>
      </c>
      <c r="D22" t="s">
        <v>54</v>
      </c>
      <c r="F22" s="21"/>
      <c r="G22" s="16" t="str">
        <f>HYPERLINK("http://maps.google.com/maps?f=q&amp;hl=en&amp;geocode=&amp;q=39.92514,-75.23538")</f>
        <v>http://maps.google.com/maps?f=q&amp;hl=en&amp;geocode=&amp;q=39.92514,-75.23538</v>
      </c>
    </row>
    <row r="23" spans="1:7" ht="15" x14ac:dyDescent="0.3">
      <c r="A23">
        <v>40.132370000000002</v>
      </c>
      <c r="B23">
        <v>-75.007909999999995</v>
      </c>
      <c r="C23" t="s">
        <v>41</v>
      </c>
      <c r="D23" t="s">
        <v>55</v>
      </c>
      <c r="F23" s="21"/>
      <c r="G23" s="16" t="str">
        <f>HYPERLINK("http://maps.google.com/maps?f=q&amp;hl=en&amp;geocode=&amp;q=40.13237,-75.00791")</f>
        <v>http://maps.google.com/maps?f=q&amp;hl=en&amp;geocode=&amp;q=40.13237,-75.00791</v>
      </c>
    </row>
    <row r="24" spans="1:7" ht="15" x14ac:dyDescent="0.3">
      <c r="A24">
        <v>36.135841369628899</v>
      </c>
      <c r="B24">
        <v>-5.3492488861084002</v>
      </c>
      <c r="C24" t="s">
        <v>41</v>
      </c>
      <c r="D24" t="s">
        <v>56</v>
      </c>
      <c r="F24" s="21"/>
      <c r="G24" s="16" t="str">
        <f>HYPERLINK("http://maps.google.com/maps?f=q&amp;hl=en&amp;geocode=&amp;q=36.1358413696289,-5.3492488861084")</f>
        <v>http://maps.google.com/maps?f=q&amp;hl=en&amp;geocode=&amp;q=36.1358413696289,-5.3492488861084</v>
      </c>
    </row>
    <row r="25" spans="1:7" ht="15" x14ac:dyDescent="0.3">
      <c r="A25">
        <v>44.708088159003701</v>
      </c>
      <c r="B25">
        <v>-89.441197533345004</v>
      </c>
      <c r="C25" t="s">
        <v>41</v>
      </c>
      <c r="D25" t="s">
        <v>57</v>
      </c>
      <c r="F25" s="21"/>
      <c r="G25" s="16" t="str">
        <f>HYPERLINK("http://maps.google.com/maps?f=q&amp;hl=en&amp;geocode=&amp;q=44.7080881590037,-89.441197533345")</f>
        <v>http://maps.google.com/maps?f=q&amp;hl=en&amp;geocode=&amp;q=44.7080881590037,-89.441197533345</v>
      </c>
    </row>
    <row r="26" spans="1:7" ht="15" x14ac:dyDescent="0.3">
      <c r="A26">
        <v>39.943453919693603</v>
      </c>
      <c r="B26">
        <v>-75.230131626987401</v>
      </c>
      <c r="C26" t="s">
        <v>41</v>
      </c>
      <c r="D26" t="s">
        <v>58</v>
      </c>
      <c r="F26" s="21"/>
      <c r="G26" s="16" t="str">
        <f>HYPERLINK("http://maps.google.com/maps?f=q&amp;hl=en&amp;geocode=&amp;q=39.9434539196936,-75.2301316269874")</f>
        <v>http://maps.google.com/maps?f=q&amp;hl=en&amp;geocode=&amp;q=39.9434539196936,-75.2301316269874</v>
      </c>
    </row>
    <row r="27" spans="1:7" ht="15" x14ac:dyDescent="0.3">
      <c r="A27">
        <v>39.943453919693603</v>
      </c>
      <c r="B27">
        <v>-75.230131626987401</v>
      </c>
      <c r="C27" t="s">
        <v>41</v>
      </c>
      <c r="D27" t="s">
        <v>58</v>
      </c>
      <c r="F27" s="21"/>
      <c r="G27" s="16" t="str">
        <f>HYPERLINK("http://maps.google.com/maps?f=q&amp;hl=en&amp;geocode=&amp;q=39.9434539196936,-75.2301316269874")</f>
        <v>http://maps.google.com/maps?f=q&amp;hl=en&amp;geocode=&amp;q=39.9434539196936,-75.2301316269874</v>
      </c>
    </row>
    <row r="28" spans="1:7" ht="15" x14ac:dyDescent="0.3">
      <c r="A28">
        <v>41.66516</v>
      </c>
      <c r="B28">
        <v>-93.731549999999999</v>
      </c>
      <c r="C28" t="s">
        <v>43</v>
      </c>
      <c r="D28" t="s">
        <v>59</v>
      </c>
      <c r="F28" s="21"/>
      <c r="G28" s="16" t="str">
        <f>HYPERLINK("http://maps.google.com/maps?f=q&amp;hl=en&amp;geocode=&amp;q=41.66516,-93.73155")</f>
        <v>http://maps.google.com/maps?f=q&amp;hl=en&amp;geocode=&amp;q=41.66516,-93.73155</v>
      </c>
    </row>
    <row r="29" spans="1:7" ht="15" x14ac:dyDescent="0.3">
      <c r="A29">
        <v>51.648178100585902</v>
      </c>
      <c r="B29">
        <v>5.71919918060303</v>
      </c>
      <c r="C29" t="s">
        <v>43</v>
      </c>
      <c r="D29" t="s">
        <v>60</v>
      </c>
      <c r="F29" s="21"/>
      <c r="G29" s="16" t="str">
        <f>HYPERLINK("http://maps.google.com/maps?f=q&amp;hl=en&amp;geocode=&amp;q=51.6481781005859,5.71919918060303")</f>
        <v>http://maps.google.com/maps?f=q&amp;hl=en&amp;geocode=&amp;q=51.6481781005859,5.71919918060303</v>
      </c>
    </row>
    <row r="30" spans="1:7" ht="15" x14ac:dyDescent="0.3">
      <c r="A30">
        <v>35.3628650577146</v>
      </c>
      <c r="B30">
        <v>-81.835653968531503</v>
      </c>
      <c r="C30" t="s">
        <v>41</v>
      </c>
      <c r="D30" t="s">
        <v>61</v>
      </c>
      <c r="F30" s="21"/>
      <c r="G30" s="16" t="str">
        <f>HYPERLINK("http://maps.google.com/maps?f=q&amp;hl=en&amp;geocode=&amp;q=35.3628650577146,-81.8356539685315")</f>
        <v>http://maps.google.com/maps?f=q&amp;hl=en&amp;geocode=&amp;q=35.3628650577146,-81.8356539685315</v>
      </c>
    </row>
    <row r="31" spans="1:7" ht="15" x14ac:dyDescent="0.3">
      <c r="A31">
        <v>30.345790000000001</v>
      </c>
      <c r="B31">
        <v>-97.744</v>
      </c>
      <c r="C31" t="s">
        <v>41</v>
      </c>
      <c r="D31" t="s">
        <v>62</v>
      </c>
      <c r="F31" s="21"/>
      <c r="G31" s="16" t="str">
        <f>HYPERLINK("http://maps.google.com/maps?f=q&amp;hl=en&amp;geocode=&amp;q=30.34579,-97.744")</f>
        <v>http://maps.google.com/maps?f=q&amp;hl=en&amp;geocode=&amp;q=30.34579,-97.744</v>
      </c>
    </row>
    <row r="32" spans="1:7" ht="15" x14ac:dyDescent="0.3">
      <c r="A32">
        <v>40.082297197918599</v>
      </c>
      <c r="B32">
        <v>-97.102260858734496</v>
      </c>
      <c r="C32" t="s">
        <v>41</v>
      </c>
      <c r="D32" t="s">
        <v>63</v>
      </c>
      <c r="F32" s="21"/>
      <c r="G32" s="16" t="str">
        <f>HYPERLINK("http://maps.google.com/maps?f=q&amp;hl=en&amp;geocode=&amp;q=40.0822971979186,-97.1022608587345")</f>
        <v>http://maps.google.com/maps?f=q&amp;hl=en&amp;geocode=&amp;q=40.0822971979186,-97.1022608587345</v>
      </c>
    </row>
    <row r="33" spans="1:7" ht="15" x14ac:dyDescent="0.3">
      <c r="A33" t="s">
        <v>44</v>
      </c>
      <c r="B33" t="s">
        <v>44</v>
      </c>
      <c r="C33" t="s">
        <v>44</v>
      </c>
      <c r="D33" t="s">
        <v>64</v>
      </c>
      <c r="F33" s="21"/>
      <c r="G33" s="16"/>
    </row>
    <row r="34" spans="1:7" ht="15" x14ac:dyDescent="0.3">
      <c r="A34">
        <v>45.268642425537102</v>
      </c>
      <c r="B34">
        <v>-110.023239135742</v>
      </c>
      <c r="C34" t="s">
        <v>41</v>
      </c>
      <c r="D34" t="s">
        <v>65</v>
      </c>
      <c r="F34" s="21"/>
      <c r="G34" s="16" t="str">
        <f>HYPERLINK("http://maps.google.com/maps?f=q&amp;hl=en&amp;geocode=&amp;q=45.2686424255371,-110.023239135742")</f>
        <v>http://maps.google.com/maps?f=q&amp;hl=en&amp;geocode=&amp;q=45.2686424255371,-110.023239135742</v>
      </c>
    </row>
    <row r="35" spans="1:7" ht="15" x14ac:dyDescent="0.3">
      <c r="A35">
        <v>49.4726371765137</v>
      </c>
      <c r="B35">
        <v>-2.4496390819549601</v>
      </c>
      <c r="C35" t="s">
        <v>41</v>
      </c>
      <c r="D35" t="s">
        <v>66</v>
      </c>
      <c r="F35" s="21"/>
      <c r="G35" s="16" t="str">
        <f>HYPERLINK("http://maps.google.com/maps?f=q&amp;hl=en&amp;geocode=&amp;q=49.4726371765137,-2.44963908195496")</f>
        <v>http://maps.google.com/maps?f=q&amp;hl=en&amp;geocode=&amp;q=49.4726371765137,-2.44963908195496</v>
      </c>
    </row>
    <row r="36" spans="1:7" ht="15" x14ac:dyDescent="0.3">
      <c r="A36">
        <v>45.016220092773402</v>
      </c>
      <c r="B36">
        <v>-0.38163998723030101</v>
      </c>
      <c r="C36" t="s">
        <v>41</v>
      </c>
      <c r="D36" t="s">
        <v>67</v>
      </c>
      <c r="F36" s="21"/>
      <c r="G36" s="16" t="str">
        <f>HYPERLINK("http://maps.google.com/maps?f=q&amp;hl=en&amp;geocode=&amp;q=45.0162200927734,-0.381639987230301")</f>
        <v>http://maps.google.com/maps?f=q&amp;hl=en&amp;geocode=&amp;q=45.0162200927734,-0.381639987230301</v>
      </c>
    </row>
    <row r="37" spans="1:7" ht="15" x14ac:dyDescent="0.3">
      <c r="A37" t="s">
        <v>44</v>
      </c>
      <c r="B37" t="s">
        <v>44</v>
      </c>
      <c r="C37" t="s">
        <v>44</v>
      </c>
      <c r="D37" t="s">
        <v>68</v>
      </c>
      <c r="F37" s="21"/>
      <c r="G37" s="16"/>
    </row>
    <row r="38" spans="1:7" ht="15" x14ac:dyDescent="0.3">
      <c r="A38">
        <v>46.1202392578125</v>
      </c>
      <c r="B38">
        <v>14.8206644058228</v>
      </c>
      <c r="C38" t="s">
        <v>41</v>
      </c>
      <c r="D38" t="s">
        <v>69</v>
      </c>
      <c r="F38" s="21"/>
      <c r="G38" s="16" t="str">
        <f>HYPERLINK("http://maps.google.com/maps?f=q&amp;hl=en&amp;geocode=&amp;q=46.1202392578125,14.8206644058228")</f>
        <v>http://maps.google.com/maps?f=q&amp;hl=en&amp;geocode=&amp;q=46.1202392578125,14.8206644058228</v>
      </c>
    </row>
    <row r="39" spans="1:7" ht="15" x14ac:dyDescent="0.3">
      <c r="A39">
        <v>42.982892234619001</v>
      </c>
      <c r="B39">
        <v>-95.623861177090802</v>
      </c>
      <c r="C39" t="s">
        <v>41</v>
      </c>
      <c r="D39" t="s">
        <v>70</v>
      </c>
      <c r="F39" s="21"/>
      <c r="G39" s="16" t="str">
        <f>HYPERLINK("http://maps.google.com/maps?f=q&amp;hl=en&amp;geocode=&amp;q=42.982892234619,-95.6238611770908")</f>
        <v>http://maps.google.com/maps?f=q&amp;hl=en&amp;geocode=&amp;q=42.982892234619,-95.6238611770908</v>
      </c>
    </row>
    <row r="40" spans="1:7" ht="15" x14ac:dyDescent="0.3">
      <c r="A40">
        <v>42.997422656800801</v>
      </c>
      <c r="B40">
        <v>-95.623939346082395</v>
      </c>
      <c r="C40" t="s">
        <v>41</v>
      </c>
      <c r="D40" t="s">
        <v>71</v>
      </c>
      <c r="F40" s="21"/>
      <c r="G40" s="16" t="str">
        <f>HYPERLINK("http://maps.google.com/maps?f=q&amp;hl=en&amp;geocode=&amp;q=42.9974226568008,-95.6239393460824")</f>
        <v>http://maps.google.com/maps?f=q&amp;hl=en&amp;geocode=&amp;q=42.9974226568008,-95.6239393460824</v>
      </c>
    </row>
    <row r="41" spans="1:7" ht="15" x14ac:dyDescent="0.3">
      <c r="A41">
        <v>39.748469999999998</v>
      </c>
      <c r="B41">
        <v>-75.527450000000002</v>
      </c>
      <c r="C41" t="s">
        <v>41</v>
      </c>
      <c r="D41" t="s">
        <v>72</v>
      </c>
      <c r="F41" s="21"/>
      <c r="G41" s="16" t="str">
        <f>HYPERLINK("http://maps.google.com/maps?f=q&amp;hl=en&amp;geocode=&amp;q=39.74847,-75.52745")</f>
        <v>http://maps.google.com/maps?f=q&amp;hl=en&amp;geocode=&amp;q=39.74847,-75.52745</v>
      </c>
    </row>
    <row r="42" spans="1:7" ht="15" x14ac:dyDescent="0.3">
      <c r="A42">
        <v>50.218185424804702</v>
      </c>
      <c r="B42">
        <v>5.3206357955932599</v>
      </c>
      <c r="C42" t="s">
        <v>41</v>
      </c>
      <c r="D42" t="s">
        <v>73</v>
      </c>
      <c r="F42" s="21"/>
      <c r="G42" s="16" t="str">
        <f>HYPERLINK("http://maps.google.com/maps?f=q&amp;hl=en&amp;geocode=&amp;q=50.2181854248047,5.32063579559326")</f>
        <v>http://maps.google.com/maps?f=q&amp;hl=en&amp;geocode=&amp;q=50.2181854248047,5.32063579559326</v>
      </c>
    </row>
    <row r="43" spans="1:7" ht="15" x14ac:dyDescent="0.3">
      <c r="A43">
        <v>40.303310023342803</v>
      </c>
      <c r="B43">
        <v>-79.402918441827296</v>
      </c>
      <c r="C43" t="s">
        <v>41</v>
      </c>
      <c r="D43" t="s">
        <v>74</v>
      </c>
      <c r="F43" s="21"/>
      <c r="G43" s="16" t="str">
        <f>HYPERLINK("http://maps.google.com/maps?f=q&amp;hl=en&amp;geocode=&amp;q=40.3033100233428,-79.4029184418273")</f>
        <v>http://maps.google.com/maps?f=q&amp;hl=en&amp;geocode=&amp;q=40.3033100233428,-79.4029184418273</v>
      </c>
    </row>
    <row r="44" spans="1:7" ht="15" x14ac:dyDescent="0.3">
      <c r="A44" t="s">
        <v>44</v>
      </c>
      <c r="B44" t="s">
        <v>44</v>
      </c>
      <c r="C44" t="s">
        <v>44</v>
      </c>
      <c r="D44" t="s">
        <v>75</v>
      </c>
      <c r="F44" s="21"/>
      <c r="G44" s="16"/>
    </row>
    <row r="45" spans="1:7" ht="15" x14ac:dyDescent="0.3">
      <c r="A45">
        <v>39.773628234863303</v>
      </c>
      <c r="B45">
        <v>-87.206352233886705</v>
      </c>
      <c r="C45" t="s">
        <v>41</v>
      </c>
      <c r="D45" t="s">
        <v>76</v>
      </c>
      <c r="F45" s="21"/>
      <c r="G45" s="16" t="str">
        <f>HYPERLINK("http://maps.google.com/maps?f=q&amp;hl=en&amp;geocode=&amp;q=39.7736282348633,-87.2063522338867")</f>
        <v>http://maps.google.com/maps?f=q&amp;hl=en&amp;geocode=&amp;q=39.7736282348633,-87.2063522338867</v>
      </c>
    </row>
    <row r="46" spans="1:7" ht="15" x14ac:dyDescent="0.3">
      <c r="A46">
        <v>49.4726371765137</v>
      </c>
      <c r="B46">
        <v>-2.4496390819549601</v>
      </c>
      <c r="C46" t="s">
        <v>41</v>
      </c>
      <c r="D46" t="s">
        <v>77</v>
      </c>
      <c r="F46" s="21"/>
      <c r="G46" s="16" t="str">
        <f>HYPERLINK("http://maps.google.com/maps?f=q&amp;hl=en&amp;geocode=&amp;q=49.4726371765137,-2.44963908195496")</f>
        <v>http://maps.google.com/maps?f=q&amp;hl=en&amp;geocode=&amp;q=49.4726371765137,-2.44963908195496</v>
      </c>
    </row>
    <row r="47" spans="1:7" ht="15" x14ac:dyDescent="0.3">
      <c r="A47">
        <v>41.549669999999999</v>
      </c>
      <c r="B47">
        <v>-88.223259999999996</v>
      </c>
      <c r="C47" t="s">
        <v>41</v>
      </c>
      <c r="D47" t="s">
        <v>78</v>
      </c>
      <c r="F47" s="21"/>
      <c r="G47" s="16" t="str">
        <f>HYPERLINK("http://maps.google.com/maps?f=q&amp;hl=en&amp;geocode=&amp;q=41.54967,-88.22326")</f>
        <v>http://maps.google.com/maps?f=q&amp;hl=en&amp;geocode=&amp;q=41.54967,-88.22326</v>
      </c>
    </row>
    <row r="48" spans="1:7" ht="15" x14ac:dyDescent="0.3">
      <c r="A48">
        <v>43.026452978160499</v>
      </c>
      <c r="B48">
        <v>-95.623947972903807</v>
      </c>
      <c r="C48" t="s">
        <v>41</v>
      </c>
      <c r="D48" t="s">
        <v>79</v>
      </c>
      <c r="F48" s="21"/>
      <c r="G48" s="16" t="str">
        <f>HYPERLINK("http://maps.google.com/maps?f=q&amp;hl=en&amp;geocode=&amp;q=43.0264529781605,-95.6239479729038")</f>
        <v>http://maps.google.com/maps?f=q&amp;hl=en&amp;geocode=&amp;q=43.0264529781605,-95.6239479729038</v>
      </c>
    </row>
    <row r="49" spans="1:7" ht="15" x14ac:dyDescent="0.3">
      <c r="A49">
        <v>45.777980804443402</v>
      </c>
      <c r="B49">
        <v>5.7619700431823704</v>
      </c>
      <c r="C49" t="s">
        <v>41</v>
      </c>
      <c r="D49" t="s">
        <v>80</v>
      </c>
      <c r="F49" s="21"/>
      <c r="G49" s="16" t="str">
        <f>HYPERLINK("http://maps.google.com/maps?f=q&amp;hl=en&amp;geocode=&amp;q=45.7779808044434,5.76197004318237")</f>
        <v>http://maps.google.com/maps?f=q&amp;hl=en&amp;geocode=&amp;q=45.7779808044434,5.76197004318237</v>
      </c>
    </row>
    <row r="50" spans="1:7" ht="15" x14ac:dyDescent="0.3">
      <c r="A50">
        <v>28.06767</v>
      </c>
      <c r="B50">
        <v>-82.52225</v>
      </c>
      <c r="C50" t="s">
        <v>42</v>
      </c>
      <c r="D50" t="s">
        <v>81</v>
      </c>
      <c r="F50" s="21"/>
      <c r="G50" s="16" t="str">
        <f>HYPERLINK("http://maps.google.com/maps?f=q&amp;hl=en&amp;geocode=&amp;q=28.06767,-82.52225")</f>
        <v>http://maps.google.com/maps?f=q&amp;hl=en&amp;geocode=&amp;q=28.06767,-82.52225</v>
      </c>
    </row>
    <row r="51" spans="1:7" ht="15" x14ac:dyDescent="0.3">
      <c r="A51">
        <v>55.582870483398402</v>
      </c>
      <c r="B51">
        <v>10.2827501296997</v>
      </c>
      <c r="C51" t="s">
        <v>41</v>
      </c>
      <c r="D51" t="s">
        <v>82</v>
      </c>
      <c r="F51" s="21"/>
      <c r="G51" s="16" t="str">
        <f>HYPERLINK("http://maps.google.com/maps?f=q&amp;hl=en&amp;geocode=&amp;q=55.5828704833984,10.2827501296997")</f>
        <v>http://maps.google.com/maps?f=q&amp;hl=en&amp;geocode=&amp;q=55.5828704833984,10.2827501296997</v>
      </c>
    </row>
    <row r="52" spans="1:7" ht="15" x14ac:dyDescent="0.3">
      <c r="A52">
        <v>39.969520568847699</v>
      </c>
      <c r="B52">
        <v>-79.613929748535199</v>
      </c>
      <c r="C52" t="s">
        <v>43</v>
      </c>
      <c r="D52" t="s">
        <v>83</v>
      </c>
      <c r="F52" s="21"/>
      <c r="G52" s="16" t="str">
        <f>HYPERLINK("http://maps.google.com/maps?f=q&amp;hl=en&amp;geocode=&amp;q=39.9695205688477,-79.6139297485352")</f>
        <v>http://maps.google.com/maps?f=q&amp;hl=en&amp;geocode=&amp;q=39.9695205688477,-79.6139297485352</v>
      </c>
    </row>
    <row r="53" spans="1:7" ht="15" x14ac:dyDescent="0.3">
      <c r="A53">
        <v>37.6307527593533</v>
      </c>
      <c r="B53">
        <v>-80.985487552934401</v>
      </c>
      <c r="C53" t="s">
        <v>41</v>
      </c>
      <c r="D53" t="s">
        <v>84</v>
      </c>
      <c r="F53" s="21"/>
      <c r="G53" s="16" t="str">
        <f>HYPERLINK("http://maps.google.com/maps?f=q&amp;hl=en&amp;geocode=&amp;q=37.6307527593533,-80.9854875529344")</f>
        <v>http://maps.google.com/maps?f=q&amp;hl=en&amp;geocode=&amp;q=37.6307527593533,-80.9854875529344</v>
      </c>
    </row>
    <row r="54" spans="1:7" ht="15" x14ac:dyDescent="0.3">
      <c r="A54">
        <v>37.6307527593533</v>
      </c>
      <c r="B54">
        <v>-80.985487552934401</v>
      </c>
      <c r="C54" t="s">
        <v>41</v>
      </c>
      <c r="D54" t="s">
        <v>84</v>
      </c>
      <c r="F54" s="21"/>
      <c r="G54" s="16" t="str">
        <f>HYPERLINK("http://maps.google.com/maps?f=q&amp;hl=en&amp;geocode=&amp;q=37.6307527593533,-80.9854875529344")</f>
        <v>http://maps.google.com/maps?f=q&amp;hl=en&amp;geocode=&amp;q=37.6307527593533,-80.9854875529344</v>
      </c>
    </row>
    <row r="55" spans="1:7" ht="15" x14ac:dyDescent="0.3">
      <c r="A55">
        <v>50.587699890136697</v>
      </c>
      <c r="B55">
        <v>4.32674217224121</v>
      </c>
      <c r="C55" t="s">
        <v>43</v>
      </c>
      <c r="D55" t="s">
        <v>85</v>
      </c>
      <c r="F55" s="21"/>
      <c r="G55" s="16" t="str">
        <f>HYPERLINK("http://maps.google.com/maps?f=q&amp;hl=en&amp;geocode=&amp;q=50.5876998901367,4.32674217224121")</f>
        <v>http://maps.google.com/maps?f=q&amp;hl=en&amp;geocode=&amp;q=50.5876998901367,4.32674217224121</v>
      </c>
    </row>
    <row r="56" spans="1:7" ht="15" x14ac:dyDescent="0.3">
      <c r="A56">
        <v>50.587699890136697</v>
      </c>
      <c r="B56">
        <v>4.32674217224121</v>
      </c>
      <c r="C56" t="s">
        <v>43</v>
      </c>
      <c r="D56" t="s">
        <v>85</v>
      </c>
      <c r="F56" s="21"/>
      <c r="G56" s="16" t="str">
        <f>HYPERLINK("http://maps.google.com/maps?f=q&amp;hl=en&amp;geocode=&amp;q=50.5876998901367,4.32674217224121")</f>
        <v>http://maps.google.com/maps?f=q&amp;hl=en&amp;geocode=&amp;q=50.5876998901367,4.32674217224121</v>
      </c>
    </row>
    <row r="57" spans="1:7" ht="15" x14ac:dyDescent="0.3">
      <c r="A57">
        <v>-36.718856811523402</v>
      </c>
      <c r="B57">
        <v>142.19622802734401</v>
      </c>
      <c r="C57" t="s">
        <v>43</v>
      </c>
      <c r="D57" t="s">
        <v>86</v>
      </c>
      <c r="F57" s="21"/>
      <c r="G57" s="16" t="str">
        <f>HYPERLINK("http://maps.google.com/maps?f=q&amp;hl=en&amp;geocode=&amp;q=-36.7188568115234,142.196228027344")</f>
        <v>http://maps.google.com/maps?f=q&amp;hl=en&amp;geocode=&amp;q=-36.7188568115234,142.196228027344</v>
      </c>
    </row>
    <row r="58" spans="1:7" ht="15" x14ac:dyDescent="0.3">
      <c r="A58">
        <v>-37.910480499267599</v>
      </c>
      <c r="B58">
        <v>145.13473510742199</v>
      </c>
      <c r="C58" t="s">
        <v>41</v>
      </c>
      <c r="D58" t="s">
        <v>87</v>
      </c>
      <c r="F58" s="21"/>
      <c r="G58" s="16" t="str">
        <f>HYPERLINK("http://maps.google.com/maps?f=q&amp;hl=en&amp;geocode=&amp;q=-37.9104804992676,145.134735107422")</f>
        <v>http://maps.google.com/maps?f=q&amp;hl=en&amp;geocode=&amp;q=-37.9104804992676,145.134735107422</v>
      </c>
    </row>
    <row r="59" spans="1:7" ht="15" x14ac:dyDescent="0.3">
      <c r="A59">
        <v>42.470289999999999</v>
      </c>
      <c r="B59">
        <v>-83.077780000000004</v>
      </c>
      <c r="C59" t="s">
        <v>42</v>
      </c>
      <c r="D59" t="s">
        <v>88</v>
      </c>
      <c r="F59" s="21"/>
      <c r="G59" s="16" t="str">
        <f>HYPERLINK("http://maps.google.com/maps?f=q&amp;hl=en&amp;geocode=&amp;q=42.47029,-83.07778")</f>
        <v>http://maps.google.com/maps?f=q&amp;hl=en&amp;geocode=&amp;q=42.47029,-83.07778</v>
      </c>
    </row>
    <row r="60" spans="1:7" ht="15" x14ac:dyDescent="0.3">
      <c r="A60">
        <v>-36.718856811523402</v>
      </c>
      <c r="B60">
        <v>142.19622802734401</v>
      </c>
      <c r="C60" t="s">
        <v>43</v>
      </c>
      <c r="D60" t="s">
        <v>86</v>
      </c>
      <c r="F60" s="21"/>
      <c r="G60" s="16" t="str">
        <f>HYPERLINK("http://maps.google.com/maps?f=q&amp;hl=en&amp;geocode=&amp;q=-36.7188568115234,142.196228027344")</f>
        <v>http://maps.google.com/maps?f=q&amp;hl=en&amp;geocode=&amp;q=-36.7188568115234,142.196228027344</v>
      </c>
    </row>
    <row r="61" spans="1:7" ht="15" x14ac:dyDescent="0.3">
      <c r="A61">
        <v>53.1881294250488</v>
      </c>
      <c r="B61">
        <v>-2.8943500518798801</v>
      </c>
      <c r="C61" t="s">
        <v>43</v>
      </c>
      <c r="D61" t="s">
        <v>89</v>
      </c>
      <c r="F61" s="21"/>
      <c r="G61" s="16" t="str">
        <f>HYPERLINK("http://maps.google.com/maps?f=q&amp;hl=en&amp;geocode=&amp;q=53.1881294250488,-2.89435005187988")</f>
        <v>http://maps.google.com/maps?f=q&amp;hl=en&amp;geocode=&amp;q=53.1881294250488,-2.89435005187988</v>
      </c>
    </row>
    <row r="62" spans="1:7" ht="15" x14ac:dyDescent="0.3">
      <c r="A62">
        <v>35.289465724999999</v>
      </c>
      <c r="B62">
        <v>-95.5748198590355</v>
      </c>
      <c r="C62" t="s">
        <v>41</v>
      </c>
      <c r="D62" t="s">
        <v>90</v>
      </c>
      <c r="F62" s="21"/>
      <c r="G62" s="16" t="str">
        <f>HYPERLINK("http://maps.google.com/maps?f=q&amp;hl=en&amp;geocode=&amp;q=35.289465725,-95.5748198590355")</f>
        <v>http://maps.google.com/maps?f=q&amp;hl=en&amp;geocode=&amp;q=35.289465725,-95.5748198590355</v>
      </c>
    </row>
    <row r="63" spans="1:7" ht="15" x14ac:dyDescent="0.3">
      <c r="A63" t="s">
        <v>44</v>
      </c>
      <c r="B63" t="s">
        <v>44</v>
      </c>
      <c r="C63" t="s">
        <v>44</v>
      </c>
      <c r="D63" t="s">
        <v>91</v>
      </c>
      <c r="F63" s="21"/>
      <c r="G63" s="16"/>
    </row>
    <row r="64" spans="1:7" ht="15" x14ac:dyDescent="0.3">
      <c r="A64" t="s">
        <v>44</v>
      </c>
      <c r="B64" t="s">
        <v>44</v>
      </c>
      <c r="C64" t="s">
        <v>44</v>
      </c>
      <c r="D64" t="s">
        <v>92</v>
      </c>
      <c r="F64" s="21"/>
      <c r="G64" s="16"/>
    </row>
    <row r="65" spans="1:7" ht="15" x14ac:dyDescent="0.3">
      <c r="A65">
        <v>38.590362627541303</v>
      </c>
      <c r="B65">
        <v>-90.300391302176294</v>
      </c>
      <c r="C65" t="s">
        <v>41</v>
      </c>
      <c r="D65" t="s">
        <v>93</v>
      </c>
      <c r="F65" s="21"/>
      <c r="G65" s="16" t="str">
        <f>HYPERLINK("http://maps.google.com/maps?f=q&amp;hl=en&amp;geocode=&amp;q=38.5903626275413,-90.3003913021763")</f>
        <v>http://maps.google.com/maps?f=q&amp;hl=en&amp;geocode=&amp;q=38.5903626275413,-90.3003913021763</v>
      </c>
    </row>
    <row r="66" spans="1:7" ht="15" x14ac:dyDescent="0.3">
      <c r="A66">
        <v>39.684371948242202</v>
      </c>
      <c r="B66">
        <v>21.8974094390869</v>
      </c>
      <c r="C66" t="s">
        <v>41</v>
      </c>
      <c r="D66" t="s">
        <v>94</v>
      </c>
      <c r="F66" s="21"/>
      <c r="G66" s="16" t="str">
        <f>HYPERLINK("http://maps.google.com/maps?f=q&amp;hl=en&amp;geocode=&amp;q=39.6843719482422,21.8974094390869")</f>
        <v>http://maps.google.com/maps?f=q&amp;hl=en&amp;geocode=&amp;q=39.6843719482422,21.8974094390869</v>
      </c>
    </row>
    <row r="67" spans="1:7" ht="15" x14ac:dyDescent="0.3">
      <c r="A67">
        <v>34.0690269681999</v>
      </c>
      <c r="B67">
        <v>-118.457722675037</v>
      </c>
      <c r="C67" t="s">
        <v>41</v>
      </c>
      <c r="D67" t="s">
        <v>95</v>
      </c>
      <c r="F67" s="21"/>
      <c r="G67" s="16" t="str">
        <f>HYPERLINK("http://maps.google.com/maps?f=q&amp;hl=en&amp;geocode=&amp;q=34.0690269681999,-118.457722675037")</f>
        <v>http://maps.google.com/maps?f=q&amp;hl=en&amp;geocode=&amp;q=34.0690269681999,-118.457722675037</v>
      </c>
    </row>
    <row r="68" spans="1:7" ht="15" x14ac:dyDescent="0.3">
      <c r="A68">
        <v>44.641788482666001</v>
      </c>
      <c r="B68">
        <v>-89.736740112304702</v>
      </c>
      <c r="C68" t="s">
        <v>41</v>
      </c>
      <c r="D68" t="s">
        <v>96</v>
      </c>
      <c r="F68" s="21"/>
      <c r="G68" s="16" t="str">
        <f>HYPERLINK("http://maps.google.com/maps?f=q&amp;hl=en&amp;geocode=&amp;q=44.641788482666,-89.7367401123047")</f>
        <v>http://maps.google.com/maps?f=q&amp;hl=en&amp;geocode=&amp;q=44.641788482666,-89.7367401123047</v>
      </c>
    </row>
    <row r="69" spans="1:7" ht="15" x14ac:dyDescent="0.3">
      <c r="A69">
        <v>44.641788482666001</v>
      </c>
      <c r="B69">
        <v>-89.736740112304702</v>
      </c>
      <c r="C69" t="s">
        <v>41</v>
      </c>
      <c r="D69" t="s">
        <v>96</v>
      </c>
      <c r="F69" s="21"/>
      <c r="G69" s="16" t="str">
        <f>HYPERLINK("http://maps.google.com/maps?f=q&amp;hl=en&amp;geocode=&amp;q=44.641788482666,-89.7367401123047")</f>
        <v>http://maps.google.com/maps?f=q&amp;hl=en&amp;geocode=&amp;q=44.641788482666,-89.7367401123047</v>
      </c>
    </row>
    <row r="70" spans="1:7" ht="15" x14ac:dyDescent="0.3">
      <c r="A70">
        <v>14.6250047683716</v>
      </c>
      <c r="B70">
        <v>121.07819366455099</v>
      </c>
      <c r="C70" t="s">
        <v>43</v>
      </c>
      <c r="D70" t="s">
        <v>97</v>
      </c>
      <c r="F70" s="21"/>
      <c r="G70" s="16" t="str">
        <f>HYPERLINK("http://maps.google.com/maps?f=q&amp;hl=en&amp;geocode=&amp;q=14.6250047683716,121.078193664551")</f>
        <v>http://maps.google.com/maps?f=q&amp;hl=en&amp;geocode=&amp;q=14.6250047683716,121.078193664551</v>
      </c>
    </row>
    <row r="71" spans="1:7" ht="15" x14ac:dyDescent="0.3">
      <c r="A71">
        <v>29.7082328796387</v>
      </c>
      <c r="B71">
        <v>-90.006401062011705</v>
      </c>
      <c r="C71" t="s">
        <v>43</v>
      </c>
      <c r="D71" t="s">
        <v>98</v>
      </c>
      <c r="F71" s="21"/>
      <c r="G71" s="16" t="str">
        <f>HYPERLINK("http://maps.google.com/maps?f=q&amp;hl=en&amp;geocode=&amp;q=29.7082328796387,-90.0064010620117")</f>
        <v>http://maps.google.com/maps?f=q&amp;hl=en&amp;geocode=&amp;q=29.7082328796387,-90.0064010620117</v>
      </c>
    </row>
    <row r="72" spans="1:7" ht="15" x14ac:dyDescent="0.3">
      <c r="A72">
        <v>29.7082328796387</v>
      </c>
      <c r="B72">
        <v>-90.006401062011705</v>
      </c>
      <c r="C72" t="s">
        <v>43</v>
      </c>
      <c r="D72" t="s">
        <v>98</v>
      </c>
      <c r="F72" s="21"/>
      <c r="G72" s="16" t="str">
        <f>HYPERLINK("http://maps.google.com/maps?f=q&amp;hl=en&amp;geocode=&amp;q=29.7082328796387,-90.0064010620117")</f>
        <v>http://maps.google.com/maps?f=q&amp;hl=en&amp;geocode=&amp;q=29.7082328796387,-90.0064010620117</v>
      </c>
    </row>
    <row r="73" spans="1:7" ht="15" x14ac:dyDescent="0.3">
      <c r="A73">
        <v>29.7082328796387</v>
      </c>
      <c r="B73">
        <v>-90.006401062011705</v>
      </c>
      <c r="C73" t="s">
        <v>43</v>
      </c>
      <c r="D73" t="s">
        <v>98</v>
      </c>
      <c r="F73" s="21"/>
      <c r="G73" s="16" t="str">
        <f>HYPERLINK("http://maps.google.com/maps?f=q&amp;hl=en&amp;geocode=&amp;q=29.7082328796387,-90.0064010620117")</f>
        <v>http://maps.google.com/maps?f=q&amp;hl=en&amp;geocode=&amp;q=29.7082328796387,-90.0064010620117</v>
      </c>
    </row>
    <row r="74" spans="1:7" ht="15" x14ac:dyDescent="0.3">
      <c r="A74">
        <v>29.7082328796387</v>
      </c>
      <c r="B74">
        <v>-90.006401062011705</v>
      </c>
      <c r="C74" t="s">
        <v>43</v>
      </c>
      <c r="D74" t="s">
        <v>98</v>
      </c>
      <c r="F74" s="21"/>
      <c r="G74" s="16" t="str">
        <f>HYPERLINK("http://maps.google.com/maps?f=q&amp;hl=en&amp;geocode=&amp;q=29.7082328796387,-90.0064010620117")</f>
        <v>http://maps.google.com/maps?f=q&amp;hl=en&amp;geocode=&amp;q=29.7082328796387,-90.0064010620117</v>
      </c>
    </row>
    <row r="75" spans="1:7" ht="15" x14ac:dyDescent="0.3">
      <c r="A75">
        <v>29.7082328796387</v>
      </c>
      <c r="B75">
        <v>-90.006401062011705</v>
      </c>
      <c r="C75" t="s">
        <v>43</v>
      </c>
      <c r="D75" t="s">
        <v>98</v>
      </c>
      <c r="F75" s="21"/>
      <c r="G75" s="16" t="str">
        <f>HYPERLINK("http://maps.google.com/maps?f=q&amp;hl=en&amp;geocode=&amp;q=29.7082328796387,-90.0064010620117")</f>
        <v>http://maps.google.com/maps?f=q&amp;hl=en&amp;geocode=&amp;q=29.7082328796387,-90.0064010620117</v>
      </c>
    </row>
    <row r="76" spans="1:7" ht="15" x14ac:dyDescent="0.3">
      <c r="A76">
        <v>52.122670800000002</v>
      </c>
      <c r="B76">
        <v>-122.1145812</v>
      </c>
      <c r="C76" t="s">
        <v>41</v>
      </c>
      <c r="D76" t="s">
        <v>99</v>
      </c>
      <c r="F76" s="21"/>
      <c r="G76" s="16" t="str">
        <f>HYPERLINK("http://maps.google.com/maps?f=q&amp;hl=en&amp;geocode=&amp;q=52.1226708,-122.1145812")</f>
        <v>http://maps.google.com/maps?f=q&amp;hl=en&amp;geocode=&amp;q=52.1226708,-122.1145812</v>
      </c>
    </row>
    <row r="77" spans="1:7" ht="15" x14ac:dyDescent="0.3">
      <c r="A77">
        <v>40.037979125976598</v>
      </c>
      <c r="B77">
        <v>-75.223060607910199</v>
      </c>
      <c r="C77" t="s">
        <v>41</v>
      </c>
      <c r="D77" t="s">
        <v>100</v>
      </c>
      <c r="F77" s="21"/>
      <c r="G77" s="16" t="str">
        <f>HYPERLINK("http://maps.google.com/maps?f=q&amp;hl=en&amp;geocode=&amp;q=40.0379791259766,-75.2230606079102")</f>
        <v>http://maps.google.com/maps?f=q&amp;hl=en&amp;geocode=&amp;q=40.0379791259766,-75.2230606079102</v>
      </c>
    </row>
    <row r="78" spans="1:7" ht="15" x14ac:dyDescent="0.3">
      <c r="A78" t="s">
        <v>44</v>
      </c>
      <c r="B78" t="s">
        <v>44</v>
      </c>
      <c r="C78" t="s">
        <v>44</v>
      </c>
      <c r="D78" t="s">
        <v>101</v>
      </c>
      <c r="F78" s="21"/>
      <c r="G78" s="16"/>
    </row>
    <row r="79" spans="1:7" ht="15" x14ac:dyDescent="0.3">
      <c r="A79">
        <v>40.460018157958999</v>
      </c>
      <c r="B79">
        <v>-78.591552734375</v>
      </c>
      <c r="C79" t="s">
        <v>43</v>
      </c>
      <c r="D79" t="s">
        <v>102</v>
      </c>
      <c r="F79" s="21"/>
      <c r="G79" s="16" t="str">
        <f>HYPERLINK("http://maps.google.com/maps?f=q&amp;hl=en&amp;geocode=&amp;q=40.460018157959,-78.591552734375")</f>
        <v>http://maps.google.com/maps?f=q&amp;hl=en&amp;geocode=&amp;q=40.460018157959,-78.591552734375</v>
      </c>
    </row>
    <row r="80" spans="1:7" ht="15" x14ac:dyDescent="0.3">
      <c r="A80">
        <v>48.802200317382798</v>
      </c>
      <c r="B80">
        <v>0.104719996452332</v>
      </c>
      <c r="C80" t="s">
        <v>43</v>
      </c>
      <c r="D80" t="s">
        <v>103</v>
      </c>
      <c r="F80" s="21"/>
      <c r="G80" s="16" t="str">
        <f>HYPERLINK("http://maps.google.com/maps?f=q&amp;hl=en&amp;geocode=&amp;q=48.8022003173828,0.104719996452332")</f>
        <v>http://maps.google.com/maps?f=q&amp;hl=en&amp;geocode=&amp;q=48.8022003173828,0.104719996452332</v>
      </c>
    </row>
    <row r="81" spans="1:7" ht="15" x14ac:dyDescent="0.3">
      <c r="A81">
        <v>34.220030000000001</v>
      </c>
      <c r="B81">
        <v>-101.68588</v>
      </c>
      <c r="C81" t="s">
        <v>43</v>
      </c>
      <c r="D81" t="s">
        <v>104</v>
      </c>
      <c r="F81" s="21"/>
      <c r="G81" s="16" t="str">
        <f>HYPERLINK("http://maps.google.com/maps?f=q&amp;hl=en&amp;geocode=&amp;q=34.22003,-101.68588")</f>
        <v>http://maps.google.com/maps?f=q&amp;hl=en&amp;geocode=&amp;q=34.22003,-101.68588</v>
      </c>
    </row>
    <row r="82" spans="1:7" ht="15" x14ac:dyDescent="0.3">
      <c r="A82">
        <v>39.956620000000001</v>
      </c>
      <c r="B82">
        <v>-75.191289999999995</v>
      </c>
      <c r="C82" t="s">
        <v>43</v>
      </c>
      <c r="D82" t="s">
        <v>105</v>
      </c>
      <c r="F82" s="21"/>
      <c r="G82" s="16" t="str">
        <f>HYPERLINK("http://maps.google.com/maps?f=q&amp;hl=en&amp;geocode=&amp;q=39.95662,-75.19129")</f>
        <v>http://maps.google.com/maps?f=q&amp;hl=en&amp;geocode=&amp;q=39.95662,-75.19129</v>
      </c>
    </row>
    <row r="83" spans="1:7" ht="15" x14ac:dyDescent="0.3">
      <c r="A83">
        <v>32.275119781494098</v>
      </c>
      <c r="B83">
        <v>-90.137168884277301</v>
      </c>
      <c r="C83" t="s">
        <v>43</v>
      </c>
      <c r="D83" t="s">
        <v>106</v>
      </c>
      <c r="F83" s="21"/>
      <c r="G83" s="16" t="str">
        <f>HYPERLINK("http://maps.google.com/maps?f=q&amp;hl=en&amp;geocode=&amp;q=32.2751197814941,-90.1371688842773")</f>
        <v>http://maps.google.com/maps?f=q&amp;hl=en&amp;geocode=&amp;q=32.2751197814941,-90.1371688842773</v>
      </c>
    </row>
    <row r="84" spans="1:7" ht="15" x14ac:dyDescent="0.3">
      <c r="A84">
        <v>43.882999420166001</v>
      </c>
      <c r="B84">
        <v>19.649999618530298</v>
      </c>
      <c r="C84" t="s">
        <v>43</v>
      </c>
      <c r="D84" t="s">
        <v>107</v>
      </c>
      <c r="F84" s="21"/>
      <c r="G84" s="16" t="str">
        <f>HYPERLINK("http://maps.google.com/maps?f=q&amp;hl=en&amp;geocode=&amp;q=43.882999420166,19.6499996185303")</f>
        <v>http://maps.google.com/maps?f=q&amp;hl=en&amp;geocode=&amp;q=43.882999420166,19.6499996185303</v>
      </c>
    </row>
    <row r="85" spans="1:7" ht="15" x14ac:dyDescent="0.3">
      <c r="A85">
        <v>41.125869750976598</v>
      </c>
      <c r="B85">
        <v>16.8666591644287</v>
      </c>
      <c r="C85" t="s">
        <v>43</v>
      </c>
      <c r="D85" t="s">
        <v>108</v>
      </c>
      <c r="F85" s="21"/>
      <c r="G85" s="16" t="str">
        <f>HYPERLINK("http://maps.google.com/maps?f=q&amp;hl=en&amp;geocode=&amp;q=41.1258697509766,16.8666591644287")</f>
        <v>http://maps.google.com/maps?f=q&amp;hl=en&amp;geocode=&amp;q=41.1258697509766,16.8666591644287</v>
      </c>
    </row>
    <row r="86" spans="1:7" ht="15" x14ac:dyDescent="0.3">
      <c r="A86">
        <v>32.39781</v>
      </c>
      <c r="B86">
        <v>-88.705060000000003</v>
      </c>
      <c r="C86" t="s">
        <v>42</v>
      </c>
      <c r="D86" t="s">
        <v>109</v>
      </c>
      <c r="F86" s="21"/>
      <c r="G86" s="16" t="str">
        <f>HYPERLINK("http://maps.google.com/maps?f=q&amp;hl=en&amp;geocode=&amp;q=32.39781,-88.70506")</f>
        <v>http://maps.google.com/maps?f=q&amp;hl=en&amp;geocode=&amp;q=32.39781,-88.70506</v>
      </c>
    </row>
    <row r="87" spans="1:7" ht="15" x14ac:dyDescent="0.3">
      <c r="A87">
        <v>55.782436370849602</v>
      </c>
      <c r="B87">
        <v>12.730588912963899</v>
      </c>
      <c r="C87" t="s">
        <v>41</v>
      </c>
      <c r="D87" t="s">
        <v>110</v>
      </c>
      <c r="F87" s="21"/>
      <c r="G87" s="16" t="str">
        <f>HYPERLINK("http://maps.google.com/maps?f=q&amp;hl=en&amp;geocode=&amp;q=55.7824363708496,12.7305889129639")</f>
        <v>http://maps.google.com/maps?f=q&amp;hl=en&amp;geocode=&amp;q=55.7824363708496,12.7305889129639</v>
      </c>
    </row>
    <row r="88" spans="1:7" ht="15" x14ac:dyDescent="0.3">
      <c r="A88">
        <v>39.961570000000002</v>
      </c>
      <c r="B88">
        <v>-75.199349999999995</v>
      </c>
      <c r="C88" t="s">
        <v>43</v>
      </c>
      <c r="D88" t="s">
        <v>111</v>
      </c>
      <c r="F88" s="21"/>
      <c r="G88" s="16" t="str">
        <f>HYPERLINK("http://maps.google.com/maps?f=q&amp;hl=en&amp;geocode=&amp;q=39.96157,-75.19935")</f>
        <v>http://maps.google.com/maps?f=q&amp;hl=en&amp;geocode=&amp;q=39.96157,-75.19935</v>
      </c>
    </row>
    <row r="89" spans="1:7" ht="15" x14ac:dyDescent="0.3">
      <c r="A89">
        <v>39.839637411590601</v>
      </c>
      <c r="B89">
        <v>-104.97864250247</v>
      </c>
      <c r="C89" t="s">
        <v>41</v>
      </c>
      <c r="D89" t="s">
        <v>112</v>
      </c>
      <c r="F89" s="21"/>
      <c r="G89" s="16" t="str">
        <f>HYPERLINK("http://maps.google.com/maps?f=q&amp;hl=en&amp;geocode=&amp;q=39.8396374115906,-104.97864250247")</f>
        <v>http://maps.google.com/maps?f=q&amp;hl=en&amp;geocode=&amp;q=39.8396374115906,-104.97864250247</v>
      </c>
    </row>
    <row r="90" spans="1:7" ht="15" x14ac:dyDescent="0.3">
      <c r="A90">
        <v>32.373307537499201</v>
      </c>
      <c r="B90">
        <v>-90.141887097204105</v>
      </c>
      <c r="C90" t="s">
        <v>41</v>
      </c>
      <c r="D90" t="s">
        <v>113</v>
      </c>
      <c r="F90" s="21"/>
      <c r="G90" s="16" t="str">
        <f>HYPERLINK("http://maps.google.com/maps?f=q&amp;hl=en&amp;geocode=&amp;q=32.3733075374992,-90.1418870972041")</f>
        <v>http://maps.google.com/maps?f=q&amp;hl=en&amp;geocode=&amp;q=32.3733075374992,-90.1418870972041</v>
      </c>
    </row>
    <row r="91" spans="1:7" ht="15" x14ac:dyDescent="0.3">
      <c r="A91">
        <v>32.373307537499201</v>
      </c>
      <c r="B91">
        <v>-90.141887097204105</v>
      </c>
      <c r="C91" t="s">
        <v>41</v>
      </c>
      <c r="D91" t="s">
        <v>113</v>
      </c>
      <c r="F91" s="21"/>
      <c r="G91" s="16" t="str">
        <f>HYPERLINK("http://maps.google.com/maps?f=q&amp;hl=en&amp;geocode=&amp;q=32.3733075374992,-90.1418870972041")</f>
        <v>http://maps.google.com/maps?f=q&amp;hl=en&amp;geocode=&amp;q=32.3733075374992,-90.1418870972041</v>
      </c>
    </row>
    <row r="92" spans="1:7" ht="15" x14ac:dyDescent="0.3">
      <c r="A92">
        <v>44.641788482666001</v>
      </c>
      <c r="B92">
        <v>-89.736740112304702</v>
      </c>
      <c r="C92" t="s">
        <v>41</v>
      </c>
      <c r="D92" t="s">
        <v>96</v>
      </c>
      <c r="F92" s="21"/>
      <c r="G92" s="16" t="str">
        <f>HYPERLINK("http://maps.google.com/maps?f=q&amp;hl=en&amp;geocode=&amp;q=44.641788482666,-89.7367401123047")</f>
        <v>http://maps.google.com/maps?f=q&amp;hl=en&amp;geocode=&amp;q=44.641788482666,-89.7367401123047</v>
      </c>
    </row>
    <row r="93" spans="1:7" ht="15" x14ac:dyDescent="0.3">
      <c r="A93">
        <v>44.641788482666001</v>
      </c>
      <c r="B93">
        <v>-89.736740112304702</v>
      </c>
      <c r="C93" t="s">
        <v>41</v>
      </c>
      <c r="D93" t="s">
        <v>96</v>
      </c>
      <c r="F93" s="21"/>
      <c r="G93" s="16" t="str">
        <f>HYPERLINK("http://maps.google.com/maps?f=q&amp;hl=en&amp;geocode=&amp;q=44.641788482666,-89.7367401123047")</f>
        <v>http://maps.google.com/maps?f=q&amp;hl=en&amp;geocode=&amp;q=44.641788482666,-89.7367401123047</v>
      </c>
    </row>
    <row r="94" spans="1:7" ht="15" x14ac:dyDescent="0.3">
      <c r="A94">
        <v>44.641788482666001</v>
      </c>
      <c r="B94">
        <v>-89.736740112304702</v>
      </c>
      <c r="C94" t="s">
        <v>41</v>
      </c>
      <c r="D94" t="s">
        <v>96</v>
      </c>
      <c r="F94" s="21"/>
      <c r="G94" s="16" t="str">
        <f>HYPERLINK("http://maps.google.com/maps?f=q&amp;hl=en&amp;geocode=&amp;q=44.641788482666,-89.7367401123047")</f>
        <v>http://maps.google.com/maps?f=q&amp;hl=en&amp;geocode=&amp;q=44.641788482666,-89.7367401123047</v>
      </c>
    </row>
    <row r="95" spans="1:7" ht="15" x14ac:dyDescent="0.3">
      <c r="A95">
        <v>44.641788482666001</v>
      </c>
      <c r="B95">
        <v>-89.736740112304702</v>
      </c>
      <c r="C95" t="s">
        <v>41</v>
      </c>
      <c r="D95" t="s">
        <v>96</v>
      </c>
      <c r="F95" s="21"/>
      <c r="G95" s="16" t="str">
        <f>HYPERLINK("http://maps.google.com/maps?f=q&amp;hl=en&amp;geocode=&amp;q=44.641788482666,-89.7367401123047")</f>
        <v>http://maps.google.com/maps?f=q&amp;hl=en&amp;geocode=&amp;q=44.641788482666,-89.7367401123047</v>
      </c>
    </row>
    <row r="96" spans="1:7" ht="15" x14ac:dyDescent="0.3">
      <c r="A96">
        <v>44.641788482666001</v>
      </c>
      <c r="B96">
        <v>-89.736740112304702</v>
      </c>
      <c r="C96" t="s">
        <v>41</v>
      </c>
      <c r="D96" t="s">
        <v>96</v>
      </c>
      <c r="F96" s="21"/>
      <c r="G96" s="16" t="str">
        <f>HYPERLINK("http://maps.google.com/maps?f=q&amp;hl=en&amp;geocode=&amp;q=44.641788482666,-89.7367401123047")</f>
        <v>http://maps.google.com/maps?f=q&amp;hl=en&amp;geocode=&amp;q=44.641788482666,-89.7367401123047</v>
      </c>
    </row>
    <row r="97" spans="1:7" ht="15" x14ac:dyDescent="0.3">
      <c r="A97">
        <v>32.8161223034068</v>
      </c>
      <c r="B97">
        <v>-117.268811141499</v>
      </c>
      <c r="C97" t="s">
        <v>41</v>
      </c>
      <c r="D97" t="s">
        <v>114</v>
      </c>
      <c r="F97" s="21"/>
      <c r="G97" s="16" t="str">
        <f>HYPERLINK("http://maps.google.com/maps?f=q&amp;hl=en&amp;geocode=&amp;q=32.8161223034068,-117.268811141499")</f>
        <v>http://maps.google.com/maps?f=q&amp;hl=en&amp;geocode=&amp;q=32.8161223034068,-117.268811141499</v>
      </c>
    </row>
    <row r="98" spans="1:7" ht="15" x14ac:dyDescent="0.3">
      <c r="A98">
        <v>-26.034427642822301</v>
      </c>
      <c r="B98">
        <v>28.5431098937988</v>
      </c>
      <c r="C98" t="s">
        <v>43</v>
      </c>
      <c r="D98" t="s">
        <v>115</v>
      </c>
      <c r="F98" s="21"/>
      <c r="G98" s="16" t="str">
        <f>HYPERLINK("http://maps.google.com/maps?f=q&amp;hl=en&amp;geocode=&amp;q=-26.0344276428223,28.5431098937988")</f>
        <v>http://maps.google.com/maps?f=q&amp;hl=en&amp;geocode=&amp;q=-26.0344276428223,28.5431098937988</v>
      </c>
    </row>
    <row r="99" spans="1:7" ht="15" x14ac:dyDescent="0.3">
      <c r="A99">
        <v>39.972329999999999</v>
      </c>
      <c r="B99">
        <v>-75.253510000000006</v>
      </c>
      <c r="C99" t="s">
        <v>41</v>
      </c>
      <c r="D99" t="s">
        <v>116</v>
      </c>
      <c r="F99" s="21"/>
      <c r="G99" s="16" t="str">
        <f>HYPERLINK("http://maps.google.com/maps?f=q&amp;hl=en&amp;geocode=&amp;q=39.97233,-75.25351")</f>
        <v>http://maps.google.com/maps?f=q&amp;hl=en&amp;geocode=&amp;q=39.97233,-75.25351</v>
      </c>
    </row>
    <row r="100" spans="1:7" ht="15" x14ac:dyDescent="0.3">
      <c r="A100">
        <v>-32.511600494384801</v>
      </c>
      <c r="B100">
        <v>115.942001342773</v>
      </c>
      <c r="C100" t="s">
        <v>41</v>
      </c>
      <c r="D100" t="s">
        <v>117</v>
      </c>
      <c r="F100" s="21"/>
      <c r="G100" s="16" t="str">
        <f>HYPERLINK("http://maps.google.com/maps?f=q&amp;hl=en&amp;geocode=&amp;q=-32.5116004943848,115.942001342773")</f>
        <v>http://maps.google.com/maps?f=q&amp;hl=en&amp;geocode=&amp;q=-32.5116004943848,115.942001342773</v>
      </c>
    </row>
    <row r="101" spans="1:7" ht="15" x14ac:dyDescent="0.3">
      <c r="A101">
        <v>37.193010000000001</v>
      </c>
      <c r="B101">
        <v>-79.925550000000001</v>
      </c>
      <c r="C101" t="s">
        <v>43</v>
      </c>
      <c r="D101" t="s">
        <v>118</v>
      </c>
      <c r="F101" s="21"/>
      <c r="G101" s="16" t="str">
        <f>HYPERLINK("http://maps.google.com/maps?f=q&amp;hl=en&amp;geocode=&amp;q=37.19301,-79.92555")</f>
        <v>http://maps.google.com/maps?f=q&amp;hl=en&amp;geocode=&amp;q=37.19301,-79.92555</v>
      </c>
    </row>
    <row r="102" spans="1:7" ht="15" x14ac:dyDescent="0.3">
      <c r="A102">
        <v>31.883710000000001</v>
      </c>
      <c r="B102">
        <v>-102.49551</v>
      </c>
      <c r="C102" t="s">
        <v>41</v>
      </c>
      <c r="D102" t="s">
        <v>119</v>
      </c>
      <c r="F102" s="21"/>
      <c r="G102" s="16" t="str">
        <f>HYPERLINK("http://maps.google.com/maps?f=q&amp;hl=en&amp;geocode=&amp;q=31.88371,-102.49551")</f>
        <v>http://maps.google.com/maps?f=q&amp;hl=en&amp;geocode=&amp;q=31.88371,-102.49551</v>
      </c>
    </row>
    <row r="103" spans="1:7" ht="15" x14ac:dyDescent="0.3">
      <c r="A103" t="s">
        <v>44</v>
      </c>
      <c r="B103" t="s">
        <v>44</v>
      </c>
      <c r="C103" t="s">
        <v>44</v>
      </c>
      <c r="D103" t="s">
        <v>120</v>
      </c>
      <c r="F103" s="21"/>
      <c r="G103" s="16"/>
    </row>
    <row r="104" spans="1:7" ht="15" x14ac:dyDescent="0.3">
      <c r="A104">
        <v>42.470289999999999</v>
      </c>
      <c r="B104">
        <v>-83.077780000000004</v>
      </c>
      <c r="C104" t="s">
        <v>42</v>
      </c>
      <c r="D104" t="s">
        <v>121</v>
      </c>
      <c r="F104" s="21"/>
      <c r="G104" s="16" t="str">
        <f>HYPERLINK("http://maps.google.com/maps?f=q&amp;hl=en&amp;geocode=&amp;q=42.47029,-83.07778")</f>
        <v>http://maps.google.com/maps?f=q&amp;hl=en&amp;geocode=&amp;q=42.47029,-83.07778</v>
      </c>
    </row>
    <row r="105" spans="1:7" ht="15" x14ac:dyDescent="0.3">
      <c r="A105">
        <v>40.024738311767599</v>
      </c>
      <c r="B105">
        <v>-75.213882446289105</v>
      </c>
      <c r="C105" t="s">
        <v>43</v>
      </c>
      <c r="D105" t="s">
        <v>122</v>
      </c>
      <c r="F105" s="21"/>
      <c r="G105" s="16" t="str">
        <f>HYPERLINK("http://maps.google.com/maps?f=q&amp;hl=en&amp;geocode=&amp;q=40.0247383117676,-75.2138824462891")</f>
        <v>http://maps.google.com/maps?f=q&amp;hl=en&amp;geocode=&amp;q=40.0247383117676,-75.2138824462891</v>
      </c>
    </row>
    <row r="106" spans="1:7" ht="15" x14ac:dyDescent="0.3">
      <c r="A106">
        <v>40.024738311767599</v>
      </c>
      <c r="B106">
        <v>-75.213882446289105</v>
      </c>
      <c r="C106" t="s">
        <v>43</v>
      </c>
      <c r="D106" t="s">
        <v>123</v>
      </c>
      <c r="F106" s="21"/>
      <c r="G106" s="16" t="str">
        <f>HYPERLINK("http://maps.google.com/maps?f=q&amp;hl=en&amp;geocode=&amp;q=40.0247383117676,-75.2138824462891")</f>
        <v>http://maps.google.com/maps?f=q&amp;hl=en&amp;geocode=&amp;q=40.0247383117676,-75.2138824462891</v>
      </c>
    </row>
    <row r="107" spans="1:7" ht="15" x14ac:dyDescent="0.3">
      <c r="F107" s="21"/>
      <c r="G107" s="16"/>
    </row>
    <row r="108" spans="1:7" ht="15" x14ac:dyDescent="0.3">
      <c r="A108" t="s">
        <v>44</v>
      </c>
      <c r="B108" t="s">
        <v>44</v>
      </c>
      <c r="C108" t="s">
        <v>44</v>
      </c>
      <c r="D108" t="s">
        <v>120</v>
      </c>
      <c r="F108" s="21"/>
      <c r="G108" s="16"/>
    </row>
    <row r="109" spans="1:7" ht="15" x14ac:dyDescent="0.3">
      <c r="A109">
        <v>33.488880000000002</v>
      </c>
      <c r="B109">
        <v>-88.093689999999995</v>
      </c>
      <c r="C109" t="s">
        <v>41</v>
      </c>
      <c r="D109" t="s">
        <v>124</v>
      </c>
      <c r="F109" s="21"/>
      <c r="G109" s="16" t="str">
        <f>HYPERLINK("http://maps.google.com/maps?f=q&amp;hl=en&amp;geocode=&amp;q=33.48888,-88.09369")</f>
        <v>http://maps.google.com/maps?f=q&amp;hl=en&amp;geocode=&amp;q=33.48888,-88.09369</v>
      </c>
    </row>
    <row r="110" spans="1:7" ht="15" x14ac:dyDescent="0.3">
      <c r="A110">
        <v>39.924098249446899</v>
      </c>
      <c r="B110">
        <v>-75.236173156249393</v>
      </c>
      <c r="C110" t="s">
        <v>43</v>
      </c>
      <c r="D110" t="s">
        <v>125</v>
      </c>
      <c r="F110" s="21"/>
      <c r="G110" s="16" t="str">
        <f>HYPERLINK("http://maps.google.com/maps?f=q&amp;hl=en&amp;geocode=&amp;q=39.9240982494469,-75.2361731562494")</f>
        <v>http://maps.google.com/maps?f=q&amp;hl=en&amp;geocode=&amp;q=39.9240982494469,-75.2361731562494</v>
      </c>
    </row>
    <row r="111" spans="1:7" ht="15" x14ac:dyDescent="0.3">
      <c r="A111" t="s">
        <v>44</v>
      </c>
      <c r="B111" t="s">
        <v>44</v>
      </c>
      <c r="C111" t="s">
        <v>44</v>
      </c>
      <c r="D111" t="s">
        <v>75</v>
      </c>
      <c r="F111" s="21"/>
      <c r="G111" s="16"/>
    </row>
    <row r="112" spans="1:7" ht="15" x14ac:dyDescent="0.3">
      <c r="A112">
        <v>43.177231078454199</v>
      </c>
      <c r="B112">
        <v>-89.504682747076899</v>
      </c>
      <c r="C112" t="s">
        <v>41</v>
      </c>
      <c r="D112" t="s">
        <v>126</v>
      </c>
      <c r="F112" s="21"/>
      <c r="G112" s="16" t="str">
        <f>HYPERLINK("http://maps.google.com/maps?f=q&amp;hl=en&amp;geocode=&amp;q=43.1772310784542,-89.5046827470769")</f>
        <v>http://maps.google.com/maps?f=q&amp;hl=en&amp;geocode=&amp;q=43.1772310784542,-89.5046827470769</v>
      </c>
    </row>
    <row r="113" spans="1:7" ht="15" x14ac:dyDescent="0.3">
      <c r="A113">
        <v>41.544770537313902</v>
      </c>
      <c r="B113">
        <v>-83.858609258927402</v>
      </c>
      <c r="C113" t="s">
        <v>41</v>
      </c>
      <c r="D113" t="s">
        <v>127</v>
      </c>
      <c r="F113" s="21"/>
      <c r="G113" s="16" t="str">
        <f>HYPERLINK("http://maps.google.com/maps?f=q&amp;hl=en&amp;geocode=&amp;q=41.5447705373139,-83.8586092589274")</f>
        <v>http://maps.google.com/maps?f=q&amp;hl=en&amp;geocode=&amp;q=41.5447705373139,-83.8586092589274</v>
      </c>
    </row>
    <row r="114" spans="1:7" ht="15" x14ac:dyDescent="0.3">
      <c r="A114" t="s">
        <v>44</v>
      </c>
      <c r="B114" t="s">
        <v>44</v>
      </c>
      <c r="C114" t="s">
        <v>44</v>
      </c>
      <c r="D114" t="s">
        <v>128</v>
      </c>
      <c r="F114" s="21"/>
      <c r="G114" s="16"/>
    </row>
    <row r="115" spans="1:7" ht="15" x14ac:dyDescent="0.3">
      <c r="A115">
        <v>-31.964845657348601</v>
      </c>
      <c r="B115">
        <v>115.895874023438</v>
      </c>
      <c r="C115" t="s">
        <v>41</v>
      </c>
      <c r="D115" t="s">
        <v>129</v>
      </c>
      <c r="F115" s="21"/>
      <c r="G115" s="16" t="str">
        <f>HYPERLINK("http://maps.google.com/maps?f=q&amp;hl=en&amp;geocode=&amp;q=-31.9648456573486,115.895874023438")</f>
        <v>http://maps.google.com/maps?f=q&amp;hl=en&amp;geocode=&amp;q=-31.9648456573486,115.895874023438</v>
      </c>
    </row>
    <row r="116" spans="1:7" ht="15" x14ac:dyDescent="0.3">
      <c r="A116">
        <v>42.470289999999999</v>
      </c>
      <c r="B116">
        <v>-83.077780000000004</v>
      </c>
      <c r="C116" t="s">
        <v>42</v>
      </c>
      <c r="D116" t="s">
        <v>130</v>
      </c>
      <c r="F116" s="21"/>
      <c r="G116" s="16" t="str">
        <f>HYPERLINK("http://maps.google.com/maps?f=q&amp;hl=en&amp;geocode=&amp;q=42.47029,-83.07778")</f>
        <v>http://maps.google.com/maps?f=q&amp;hl=en&amp;geocode=&amp;q=42.47029,-83.07778</v>
      </c>
    </row>
    <row r="117" spans="1:7" ht="15" x14ac:dyDescent="0.3">
      <c r="A117">
        <v>-28.342119216918899</v>
      </c>
      <c r="B117">
        <v>152.00799560546901</v>
      </c>
      <c r="C117" t="s">
        <v>43</v>
      </c>
      <c r="D117" t="s">
        <v>131</v>
      </c>
      <c r="F117" s="21"/>
      <c r="G117" s="16" t="str">
        <f>HYPERLINK("http://maps.google.com/maps?f=q&amp;hl=en&amp;geocode=&amp;q=-28.3421192169189,152.007995605469")</f>
        <v>http://maps.google.com/maps?f=q&amp;hl=en&amp;geocode=&amp;q=-28.3421192169189,152.007995605469</v>
      </c>
    </row>
    <row r="118" spans="1:7" ht="15" x14ac:dyDescent="0.3">
      <c r="A118">
        <v>43.026452978160499</v>
      </c>
      <c r="B118">
        <v>-95.623947972903807</v>
      </c>
      <c r="C118" t="s">
        <v>41</v>
      </c>
      <c r="D118" t="s">
        <v>79</v>
      </c>
      <c r="F118" s="21"/>
      <c r="G118" s="16" t="str">
        <f>HYPERLINK("http://maps.google.com/maps?f=q&amp;hl=en&amp;geocode=&amp;q=43.0264529781605,-95.6239479729038")</f>
        <v>http://maps.google.com/maps?f=q&amp;hl=en&amp;geocode=&amp;q=43.0264529781605,-95.6239479729038</v>
      </c>
    </row>
    <row r="119" spans="1:7" ht="15" x14ac:dyDescent="0.3">
      <c r="A119">
        <v>40.037979125976598</v>
      </c>
      <c r="B119">
        <v>-75.223060607910199</v>
      </c>
      <c r="C119" t="s">
        <v>41</v>
      </c>
      <c r="D119" t="s">
        <v>132</v>
      </c>
      <c r="F119" s="21"/>
      <c r="G119" s="16" t="str">
        <f>HYPERLINK("http://maps.google.com/maps?f=q&amp;hl=en&amp;geocode=&amp;q=40.0379791259766,-75.2230606079102")</f>
        <v>http://maps.google.com/maps?f=q&amp;hl=en&amp;geocode=&amp;q=40.0379791259766,-75.2230606079102</v>
      </c>
    </row>
    <row r="120" spans="1:7" ht="15" x14ac:dyDescent="0.3">
      <c r="A120">
        <v>-27.2830104827881</v>
      </c>
      <c r="B120">
        <v>152.98182678222699</v>
      </c>
      <c r="C120" t="s">
        <v>41</v>
      </c>
      <c r="D120" t="s">
        <v>133</v>
      </c>
      <c r="F120" s="21"/>
      <c r="G120" s="16" t="str">
        <f>HYPERLINK("http://maps.google.com/maps?f=q&amp;hl=en&amp;geocode=&amp;q=-27.2830104827881,152.981826782227")</f>
        <v>http://maps.google.com/maps?f=q&amp;hl=en&amp;geocode=&amp;q=-27.2830104827881,152.981826782227</v>
      </c>
    </row>
    <row r="121" spans="1:7" ht="15" x14ac:dyDescent="0.3">
      <c r="A121">
        <v>39.969520568847699</v>
      </c>
      <c r="B121">
        <v>-79.613929748535199</v>
      </c>
      <c r="C121" t="s">
        <v>43</v>
      </c>
      <c r="D121" t="s">
        <v>134</v>
      </c>
      <c r="F121" s="21"/>
      <c r="G121" s="16" t="str">
        <f>HYPERLINK("http://maps.google.com/maps?f=q&amp;hl=en&amp;geocode=&amp;q=39.9695205688477,-79.6139297485352")</f>
        <v>http://maps.google.com/maps?f=q&amp;hl=en&amp;geocode=&amp;q=39.9695205688477,-79.6139297485352</v>
      </c>
    </row>
    <row r="122" spans="1:7" ht="15" x14ac:dyDescent="0.3">
      <c r="A122">
        <v>14.6539497375488</v>
      </c>
      <c r="B122">
        <v>121.12087249755901</v>
      </c>
      <c r="C122" t="s">
        <v>43</v>
      </c>
      <c r="D122" t="s">
        <v>135</v>
      </c>
      <c r="F122" s="21"/>
      <c r="G122" s="16" t="str">
        <f>HYPERLINK("http://maps.google.com/maps?f=q&amp;hl=en&amp;geocode=&amp;q=14.6539497375488,121.120872497559")</f>
        <v>http://maps.google.com/maps?f=q&amp;hl=en&amp;geocode=&amp;q=14.6539497375488,121.120872497559</v>
      </c>
    </row>
    <row r="123" spans="1:7" ht="15" x14ac:dyDescent="0.3">
      <c r="A123" t="s">
        <v>44</v>
      </c>
      <c r="B123" t="s">
        <v>44</v>
      </c>
      <c r="C123" t="s">
        <v>44</v>
      </c>
      <c r="D123" t="s">
        <v>136</v>
      </c>
      <c r="F123" s="21"/>
      <c r="G123" s="16"/>
    </row>
    <row r="124" spans="1:7" ht="15" x14ac:dyDescent="0.3">
      <c r="A124">
        <v>33.625079999999997</v>
      </c>
      <c r="B124">
        <v>-112.19918</v>
      </c>
      <c r="C124" t="s">
        <v>42</v>
      </c>
      <c r="D124" t="s">
        <v>137</v>
      </c>
      <c r="F124" s="21"/>
      <c r="G124" s="16" t="str">
        <f>HYPERLINK("http://maps.google.com/maps?f=q&amp;hl=en&amp;geocode=&amp;q=33.62508,-112.19918")</f>
        <v>http://maps.google.com/maps?f=q&amp;hl=en&amp;geocode=&amp;q=33.62508,-112.19918</v>
      </c>
    </row>
    <row r="125" spans="1:7" ht="15" x14ac:dyDescent="0.3">
      <c r="A125">
        <v>36.382385157353298</v>
      </c>
      <c r="B125">
        <v>-78.628909711545006</v>
      </c>
      <c r="C125" t="s">
        <v>41</v>
      </c>
      <c r="D125" t="s">
        <v>138</v>
      </c>
      <c r="F125" s="21"/>
      <c r="G125" s="16" t="str">
        <f>HYPERLINK("http://maps.google.com/maps?f=q&amp;hl=en&amp;geocode=&amp;q=36.3823851573533,-78.628909711545")</f>
        <v>http://maps.google.com/maps?f=q&amp;hl=en&amp;geocode=&amp;q=36.3823851573533,-78.628909711545</v>
      </c>
    </row>
    <row r="126" spans="1:7" ht="15" x14ac:dyDescent="0.3">
      <c r="A126">
        <v>40.065528018680901</v>
      </c>
      <c r="B126">
        <v>-75.233396334134397</v>
      </c>
      <c r="C126" t="s">
        <v>41</v>
      </c>
      <c r="D126" t="s">
        <v>139</v>
      </c>
      <c r="F126" s="21"/>
      <c r="G126" s="16" t="str">
        <f>HYPERLINK("http://maps.google.com/maps?f=q&amp;hl=en&amp;geocode=&amp;q=40.0655280186809,-75.2333963341344")</f>
        <v>http://maps.google.com/maps?f=q&amp;hl=en&amp;geocode=&amp;q=40.0655280186809,-75.2333963341344</v>
      </c>
    </row>
    <row r="127" spans="1:7" ht="15" x14ac:dyDescent="0.3">
      <c r="A127">
        <v>40.065528018680901</v>
      </c>
      <c r="B127">
        <v>-75.233396334134397</v>
      </c>
      <c r="C127" t="s">
        <v>41</v>
      </c>
      <c r="D127" t="s">
        <v>139</v>
      </c>
      <c r="F127" s="21"/>
      <c r="G127" s="16" t="str">
        <f>HYPERLINK("http://maps.google.com/maps?f=q&amp;hl=en&amp;geocode=&amp;q=40.0655280186809,-75.2333963341344")</f>
        <v>http://maps.google.com/maps?f=q&amp;hl=en&amp;geocode=&amp;q=40.0655280186809,-75.2333963341344</v>
      </c>
    </row>
    <row r="128" spans="1:7" ht="15" x14ac:dyDescent="0.3">
      <c r="A128">
        <v>50.972061157226598</v>
      </c>
      <c r="B128">
        <v>-0.279289990663528</v>
      </c>
      <c r="C128" t="s">
        <v>43</v>
      </c>
      <c r="D128" t="s">
        <v>140</v>
      </c>
      <c r="F128" s="21"/>
      <c r="G128" s="16" t="str">
        <f>HYPERLINK("http://maps.google.com/maps?f=q&amp;hl=en&amp;geocode=&amp;q=50.9720611572266,-0.279289990663528")</f>
        <v>http://maps.google.com/maps?f=q&amp;hl=en&amp;geocode=&amp;q=50.9720611572266,-0.279289990663528</v>
      </c>
    </row>
    <row r="129" spans="1:7" ht="15" x14ac:dyDescent="0.3">
      <c r="A129">
        <v>40.024738311767599</v>
      </c>
      <c r="B129">
        <v>-75.213882446289105</v>
      </c>
      <c r="C129" t="s">
        <v>43</v>
      </c>
      <c r="D129" t="s">
        <v>141</v>
      </c>
      <c r="F129" s="21"/>
      <c r="G129" s="16" t="str">
        <f>HYPERLINK("http://maps.google.com/maps?f=q&amp;hl=en&amp;geocode=&amp;q=40.0247383117676,-75.2138824462891")</f>
        <v>http://maps.google.com/maps?f=q&amp;hl=en&amp;geocode=&amp;q=40.0247383117676,-75.2138824462891</v>
      </c>
    </row>
    <row r="130" spans="1:7" ht="15" x14ac:dyDescent="0.3">
      <c r="A130">
        <v>29.7082328796387</v>
      </c>
      <c r="B130">
        <v>-90.006401062011705</v>
      </c>
      <c r="C130" t="s">
        <v>43</v>
      </c>
      <c r="D130" t="s">
        <v>98</v>
      </c>
      <c r="F130" s="21"/>
      <c r="G130" s="16" t="str">
        <f>HYPERLINK("http://maps.google.com/maps?f=q&amp;hl=en&amp;geocode=&amp;q=29.7082328796387,-90.0064010620117")</f>
        <v>http://maps.google.com/maps?f=q&amp;hl=en&amp;geocode=&amp;q=29.7082328796387,-90.0064010620117</v>
      </c>
    </row>
    <row r="131" spans="1:7" ht="15" x14ac:dyDescent="0.3">
      <c r="A131">
        <v>40.02993</v>
      </c>
      <c r="B131">
        <v>-75.218630000000005</v>
      </c>
      <c r="C131" t="s">
        <v>41</v>
      </c>
      <c r="D131" t="s">
        <v>142</v>
      </c>
      <c r="F131" s="21"/>
      <c r="G131" s="16" t="str">
        <f>HYPERLINK("http://maps.google.com/maps?f=q&amp;hl=en&amp;geocode=&amp;q=40.02993,-75.21863")</f>
        <v>http://maps.google.com/maps?f=q&amp;hl=en&amp;geocode=&amp;q=40.02993,-75.21863</v>
      </c>
    </row>
    <row r="132" spans="1:7" ht="15" x14ac:dyDescent="0.3">
      <c r="A132">
        <v>40.030239999999999</v>
      </c>
      <c r="B132">
        <v>-75.218029999999999</v>
      </c>
      <c r="C132" t="s">
        <v>41</v>
      </c>
      <c r="D132" t="s">
        <v>143</v>
      </c>
      <c r="F132" s="21"/>
      <c r="G132" s="16" t="str">
        <f>HYPERLINK("http://maps.google.com/maps?f=q&amp;hl=en&amp;geocode=&amp;q=40.03024,-75.21803")</f>
        <v>http://maps.google.com/maps?f=q&amp;hl=en&amp;geocode=&amp;q=40.03024,-75.21803</v>
      </c>
    </row>
    <row r="133" spans="1:7" ht="15" x14ac:dyDescent="0.3">
      <c r="A133">
        <v>42.4211838777669</v>
      </c>
      <c r="B133">
        <v>-76.492153618799193</v>
      </c>
      <c r="C133" t="s">
        <v>41</v>
      </c>
      <c r="D133" t="s">
        <v>144</v>
      </c>
      <c r="F133" s="21"/>
      <c r="G133" s="16" t="str">
        <f>HYPERLINK("http://maps.google.com/maps?f=q&amp;hl=en&amp;geocode=&amp;q=42.4211838777669,-76.4921536187992")</f>
        <v>http://maps.google.com/maps?f=q&amp;hl=en&amp;geocode=&amp;q=42.4211838777669,-76.4921536187992</v>
      </c>
    </row>
    <row r="134" spans="1:7" ht="15" x14ac:dyDescent="0.3">
      <c r="A134">
        <v>40.030650000000001</v>
      </c>
      <c r="B134">
        <v>-75.218699999999998</v>
      </c>
      <c r="C134" t="s">
        <v>41</v>
      </c>
      <c r="D134" t="s">
        <v>145</v>
      </c>
      <c r="F134" s="21"/>
      <c r="G134" s="16" t="str">
        <f>HYPERLINK("http://maps.google.com/maps?f=q&amp;hl=en&amp;geocode=&amp;q=40.03065,-75.2187")</f>
        <v>http://maps.google.com/maps?f=q&amp;hl=en&amp;geocode=&amp;q=40.03065,-75.2187</v>
      </c>
    </row>
    <row r="135" spans="1:7" ht="15" x14ac:dyDescent="0.3">
      <c r="A135">
        <v>42.4211838777669</v>
      </c>
      <c r="B135">
        <v>-76.492153618799193</v>
      </c>
      <c r="C135" t="s">
        <v>41</v>
      </c>
      <c r="D135" t="s">
        <v>146</v>
      </c>
      <c r="F135" s="21"/>
      <c r="G135" s="16" t="str">
        <f>HYPERLINK("http://maps.google.com/maps?f=q&amp;hl=en&amp;geocode=&amp;q=42.4211838777669,-76.4921536187992")</f>
        <v>http://maps.google.com/maps?f=q&amp;hl=en&amp;geocode=&amp;q=42.4211838777669,-76.4921536187992</v>
      </c>
    </row>
    <row r="136" spans="1:7" ht="15" x14ac:dyDescent="0.3">
      <c r="A136">
        <v>42.4211838777669</v>
      </c>
      <c r="B136">
        <v>-76.492153618799193</v>
      </c>
      <c r="C136" t="s">
        <v>41</v>
      </c>
      <c r="D136" t="s">
        <v>146</v>
      </c>
      <c r="F136" s="21"/>
      <c r="G136" s="16" t="str">
        <f>HYPERLINK("http://maps.google.com/maps?f=q&amp;hl=en&amp;geocode=&amp;q=42.4211838777669,-76.4921536187992")</f>
        <v>http://maps.google.com/maps?f=q&amp;hl=en&amp;geocode=&amp;q=42.4211838777669,-76.4921536187992</v>
      </c>
    </row>
    <row r="137" spans="1:7" ht="15" x14ac:dyDescent="0.3">
      <c r="A137">
        <v>42.4211838777669</v>
      </c>
      <c r="B137">
        <v>-76.492153618799193</v>
      </c>
      <c r="C137" t="s">
        <v>41</v>
      </c>
      <c r="D137" t="s">
        <v>146</v>
      </c>
      <c r="F137" s="21"/>
      <c r="G137" s="16" t="str">
        <f>HYPERLINK("http://maps.google.com/maps?f=q&amp;hl=en&amp;geocode=&amp;q=42.4211838777669,-76.4921536187992")</f>
        <v>http://maps.google.com/maps?f=q&amp;hl=en&amp;geocode=&amp;q=42.4211838777669,-76.4921536187992</v>
      </c>
    </row>
    <row r="138" spans="1:7" ht="15" x14ac:dyDescent="0.3">
      <c r="A138">
        <v>42.4211838777669</v>
      </c>
      <c r="B138">
        <v>-76.492153618799193</v>
      </c>
      <c r="C138" t="s">
        <v>41</v>
      </c>
      <c r="D138" t="s">
        <v>146</v>
      </c>
      <c r="F138" s="21"/>
      <c r="G138" s="16" t="str">
        <f>HYPERLINK("http://maps.google.com/maps?f=q&amp;hl=en&amp;geocode=&amp;q=42.4211838777669,-76.4921536187992")</f>
        <v>http://maps.google.com/maps?f=q&amp;hl=en&amp;geocode=&amp;q=42.4211838777669,-76.4921536187992</v>
      </c>
    </row>
    <row r="139" spans="1:7" ht="15" x14ac:dyDescent="0.3">
      <c r="A139">
        <v>42.4211838777669</v>
      </c>
      <c r="B139">
        <v>-76.492153618799193</v>
      </c>
      <c r="C139" t="s">
        <v>41</v>
      </c>
      <c r="D139" t="s">
        <v>146</v>
      </c>
      <c r="F139" s="21"/>
      <c r="G139" s="16" t="str">
        <f>HYPERLINK("http://maps.google.com/maps?f=q&amp;hl=en&amp;geocode=&amp;q=42.4211838777669,-76.4921536187992")</f>
        <v>http://maps.google.com/maps?f=q&amp;hl=en&amp;geocode=&amp;q=42.4211838777669,-76.4921536187992</v>
      </c>
    </row>
    <row r="140" spans="1:7" ht="15" x14ac:dyDescent="0.3">
      <c r="A140">
        <v>42.4211838777669</v>
      </c>
      <c r="B140">
        <v>-76.492153618799193</v>
      </c>
      <c r="C140" t="s">
        <v>41</v>
      </c>
      <c r="D140" t="s">
        <v>146</v>
      </c>
      <c r="F140" s="21"/>
      <c r="G140" s="16" t="str">
        <f>HYPERLINK("http://maps.google.com/maps?f=q&amp;hl=en&amp;geocode=&amp;q=42.4211838777669,-76.4921536187992")</f>
        <v>http://maps.google.com/maps?f=q&amp;hl=en&amp;geocode=&amp;q=42.4211838777669,-76.4921536187992</v>
      </c>
    </row>
    <row r="141" spans="1:7" ht="15" x14ac:dyDescent="0.3">
      <c r="A141">
        <v>40.028730000000003</v>
      </c>
      <c r="B141">
        <v>-75.220619999999997</v>
      </c>
      <c r="C141" t="s">
        <v>41</v>
      </c>
      <c r="D141" t="s">
        <v>147</v>
      </c>
      <c r="F141" s="21"/>
      <c r="G141" s="16" t="str">
        <f>HYPERLINK("http://maps.google.com/maps?f=q&amp;hl=en&amp;geocode=&amp;q=40.02873,-75.22062")</f>
        <v>http://maps.google.com/maps?f=q&amp;hl=en&amp;geocode=&amp;q=40.02873,-75.22062</v>
      </c>
    </row>
    <row r="142" spans="1:7" ht="15" x14ac:dyDescent="0.3">
      <c r="A142">
        <v>40.02861</v>
      </c>
      <c r="B142">
        <v>-75.220699999999994</v>
      </c>
      <c r="C142" t="s">
        <v>41</v>
      </c>
      <c r="D142" t="s">
        <v>148</v>
      </c>
      <c r="F142" s="21"/>
      <c r="G142" s="16" t="str">
        <f>HYPERLINK("http://maps.google.com/maps?f=q&amp;hl=en&amp;geocode=&amp;q=40.02861,-75.2207")</f>
        <v>http://maps.google.com/maps?f=q&amp;hl=en&amp;geocode=&amp;q=40.02861,-75.2207</v>
      </c>
    </row>
    <row r="143" spans="1:7" ht="15" x14ac:dyDescent="0.3">
      <c r="A143">
        <v>42.421779627955601</v>
      </c>
      <c r="B143">
        <v>-76.491213206470704</v>
      </c>
      <c r="C143" t="s">
        <v>41</v>
      </c>
      <c r="D143" t="s">
        <v>149</v>
      </c>
      <c r="F143" s="21"/>
      <c r="G143" s="16" t="str">
        <f>HYPERLINK("http://maps.google.com/maps?f=q&amp;hl=en&amp;geocode=&amp;q=42.4217796279556,-76.4912132064707")</f>
        <v>http://maps.google.com/maps?f=q&amp;hl=en&amp;geocode=&amp;q=42.4217796279556,-76.4912132064707</v>
      </c>
    </row>
    <row r="144" spans="1:7" ht="15" x14ac:dyDescent="0.3">
      <c r="A144">
        <v>42.421779627955601</v>
      </c>
      <c r="B144">
        <v>-76.491213206470704</v>
      </c>
      <c r="C144" t="s">
        <v>41</v>
      </c>
      <c r="D144" t="s">
        <v>149</v>
      </c>
      <c r="F144" s="21"/>
      <c r="G144" s="16" t="str">
        <f>HYPERLINK("http://maps.google.com/maps?f=q&amp;hl=en&amp;geocode=&amp;q=42.4217796279556,-76.4912132064707")</f>
        <v>http://maps.google.com/maps?f=q&amp;hl=en&amp;geocode=&amp;q=42.4217796279556,-76.4912132064707</v>
      </c>
    </row>
    <row r="145" spans="1:7" ht="15" x14ac:dyDescent="0.3">
      <c r="A145">
        <v>42.421779627955601</v>
      </c>
      <c r="B145">
        <v>-76.491213206470704</v>
      </c>
      <c r="C145" t="s">
        <v>41</v>
      </c>
      <c r="D145" t="s">
        <v>149</v>
      </c>
      <c r="F145" s="21"/>
      <c r="G145" s="16" t="str">
        <f>HYPERLINK("http://maps.google.com/maps?f=q&amp;hl=en&amp;geocode=&amp;q=42.4217796279556,-76.4912132064707")</f>
        <v>http://maps.google.com/maps?f=q&amp;hl=en&amp;geocode=&amp;q=42.4217796279556,-76.4912132064707</v>
      </c>
    </row>
    <row r="146" spans="1:7" ht="15" x14ac:dyDescent="0.3">
      <c r="A146">
        <v>42.421779627955601</v>
      </c>
      <c r="B146">
        <v>-76.491213206470704</v>
      </c>
      <c r="C146" t="s">
        <v>41</v>
      </c>
      <c r="D146" t="s">
        <v>149</v>
      </c>
      <c r="F146" s="21"/>
      <c r="G146" s="16" t="str">
        <f>HYPERLINK("http://maps.google.com/maps?f=q&amp;hl=en&amp;geocode=&amp;q=42.4217796279556,-76.4912132064707")</f>
        <v>http://maps.google.com/maps?f=q&amp;hl=en&amp;geocode=&amp;q=42.4217796279556,-76.4912132064707</v>
      </c>
    </row>
    <row r="147" spans="1:7" ht="15" x14ac:dyDescent="0.3">
      <c r="A147">
        <v>38.5886</v>
      </c>
      <c r="B147">
        <v>-90.2851</v>
      </c>
      <c r="C147" t="s">
        <v>41</v>
      </c>
      <c r="D147" t="s">
        <v>150</v>
      </c>
      <c r="F147" s="21"/>
      <c r="G147" s="16" t="str">
        <f>HYPERLINK("http://maps.google.com/maps?f=q&amp;hl=en&amp;geocode=&amp;q=38.5886,-90.2851")</f>
        <v>http://maps.google.com/maps?f=q&amp;hl=en&amp;geocode=&amp;q=38.5886,-90.2851</v>
      </c>
    </row>
    <row r="148" spans="1:7" ht="15" x14ac:dyDescent="0.3">
      <c r="A148">
        <v>44.875728607177699</v>
      </c>
      <c r="B148">
        <v>-98.517570495605497</v>
      </c>
      <c r="C148" t="s">
        <v>43</v>
      </c>
      <c r="D148" t="s">
        <v>151</v>
      </c>
      <c r="F148" s="21"/>
      <c r="G148" s="16" t="str">
        <f>HYPERLINK("http://maps.google.com/maps?f=q&amp;hl=en&amp;geocode=&amp;q=44.8757286071777,-98.5175704956055")</f>
        <v>http://maps.google.com/maps?f=q&amp;hl=en&amp;geocode=&amp;q=44.8757286071777,-98.5175704956055</v>
      </c>
    </row>
    <row r="149" spans="1:7" ht="15" x14ac:dyDescent="0.3">
      <c r="A149">
        <v>43.040962853589299</v>
      </c>
      <c r="B149">
        <v>-95.624018475677801</v>
      </c>
      <c r="C149" t="s">
        <v>41</v>
      </c>
      <c r="D149" t="s">
        <v>152</v>
      </c>
      <c r="F149" s="21"/>
      <c r="G149" s="16" t="str">
        <f>HYPERLINK("http://maps.google.com/maps?f=q&amp;hl=en&amp;geocode=&amp;q=43.0409628535893,-95.6240184756778")</f>
        <v>http://maps.google.com/maps?f=q&amp;hl=en&amp;geocode=&amp;q=43.0409628535893,-95.6240184756778</v>
      </c>
    </row>
    <row r="150" spans="1:7" ht="15" x14ac:dyDescent="0.3">
      <c r="A150">
        <v>45.648636122062896</v>
      </c>
      <c r="B150">
        <v>-84.501801508521694</v>
      </c>
      <c r="C150" t="s">
        <v>41</v>
      </c>
      <c r="D150" t="s">
        <v>153</v>
      </c>
      <c r="F150" s="21"/>
      <c r="G150" s="16" t="str">
        <f>HYPERLINK("http://maps.google.com/maps?f=q&amp;hl=en&amp;geocode=&amp;q=45.6486361220629,-84.5018015085217")</f>
        <v>http://maps.google.com/maps?f=q&amp;hl=en&amp;geocode=&amp;q=45.6486361220629,-84.5018015085217</v>
      </c>
    </row>
    <row r="151" spans="1:7" ht="15" x14ac:dyDescent="0.3">
      <c r="A151">
        <v>35.158396757966997</v>
      </c>
      <c r="B151">
        <v>-90.045376222310097</v>
      </c>
      <c r="C151" t="s">
        <v>41</v>
      </c>
      <c r="D151" t="s">
        <v>154</v>
      </c>
      <c r="F151" s="21"/>
      <c r="G151" s="16" t="str">
        <f>HYPERLINK("http://maps.google.com/maps?f=q&amp;hl=en&amp;geocode=&amp;q=35.158396757967,-90.0453762223101")</f>
        <v>http://maps.google.com/maps?f=q&amp;hl=en&amp;geocode=&amp;q=35.158396757967,-90.0453762223101</v>
      </c>
    </row>
    <row r="152" spans="1:7" ht="15" x14ac:dyDescent="0.3">
      <c r="A152">
        <v>39.701462120784399</v>
      </c>
      <c r="B152">
        <v>-91.382764544958803</v>
      </c>
      <c r="C152" t="s">
        <v>43</v>
      </c>
      <c r="D152" t="s">
        <v>155</v>
      </c>
      <c r="F152" s="21"/>
      <c r="G152" s="16" t="str">
        <f>HYPERLINK("http://maps.google.com/maps?f=q&amp;hl=en&amp;geocode=&amp;q=39.7014621207844,-91.3827645449588")</f>
        <v>http://maps.google.com/maps?f=q&amp;hl=en&amp;geocode=&amp;q=39.7014621207844,-91.3827645449588</v>
      </c>
    </row>
    <row r="153" spans="1:7" ht="15" x14ac:dyDescent="0.3">
      <c r="A153">
        <v>39.701462120784399</v>
      </c>
      <c r="B153">
        <v>-91.382764544958803</v>
      </c>
      <c r="C153" t="s">
        <v>43</v>
      </c>
      <c r="D153" t="s">
        <v>155</v>
      </c>
      <c r="F153" s="21"/>
      <c r="G153" s="16" t="str">
        <f>HYPERLINK("http://maps.google.com/maps?f=q&amp;hl=en&amp;geocode=&amp;q=39.7014621207844,-91.3827645449588")</f>
        <v>http://maps.google.com/maps?f=q&amp;hl=en&amp;geocode=&amp;q=39.7014621207844,-91.3827645449588</v>
      </c>
    </row>
    <row r="154" spans="1:7" ht="15" x14ac:dyDescent="0.3">
      <c r="A154">
        <v>43.040962853589299</v>
      </c>
      <c r="B154">
        <v>-95.624018475677801</v>
      </c>
      <c r="C154" t="s">
        <v>41</v>
      </c>
      <c r="D154" t="s">
        <v>152</v>
      </c>
      <c r="F154" s="21"/>
      <c r="G154" s="16" t="str">
        <f>HYPERLINK("http://maps.google.com/maps?f=q&amp;hl=en&amp;geocode=&amp;q=43.0409628535893,-95.6240184756778")</f>
        <v>http://maps.google.com/maps?f=q&amp;hl=en&amp;geocode=&amp;q=43.0409628535893,-95.6240184756778</v>
      </c>
    </row>
    <row r="155" spans="1:7" ht="15" x14ac:dyDescent="0.3">
      <c r="A155">
        <v>42.997422656800801</v>
      </c>
      <c r="B155">
        <v>-95.623939346082395</v>
      </c>
      <c r="C155" t="s">
        <v>41</v>
      </c>
      <c r="D155" t="s">
        <v>71</v>
      </c>
      <c r="F155" s="21"/>
      <c r="G155" s="16" t="str">
        <f>HYPERLINK("http://maps.google.com/maps?f=q&amp;hl=en&amp;geocode=&amp;q=42.9974226568008,-95.6239393460824")</f>
        <v>http://maps.google.com/maps?f=q&amp;hl=en&amp;geocode=&amp;q=42.9974226568008,-95.6239393460824</v>
      </c>
    </row>
    <row r="156" spans="1:7" ht="15" x14ac:dyDescent="0.3">
      <c r="A156">
        <v>40.749805510755998</v>
      </c>
      <c r="B156">
        <v>-95.809344356454204</v>
      </c>
      <c r="C156" t="s">
        <v>41</v>
      </c>
      <c r="D156" t="s">
        <v>156</v>
      </c>
      <c r="F156" s="21"/>
      <c r="G156" s="16" t="str">
        <f>HYPERLINK("http://maps.google.com/maps?f=q&amp;hl=en&amp;geocode=&amp;q=40.749805510756,-95.8093443564542")</f>
        <v>http://maps.google.com/maps?f=q&amp;hl=en&amp;geocode=&amp;q=40.749805510756,-95.8093443564542</v>
      </c>
    </row>
    <row r="157" spans="1:7" ht="15" x14ac:dyDescent="0.3">
      <c r="A157">
        <v>38.725276947021499</v>
      </c>
      <c r="B157">
        <v>-77.047775268554702</v>
      </c>
      <c r="C157" t="s">
        <v>41</v>
      </c>
      <c r="D157" t="s">
        <v>157</v>
      </c>
      <c r="F157" s="21"/>
      <c r="G157" s="16" t="str">
        <f>HYPERLINK("http://maps.google.com/maps?f=q&amp;hl=en&amp;geocode=&amp;q=38.7252769470215,-77.0477752685547")</f>
        <v>http://maps.google.com/maps?f=q&amp;hl=en&amp;geocode=&amp;q=38.7252769470215,-77.0477752685547</v>
      </c>
    </row>
    <row r="158" spans="1:7" ht="15" x14ac:dyDescent="0.3">
      <c r="A158">
        <v>45.853270000000002</v>
      </c>
      <c r="B158">
        <v>-66.122669999999999</v>
      </c>
      <c r="C158" t="s">
        <v>41</v>
      </c>
      <c r="D158" t="s">
        <v>158</v>
      </c>
      <c r="F158" s="21"/>
      <c r="G158" s="16" t="str">
        <f>HYPERLINK("http://maps.google.com/maps?f=q&amp;hl=en&amp;geocode=&amp;q=45.85327,-66.12267")</f>
        <v>http://maps.google.com/maps?f=q&amp;hl=en&amp;geocode=&amp;q=45.85327,-66.12267</v>
      </c>
    </row>
    <row r="159" spans="1:7" ht="15" x14ac:dyDescent="0.3">
      <c r="A159">
        <v>29.7082328796387</v>
      </c>
      <c r="B159">
        <v>-90.006401062011705</v>
      </c>
      <c r="C159" t="s">
        <v>43</v>
      </c>
      <c r="D159" t="s">
        <v>98</v>
      </c>
      <c r="F159" s="21"/>
      <c r="G159" s="16" t="str">
        <f>HYPERLINK("http://maps.google.com/maps?f=q&amp;hl=en&amp;geocode=&amp;q=29.7082328796387,-90.0064010620117")</f>
        <v>http://maps.google.com/maps?f=q&amp;hl=en&amp;geocode=&amp;q=29.7082328796387,-90.0064010620117</v>
      </c>
    </row>
    <row r="160" spans="1:7" ht="15" x14ac:dyDescent="0.3">
      <c r="A160">
        <v>29.7082328796387</v>
      </c>
      <c r="B160">
        <v>-90.006401062011705</v>
      </c>
      <c r="C160" t="s">
        <v>43</v>
      </c>
      <c r="D160" t="s">
        <v>98</v>
      </c>
      <c r="F160" s="21"/>
      <c r="G160" s="16" t="str">
        <f>HYPERLINK("http://maps.google.com/maps?f=q&amp;hl=en&amp;geocode=&amp;q=29.7082328796387,-90.0064010620117")</f>
        <v>http://maps.google.com/maps?f=q&amp;hl=en&amp;geocode=&amp;q=29.7082328796387,-90.0064010620117</v>
      </c>
    </row>
    <row r="161" spans="1:7" ht="15" x14ac:dyDescent="0.3">
      <c r="A161">
        <v>29.7082328796387</v>
      </c>
      <c r="B161">
        <v>-90.006401062011705</v>
      </c>
      <c r="C161" t="s">
        <v>43</v>
      </c>
      <c r="D161" t="s">
        <v>98</v>
      </c>
      <c r="F161" s="21"/>
      <c r="G161" s="16" t="str">
        <f>HYPERLINK("http://maps.google.com/maps?f=q&amp;hl=en&amp;geocode=&amp;q=29.7082328796387,-90.0064010620117")</f>
        <v>http://maps.google.com/maps?f=q&amp;hl=en&amp;geocode=&amp;q=29.7082328796387,-90.0064010620117</v>
      </c>
    </row>
    <row r="162" spans="1:7" ht="15" x14ac:dyDescent="0.3">
      <c r="A162">
        <v>39.967229727887201</v>
      </c>
      <c r="B162">
        <v>-79.621049301055507</v>
      </c>
      <c r="C162" t="s">
        <v>41</v>
      </c>
      <c r="D162" t="s">
        <v>159</v>
      </c>
      <c r="F162" s="21"/>
      <c r="G162" s="16" t="str">
        <f>HYPERLINK("http://maps.google.com/maps?f=q&amp;hl=en&amp;geocode=&amp;q=39.9672297278872,-79.6210493010555")</f>
        <v>http://maps.google.com/maps?f=q&amp;hl=en&amp;geocode=&amp;q=39.9672297278872,-79.6210493010555</v>
      </c>
    </row>
    <row r="163" spans="1:7" ht="15" x14ac:dyDescent="0.3">
      <c r="A163">
        <v>37.957810460252503</v>
      </c>
      <c r="B163">
        <v>-87.538656935137396</v>
      </c>
      <c r="C163" t="s">
        <v>41</v>
      </c>
      <c r="D163" t="s">
        <v>160</v>
      </c>
      <c r="F163" s="21"/>
      <c r="G163" s="16" t="str">
        <f>HYPERLINK("http://maps.google.com/maps?f=q&amp;hl=en&amp;geocode=&amp;q=37.9578104602525,-87.5386569351374")</f>
        <v>http://maps.google.com/maps?f=q&amp;hl=en&amp;geocode=&amp;q=37.9578104602525,-87.5386569351374</v>
      </c>
    </row>
    <row r="164" spans="1:7" ht="15" x14ac:dyDescent="0.3">
      <c r="A164">
        <v>39.925229999999999</v>
      </c>
      <c r="B164">
        <v>-75.235249999999994</v>
      </c>
      <c r="C164" t="s">
        <v>41</v>
      </c>
      <c r="D164" t="s">
        <v>161</v>
      </c>
      <c r="F164" s="21"/>
      <c r="G164" s="16" t="str">
        <f>HYPERLINK("http://maps.google.com/maps?f=q&amp;hl=en&amp;geocode=&amp;q=39.92523,-75.23525")</f>
        <v>http://maps.google.com/maps?f=q&amp;hl=en&amp;geocode=&amp;q=39.92523,-75.23525</v>
      </c>
    </row>
    <row r="165" spans="1:7" ht="15" x14ac:dyDescent="0.3">
      <c r="A165">
        <v>39.9444145410652</v>
      </c>
      <c r="B165">
        <v>-75.228753068017994</v>
      </c>
      <c r="C165" t="s">
        <v>41</v>
      </c>
      <c r="D165" t="s">
        <v>162</v>
      </c>
      <c r="F165" s="21"/>
      <c r="G165" s="16" t="str">
        <f>HYPERLINK("http://maps.google.com/maps?f=q&amp;hl=en&amp;geocode=&amp;q=39.9444145410652,-75.228753068018")</f>
        <v>http://maps.google.com/maps?f=q&amp;hl=en&amp;geocode=&amp;q=39.9444145410652,-75.228753068018</v>
      </c>
    </row>
    <row r="166" spans="1:7" ht="15" x14ac:dyDescent="0.3">
      <c r="A166">
        <v>41.890822507447297</v>
      </c>
      <c r="B166">
        <v>-83.779205487793604</v>
      </c>
      <c r="C166" t="s">
        <v>41</v>
      </c>
      <c r="D166" t="s">
        <v>163</v>
      </c>
      <c r="F166" s="21"/>
      <c r="G166" s="16" t="str">
        <f>HYPERLINK("http://maps.google.com/maps?f=q&amp;hl=en&amp;geocode=&amp;q=41.8908225074473,-83.7792054877936")</f>
        <v>http://maps.google.com/maps?f=q&amp;hl=en&amp;geocode=&amp;q=41.8908225074473,-83.7792054877936</v>
      </c>
    </row>
    <row r="167" spans="1:7" ht="15" x14ac:dyDescent="0.3">
      <c r="A167">
        <v>34.437221527099602</v>
      </c>
      <c r="B167">
        <v>104.030281066895</v>
      </c>
      <c r="C167" t="s">
        <v>43</v>
      </c>
      <c r="D167" t="s">
        <v>164</v>
      </c>
      <c r="F167" s="21"/>
      <c r="G167" s="16" t="str">
        <f>HYPERLINK("http://maps.google.com/maps?f=q&amp;hl=en&amp;geocode=&amp;q=34.4372215270996,104.030281066895")</f>
        <v>http://maps.google.com/maps?f=q&amp;hl=en&amp;geocode=&amp;q=34.4372215270996,104.030281066895</v>
      </c>
    </row>
    <row r="168" spans="1:7" ht="15" x14ac:dyDescent="0.3">
      <c r="A168">
        <v>42.997422656800801</v>
      </c>
      <c r="B168">
        <v>-95.623939346082395</v>
      </c>
      <c r="C168" t="s">
        <v>41</v>
      </c>
      <c r="D168" t="s">
        <v>71</v>
      </c>
      <c r="F168" s="21"/>
      <c r="G168" s="16" t="str">
        <f>HYPERLINK("http://maps.google.com/maps?f=q&amp;hl=en&amp;geocode=&amp;q=42.9974226568008,-95.6239393460824")</f>
        <v>http://maps.google.com/maps?f=q&amp;hl=en&amp;geocode=&amp;q=42.9974226568008,-95.6239393460824</v>
      </c>
    </row>
    <row r="169" spans="1:7" ht="15" x14ac:dyDescent="0.3">
      <c r="A169" t="s">
        <v>44</v>
      </c>
      <c r="B169" t="s">
        <v>44</v>
      </c>
      <c r="C169" t="s">
        <v>44</v>
      </c>
      <c r="D169" t="s">
        <v>165</v>
      </c>
      <c r="F169" s="21"/>
      <c r="G169" s="16"/>
    </row>
    <row r="170" spans="1:7" ht="15" x14ac:dyDescent="0.3">
      <c r="A170">
        <v>40.028209469366899</v>
      </c>
      <c r="B170">
        <v>-75.225615216838193</v>
      </c>
      <c r="C170" t="s">
        <v>41</v>
      </c>
      <c r="D170" t="s">
        <v>166</v>
      </c>
      <c r="F170" s="21"/>
      <c r="G170" s="16" t="str">
        <f>HYPERLINK("http://maps.google.com/maps?f=q&amp;hl=en&amp;geocode=&amp;q=40.0282094693669,-75.2256152168382")</f>
        <v>http://maps.google.com/maps?f=q&amp;hl=en&amp;geocode=&amp;q=40.0282094693669,-75.2256152168382</v>
      </c>
    </row>
    <row r="171" spans="1:7" ht="15" x14ac:dyDescent="0.3">
      <c r="A171">
        <v>38.8395421879545</v>
      </c>
      <c r="B171">
        <v>-77.187871401631</v>
      </c>
      <c r="C171" t="s">
        <v>41</v>
      </c>
      <c r="D171" t="s">
        <v>167</v>
      </c>
      <c r="F171" s="21"/>
      <c r="G171" s="16" t="str">
        <f>HYPERLINK("http://maps.google.com/maps?f=q&amp;hl=en&amp;geocode=&amp;q=38.8395421879545,-77.187871401631")</f>
        <v>http://maps.google.com/maps?f=q&amp;hl=en&amp;geocode=&amp;q=38.8395421879545,-77.187871401631</v>
      </c>
    </row>
    <row r="172" spans="1:7" ht="15" x14ac:dyDescent="0.3">
      <c r="A172">
        <v>48.802200317382798</v>
      </c>
      <c r="B172">
        <v>0.104719996452332</v>
      </c>
      <c r="C172" t="s">
        <v>43</v>
      </c>
      <c r="D172" t="s">
        <v>103</v>
      </c>
      <c r="F172" s="21"/>
      <c r="G172" s="16" t="str">
        <f>HYPERLINK("http://maps.google.com/maps?f=q&amp;hl=en&amp;geocode=&amp;q=48.8022003173828,0.104719996452332")</f>
        <v>http://maps.google.com/maps?f=q&amp;hl=en&amp;geocode=&amp;q=48.8022003173828,0.104719996452332</v>
      </c>
    </row>
    <row r="173" spans="1:7" ht="15" x14ac:dyDescent="0.3">
      <c r="A173">
        <v>29.583952285976601</v>
      </c>
      <c r="B173">
        <v>-95.479528683276499</v>
      </c>
      <c r="C173" t="s">
        <v>43</v>
      </c>
      <c r="D173" t="s">
        <v>168</v>
      </c>
      <c r="F173" s="21"/>
      <c r="G173" s="16" t="str">
        <f>HYPERLINK("http://maps.google.com/maps?f=q&amp;hl=en&amp;geocode=&amp;q=29.5839522859766,-95.4795286832765")</f>
        <v>http://maps.google.com/maps?f=q&amp;hl=en&amp;geocode=&amp;q=29.5839522859766,-95.4795286832765</v>
      </c>
    </row>
    <row r="174" spans="1:7" ht="15" x14ac:dyDescent="0.3">
      <c r="A174">
        <v>39.916490000000003</v>
      </c>
      <c r="B174">
        <v>-75.231049999999996</v>
      </c>
      <c r="C174" t="s">
        <v>42</v>
      </c>
      <c r="D174" t="s">
        <v>169</v>
      </c>
      <c r="F174" s="21"/>
      <c r="G174" s="16" t="str">
        <f>HYPERLINK("http://maps.google.com/maps?f=q&amp;hl=en&amp;geocode=&amp;q=39.91649,-75.23105")</f>
        <v>http://maps.google.com/maps?f=q&amp;hl=en&amp;geocode=&amp;q=39.91649,-75.23105</v>
      </c>
    </row>
    <row r="175" spans="1:7" ht="15" x14ac:dyDescent="0.3">
      <c r="A175" t="s">
        <v>44</v>
      </c>
      <c r="B175" t="s">
        <v>44</v>
      </c>
      <c r="C175" t="s">
        <v>44</v>
      </c>
      <c r="D175" t="s">
        <v>170</v>
      </c>
      <c r="F175" s="21"/>
      <c r="G175" s="16"/>
    </row>
    <row r="176" spans="1:7" ht="15" x14ac:dyDescent="0.3">
      <c r="A176">
        <v>29.70674</v>
      </c>
      <c r="B176">
        <v>-95.464560000000006</v>
      </c>
      <c r="C176" t="s">
        <v>41</v>
      </c>
      <c r="D176" t="s">
        <v>171</v>
      </c>
      <c r="F176" s="21"/>
      <c r="G176" s="16" t="str">
        <f>HYPERLINK("http://maps.google.com/maps?f=q&amp;hl=en&amp;geocode=&amp;q=29.70674,-95.46456")</f>
        <v>http://maps.google.com/maps?f=q&amp;hl=en&amp;geocode=&amp;q=29.70674,-95.46456</v>
      </c>
    </row>
    <row r="177" spans="1:7" ht="15" x14ac:dyDescent="0.3">
      <c r="A177">
        <v>27.675759586870999</v>
      </c>
      <c r="B177">
        <v>-97.401260683575401</v>
      </c>
      <c r="C177" t="s">
        <v>41</v>
      </c>
      <c r="D177" t="s">
        <v>172</v>
      </c>
      <c r="F177" s="21"/>
      <c r="G177" s="16" t="str">
        <f>HYPERLINK("http://maps.google.com/maps?f=q&amp;hl=en&amp;geocode=&amp;q=27.675759586871,-97.4012606835754")</f>
        <v>http://maps.google.com/maps?f=q&amp;hl=en&amp;geocode=&amp;q=27.675759586871,-97.4012606835754</v>
      </c>
    </row>
    <row r="178" spans="1:7" ht="15" x14ac:dyDescent="0.3">
      <c r="A178">
        <v>39.1331766702043</v>
      </c>
      <c r="B178">
        <v>-86.152760517556004</v>
      </c>
      <c r="C178" t="s">
        <v>41</v>
      </c>
      <c r="D178" t="s">
        <v>173</v>
      </c>
      <c r="F178" s="21"/>
      <c r="G178" s="16" t="str">
        <f>HYPERLINK("http://maps.google.com/maps?f=q&amp;hl=en&amp;geocode=&amp;q=39.1331766702043,-86.152760517556")</f>
        <v>http://maps.google.com/maps?f=q&amp;hl=en&amp;geocode=&amp;q=39.1331766702043,-86.152760517556</v>
      </c>
    </row>
    <row r="179" spans="1:7" ht="15" x14ac:dyDescent="0.3">
      <c r="A179">
        <v>40.779430389404297</v>
      </c>
      <c r="B179">
        <v>-7.1032009124755904</v>
      </c>
      <c r="C179" t="s">
        <v>43</v>
      </c>
      <c r="D179" t="s">
        <v>174</v>
      </c>
      <c r="F179" s="21"/>
      <c r="G179" s="16" t="str">
        <f>HYPERLINK("http://maps.google.com/maps?f=q&amp;hl=en&amp;geocode=&amp;q=40.7794303894043,-7.10320091247559")</f>
        <v>http://maps.google.com/maps?f=q&amp;hl=en&amp;geocode=&amp;q=40.7794303894043,-7.10320091247559</v>
      </c>
    </row>
    <row r="180" spans="1:7" ht="15" x14ac:dyDescent="0.3">
      <c r="A180">
        <v>43.525155641267901</v>
      </c>
      <c r="B180">
        <v>-84.225234630497596</v>
      </c>
      <c r="C180" t="s">
        <v>41</v>
      </c>
      <c r="D180" t="s">
        <v>175</v>
      </c>
      <c r="F180" s="21"/>
      <c r="G180" s="16" t="str">
        <f>HYPERLINK("http://maps.google.com/maps?f=q&amp;hl=en&amp;geocode=&amp;q=43.5251556412679,-84.2252346304976")</f>
        <v>http://maps.google.com/maps?f=q&amp;hl=en&amp;geocode=&amp;q=43.5251556412679,-84.2252346304976</v>
      </c>
    </row>
    <row r="181" spans="1:7" ht="15" x14ac:dyDescent="0.3">
      <c r="A181">
        <v>14.6539497375488</v>
      </c>
      <c r="B181">
        <v>121.12087249755901</v>
      </c>
      <c r="C181" t="s">
        <v>43</v>
      </c>
      <c r="D181" t="s">
        <v>135</v>
      </c>
      <c r="F181" s="21"/>
      <c r="G181" s="16" t="str">
        <f>HYPERLINK("http://maps.google.com/maps?f=q&amp;hl=en&amp;geocode=&amp;q=14.6539497375488,121.120872497559")</f>
        <v>http://maps.google.com/maps?f=q&amp;hl=en&amp;geocode=&amp;q=14.6539497375488,121.120872497559</v>
      </c>
    </row>
    <row r="182" spans="1:7" ht="15" x14ac:dyDescent="0.3">
      <c r="A182">
        <v>30.013597252129799</v>
      </c>
      <c r="B182">
        <v>-90.178112333309699</v>
      </c>
      <c r="C182" t="s">
        <v>41</v>
      </c>
      <c r="D182" t="s">
        <v>176</v>
      </c>
      <c r="F182" s="21"/>
      <c r="G182" s="16" t="str">
        <f>HYPERLINK("http://maps.google.com/maps?f=q&amp;hl=en&amp;geocode=&amp;q=30.0135972521298,-90.1781123333097")</f>
        <v>http://maps.google.com/maps?f=q&amp;hl=en&amp;geocode=&amp;q=30.0135972521298,-90.1781123333097</v>
      </c>
    </row>
    <row r="183" spans="1:7" ht="15" x14ac:dyDescent="0.3">
      <c r="A183">
        <v>42.470289999999999</v>
      </c>
      <c r="B183">
        <v>-83.077780000000004</v>
      </c>
      <c r="C183" t="s">
        <v>42</v>
      </c>
      <c r="D183" t="s">
        <v>177</v>
      </c>
      <c r="F183" s="21"/>
      <c r="G183" s="16" t="str">
        <f>HYPERLINK("http://maps.google.com/maps?f=q&amp;hl=en&amp;geocode=&amp;q=42.47029,-83.07778")</f>
        <v>http://maps.google.com/maps?f=q&amp;hl=en&amp;geocode=&amp;q=42.47029,-83.07778</v>
      </c>
    </row>
    <row r="184" spans="1:7" ht="15" x14ac:dyDescent="0.3">
      <c r="A184" t="s">
        <v>44</v>
      </c>
      <c r="B184" t="s">
        <v>44</v>
      </c>
      <c r="C184" t="s">
        <v>44</v>
      </c>
      <c r="D184" t="s">
        <v>178</v>
      </c>
      <c r="F184" s="21"/>
      <c r="G184" s="16"/>
    </row>
    <row r="185" spans="1:7" ht="15" x14ac:dyDescent="0.3">
      <c r="A185">
        <v>43.321670532226598</v>
      </c>
      <c r="B185">
        <v>-92.866836547851605</v>
      </c>
      <c r="C185" t="s">
        <v>43</v>
      </c>
      <c r="D185" t="s">
        <v>179</v>
      </c>
      <c r="F185" s="21"/>
      <c r="G185" s="16" t="str">
        <f>HYPERLINK("http://maps.google.com/maps?f=q&amp;hl=en&amp;geocode=&amp;q=43.3216705322266,-92.8668365478516")</f>
        <v>http://maps.google.com/maps?f=q&amp;hl=en&amp;geocode=&amp;q=43.3216705322266,-92.8668365478516</v>
      </c>
    </row>
    <row r="186" spans="1:7" ht="15" x14ac:dyDescent="0.3">
      <c r="A186">
        <v>34.605178833007798</v>
      </c>
      <c r="B186">
        <v>-98.389923095703097</v>
      </c>
      <c r="C186" t="s">
        <v>43</v>
      </c>
      <c r="D186" t="s">
        <v>180</v>
      </c>
      <c r="F186" s="21"/>
      <c r="G186" s="16" t="str">
        <f>HYPERLINK("http://maps.google.com/maps?f=q&amp;hl=en&amp;geocode=&amp;q=34.6051788330078,-98.3899230957031")</f>
        <v>http://maps.google.com/maps?f=q&amp;hl=en&amp;geocode=&amp;q=34.6051788330078,-98.3899230957031</v>
      </c>
    </row>
    <row r="187" spans="1:7" ht="15" x14ac:dyDescent="0.3">
      <c r="A187">
        <v>-27.2830104827881</v>
      </c>
      <c r="B187">
        <v>152.98182678222699</v>
      </c>
      <c r="C187" t="s">
        <v>41</v>
      </c>
      <c r="D187" t="s">
        <v>181</v>
      </c>
      <c r="F187" s="21"/>
      <c r="G187" s="16" t="str">
        <f>HYPERLINK("http://maps.google.com/maps?f=q&amp;hl=en&amp;geocode=&amp;q=-27.2830104827881,152.981826782227")</f>
        <v>http://maps.google.com/maps?f=q&amp;hl=en&amp;geocode=&amp;q=-27.2830104827881,152.981826782227</v>
      </c>
    </row>
    <row r="188" spans="1:7" ht="15" x14ac:dyDescent="0.3">
      <c r="A188">
        <v>48.552214087132903</v>
      </c>
      <c r="B188">
        <v>-117.907157362661</v>
      </c>
      <c r="C188" t="s">
        <v>41</v>
      </c>
      <c r="D188" t="s">
        <v>182</v>
      </c>
      <c r="F188" s="21"/>
      <c r="G188" s="16" t="str">
        <f>HYPERLINK("http://maps.google.com/maps?f=q&amp;hl=en&amp;geocode=&amp;q=48.5522140871329,-117.907157362661")</f>
        <v>http://maps.google.com/maps?f=q&amp;hl=en&amp;geocode=&amp;q=48.5522140871329,-117.907157362661</v>
      </c>
    </row>
    <row r="189" spans="1:7" ht="15" x14ac:dyDescent="0.3">
      <c r="A189">
        <v>39.924498634195999</v>
      </c>
      <c r="B189">
        <v>-75.226822043844905</v>
      </c>
      <c r="C189" t="s">
        <v>41</v>
      </c>
      <c r="D189" t="s">
        <v>183</v>
      </c>
      <c r="F189" s="21"/>
      <c r="G189" s="16" t="str">
        <f>HYPERLINK("http://maps.google.com/maps?f=q&amp;hl=en&amp;geocode=&amp;q=39.924498634196,-75.2268220438449")</f>
        <v>http://maps.google.com/maps?f=q&amp;hl=en&amp;geocode=&amp;q=39.924498634196,-75.2268220438449</v>
      </c>
    </row>
    <row r="190" spans="1:7" ht="15" x14ac:dyDescent="0.3">
      <c r="A190" t="s">
        <v>44</v>
      </c>
      <c r="B190" t="s">
        <v>44</v>
      </c>
      <c r="C190" t="s">
        <v>44</v>
      </c>
      <c r="D190" t="s">
        <v>184</v>
      </c>
      <c r="F190" s="21"/>
      <c r="G190" s="16"/>
    </row>
    <row r="191" spans="1:7" ht="15" x14ac:dyDescent="0.3">
      <c r="A191">
        <v>-27.2830104827881</v>
      </c>
      <c r="B191">
        <v>152.98182678222699</v>
      </c>
      <c r="C191" t="s">
        <v>41</v>
      </c>
      <c r="D191" t="s">
        <v>185</v>
      </c>
      <c r="F191" s="21"/>
      <c r="G191" s="16" t="str">
        <f>HYPERLINK("http://maps.google.com/maps?f=q&amp;hl=en&amp;geocode=&amp;q=-27.2830104827881,152.981826782227")</f>
        <v>http://maps.google.com/maps?f=q&amp;hl=en&amp;geocode=&amp;q=-27.2830104827881,152.981826782227</v>
      </c>
    </row>
    <row r="192" spans="1:7" ht="15" x14ac:dyDescent="0.3">
      <c r="A192">
        <v>45.634151458740199</v>
      </c>
      <c r="B192">
        <v>-84.782386779785199</v>
      </c>
      <c r="C192" t="s">
        <v>43</v>
      </c>
      <c r="D192" t="s">
        <v>186</v>
      </c>
      <c r="F192" s="21"/>
      <c r="G192" s="16" t="str">
        <f>HYPERLINK("http://maps.google.com/maps?f=q&amp;hl=en&amp;geocode=&amp;q=45.6341514587402,-84.7823867797852")</f>
        <v>http://maps.google.com/maps?f=q&amp;hl=en&amp;geocode=&amp;q=45.6341514587402,-84.7823867797852</v>
      </c>
    </row>
    <row r="193" spans="1:7" ht="15" x14ac:dyDescent="0.3">
      <c r="A193">
        <v>31.05528</v>
      </c>
      <c r="B193">
        <v>-97.696939999999998</v>
      </c>
      <c r="C193" t="s">
        <v>41</v>
      </c>
      <c r="D193" t="s">
        <v>187</v>
      </c>
      <c r="F193" s="21"/>
      <c r="G193" s="16" t="str">
        <f>HYPERLINK("http://maps.google.com/maps?f=q&amp;hl=en&amp;geocode=&amp;q=31.05528,-97.69694")</f>
        <v>http://maps.google.com/maps?f=q&amp;hl=en&amp;geocode=&amp;q=31.05528,-97.69694</v>
      </c>
    </row>
    <row r="194" spans="1:7" ht="15" x14ac:dyDescent="0.3">
      <c r="A194">
        <v>35.401279449462898</v>
      </c>
      <c r="B194">
        <v>-100.269729614258</v>
      </c>
      <c r="C194" t="s">
        <v>43</v>
      </c>
      <c r="D194" t="s">
        <v>188</v>
      </c>
      <c r="F194" s="21"/>
      <c r="G194" s="16" t="str">
        <f>HYPERLINK("http://maps.google.com/maps?f=q&amp;hl=en&amp;geocode=&amp;q=35.4012794494629,-100.269729614258")</f>
        <v>http://maps.google.com/maps?f=q&amp;hl=en&amp;geocode=&amp;q=35.4012794494629,-100.269729614258</v>
      </c>
    </row>
    <row r="195" spans="1:7" ht="15" x14ac:dyDescent="0.3">
      <c r="A195">
        <v>35.401279449462898</v>
      </c>
      <c r="B195">
        <v>-100.269729614258</v>
      </c>
      <c r="C195" t="s">
        <v>43</v>
      </c>
      <c r="D195" t="s">
        <v>188</v>
      </c>
      <c r="F195" s="21"/>
      <c r="G195" s="16" t="str">
        <f>HYPERLINK("http://maps.google.com/maps?f=q&amp;hl=en&amp;geocode=&amp;q=35.4012794494629,-100.269729614258")</f>
        <v>http://maps.google.com/maps?f=q&amp;hl=en&amp;geocode=&amp;q=35.4012794494629,-100.269729614258</v>
      </c>
    </row>
    <row r="196" spans="1:7" ht="15" x14ac:dyDescent="0.3">
      <c r="A196">
        <v>42.4211838777669</v>
      </c>
      <c r="B196">
        <v>-76.492153618799193</v>
      </c>
      <c r="C196" t="s">
        <v>41</v>
      </c>
      <c r="D196" t="s">
        <v>146</v>
      </c>
      <c r="F196" s="21"/>
      <c r="G196" s="16" t="str">
        <f>HYPERLINK("http://maps.google.com/maps?f=q&amp;hl=en&amp;geocode=&amp;q=42.4211838777669,-76.4921536187992")</f>
        <v>http://maps.google.com/maps?f=q&amp;hl=en&amp;geocode=&amp;q=42.4211838777669,-76.4921536187992</v>
      </c>
    </row>
    <row r="197" spans="1:7" ht="15" x14ac:dyDescent="0.3">
      <c r="A197">
        <v>42.4211838777669</v>
      </c>
      <c r="B197">
        <v>-76.492153618799193</v>
      </c>
      <c r="C197" t="s">
        <v>41</v>
      </c>
      <c r="D197" t="s">
        <v>146</v>
      </c>
      <c r="F197" s="21"/>
      <c r="G197" s="16" t="str">
        <f>HYPERLINK("http://maps.google.com/maps?f=q&amp;hl=en&amp;geocode=&amp;q=42.4211838777669,-76.4921536187992")</f>
        <v>http://maps.google.com/maps?f=q&amp;hl=en&amp;geocode=&amp;q=42.4211838777669,-76.4921536187992</v>
      </c>
    </row>
    <row r="198" spans="1:7" ht="15" x14ac:dyDescent="0.3">
      <c r="A198">
        <v>42.4211838777669</v>
      </c>
      <c r="B198">
        <v>-76.492153618799193</v>
      </c>
      <c r="C198" t="s">
        <v>41</v>
      </c>
      <c r="D198" t="s">
        <v>146</v>
      </c>
      <c r="F198" s="21"/>
      <c r="G198" s="16" t="str">
        <f>HYPERLINK("http://maps.google.com/maps?f=q&amp;hl=en&amp;geocode=&amp;q=42.4211838777669,-76.4921536187992")</f>
        <v>http://maps.google.com/maps?f=q&amp;hl=en&amp;geocode=&amp;q=42.4211838777669,-76.4921536187992</v>
      </c>
    </row>
    <row r="199" spans="1:7" ht="15" x14ac:dyDescent="0.3">
      <c r="A199">
        <v>39.912840000000003</v>
      </c>
      <c r="B199">
        <v>-75.236090000000004</v>
      </c>
      <c r="C199" t="s">
        <v>41</v>
      </c>
      <c r="D199" t="s">
        <v>189</v>
      </c>
      <c r="F199" s="21"/>
      <c r="G199" s="16" t="str">
        <f>HYPERLINK("http://maps.google.com/maps?f=q&amp;hl=en&amp;geocode=&amp;q=39.91284,-75.23609")</f>
        <v>http://maps.google.com/maps?f=q&amp;hl=en&amp;geocode=&amp;q=39.91284,-75.23609</v>
      </c>
    </row>
    <row r="200" spans="1:7" ht="15" x14ac:dyDescent="0.3">
      <c r="A200">
        <v>43.177233244207102</v>
      </c>
      <c r="B200">
        <v>-89.504473128512998</v>
      </c>
      <c r="C200" t="s">
        <v>41</v>
      </c>
      <c r="D200" t="s">
        <v>190</v>
      </c>
      <c r="F200" s="21"/>
      <c r="G200" s="16" t="str">
        <f>HYPERLINK("http://maps.google.com/maps?f=q&amp;hl=en&amp;geocode=&amp;q=43.1772332442071,-89.504473128513")</f>
        <v>http://maps.google.com/maps?f=q&amp;hl=en&amp;geocode=&amp;q=43.1772332442071,-89.504473128513</v>
      </c>
    </row>
    <row r="201" spans="1:7" ht="15" x14ac:dyDescent="0.3">
      <c r="A201">
        <v>39.955979999999997</v>
      </c>
      <c r="B201">
        <v>-75.246070000000003</v>
      </c>
      <c r="C201" t="s">
        <v>43</v>
      </c>
      <c r="D201" t="s">
        <v>191</v>
      </c>
      <c r="F201" s="21"/>
      <c r="G201" s="16" t="str">
        <f>HYPERLINK("http://maps.google.com/maps?f=q&amp;hl=en&amp;geocode=&amp;q=39.95598,-75.24607")</f>
        <v>http://maps.google.com/maps?f=q&amp;hl=en&amp;geocode=&amp;q=39.95598,-75.24607</v>
      </c>
    </row>
    <row r="202" spans="1:7" ht="15" x14ac:dyDescent="0.3">
      <c r="A202" t="s">
        <v>44</v>
      </c>
      <c r="B202" t="s">
        <v>44</v>
      </c>
      <c r="C202" t="s">
        <v>44</v>
      </c>
      <c r="D202" t="s">
        <v>192</v>
      </c>
      <c r="F202" s="21"/>
      <c r="G202" s="16"/>
    </row>
    <row r="203" spans="1:7" ht="15" x14ac:dyDescent="0.3">
      <c r="A203" t="s">
        <v>44</v>
      </c>
      <c r="B203" t="s">
        <v>44</v>
      </c>
      <c r="C203" t="s">
        <v>44</v>
      </c>
      <c r="D203" t="s">
        <v>193</v>
      </c>
      <c r="F203" s="21"/>
      <c r="G203" s="16"/>
    </row>
    <row r="204" spans="1:7" ht="15" x14ac:dyDescent="0.3">
      <c r="A204">
        <v>34.612331483277799</v>
      </c>
      <c r="B204">
        <v>-89.732212682264603</v>
      </c>
      <c r="C204" t="s">
        <v>41</v>
      </c>
      <c r="D204" t="s">
        <v>194</v>
      </c>
      <c r="F204" s="21"/>
      <c r="G204" s="16" t="str">
        <f>HYPERLINK("http://maps.google.com/maps?f=q&amp;hl=en&amp;geocode=&amp;q=34.6123314832778,-89.7322126822646")</f>
        <v>http://maps.google.com/maps?f=q&amp;hl=en&amp;geocode=&amp;q=34.6123314832778,-89.7322126822646</v>
      </c>
    </row>
    <row r="205" spans="1:7" ht="15" x14ac:dyDescent="0.3">
      <c r="A205">
        <v>39.9536720964674</v>
      </c>
      <c r="B205">
        <v>-75.241227235137202</v>
      </c>
      <c r="C205" t="s">
        <v>41</v>
      </c>
      <c r="D205" t="s">
        <v>195</v>
      </c>
      <c r="F205" s="21"/>
      <c r="G205" s="16" t="str">
        <f>HYPERLINK("http://maps.google.com/maps?f=q&amp;hl=en&amp;geocode=&amp;q=39.9536720964674,-75.2412272351372")</f>
        <v>http://maps.google.com/maps?f=q&amp;hl=en&amp;geocode=&amp;q=39.9536720964674,-75.2412272351372</v>
      </c>
    </row>
    <row r="206" spans="1:7" ht="15" x14ac:dyDescent="0.3">
      <c r="A206" t="s">
        <v>44</v>
      </c>
      <c r="B206" t="s">
        <v>44</v>
      </c>
      <c r="C206" t="s">
        <v>44</v>
      </c>
      <c r="D206" t="s">
        <v>196</v>
      </c>
      <c r="F206" s="21"/>
      <c r="G206" s="16"/>
    </row>
    <row r="207" spans="1:7" ht="15" x14ac:dyDescent="0.3">
      <c r="A207">
        <v>-31.950477600097699</v>
      </c>
      <c r="B207">
        <v>115.86053466796901</v>
      </c>
      <c r="C207" t="s">
        <v>43</v>
      </c>
      <c r="D207" t="s">
        <v>197</v>
      </c>
      <c r="F207" s="21"/>
      <c r="G207" s="16" t="str">
        <f>HYPERLINK("http://maps.google.com/maps?f=q&amp;hl=en&amp;geocode=&amp;q=-31.9504776000977,115.860534667969")</f>
        <v>http://maps.google.com/maps?f=q&amp;hl=en&amp;geocode=&amp;q=-31.9504776000977,115.860534667969</v>
      </c>
    </row>
    <row r="208" spans="1:7" ht="15" x14ac:dyDescent="0.3">
      <c r="A208">
        <v>39.950429999999997</v>
      </c>
      <c r="B208">
        <v>-75.245199999999997</v>
      </c>
      <c r="C208" t="s">
        <v>43</v>
      </c>
      <c r="D208" t="s">
        <v>198</v>
      </c>
      <c r="F208" s="21"/>
      <c r="G208" s="16" t="str">
        <f>HYPERLINK("http://maps.google.com/maps?f=q&amp;hl=en&amp;geocode=&amp;q=39.95043,-75.2452")</f>
        <v>http://maps.google.com/maps?f=q&amp;hl=en&amp;geocode=&amp;q=39.95043,-75.2452</v>
      </c>
    </row>
    <row r="209" spans="1:7" ht="15" x14ac:dyDescent="0.3">
      <c r="A209">
        <v>40.803452280975698</v>
      </c>
      <c r="B209">
        <v>-96.006856537477901</v>
      </c>
      <c r="C209" t="s">
        <v>41</v>
      </c>
      <c r="D209" t="s">
        <v>199</v>
      </c>
      <c r="F209" s="21"/>
      <c r="G209" s="16" t="str">
        <f>HYPERLINK("http://maps.google.com/maps?f=q&amp;hl=en&amp;geocode=&amp;q=40.8034522809757,-96.0068565374779")</f>
        <v>http://maps.google.com/maps?f=q&amp;hl=en&amp;geocode=&amp;q=40.8034522809757,-96.0068565374779</v>
      </c>
    </row>
    <row r="210" spans="1:7" ht="15" x14ac:dyDescent="0.3">
      <c r="A210">
        <v>35.158396757966997</v>
      </c>
      <c r="B210">
        <v>-90.045376222310097</v>
      </c>
      <c r="C210" t="s">
        <v>41</v>
      </c>
      <c r="D210" t="s">
        <v>154</v>
      </c>
      <c r="F210" s="21"/>
      <c r="G210" s="16" t="str">
        <f>HYPERLINK("http://maps.google.com/maps?f=q&amp;hl=en&amp;geocode=&amp;q=35.158396757967,-90.0453762223101")</f>
        <v>http://maps.google.com/maps?f=q&amp;hl=en&amp;geocode=&amp;q=35.158396757967,-90.0453762223101</v>
      </c>
    </row>
    <row r="211" spans="1:7" ht="15" x14ac:dyDescent="0.3">
      <c r="A211">
        <v>42.4211838777669</v>
      </c>
      <c r="B211">
        <v>-76.492153618799193</v>
      </c>
      <c r="C211" t="s">
        <v>41</v>
      </c>
      <c r="D211" t="s">
        <v>146</v>
      </c>
      <c r="F211" s="21"/>
      <c r="G211" s="16" t="str">
        <f>HYPERLINK("http://maps.google.com/maps?f=q&amp;hl=en&amp;geocode=&amp;q=42.4211838777669,-76.4921536187992")</f>
        <v>http://maps.google.com/maps?f=q&amp;hl=en&amp;geocode=&amp;q=42.4211838777669,-76.4921536187992</v>
      </c>
    </row>
    <row r="212" spans="1:7" ht="15" x14ac:dyDescent="0.3">
      <c r="A212">
        <v>42.4211838777669</v>
      </c>
      <c r="B212">
        <v>-76.492153618799193</v>
      </c>
      <c r="C212" t="s">
        <v>41</v>
      </c>
      <c r="D212" t="s">
        <v>146</v>
      </c>
      <c r="F212" s="21"/>
      <c r="G212" s="16" t="str">
        <f>HYPERLINK("http://maps.google.com/maps?f=q&amp;hl=en&amp;geocode=&amp;q=42.4211838777669,-76.4921536187992")</f>
        <v>http://maps.google.com/maps?f=q&amp;hl=en&amp;geocode=&amp;q=42.4211838777669,-76.4921536187992</v>
      </c>
    </row>
    <row r="213" spans="1:7" ht="15" x14ac:dyDescent="0.3">
      <c r="A213">
        <v>42.4211838777669</v>
      </c>
      <c r="B213">
        <v>-76.492153618799193</v>
      </c>
      <c r="C213" t="s">
        <v>41</v>
      </c>
      <c r="D213" t="s">
        <v>146</v>
      </c>
      <c r="F213" s="21"/>
      <c r="G213" s="16" t="str">
        <f>HYPERLINK("http://maps.google.com/maps?f=q&amp;hl=en&amp;geocode=&amp;q=42.4211838777669,-76.4921536187992")</f>
        <v>http://maps.google.com/maps?f=q&amp;hl=en&amp;geocode=&amp;q=42.4211838777669,-76.4921536187992</v>
      </c>
    </row>
    <row r="214" spans="1:7" ht="15" x14ac:dyDescent="0.3">
      <c r="A214">
        <v>40.460018157958999</v>
      </c>
      <c r="B214">
        <v>-78.591552734375</v>
      </c>
      <c r="C214" t="s">
        <v>43</v>
      </c>
      <c r="D214" t="s">
        <v>200</v>
      </c>
      <c r="F214" s="21"/>
      <c r="G214" s="16" t="str">
        <f>HYPERLINK("http://maps.google.com/maps?f=q&amp;hl=en&amp;geocode=&amp;q=40.460018157959,-78.591552734375")</f>
        <v>http://maps.google.com/maps?f=q&amp;hl=en&amp;geocode=&amp;q=40.460018157959,-78.591552734375</v>
      </c>
    </row>
    <row r="215" spans="1:7" ht="15" x14ac:dyDescent="0.3">
      <c r="A215">
        <v>43.036430000000003</v>
      </c>
      <c r="B215">
        <v>-76.145899999999997</v>
      </c>
      <c r="C215" t="s">
        <v>43</v>
      </c>
      <c r="D215" t="s">
        <v>201</v>
      </c>
      <c r="F215" s="21"/>
      <c r="G215" s="16" t="str">
        <f>HYPERLINK("http://maps.google.com/maps?f=q&amp;hl=en&amp;geocode=&amp;q=43.03643,-76.1459")</f>
        <v>http://maps.google.com/maps?f=q&amp;hl=en&amp;geocode=&amp;q=43.03643,-76.1459</v>
      </c>
    </row>
    <row r="216" spans="1:7" ht="15" x14ac:dyDescent="0.3">
      <c r="A216">
        <v>7.3835182189941397</v>
      </c>
      <c r="B216">
        <v>-12.2588081359863</v>
      </c>
      <c r="C216" t="s">
        <v>41</v>
      </c>
      <c r="D216" t="s">
        <v>202</v>
      </c>
      <c r="F216" s="21"/>
      <c r="G216" s="16" t="str">
        <f>HYPERLINK("http://maps.google.com/maps?f=q&amp;hl=en&amp;geocode=&amp;q=7.38351821899414,-12.2588081359863")</f>
        <v>http://maps.google.com/maps?f=q&amp;hl=en&amp;geocode=&amp;q=7.38351821899414,-12.2588081359863</v>
      </c>
    </row>
    <row r="217" spans="1:7" ht="15" x14ac:dyDescent="0.3">
      <c r="A217" t="s">
        <v>44</v>
      </c>
      <c r="B217" t="s">
        <v>44</v>
      </c>
      <c r="C217" t="s">
        <v>44</v>
      </c>
      <c r="D217" t="s">
        <v>203</v>
      </c>
      <c r="F217" s="21"/>
      <c r="G217" s="16"/>
    </row>
    <row r="218" spans="1:7" ht="15" x14ac:dyDescent="0.3">
      <c r="A218">
        <v>35.645024428143103</v>
      </c>
      <c r="B218">
        <v>-101.451669834003</v>
      </c>
      <c r="C218" t="s">
        <v>41</v>
      </c>
      <c r="D218" t="s">
        <v>204</v>
      </c>
      <c r="F218" s="21"/>
      <c r="G218" s="16" t="str">
        <f>HYPERLINK("http://maps.google.com/maps?f=q&amp;hl=en&amp;geocode=&amp;q=35.6450244281431,-101.451669834003")</f>
        <v>http://maps.google.com/maps?f=q&amp;hl=en&amp;geocode=&amp;q=35.6450244281431,-101.451669834003</v>
      </c>
    </row>
    <row r="219" spans="1:7" ht="15" x14ac:dyDescent="0.3">
      <c r="A219">
        <v>35.6454534876151</v>
      </c>
      <c r="B219">
        <v>-101.451608003968</v>
      </c>
      <c r="C219" t="s">
        <v>41</v>
      </c>
      <c r="D219" t="s">
        <v>205</v>
      </c>
      <c r="F219" s="21"/>
      <c r="G219" s="16" t="str">
        <f>HYPERLINK("http://maps.google.com/maps?f=q&amp;hl=en&amp;geocode=&amp;q=35.6454534876151,-101.451608003968")</f>
        <v>http://maps.google.com/maps?f=q&amp;hl=en&amp;geocode=&amp;q=35.6454534876151,-101.451608003968</v>
      </c>
    </row>
    <row r="220" spans="1:7" ht="15" x14ac:dyDescent="0.3">
      <c r="A220">
        <v>39.693474149294801</v>
      </c>
      <c r="B220">
        <v>-84.118671277588902</v>
      </c>
      <c r="C220" t="s">
        <v>41</v>
      </c>
      <c r="D220" t="s">
        <v>206</v>
      </c>
      <c r="F220" s="21"/>
      <c r="G220" s="16" t="str">
        <f>HYPERLINK("http://maps.google.com/maps?f=q&amp;hl=en&amp;geocode=&amp;q=39.6934741492948,-84.1186712775889")</f>
        <v>http://maps.google.com/maps?f=q&amp;hl=en&amp;geocode=&amp;q=39.6934741492948,-84.1186712775889</v>
      </c>
    </row>
    <row r="221" spans="1:7" ht="15" x14ac:dyDescent="0.3">
      <c r="A221">
        <v>42.659431457519503</v>
      </c>
      <c r="B221">
        <v>20.295179367065401</v>
      </c>
      <c r="C221" t="s">
        <v>43</v>
      </c>
      <c r="D221" t="s">
        <v>207</v>
      </c>
      <c r="F221" s="21"/>
      <c r="G221" s="16" t="str">
        <f>HYPERLINK("http://maps.google.com/maps?f=q&amp;hl=en&amp;geocode=&amp;q=42.6594314575195,20.2951793670654")</f>
        <v>http://maps.google.com/maps?f=q&amp;hl=en&amp;geocode=&amp;q=42.6594314575195,20.2951793670654</v>
      </c>
    </row>
    <row r="222" spans="1:7" ht="15" x14ac:dyDescent="0.3">
      <c r="A222">
        <v>39.894530000000003</v>
      </c>
      <c r="B222">
        <v>-75.246709999999993</v>
      </c>
      <c r="C222" t="s">
        <v>43</v>
      </c>
      <c r="D222" t="s">
        <v>208</v>
      </c>
      <c r="F222" s="21"/>
      <c r="G222" s="16" t="str">
        <f>HYPERLINK("http://maps.google.com/maps?f=q&amp;hl=en&amp;geocode=&amp;q=39.89453,-75.24671")</f>
        <v>http://maps.google.com/maps?f=q&amp;hl=en&amp;geocode=&amp;q=39.89453,-75.24671</v>
      </c>
    </row>
    <row r="223" spans="1:7" ht="15" x14ac:dyDescent="0.3">
      <c r="A223">
        <v>51.416603088378899</v>
      </c>
      <c r="B223">
        <v>-0.16647934913635301</v>
      </c>
      <c r="C223" t="s">
        <v>41</v>
      </c>
      <c r="D223" t="s">
        <v>209</v>
      </c>
      <c r="F223" s="21"/>
      <c r="G223" s="16" t="str">
        <f>HYPERLINK("http://maps.google.com/maps?f=q&amp;hl=en&amp;geocode=&amp;q=51.4166030883789,-0.166479349136353")</f>
        <v>http://maps.google.com/maps?f=q&amp;hl=en&amp;geocode=&amp;q=51.4166030883789,-0.166479349136353</v>
      </c>
    </row>
    <row r="224" spans="1:7" ht="15" x14ac:dyDescent="0.3">
      <c r="A224">
        <v>40.963900000000002</v>
      </c>
      <c r="B224">
        <v>-124.02955</v>
      </c>
      <c r="C224" t="s">
        <v>42</v>
      </c>
      <c r="D224" t="s">
        <v>210</v>
      </c>
      <c r="F224" s="21"/>
      <c r="G224" s="16" t="str">
        <f>HYPERLINK("http://maps.google.com/maps?f=q&amp;hl=en&amp;geocode=&amp;q=40.9639,-124.02955")</f>
        <v>http://maps.google.com/maps?f=q&amp;hl=en&amp;geocode=&amp;q=40.9639,-124.02955</v>
      </c>
    </row>
    <row r="225" spans="1:7" ht="15" x14ac:dyDescent="0.3">
      <c r="A225">
        <v>40.20917</v>
      </c>
      <c r="B225">
        <v>-74.882769999999994</v>
      </c>
      <c r="C225" t="s">
        <v>43</v>
      </c>
      <c r="D225" t="s">
        <v>211</v>
      </c>
      <c r="F225" s="21"/>
      <c r="G225" s="16" t="str">
        <f>HYPERLINK("http://maps.google.com/maps?f=q&amp;hl=en&amp;geocode=&amp;q=40.20917,-74.88277")</f>
        <v>http://maps.google.com/maps?f=q&amp;hl=en&amp;geocode=&amp;q=40.20917,-74.88277</v>
      </c>
    </row>
    <row r="226" spans="1:7" ht="15" x14ac:dyDescent="0.3">
      <c r="A226">
        <v>39.975490000000001</v>
      </c>
      <c r="B226">
        <v>-75.264080000000007</v>
      </c>
      <c r="C226" t="s">
        <v>41</v>
      </c>
      <c r="D226" t="s">
        <v>212</v>
      </c>
      <c r="F226" s="21"/>
      <c r="G226" s="16" t="str">
        <f>HYPERLINK("http://maps.google.com/maps?f=q&amp;hl=en&amp;geocode=&amp;q=39.97549,-75.26408")</f>
        <v>http://maps.google.com/maps?f=q&amp;hl=en&amp;geocode=&amp;q=39.97549,-75.26408</v>
      </c>
    </row>
    <row r="227" spans="1:7" ht="15" x14ac:dyDescent="0.3">
      <c r="A227">
        <v>42.4211838777669</v>
      </c>
      <c r="B227">
        <v>-76.492153618799193</v>
      </c>
      <c r="C227" t="s">
        <v>41</v>
      </c>
      <c r="D227" t="s">
        <v>146</v>
      </c>
      <c r="F227" s="21"/>
      <c r="G227" s="16" t="str">
        <f>HYPERLINK("http://maps.google.com/maps?f=q&amp;hl=en&amp;geocode=&amp;q=42.4211838777669,-76.4921536187992")</f>
        <v>http://maps.google.com/maps?f=q&amp;hl=en&amp;geocode=&amp;q=42.4211838777669,-76.4921536187992</v>
      </c>
    </row>
    <row r="228" spans="1:7" ht="15" x14ac:dyDescent="0.3">
      <c r="A228">
        <v>42.4211838777669</v>
      </c>
      <c r="B228">
        <v>-76.492153618799193</v>
      </c>
      <c r="C228" t="s">
        <v>41</v>
      </c>
      <c r="D228" t="s">
        <v>146</v>
      </c>
      <c r="F228" s="21"/>
      <c r="G228" s="16" t="str">
        <f>HYPERLINK("http://maps.google.com/maps?f=q&amp;hl=en&amp;geocode=&amp;q=42.4211838777669,-76.4921536187992")</f>
        <v>http://maps.google.com/maps?f=q&amp;hl=en&amp;geocode=&amp;q=42.4211838777669,-76.4921536187992</v>
      </c>
    </row>
    <row r="229" spans="1:7" ht="15" x14ac:dyDescent="0.3">
      <c r="A229">
        <v>39.950800000000001</v>
      </c>
      <c r="B229">
        <v>-75.224919999999997</v>
      </c>
      <c r="C229" t="s">
        <v>41</v>
      </c>
      <c r="D229" t="s">
        <v>213</v>
      </c>
      <c r="F229" s="21"/>
      <c r="G229" s="16" t="str">
        <f>HYPERLINK("http://maps.google.com/maps?f=q&amp;hl=en&amp;geocode=&amp;q=39.9508,-75.22492")</f>
        <v>http://maps.google.com/maps?f=q&amp;hl=en&amp;geocode=&amp;q=39.9508,-75.22492</v>
      </c>
    </row>
    <row r="230" spans="1:7" ht="15" x14ac:dyDescent="0.3">
      <c r="A230">
        <v>40.029515547619503</v>
      </c>
      <c r="B230">
        <v>-75.214941576370705</v>
      </c>
      <c r="C230" t="s">
        <v>41</v>
      </c>
      <c r="D230" t="s">
        <v>214</v>
      </c>
      <c r="F230" s="21"/>
      <c r="G230" s="16" t="str">
        <f>HYPERLINK("http://maps.google.com/maps?f=q&amp;hl=en&amp;geocode=&amp;q=40.0295155476195,-75.2149415763707")</f>
        <v>http://maps.google.com/maps?f=q&amp;hl=en&amp;geocode=&amp;q=40.0295155476195,-75.2149415763707</v>
      </c>
    </row>
    <row r="231" spans="1:7" ht="15" x14ac:dyDescent="0.3">
      <c r="A231">
        <v>44.641788482666001</v>
      </c>
      <c r="B231">
        <v>-89.736740112304702</v>
      </c>
      <c r="C231" t="s">
        <v>41</v>
      </c>
      <c r="D231" t="s">
        <v>215</v>
      </c>
      <c r="F231" s="21"/>
      <c r="G231" s="16" t="str">
        <f>HYPERLINK("http://maps.google.com/maps?f=q&amp;hl=en&amp;geocode=&amp;q=44.641788482666,-89.7367401123047")</f>
        <v>http://maps.google.com/maps?f=q&amp;hl=en&amp;geocode=&amp;q=44.641788482666,-89.7367401123047</v>
      </c>
    </row>
    <row r="232" spans="1:7" ht="15" x14ac:dyDescent="0.3">
      <c r="A232">
        <v>51.132999420166001</v>
      </c>
      <c r="B232">
        <v>9.1669998168945295</v>
      </c>
      <c r="C232" t="s">
        <v>41</v>
      </c>
      <c r="D232" t="s">
        <v>216</v>
      </c>
      <c r="F232" s="21"/>
      <c r="G232" s="16" t="str">
        <f>HYPERLINK("http://maps.google.com/maps?f=q&amp;hl=en&amp;geocode=&amp;q=51.132999420166,9.16699981689453")</f>
        <v>http://maps.google.com/maps?f=q&amp;hl=en&amp;geocode=&amp;q=51.132999420166,9.16699981689453</v>
      </c>
    </row>
    <row r="233" spans="1:7" ht="15" x14ac:dyDescent="0.3">
      <c r="A233">
        <v>42.237442016601598</v>
      </c>
      <c r="B233">
        <v>23.6888828277588</v>
      </c>
      <c r="C233" t="s">
        <v>41</v>
      </c>
      <c r="D233" t="s">
        <v>217</v>
      </c>
      <c r="F233" s="21"/>
      <c r="G233" s="16" t="str">
        <f>HYPERLINK("http://maps.google.com/maps?f=q&amp;hl=en&amp;geocode=&amp;q=42.2374420166016,23.6888828277588")</f>
        <v>http://maps.google.com/maps?f=q&amp;hl=en&amp;geocode=&amp;q=42.2374420166016,23.6888828277588</v>
      </c>
    </row>
    <row r="234" spans="1:7" ht="15" x14ac:dyDescent="0.3">
      <c r="A234">
        <v>40.017049999999998</v>
      </c>
      <c r="B234">
        <v>-75.210949999999997</v>
      </c>
      <c r="C234" t="s">
        <v>41</v>
      </c>
      <c r="D234" t="s">
        <v>218</v>
      </c>
      <c r="F234" s="21"/>
      <c r="G234" s="16" t="str">
        <f>HYPERLINK("http://maps.google.com/maps?f=q&amp;hl=en&amp;geocode=&amp;q=40.01705,-75.21095")</f>
        <v>http://maps.google.com/maps?f=q&amp;hl=en&amp;geocode=&amp;q=40.01705,-75.21095</v>
      </c>
    </row>
    <row r="235" spans="1:7" ht="15" x14ac:dyDescent="0.3">
      <c r="A235">
        <v>-31.95421</v>
      </c>
      <c r="B235">
        <v>115.85057</v>
      </c>
      <c r="C235" t="s">
        <v>41</v>
      </c>
      <c r="D235" t="s">
        <v>219</v>
      </c>
      <c r="F235" s="21"/>
      <c r="G235" s="16" t="str">
        <f>HYPERLINK("http://maps.google.com/maps?f=q&amp;hl=en&amp;geocode=&amp;q=-31.95421,115.85057")</f>
        <v>http://maps.google.com/maps?f=q&amp;hl=en&amp;geocode=&amp;q=-31.95421,115.85057</v>
      </c>
    </row>
    <row r="236" spans="1:7" ht="15" x14ac:dyDescent="0.3">
      <c r="A236">
        <v>39.924990000000001</v>
      </c>
      <c r="B236">
        <v>-75.235590000000002</v>
      </c>
      <c r="C236" t="s">
        <v>41</v>
      </c>
      <c r="D236" t="s">
        <v>220</v>
      </c>
      <c r="F236" s="21"/>
      <c r="G236" s="16" t="str">
        <f>HYPERLINK("http://maps.google.com/maps?f=q&amp;hl=en&amp;geocode=&amp;q=39.92499,-75.23559")</f>
        <v>http://maps.google.com/maps?f=q&amp;hl=en&amp;geocode=&amp;q=39.92499,-75.23559</v>
      </c>
    </row>
    <row r="237" spans="1:7" ht="15" x14ac:dyDescent="0.3">
      <c r="A237">
        <v>42.832415529968998</v>
      </c>
      <c r="B237">
        <v>-77.381095667409696</v>
      </c>
      <c r="C237" t="s">
        <v>41</v>
      </c>
      <c r="D237" t="s">
        <v>221</v>
      </c>
      <c r="F237" s="21"/>
      <c r="G237" s="16" t="str">
        <f>HYPERLINK("http://maps.google.com/maps?f=q&amp;hl=en&amp;geocode=&amp;q=42.832415529969,-77.3810956674097")</f>
        <v>http://maps.google.com/maps?f=q&amp;hl=en&amp;geocode=&amp;q=42.832415529969,-77.3810956674097</v>
      </c>
    </row>
    <row r="238" spans="1:7" ht="15" x14ac:dyDescent="0.3">
      <c r="A238">
        <v>29.533359527587901</v>
      </c>
      <c r="B238">
        <v>-95.119140625</v>
      </c>
      <c r="C238" t="s">
        <v>43</v>
      </c>
      <c r="D238" t="s">
        <v>222</v>
      </c>
      <c r="F238" s="21"/>
      <c r="G238" s="16" t="str">
        <f>HYPERLINK("http://maps.google.com/maps?f=q&amp;hl=en&amp;geocode=&amp;q=29.5333595275879,-95.119140625")</f>
        <v>http://maps.google.com/maps?f=q&amp;hl=en&amp;geocode=&amp;q=29.5333595275879,-95.119140625</v>
      </c>
    </row>
    <row r="239" spans="1:7" ht="15" x14ac:dyDescent="0.3">
      <c r="A239">
        <v>29.533359527587901</v>
      </c>
      <c r="B239">
        <v>-95.119140625</v>
      </c>
      <c r="C239" t="s">
        <v>43</v>
      </c>
      <c r="D239" t="s">
        <v>222</v>
      </c>
      <c r="F239" s="21"/>
      <c r="G239" s="16" t="str">
        <f>HYPERLINK("http://maps.google.com/maps?f=q&amp;hl=en&amp;geocode=&amp;q=29.5333595275879,-95.119140625")</f>
        <v>http://maps.google.com/maps?f=q&amp;hl=en&amp;geocode=&amp;q=29.5333595275879,-95.119140625</v>
      </c>
    </row>
    <row r="240" spans="1:7" ht="15" x14ac:dyDescent="0.3">
      <c r="A240">
        <v>27.435009999999998</v>
      </c>
      <c r="B240">
        <v>-81.481669999999994</v>
      </c>
      <c r="C240" t="s">
        <v>41</v>
      </c>
      <c r="D240" t="s">
        <v>223</v>
      </c>
      <c r="F240" s="21"/>
      <c r="G240" s="16" t="str">
        <f>HYPERLINK("http://maps.google.com/maps?f=q&amp;hl=en&amp;geocode=&amp;q=27.43501,-81.48167")</f>
        <v>http://maps.google.com/maps?f=q&amp;hl=en&amp;geocode=&amp;q=27.43501,-81.48167</v>
      </c>
    </row>
    <row r="241" spans="1:7" ht="15" x14ac:dyDescent="0.3">
      <c r="A241">
        <v>33.518800773358102</v>
      </c>
      <c r="B241">
        <v>-89.328573383205907</v>
      </c>
      <c r="C241" t="s">
        <v>41</v>
      </c>
      <c r="D241" t="s">
        <v>224</v>
      </c>
      <c r="F241" s="21"/>
      <c r="G241" s="16" t="str">
        <f>HYPERLINK("http://maps.google.com/maps?f=q&amp;hl=en&amp;geocode=&amp;q=33.5188007733581,-89.3285733832059")</f>
        <v>http://maps.google.com/maps?f=q&amp;hl=en&amp;geocode=&amp;q=33.5188007733581,-89.3285733832059</v>
      </c>
    </row>
    <row r="242" spans="1:7" ht="15" x14ac:dyDescent="0.3">
      <c r="A242">
        <v>52.370571136474602</v>
      </c>
      <c r="B242">
        <v>-2.7190001010894802</v>
      </c>
      <c r="C242" t="s">
        <v>41</v>
      </c>
      <c r="D242" t="s">
        <v>225</v>
      </c>
      <c r="F242" s="21"/>
      <c r="G242" s="16" t="str">
        <f>HYPERLINK("http://maps.google.com/maps?f=q&amp;hl=en&amp;geocode=&amp;q=52.3705711364746,-2.71900010108948")</f>
        <v>http://maps.google.com/maps?f=q&amp;hl=en&amp;geocode=&amp;q=52.3705711364746,-2.71900010108948</v>
      </c>
    </row>
    <row r="243" spans="1:7" ht="15" x14ac:dyDescent="0.3">
      <c r="A243">
        <v>37.019889999999997</v>
      </c>
      <c r="B243">
        <v>-88.679940000000002</v>
      </c>
      <c r="C243" t="s">
        <v>42</v>
      </c>
      <c r="D243" t="s">
        <v>226</v>
      </c>
      <c r="F243" s="21"/>
      <c r="G243" s="16" t="str">
        <f>HYPERLINK("http://maps.google.com/maps?f=q&amp;hl=en&amp;geocode=&amp;q=37.01989,-88.67994")</f>
        <v>http://maps.google.com/maps?f=q&amp;hl=en&amp;geocode=&amp;q=37.01989,-88.67994</v>
      </c>
    </row>
    <row r="244" spans="1:7" ht="15" x14ac:dyDescent="0.3">
      <c r="A244" t="s">
        <v>44</v>
      </c>
      <c r="B244" t="s">
        <v>44</v>
      </c>
      <c r="C244" t="s">
        <v>44</v>
      </c>
      <c r="D244" t="s">
        <v>227</v>
      </c>
      <c r="F244" s="21"/>
      <c r="G244" s="16"/>
    </row>
    <row r="245" spans="1:7" ht="15" x14ac:dyDescent="0.3">
      <c r="A245">
        <v>43.011972604735703</v>
      </c>
      <c r="B245">
        <v>-95.6239095526076</v>
      </c>
      <c r="C245" t="s">
        <v>41</v>
      </c>
      <c r="D245" t="s">
        <v>228</v>
      </c>
      <c r="F245" s="21"/>
      <c r="G245" s="16" t="str">
        <f>HYPERLINK("http://maps.google.com/maps?f=q&amp;hl=en&amp;geocode=&amp;q=43.0119726047357,-95.6239095526076")</f>
        <v>http://maps.google.com/maps?f=q&amp;hl=en&amp;geocode=&amp;q=43.0119726047357,-95.6239095526076</v>
      </c>
    </row>
    <row r="246" spans="1:7" ht="15" x14ac:dyDescent="0.3">
      <c r="A246" t="s">
        <v>44</v>
      </c>
      <c r="B246" t="s">
        <v>44</v>
      </c>
      <c r="C246" t="s">
        <v>44</v>
      </c>
      <c r="D246" t="s">
        <v>229</v>
      </c>
      <c r="F246" s="21"/>
      <c r="G246" s="16"/>
    </row>
    <row r="247" spans="1:7" ht="15" x14ac:dyDescent="0.3">
      <c r="A247" t="s">
        <v>44</v>
      </c>
      <c r="B247" t="s">
        <v>44</v>
      </c>
      <c r="C247" t="s">
        <v>44</v>
      </c>
      <c r="D247" t="s">
        <v>229</v>
      </c>
      <c r="F247" s="21"/>
      <c r="G247" s="16"/>
    </row>
    <row r="248" spans="1:7" ht="15" x14ac:dyDescent="0.3">
      <c r="A248" t="s">
        <v>44</v>
      </c>
      <c r="B248" t="s">
        <v>44</v>
      </c>
      <c r="C248" t="s">
        <v>44</v>
      </c>
      <c r="D248" t="s">
        <v>75</v>
      </c>
      <c r="F248" s="21"/>
      <c r="G248" s="16"/>
    </row>
    <row r="249" spans="1:7" ht="15" x14ac:dyDescent="0.3">
      <c r="A249">
        <v>54.224514007568402</v>
      </c>
      <c r="B249">
        <v>-4.56213283538818</v>
      </c>
      <c r="C249" t="s">
        <v>43</v>
      </c>
      <c r="D249" t="s">
        <v>230</v>
      </c>
      <c r="F249" s="21"/>
      <c r="G249" s="16" t="str">
        <f>HYPERLINK("http://maps.google.com/maps?f=q&amp;hl=en&amp;geocode=&amp;q=54.2245140075684,-4.56213283538818")</f>
        <v>http://maps.google.com/maps?f=q&amp;hl=en&amp;geocode=&amp;q=54.2245140075684,-4.56213283538818</v>
      </c>
    </row>
    <row r="250" spans="1:7" ht="15" x14ac:dyDescent="0.3">
      <c r="A250">
        <v>39.189819999999997</v>
      </c>
      <c r="B250">
        <v>-84.429919999999996</v>
      </c>
      <c r="C250" t="s">
        <v>43</v>
      </c>
      <c r="D250" t="s">
        <v>231</v>
      </c>
      <c r="F250" s="21"/>
      <c r="G250" s="16" t="str">
        <f>HYPERLINK("http://maps.google.com/maps?f=q&amp;hl=en&amp;geocode=&amp;q=39.18982,-84.42992")</f>
        <v>http://maps.google.com/maps?f=q&amp;hl=en&amp;geocode=&amp;q=39.18982,-84.42992</v>
      </c>
    </row>
    <row r="251" spans="1:7" ht="15" x14ac:dyDescent="0.3">
      <c r="A251">
        <v>43.049706216103701</v>
      </c>
      <c r="B251">
        <v>-83.719397930507199</v>
      </c>
      <c r="C251" t="s">
        <v>41</v>
      </c>
      <c r="D251" t="s">
        <v>232</v>
      </c>
      <c r="F251" s="21"/>
      <c r="G251" s="16" t="str">
        <f>HYPERLINK("http://maps.google.com/maps?f=q&amp;hl=en&amp;geocode=&amp;q=43.0497062161037,-83.7193979305072")</f>
        <v>http://maps.google.com/maps?f=q&amp;hl=en&amp;geocode=&amp;q=43.0497062161037,-83.7193979305072</v>
      </c>
    </row>
    <row r="252" spans="1:7" ht="15" x14ac:dyDescent="0.3">
      <c r="A252">
        <v>41.233863218392898</v>
      </c>
      <c r="B252">
        <v>-92.525928747020799</v>
      </c>
      <c r="C252" t="s">
        <v>41</v>
      </c>
      <c r="D252" t="s">
        <v>233</v>
      </c>
      <c r="F252" s="21"/>
      <c r="G252" s="16" t="str">
        <f>HYPERLINK("http://maps.google.com/maps?f=q&amp;hl=en&amp;geocode=&amp;q=41.2338632183929,-92.5259287470208")</f>
        <v>http://maps.google.com/maps?f=q&amp;hl=en&amp;geocode=&amp;q=41.2338632183929,-92.5259287470208</v>
      </c>
    </row>
    <row r="253" spans="1:7" ht="15" x14ac:dyDescent="0.3">
      <c r="A253">
        <v>38.947154998779297</v>
      </c>
      <c r="B253">
        <v>-8.9184045791625994</v>
      </c>
      <c r="C253" t="s">
        <v>41</v>
      </c>
      <c r="D253" t="s">
        <v>234</v>
      </c>
      <c r="F253" s="21"/>
      <c r="G253" s="16" t="str">
        <f>HYPERLINK("http://maps.google.com/maps?f=q&amp;hl=en&amp;geocode=&amp;q=38.9471549987793,-8.9184045791626")</f>
        <v>http://maps.google.com/maps?f=q&amp;hl=en&amp;geocode=&amp;q=38.9471549987793,-8.9184045791626</v>
      </c>
    </row>
    <row r="254" spans="1:7" ht="15" x14ac:dyDescent="0.3">
      <c r="A254" t="s">
        <v>44</v>
      </c>
      <c r="B254" t="s">
        <v>44</v>
      </c>
      <c r="C254" t="s">
        <v>44</v>
      </c>
      <c r="D254" t="s">
        <v>235</v>
      </c>
      <c r="F254" s="21"/>
      <c r="G254" s="16"/>
    </row>
    <row r="255" spans="1:7" ht="15" x14ac:dyDescent="0.3">
      <c r="A255">
        <v>47.095829010009801</v>
      </c>
      <c r="B255">
        <v>-122.62953948974599</v>
      </c>
      <c r="C255" t="s">
        <v>43</v>
      </c>
      <c r="D255" t="s">
        <v>236</v>
      </c>
      <c r="F255" s="21"/>
      <c r="G255" s="16" t="str">
        <f>HYPERLINK("http://maps.google.com/maps?f=q&amp;hl=en&amp;geocode=&amp;q=47.0958290100098,-122.629539489746")</f>
        <v>http://maps.google.com/maps?f=q&amp;hl=en&amp;geocode=&amp;q=47.0958290100098,-122.629539489746</v>
      </c>
    </row>
    <row r="256" spans="1:7" ht="15" x14ac:dyDescent="0.3">
      <c r="A256" t="s">
        <v>44</v>
      </c>
      <c r="B256" t="s">
        <v>44</v>
      </c>
      <c r="C256" t="s">
        <v>44</v>
      </c>
      <c r="D256" t="s">
        <v>237</v>
      </c>
      <c r="F256" s="21"/>
      <c r="G256" s="16"/>
    </row>
    <row r="257" spans="1:7" ht="15" x14ac:dyDescent="0.3">
      <c r="A257">
        <v>39.938315157235998</v>
      </c>
      <c r="B257">
        <v>-75.231854458761106</v>
      </c>
      <c r="C257" t="s">
        <v>41</v>
      </c>
      <c r="D257" t="s">
        <v>238</v>
      </c>
      <c r="F257" s="21"/>
      <c r="G257" s="16" t="str">
        <f>HYPERLINK("http://maps.google.com/maps?f=q&amp;hl=en&amp;geocode=&amp;q=39.938315157236,-75.2318544587611")</f>
        <v>http://maps.google.com/maps?f=q&amp;hl=en&amp;geocode=&amp;q=39.938315157236,-75.2318544587611</v>
      </c>
    </row>
    <row r="258" spans="1:7" ht="15" x14ac:dyDescent="0.3">
      <c r="A258">
        <v>34.3145092397056</v>
      </c>
      <c r="B258">
        <v>-86.310675327667695</v>
      </c>
      <c r="C258" t="s">
        <v>41</v>
      </c>
      <c r="D258" t="s">
        <v>239</v>
      </c>
      <c r="F258" s="21"/>
      <c r="G258" s="16" t="str">
        <f>HYPERLINK("http://maps.google.com/maps?f=q&amp;hl=en&amp;geocode=&amp;q=34.3145092397056,-86.3106753276677")</f>
        <v>http://maps.google.com/maps?f=q&amp;hl=en&amp;geocode=&amp;q=34.3145092397056,-86.3106753276677</v>
      </c>
    </row>
    <row r="259" spans="1:7" ht="15" x14ac:dyDescent="0.3">
      <c r="A259">
        <v>40.825839996337898</v>
      </c>
      <c r="B259">
        <v>-85.337661743164105</v>
      </c>
      <c r="C259" t="s">
        <v>43</v>
      </c>
      <c r="D259" t="s">
        <v>240</v>
      </c>
      <c r="F259" s="21"/>
      <c r="G259" s="16" t="str">
        <f>HYPERLINK("http://maps.google.com/maps?f=q&amp;hl=en&amp;geocode=&amp;q=40.8258399963379,-85.3376617431641")</f>
        <v>http://maps.google.com/maps?f=q&amp;hl=en&amp;geocode=&amp;q=40.8258399963379,-85.3376617431641</v>
      </c>
    </row>
    <row r="260" spans="1:7" ht="15" x14ac:dyDescent="0.3">
      <c r="A260" t="s">
        <v>44</v>
      </c>
      <c r="B260" t="s">
        <v>44</v>
      </c>
      <c r="C260" t="s">
        <v>44</v>
      </c>
      <c r="D260" t="s">
        <v>75</v>
      </c>
      <c r="F260" s="21"/>
      <c r="G260" s="16"/>
    </row>
    <row r="261" spans="1:7" ht="15" x14ac:dyDescent="0.3">
      <c r="A261">
        <v>64.063316345214801</v>
      </c>
      <c r="B261">
        <v>-139.43438720703099</v>
      </c>
      <c r="C261" t="s">
        <v>43</v>
      </c>
      <c r="D261" t="s">
        <v>241</v>
      </c>
      <c r="F261" s="21"/>
      <c r="G261" s="16" t="str">
        <f>HYPERLINK("http://maps.google.com/maps?f=q&amp;hl=en&amp;geocode=&amp;q=64.0633163452148,-139.434387207031")</f>
        <v>http://maps.google.com/maps?f=q&amp;hl=en&amp;geocode=&amp;q=64.0633163452148,-139.434387207031</v>
      </c>
    </row>
    <row r="262" spans="1:7" ht="15" x14ac:dyDescent="0.3">
      <c r="A262" t="s">
        <v>44</v>
      </c>
      <c r="B262" t="s">
        <v>44</v>
      </c>
      <c r="C262" t="s">
        <v>44</v>
      </c>
      <c r="D262" t="s">
        <v>227</v>
      </c>
      <c r="F262" s="21"/>
      <c r="G262" s="16"/>
    </row>
    <row r="263" spans="1:7" ht="15" x14ac:dyDescent="0.3">
      <c r="A263" t="s">
        <v>44</v>
      </c>
      <c r="B263" t="s">
        <v>44</v>
      </c>
      <c r="C263" t="s">
        <v>44</v>
      </c>
      <c r="D263" t="s">
        <v>227</v>
      </c>
      <c r="F263" s="21"/>
      <c r="G263" s="16"/>
    </row>
    <row r="264" spans="1:7" ht="15" x14ac:dyDescent="0.3">
      <c r="A264" t="s">
        <v>44</v>
      </c>
      <c r="B264" t="s">
        <v>44</v>
      </c>
      <c r="C264" t="s">
        <v>44</v>
      </c>
      <c r="D264" t="s">
        <v>227</v>
      </c>
      <c r="F264" s="21"/>
      <c r="G264" s="16"/>
    </row>
    <row r="265" spans="1:7" ht="15" x14ac:dyDescent="0.3">
      <c r="A265" t="s">
        <v>44</v>
      </c>
      <c r="B265" t="s">
        <v>44</v>
      </c>
      <c r="C265" t="s">
        <v>44</v>
      </c>
      <c r="D265" t="s">
        <v>242</v>
      </c>
      <c r="F265" s="21"/>
      <c r="G265" s="16"/>
    </row>
    <row r="266" spans="1:7" ht="15" x14ac:dyDescent="0.3">
      <c r="A266">
        <v>41.868020000000001</v>
      </c>
      <c r="B266">
        <v>-91.57611</v>
      </c>
      <c r="C266" t="s">
        <v>41</v>
      </c>
      <c r="D266" t="s">
        <v>243</v>
      </c>
      <c r="F266" s="21"/>
      <c r="G266" s="16" t="str">
        <f>HYPERLINK("http://maps.google.com/maps?f=q&amp;hl=en&amp;geocode=&amp;q=41.86802,-91.57611")</f>
        <v>http://maps.google.com/maps?f=q&amp;hl=en&amp;geocode=&amp;q=41.86802,-91.57611</v>
      </c>
    </row>
    <row r="267" spans="1:7" ht="15" x14ac:dyDescent="0.3">
      <c r="A267" t="s">
        <v>44</v>
      </c>
      <c r="B267" t="s">
        <v>44</v>
      </c>
      <c r="C267" t="s">
        <v>44</v>
      </c>
      <c r="D267" t="s">
        <v>244</v>
      </c>
      <c r="F267" s="21"/>
      <c r="G267" s="16"/>
    </row>
    <row r="268" spans="1:7" ht="15" x14ac:dyDescent="0.3">
      <c r="A268">
        <v>38.8445660359085</v>
      </c>
      <c r="B268">
        <v>-104.867950200473</v>
      </c>
      <c r="C268" t="s">
        <v>41</v>
      </c>
      <c r="D268" t="s">
        <v>245</v>
      </c>
      <c r="F268" s="21"/>
      <c r="G268" s="16" t="str">
        <f>HYPERLINK("http://maps.google.com/maps?f=q&amp;hl=en&amp;geocode=&amp;q=38.8445660359085,-104.867950200473")</f>
        <v>http://maps.google.com/maps?f=q&amp;hl=en&amp;geocode=&amp;q=38.8445660359085,-104.867950200473</v>
      </c>
    </row>
    <row r="269" spans="1:7" ht="15" x14ac:dyDescent="0.3">
      <c r="A269" t="s">
        <v>44</v>
      </c>
      <c r="B269" t="s">
        <v>44</v>
      </c>
      <c r="C269" t="s">
        <v>44</v>
      </c>
      <c r="D269" t="s">
        <v>246</v>
      </c>
      <c r="F269" s="21"/>
      <c r="G269" s="16"/>
    </row>
    <row r="270" spans="1:7" ht="15" x14ac:dyDescent="0.3">
      <c r="A270">
        <v>40.078620000000001</v>
      </c>
      <c r="B270">
        <v>-75.086420000000004</v>
      </c>
      <c r="C270" t="s">
        <v>41</v>
      </c>
      <c r="D270" t="s">
        <v>247</v>
      </c>
      <c r="F270" s="21"/>
      <c r="G270" s="16" t="str">
        <f>HYPERLINK("http://maps.google.com/maps?f=q&amp;hl=en&amp;geocode=&amp;q=40.07862,-75.08642")</f>
        <v>http://maps.google.com/maps?f=q&amp;hl=en&amp;geocode=&amp;q=40.07862,-75.08642</v>
      </c>
    </row>
    <row r="271" spans="1:7" ht="15" x14ac:dyDescent="0.3">
      <c r="A271">
        <v>41.906560578169398</v>
      </c>
      <c r="B271">
        <v>-83.574876021431095</v>
      </c>
      <c r="C271" t="s">
        <v>41</v>
      </c>
      <c r="D271" t="s">
        <v>248</v>
      </c>
      <c r="F271" s="21"/>
      <c r="G271" s="16" t="str">
        <f>HYPERLINK("http://maps.google.com/maps?f=q&amp;hl=en&amp;geocode=&amp;q=41.9065605781694,-83.5748760214311")</f>
        <v>http://maps.google.com/maps?f=q&amp;hl=en&amp;geocode=&amp;q=41.9065605781694,-83.5748760214311</v>
      </c>
    </row>
    <row r="272" spans="1:7" ht="15" x14ac:dyDescent="0.3">
      <c r="A272">
        <v>7.2021198272705096</v>
      </c>
      <c r="B272">
        <v>126.53334808349599</v>
      </c>
      <c r="C272" t="s">
        <v>41</v>
      </c>
      <c r="D272" t="s">
        <v>249</v>
      </c>
      <c r="F272" s="21"/>
      <c r="G272" s="16" t="str">
        <f>HYPERLINK("http://maps.google.com/maps?f=q&amp;hl=en&amp;geocode=&amp;q=7.20211982727051,126.533348083496")</f>
        <v>http://maps.google.com/maps?f=q&amp;hl=en&amp;geocode=&amp;q=7.20211982727051,126.533348083496</v>
      </c>
    </row>
    <row r="273" spans="1:7" ht="15" x14ac:dyDescent="0.3">
      <c r="A273">
        <v>60.433364868164098</v>
      </c>
      <c r="B273">
        <v>5.3348631858825701</v>
      </c>
      <c r="C273" t="s">
        <v>43</v>
      </c>
      <c r="D273" t="s">
        <v>250</v>
      </c>
      <c r="F273" s="21"/>
      <c r="G273" s="16" t="str">
        <f>HYPERLINK("http://maps.google.com/maps?f=q&amp;hl=en&amp;geocode=&amp;q=60.4333648681641,5.33486318588257")</f>
        <v>http://maps.google.com/maps?f=q&amp;hl=en&amp;geocode=&amp;q=60.4333648681641,5.33486318588257</v>
      </c>
    </row>
    <row r="274" spans="1:7" ht="15" x14ac:dyDescent="0.3">
      <c r="A274">
        <v>30.294819755390598</v>
      </c>
      <c r="B274">
        <v>-95.456479488357303</v>
      </c>
      <c r="C274" t="s">
        <v>41</v>
      </c>
      <c r="D274" t="s">
        <v>251</v>
      </c>
      <c r="F274" s="21"/>
      <c r="G274" s="16" t="str">
        <f>HYPERLINK("http://maps.google.com/maps?f=q&amp;hl=en&amp;geocode=&amp;q=30.2948197553906,-95.4564794883573")</f>
        <v>http://maps.google.com/maps?f=q&amp;hl=en&amp;geocode=&amp;q=30.2948197553906,-95.4564794883573</v>
      </c>
    </row>
    <row r="275" spans="1:7" ht="15" x14ac:dyDescent="0.3">
      <c r="A275">
        <v>40.446680000000001</v>
      </c>
      <c r="B275">
        <v>-79.783050000000003</v>
      </c>
      <c r="C275" t="s">
        <v>41</v>
      </c>
      <c r="D275" t="s">
        <v>252</v>
      </c>
      <c r="F275" s="21"/>
      <c r="G275" s="16" t="str">
        <f>HYPERLINK("http://maps.google.com/maps?f=q&amp;hl=en&amp;geocode=&amp;q=40.44668,-79.78305")</f>
        <v>http://maps.google.com/maps?f=q&amp;hl=en&amp;geocode=&amp;q=40.44668,-79.78305</v>
      </c>
    </row>
    <row r="276" spans="1:7" ht="15" x14ac:dyDescent="0.3">
      <c r="A276">
        <v>39.239514712844198</v>
      </c>
      <c r="B276">
        <v>-78.206254242908798</v>
      </c>
      <c r="C276" t="s">
        <v>41</v>
      </c>
      <c r="D276" t="s">
        <v>253</v>
      </c>
      <c r="F276" s="21"/>
      <c r="G276" s="16" t="str">
        <f>HYPERLINK("http://maps.google.com/maps?f=q&amp;hl=en&amp;geocode=&amp;q=39.2395147128442,-78.2062542429088")</f>
        <v>http://maps.google.com/maps?f=q&amp;hl=en&amp;geocode=&amp;q=39.2395147128442,-78.2062542429088</v>
      </c>
    </row>
    <row r="277" spans="1:7" ht="15" x14ac:dyDescent="0.3">
      <c r="A277" t="s">
        <v>44</v>
      </c>
      <c r="B277" t="s">
        <v>44</v>
      </c>
      <c r="C277" t="s">
        <v>44</v>
      </c>
      <c r="D277" t="s">
        <v>254</v>
      </c>
      <c r="F277" s="21"/>
      <c r="G277" s="16"/>
    </row>
    <row r="278" spans="1:7" ht="15" x14ac:dyDescent="0.3">
      <c r="A278">
        <v>29.574852156483399</v>
      </c>
      <c r="B278">
        <v>-98.381100226348806</v>
      </c>
      <c r="C278" t="s">
        <v>41</v>
      </c>
      <c r="D278" t="s">
        <v>255</v>
      </c>
      <c r="F278" s="21"/>
      <c r="G278" s="16" t="str">
        <f>HYPERLINK("http://maps.google.com/maps?f=q&amp;hl=en&amp;geocode=&amp;q=29.5748521564834,-98.3811002263488")</f>
        <v>http://maps.google.com/maps?f=q&amp;hl=en&amp;geocode=&amp;q=29.5748521564834,-98.3811002263488</v>
      </c>
    </row>
    <row r="279" spans="1:7" ht="15" x14ac:dyDescent="0.3">
      <c r="A279">
        <v>39.925229999999999</v>
      </c>
      <c r="B279">
        <v>-75.235249999999994</v>
      </c>
      <c r="C279" t="s">
        <v>41</v>
      </c>
      <c r="D279" t="s">
        <v>161</v>
      </c>
      <c r="F279" s="21"/>
      <c r="G279" s="16" t="str">
        <f>HYPERLINK("http://maps.google.com/maps?f=q&amp;hl=en&amp;geocode=&amp;q=39.92523,-75.23525")</f>
        <v>http://maps.google.com/maps?f=q&amp;hl=en&amp;geocode=&amp;q=39.92523,-75.23525</v>
      </c>
    </row>
    <row r="280" spans="1:7" ht="15" x14ac:dyDescent="0.3">
      <c r="A280">
        <v>-33.938720000000004</v>
      </c>
      <c r="B280">
        <v>22.470829999999999</v>
      </c>
      <c r="C280" t="s">
        <v>41</v>
      </c>
      <c r="D280" t="s">
        <v>256</v>
      </c>
      <c r="F280" s="21"/>
      <c r="G280" s="16" t="str">
        <f>HYPERLINK("http://maps.google.com/maps?f=q&amp;hl=en&amp;geocode=&amp;q=-33.93872,22.47083")</f>
        <v>http://maps.google.com/maps?f=q&amp;hl=en&amp;geocode=&amp;q=-33.93872,22.47083</v>
      </c>
    </row>
    <row r="281" spans="1:7" ht="15" x14ac:dyDescent="0.3">
      <c r="A281">
        <v>39.990940000000002</v>
      </c>
      <c r="B281">
        <v>-75.241510000000005</v>
      </c>
      <c r="C281" t="s">
        <v>41</v>
      </c>
      <c r="D281" t="s">
        <v>257</v>
      </c>
      <c r="F281" s="21"/>
      <c r="G281" s="16" t="str">
        <f>HYPERLINK("http://maps.google.com/maps?f=q&amp;hl=en&amp;geocode=&amp;q=39.99094,-75.24151")</f>
        <v>http://maps.google.com/maps?f=q&amp;hl=en&amp;geocode=&amp;q=39.99094,-75.24151</v>
      </c>
    </row>
    <row r="282" spans="1:7" ht="15" x14ac:dyDescent="0.3">
      <c r="A282">
        <v>34.166269999999997</v>
      </c>
      <c r="B282">
        <v>-118.64740999999999</v>
      </c>
      <c r="C282" t="s">
        <v>42</v>
      </c>
      <c r="D282" t="s">
        <v>258</v>
      </c>
      <c r="F282" s="21"/>
      <c r="G282" s="16" t="str">
        <f>HYPERLINK("http://maps.google.com/maps?f=q&amp;hl=en&amp;geocode=&amp;q=34.16627,-118.64741")</f>
        <v>http://maps.google.com/maps?f=q&amp;hl=en&amp;geocode=&amp;q=34.16627,-118.64741</v>
      </c>
    </row>
    <row r="283" spans="1:7" ht="15" x14ac:dyDescent="0.3">
      <c r="A283">
        <v>39.926720000000003</v>
      </c>
      <c r="B283">
        <v>-75.22654</v>
      </c>
      <c r="C283" t="s">
        <v>41</v>
      </c>
      <c r="D283" t="s">
        <v>259</v>
      </c>
      <c r="F283" s="21"/>
      <c r="G283" s="16" t="str">
        <f>HYPERLINK("http://maps.google.com/maps?f=q&amp;hl=en&amp;geocode=&amp;q=39.92672,-75.22654")</f>
        <v>http://maps.google.com/maps?f=q&amp;hl=en&amp;geocode=&amp;q=39.92672,-75.22654</v>
      </c>
    </row>
    <row r="284" spans="1:7" ht="15" x14ac:dyDescent="0.3">
      <c r="A284">
        <v>-31.964845657348601</v>
      </c>
      <c r="B284">
        <v>115.895874023438</v>
      </c>
      <c r="C284" t="s">
        <v>41</v>
      </c>
      <c r="D284" t="s">
        <v>129</v>
      </c>
      <c r="F284" s="21"/>
      <c r="G284" s="16" t="str">
        <f>HYPERLINK("http://maps.google.com/maps?f=q&amp;hl=en&amp;geocode=&amp;q=-31.9648456573486,115.895874023438")</f>
        <v>http://maps.google.com/maps?f=q&amp;hl=en&amp;geocode=&amp;q=-31.9648456573486,115.895874023438</v>
      </c>
    </row>
    <row r="285" spans="1:7" ht="15" x14ac:dyDescent="0.3">
      <c r="A285">
        <v>29.70674</v>
      </c>
      <c r="B285">
        <v>-95.464560000000006</v>
      </c>
      <c r="C285" t="s">
        <v>41</v>
      </c>
      <c r="D285" t="s">
        <v>171</v>
      </c>
      <c r="F285" s="21"/>
      <c r="G285" s="16" t="str">
        <f>HYPERLINK("http://maps.google.com/maps?f=q&amp;hl=en&amp;geocode=&amp;q=29.70674,-95.46456")</f>
        <v>http://maps.google.com/maps?f=q&amp;hl=en&amp;geocode=&amp;q=29.70674,-95.46456</v>
      </c>
    </row>
    <row r="286" spans="1:7" ht="15" x14ac:dyDescent="0.3">
      <c r="A286">
        <v>35.553759999999997</v>
      </c>
      <c r="B286">
        <v>-89.646860000000004</v>
      </c>
      <c r="C286" t="s">
        <v>43</v>
      </c>
      <c r="D286" t="s">
        <v>260</v>
      </c>
      <c r="F286" s="21"/>
      <c r="G286" s="16" t="str">
        <f>HYPERLINK("http://maps.google.com/maps?f=q&amp;hl=en&amp;geocode=&amp;q=35.55376,-89.64686")</f>
        <v>http://maps.google.com/maps?f=q&amp;hl=en&amp;geocode=&amp;q=35.55376,-89.64686</v>
      </c>
    </row>
    <row r="287" spans="1:7" ht="15" x14ac:dyDescent="0.3">
      <c r="A287">
        <v>40.065199999999997</v>
      </c>
      <c r="B287">
        <v>-75.238650000000007</v>
      </c>
      <c r="C287" t="s">
        <v>41</v>
      </c>
      <c r="D287" t="s">
        <v>261</v>
      </c>
      <c r="F287" s="21"/>
      <c r="G287" s="16" t="str">
        <f>HYPERLINK("http://maps.google.com/maps?f=q&amp;hl=en&amp;geocode=&amp;q=40.0652,-75.23865")</f>
        <v>http://maps.google.com/maps?f=q&amp;hl=en&amp;geocode=&amp;q=40.0652,-75.23865</v>
      </c>
    </row>
    <row r="288" spans="1:7" ht="15" x14ac:dyDescent="0.3">
      <c r="A288">
        <v>49.533977508544901</v>
      </c>
      <c r="B288">
        <v>6.0161638259887704</v>
      </c>
      <c r="C288" t="s">
        <v>41</v>
      </c>
      <c r="D288" t="s">
        <v>262</v>
      </c>
      <c r="F288" s="21"/>
      <c r="G288" s="16" t="str">
        <f>HYPERLINK("http://maps.google.com/maps?f=q&amp;hl=en&amp;geocode=&amp;q=49.5339775085449,6.01616382598877")</f>
        <v>http://maps.google.com/maps?f=q&amp;hl=en&amp;geocode=&amp;q=49.5339775085449,6.01616382598877</v>
      </c>
    </row>
    <row r="289" spans="1:7" ht="15" x14ac:dyDescent="0.3">
      <c r="A289">
        <v>42.4211838777669</v>
      </c>
      <c r="B289">
        <v>-76.492153618799193</v>
      </c>
      <c r="C289" t="s">
        <v>41</v>
      </c>
      <c r="D289" t="s">
        <v>146</v>
      </c>
      <c r="F289" s="21"/>
      <c r="G289" s="16" t="str">
        <f>HYPERLINK("http://maps.google.com/maps?f=q&amp;hl=en&amp;geocode=&amp;q=42.4211838777669,-76.4921536187992")</f>
        <v>http://maps.google.com/maps?f=q&amp;hl=en&amp;geocode=&amp;q=42.4211838777669,-76.4921536187992</v>
      </c>
    </row>
    <row r="290" spans="1:7" ht="15" x14ac:dyDescent="0.3">
      <c r="A290">
        <v>42.4211838777669</v>
      </c>
      <c r="B290">
        <v>-76.492153618799193</v>
      </c>
      <c r="C290" t="s">
        <v>41</v>
      </c>
      <c r="D290" t="s">
        <v>146</v>
      </c>
      <c r="F290" s="21"/>
      <c r="G290" s="16" t="str">
        <f>HYPERLINK("http://maps.google.com/maps?f=q&amp;hl=en&amp;geocode=&amp;q=42.4211838777669,-76.4921536187992")</f>
        <v>http://maps.google.com/maps?f=q&amp;hl=en&amp;geocode=&amp;q=42.4211838777669,-76.4921536187992</v>
      </c>
    </row>
    <row r="291" spans="1:7" ht="15" x14ac:dyDescent="0.3">
      <c r="A291" t="s">
        <v>44</v>
      </c>
      <c r="B291" t="s">
        <v>44</v>
      </c>
      <c r="C291" t="s">
        <v>44</v>
      </c>
      <c r="D291" t="s">
        <v>263</v>
      </c>
      <c r="F291" s="21"/>
      <c r="G291" s="16"/>
    </row>
    <row r="292" spans="1:7" ht="15" x14ac:dyDescent="0.3">
      <c r="A292">
        <v>40.415102224503499</v>
      </c>
      <c r="B292">
        <v>-105.050038484647</v>
      </c>
      <c r="C292" t="s">
        <v>41</v>
      </c>
      <c r="D292" t="s">
        <v>264</v>
      </c>
      <c r="F292" s="21"/>
      <c r="G292" s="16" t="str">
        <f>HYPERLINK("http://maps.google.com/maps?f=q&amp;hl=en&amp;geocode=&amp;q=40.4151022245035,-105.050038484647")</f>
        <v>http://maps.google.com/maps?f=q&amp;hl=en&amp;geocode=&amp;q=40.4151022245035,-105.050038484647</v>
      </c>
    </row>
    <row r="293" spans="1:7" ht="15" x14ac:dyDescent="0.3">
      <c r="A293">
        <v>40.415102224503499</v>
      </c>
      <c r="B293">
        <v>-105.050038484647</v>
      </c>
      <c r="C293" t="s">
        <v>41</v>
      </c>
      <c r="D293" t="s">
        <v>264</v>
      </c>
      <c r="F293" s="21"/>
      <c r="G293" s="16" t="str">
        <f>HYPERLINK("http://maps.google.com/maps?f=q&amp;hl=en&amp;geocode=&amp;q=40.4151022245035,-105.050038484647")</f>
        <v>http://maps.google.com/maps?f=q&amp;hl=en&amp;geocode=&amp;q=40.4151022245035,-105.050038484647</v>
      </c>
    </row>
    <row r="294" spans="1:7" ht="15" x14ac:dyDescent="0.3">
      <c r="A294">
        <v>40.415102224503499</v>
      </c>
      <c r="B294">
        <v>-105.050038484647</v>
      </c>
      <c r="C294" t="s">
        <v>41</v>
      </c>
      <c r="D294" t="s">
        <v>264</v>
      </c>
      <c r="F294" s="21"/>
      <c r="G294" s="16" t="str">
        <f>HYPERLINK("http://maps.google.com/maps?f=q&amp;hl=en&amp;geocode=&amp;q=40.4151022245035,-105.050038484647")</f>
        <v>http://maps.google.com/maps?f=q&amp;hl=en&amp;geocode=&amp;q=40.4151022245035,-105.050038484647</v>
      </c>
    </row>
    <row r="295" spans="1:7" ht="15" x14ac:dyDescent="0.3">
      <c r="A295">
        <v>43.040962853589299</v>
      </c>
      <c r="B295">
        <v>-95.624018475677801</v>
      </c>
      <c r="C295" t="s">
        <v>41</v>
      </c>
      <c r="D295" t="s">
        <v>152</v>
      </c>
      <c r="F295" s="21"/>
      <c r="G295" s="16" t="str">
        <f>HYPERLINK("http://maps.google.com/maps?f=q&amp;hl=en&amp;geocode=&amp;q=43.0409628535893,-95.6240184756778")</f>
        <v>http://maps.google.com/maps?f=q&amp;hl=en&amp;geocode=&amp;q=43.0409628535893,-95.6240184756778</v>
      </c>
    </row>
    <row r="296" spans="1:7" ht="15" x14ac:dyDescent="0.3">
      <c r="A296">
        <v>45.5408868734105</v>
      </c>
      <c r="B296">
        <v>-88.845452585190799</v>
      </c>
      <c r="C296" t="s">
        <v>41</v>
      </c>
      <c r="D296" t="s">
        <v>265</v>
      </c>
      <c r="F296" s="21"/>
      <c r="G296" s="16" t="str">
        <f>HYPERLINK("http://maps.google.com/maps?f=q&amp;hl=en&amp;geocode=&amp;q=45.5408868734105,-88.8454525851908")</f>
        <v>http://maps.google.com/maps?f=q&amp;hl=en&amp;geocode=&amp;q=45.5408868734105,-88.8454525851908</v>
      </c>
    </row>
    <row r="297" spans="1:7" ht="15" x14ac:dyDescent="0.3">
      <c r="A297">
        <v>42.4211838777669</v>
      </c>
      <c r="B297">
        <v>-76.492153618799193</v>
      </c>
      <c r="C297" t="s">
        <v>41</v>
      </c>
      <c r="D297" t="s">
        <v>146</v>
      </c>
      <c r="F297" s="21"/>
      <c r="G297" s="16" t="str">
        <f>HYPERLINK("http://maps.google.com/maps?f=q&amp;hl=en&amp;geocode=&amp;q=42.4211838777669,-76.4921536187992")</f>
        <v>http://maps.google.com/maps?f=q&amp;hl=en&amp;geocode=&amp;q=42.4211838777669,-76.4921536187992</v>
      </c>
    </row>
    <row r="298" spans="1:7" ht="15" x14ac:dyDescent="0.3">
      <c r="A298">
        <v>33.3425199965084</v>
      </c>
      <c r="B298">
        <v>-83.362378910337895</v>
      </c>
      <c r="C298" t="s">
        <v>41</v>
      </c>
      <c r="D298" t="s">
        <v>266</v>
      </c>
      <c r="F298" s="21"/>
      <c r="G298" s="16" t="str">
        <f>HYPERLINK("http://maps.google.com/maps?f=q&amp;hl=en&amp;geocode=&amp;q=33.3425199965084,-83.3623789103379")</f>
        <v>http://maps.google.com/maps?f=q&amp;hl=en&amp;geocode=&amp;q=33.3425199965084,-83.3623789103379</v>
      </c>
    </row>
    <row r="299" spans="1:7" ht="15" x14ac:dyDescent="0.3">
      <c r="A299">
        <v>46.664058685302699</v>
      </c>
      <c r="B299">
        <v>0.30851000547409102</v>
      </c>
      <c r="C299" t="s">
        <v>41</v>
      </c>
      <c r="D299" t="s">
        <v>267</v>
      </c>
      <c r="F299" s="21"/>
      <c r="G299" s="16" t="str">
        <f>HYPERLINK("http://maps.google.com/maps?f=q&amp;hl=en&amp;geocode=&amp;q=46.6640586853027,0.308510005474091")</f>
        <v>http://maps.google.com/maps?f=q&amp;hl=en&amp;geocode=&amp;q=46.6640586853027,0.308510005474091</v>
      </c>
    </row>
    <row r="300" spans="1:7" ht="15" x14ac:dyDescent="0.3">
      <c r="A300">
        <v>40.005001068115199</v>
      </c>
      <c r="B300">
        <v>-75.083892822265597</v>
      </c>
      <c r="C300" t="s">
        <v>41</v>
      </c>
      <c r="D300" t="s">
        <v>268</v>
      </c>
      <c r="F300" s="21"/>
      <c r="G300" s="16" t="str">
        <f>HYPERLINK("http://maps.google.com/maps?f=q&amp;hl=en&amp;geocode=&amp;q=40.0050010681152,-75.0838928222656")</f>
        <v>http://maps.google.com/maps?f=q&amp;hl=en&amp;geocode=&amp;q=40.0050010681152,-75.0838928222656</v>
      </c>
    </row>
    <row r="301" spans="1:7" ht="15" x14ac:dyDescent="0.3">
      <c r="A301">
        <v>30.845712386470499</v>
      </c>
      <c r="B301">
        <v>-95.870343618324199</v>
      </c>
      <c r="C301" t="s">
        <v>41</v>
      </c>
      <c r="D301" t="s">
        <v>269</v>
      </c>
      <c r="F301" s="21"/>
      <c r="G301" s="16" t="str">
        <f>HYPERLINK("http://maps.google.com/maps?f=q&amp;hl=en&amp;geocode=&amp;q=30.8457123864705,-95.8703436183242")</f>
        <v>http://maps.google.com/maps?f=q&amp;hl=en&amp;geocode=&amp;q=30.8457123864705,-95.8703436183242</v>
      </c>
    </row>
    <row r="302" spans="1:7" ht="15" x14ac:dyDescent="0.3">
      <c r="A302">
        <v>39.989915347260997</v>
      </c>
      <c r="B302">
        <v>-75.103786768790201</v>
      </c>
      <c r="C302" t="s">
        <v>41</v>
      </c>
      <c r="D302" t="s">
        <v>270</v>
      </c>
      <c r="F302" s="21"/>
      <c r="G302" s="16" t="str">
        <f>HYPERLINK("http://maps.google.com/maps?f=q&amp;hl=en&amp;geocode=&amp;q=39.989915347261,-75.1037867687902")</f>
        <v>http://maps.google.com/maps?f=q&amp;hl=en&amp;geocode=&amp;q=39.989915347261,-75.1037867687902</v>
      </c>
    </row>
    <row r="303" spans="1:7" ht="15" x14ac:dyDescent="0.3">
      <c r="A303">
        <v>33.6343093697146</v>
      </c>
      <c r="B303">
        <v>-98.431443554428498</v>
      </c>
      <c r="C303" t="s">
        <v>41</v>
      </c>
      <c r="D303" t="s">
        <v>271</v>
      </c>
      <c r="F303" s="21"/>
      <c r="G303" s="16" t="str">
        <f>HYPERLINK("http://maps.google.com/maps?f=q&amp;hl=en&amp;geocode=&amp;q=33.6343093697146,-98.4314435544285")</f>
        <v>http://maps.google.com/maps?f=q&amp;hl=en&amp;geocode=&amp;q=33.6343093697146,-98.4314435544285</v>
      </c>
    </row>
    <row r="304" spans="1:7" ht="15" x14ac:dyDescent="0.3">
      <c r="A304">
        <v>33.6343093697146</v>
      </c>
      <c r="B304">
        <v>-98.431443554428498</v>
      </c>
      <c r="C304" t="s">
        <v>41</v>
      </c>
      <c r="D304" t="s">
        <v>271</v>
      </c>
      <c r="F304" s="21"/>
      <c r="G304" s="16" t="str">
        <f>HYPERLINK("http://maps.google.com/maps?f=q&amp;hl=en&amp;geocode=&amp;q=33.6343093697146,-98.4314435544285")</f>
        <v>http://maps.google.com/maps?f=q&amp;hl=en&amp;geocode=&amp;q=33.6343093697146,-98.4314435544285</v>
      </c>
    </row>
    <row r="305" spans="1:7" ht="15" x14ac:dyDescent="0.3">
      <c r="A305">
        <v>40.0258378323093</v>
      </c>
      <c r="B305">
        <v>-75.212078572713196</v>
      </c>
      <c r="C305" t="s">
        <v>41</v>
      </c>
      <c r="D305" t="s">
        <v>272</v>
      </c>
      <c r="F305" s="21"/>
      <c r="G305" s="16" t="str">
        <f>HYPERLINK("http://maps.google.com/maps?f=q&amp;hl=en&amp;geocode=&amp;q=40.0258378323093,-75.2120785727132")</f>
        <v>http://maps.google.com/maps?f=q&amp;hl=en&amp;geocode=&amp;q=40.0258378323093,-75.2120785727132</v>
      </c>
    </row>
    <row r="306" spans="1:7" ht="15" x14ac:dyDescent="0.3">
      <c r="A306">
        <v>50.068752288818402</v>
      </c>
      <c r="B306">
        <v>-85.828125</v>
      </c>
      <c r="C306" t="s">
        <v>41</v>
      </c>
      <c r="D306" t="s">
        <v>273</v>
      </c>
      <c r="F306" s="21"/>
      <c r="G306" s="16" t="str">
        <f>HYPERLINK("http://maps.google.com/maps?f=q&amp;hl=en&amp;geocode=&amp;q=50.0687522888184,-85.828125")</f>
        <v>http://maps.google.com/maps?f=q&amp;hl=en&amp;geocode=&amp;q=50.0687522888184,-85.828125</v>
      </c>
    </row>
    <row r="307" spans="1:7" ht="15" x14ac:dyDescent="0.3">
      <c r="A307">
        <v>23.406011581420898</v>
      </c>
      <c r="B307">
        <v>79.458091735839801</v>
      </c>
      <c r="C307" t="s">
        <v>41</v>
      </c>
      <c r="D307" t="s">
        <v>274</v>
      </c>
      <c r="F307" s="21"/>
      <c r="G307" s="16" t="str">
        <f>HYPERLINK("http://maps.google.com/maps?f=q&amp;hl=en&amp;geocode=&amp;q=23.4060115814209,79.4580917358398")</f>
        <v>http://maps.google.com/maps?f=q&amp;hl=en&amp;geocode=&amp;q=23.4060115814209,79.4580917358398</v>
      </c>
    </row>
    <row r="308" spans="1:7" ht="15" x14ac:dyDescent="0.3">
      <c r="A308">
        <v>54.224514007568402</v>
      </c>
      <c r="B308">
        <v>-4.56213283538818</v>
      </c>
      <c r="C308" t="s">
        <v>43</v>
      </c>
      <c r="D308" t="s">
        <v>275</v>
      </c>
      <c r="F308" s="21"/>
      <c r="G308" s="16" t="str">
        <f>HYPERLINK("http://maps.google.com/maps?f=q&amp;hl=en&amp;geocode=&amp;q=54.2245140075684,-4.56213283538818")</f>
        <v>http://maps.google.com/maps?f=q&amp;hl=en&amp;geocode=&amp;q=54.2245140075684,-4.56213283538818</v>
      </c>
    </row>
    <row r="309" spans="1:7" ht="15" x14ac:dyDescent="0.3">
      <c r="A309">
        <v>35.428350000000002</v>
      </c>
      <c r="B309">
        <v>-97.134460000000004</v>
      </c>
      <c r="C309" t="s">
        <v>42</v>
      </c>
      <c r="D309" t="s">
        <v>276</v>
      </c>
      <c r="F309" s="21"/>
      <c r="G309" s="16" t="str">
        <f>HYPERLINK("http://maps.google.com/maps?f=q&amp;hl=en&amp;geocode=&amp;q=35.42835,-97.13446")</f>
        <v>http://maps.google.com/maps?f=q&amp;hl=en&amp;geocode=&amp;q=35.42835,-97.13446</v>
      </c>
    </row>
    <row r="310" spans="1:7" ht="15" x14ac:dyDescent="0.3">
      <c r="A310">
        <v>35.428350000000002</v>
      </c>
      <c r="B310">
        <v>-97.134460000000004</v>
      </c>
      <c r="C310" t="s">
        <v>42</v>
      </c>
      <c r="D310" t="s">
        <v>276</v>
      </c>
      <c r="F310" s="21"/>
      <c r="G310" s="16" t="str">
        <f>HYPERLINK("http://maps.google.com/maps?f=q&amp;hl=en&amp;geocode=&amp;q=35.42835,-97.13446")</f>
        <v>http://maps.google.com/maps?f=q&amp;hl=en&amp;geocode=&amp;q=35.42835,-97.13446</v>
      </c>
    </row>
    <row r="311" spans="1:7" ht="15" x14ac:dyDescent="0.3">
      <c r="A311">
        <v>40.037979125976598</v>
      </c>
      <c r="B311">
        <v>-75.223060607910199</v>
      </c>
      <c r="C311" t="s">
        <v>41</v>
      </c>
      <c r="D311" t="s">
        <v>277</v>
      </c>
      <c r="F311" s="21"/>
      <c r="G311" s="16" t="str">
        <f>HYPERLINK("http://maps.google.com/maps?f=q&amp;hl=en&amp;geocode=&amp;q=40.0379791259766,-75.2230606079102")</f>
        <v>http://maps.google.com/maps?f=q&amp;hl=en&amp;geocode=&amp;q=40.0379791259766,-75.2230606079102</v>
      </c>
    </row>
    <row r="312" spans="1:7" ht="15" x14ac:dyDescent="0.3">
      <c r="A312" t="s">
        <v>44</v>
      </c>
      <c r="B312" t="s">
        <v>44</v>
      </c>
      <c r="C312" t="s">
        <v>44</v>
      </c>
      <c r="D312" t="s">
        <v>227</v>
      </c>
      <c r="F312" s="21"/>
      <c r="G312" s="16"/>
    </row>
    <row r="313" spans="1:7" ht="15" x14ac:dyDescent="0.3">
      <c r="A313">
        <v>39.959980000000002</v>
      </c>
      <c r="B313">
        <v>-75.206450000000004</v>
      </c>
      <c r="C313" t="s">
        <v>43</v>
      </c>
      <c r="D313" t="s">
        <v>278</v>
      </c>
      <c r="F313" s="21"/>
      <c r="G313" s="16" t="str">
        <f>HYPERLINK("http://maps.google.com/maps?f=q&amp;hl=en&amp;geocode=&amp;q=39.95998,-75.20645")</f>
        <v>http://maps.google.com/maps?f=q&amp;hl=en&amp;geocode=&amp;q=39.95998,-75.20645</v>
      </c>
    </row>
    <row r="314" spans="1:7" ht="15" x14ac:dyDescent="0.3">
      <c r="A314">
        <v>42.1072998046875</v>
      </c>
      <c r="B314">
        <v>-109.44866943359401</v>
      </c>
      <c r="C314" t="s">
        <v>41</v>
      </c>
      <c r="D314" t="s">
        <v>279</v>
      </c>
      <c r="F314" s="21"/>
      <c r="G314" s="16" t="str">
        <f>HYPERLINK("http://maps.google.com/maps?f=q&amp;hl=en&amp;geocode=&amp;q=42.1072998046875,-109.448669433594")</f>
        <v>http://maps.google.com/maps?f=q&amp;hl=en&amp;geocode=&amp;q=42.1072998046875,-109.448669433594</v>
      </c>
    </row>
    <row r="315" spans="1:7" ht="15" x14ac:dyDescent="0.3">
      <c r="A315">
        <v>42.4211838777669</v>
      </c>
      <c r="B315">
        <v>-76.492153618799193</v>
      </c>
      <c r="C315" t="s">
        <v>41</v>
      </c>
      <c r="D315" t="s">
        <v>146</v>
      </c>
      <c r="F315" s="21"/>
      <c r="G315" s="16" t="str">
        <f>HYPERLINK("http://maps.google.com/maps?f=q&amp;hl=en&amp;geocode=&amp;q=42.4211838777669,-76.4921536187992")</f>
        <v>http://maps.google.com/maps?f=q&amp;hl=en&amp;geocode=&amp;q=42.4211838777669,-76.4921536187992</v>
      </c>
    </row>
    <row r="316" spans="1:7" ht="15" x14ac:dyDescent="0.3">
      <c r="A316">
        <v>28.53632</v>
      </c>
      <c r="B316">
        <v>-81.421279999999996</v>
      </c>
      <c r="C316" t="s">
        <v>43</v>
      </c>
      <c r="D316" t="s">
        <v>280</v>
      </c>
      <c r="F316" s="21"/>
      <c r="G316" s="16" t="str">
        <f>HYPERLINK("http://maps.google.com/maps?f=q&amp;hl=en&amp;geocode=&amp;q=28.53632,-81.42128")</f>
        <v>http://maps.google.com/maps?f=q&amp;hl=en&amp;geocode=&amp;q=28.53632,-81.42128</v>
      </c>
    </row>
    <row r="317" spans="1:7" ht="15" x14ac:dyDescent="0.3">
      <c r="A317">
        <v>28.53632</v>
      </c>
      <c r="B317">
        <v>-81.421279999999996</v>
      </c>
      <c r="C317" t="s">
        <v>43</v>
      </c>
      <c r="D317" t="s">
        <v>280</v>
      </c>
      <c r="F317" s="21"/>
      <c r="G317" s="16" t="str">
        <f>HYPERLINK("http://maps.google.com/maps?f=q&amp;hl=en&amp;geocode=&amp;q=28.53632,-81.42128")</f>
        <v>http://maps.google.com/maps?f=q&amp;hl=en&amp;geocode=&amp;q=28.53632,-81.42128</v>
      </c>
    </row>
    <row r="318" spans="1:7" ht="15" x14ac:dyDescent="0.3">
      <c r="A318">
        <v>28.53632</v>
      </c>
      <c r="B318">
        <v>-81.421279999999996</v>
      </c>
      <c r="C318" t="s">
        <v>43</v>
      </c>
      <c r="D318" t="s">
        <v>280</v>
      </c>
      <c r="F318" s="21"/>
      <c r="G318" s="16" t="str">
        <f>HYPERLINK("http://maps.google.com/maps?f=q&amp;hl=en&amp;geocode=&amp;q=28.53632,-81.42128")</f>
        <v>http://maps.google.com/maps?f=q&amp;hl=en&amp;geocode=&amp;q=28.53632,-81.42128</v>
      </c>
    </row>
    <row r="319" spans="1:7" ht="15" x14ac:dyDescent="0.3">
      <c r="A319">
        <v>28.53632</v>
      </c>
      <c r="B319">
        <v>-81.421279999999996</v>
      </c>
      <c r="C319" t="s">
        <v>43</v>
      </c>
      <c r="D319" t="s">
        <v>280</v>
      </c>
      <c r="F319" s="21"/>
      <c r="G319" s="16" t="str">
        <f>HYPERLINK("http://maps.google.com/maps?f=q&amp;hl=en&amp;geocode=&amp;q=28.53632,-81.42128")</f>
        <v>http://maps.google.com/maps?f=q&amp;hl=en&amp;geocode=&amp;q=28.53632,-81.42128</v>
      </c>
    </row>
    <row r="320" spans="1:7" ht="15" x14ac:dyDescent="0.3">
      <c r="A320">
        <v>41.258706482105801</v>
      </c>
      <c r="B320">
        <v>-95.995129727577805</v>
      </c>
      <c r="C320" t="s">
        <v>41</v>
      </c>
      <c r="D320" t="s">
        <v>281</v>
      </c>
      <c r="F320" s="21"/>
      <c r="G320" s="16" t="str">
        <f>HYPERLINK("http://maps.google.com/maps?f=q&amp;hl=en&amp;geocode=&amp;q=41.2587064821058,-95.9951297275778")</f>
        <v>http://maps.google.com/maps?f=q&amp;hl=en&amp;geocode=&amp;q=41.2587064821058,-95.9951297275778</v>
      </c>
    </row>
    <row r="321" spans="1:7" ht="15" x14ac:dyDescent="0.3">
      <c r="A321">
        <v>39.95176</v>
      </c>
      <c r="B321">
        <v>-75.228605000000002</v>
      </c>
      <c r="C321" t="s">
        <v>43</v>
      </c>
      <c r="D321" t="s">
        <v>282</v>
      </c>
      <c r="F321" s="21"/>
      <c r="G321" s="16" t="str">
        <f>HYPERLINK("http://maps.google.com/maps?f=q&amp;hl=en&amp;geocode=&amp;q=39.95176,-75.228605")</f>
        <v>http://maps.google.com/maps?f=q&amp;hl=en&amp;geocode=&amp;q=39.95176,-75.228605</v>
      </c>
    </row>
    <row r="322" spans="1:7" ht="15" x14ac:dyDescent="0.3">
      <c r="A322">
        <v>29.583952285976601</v>
      </c>
      <c r="B322">
        <v>-95.479528683276499</v>
      </c>
      <c r="C322" t="s">
        <v>43</v>
      </c>
      <c r="D322" t="s">
        <v>168</v>
      </c>
      <c r="F322" s="21"/>
      <c r="G322" s="16" t="str">
        <f>HYPERLINK("http://maps.google.com/maps?f=q&amp;hl=en&amp;geocode=&amp;q=29.5839522859766,-95.4795286832765")</f>
        <v>http://maps.google.com/maps?f=q&amp;hl=en&amp;geocode=&amp;q=29.5839522859766,-95.4795286832765</v>
      </c>
    </row>
    <row r="323" spans="1:7" ht="15" x14ac:dyDescent="0.3">
      <c r="A323">
        <v>-15.655458450317401</v>
      </c>
      <c r="B323">
        <v>23.671669006347699</v>
      </c>
      <c r="C323" t="s">
        <v>43</v>
      </c>
      <c r="D323" t="s">
        <v>283</v>
      </c>
      <c r="F323" s="21"/>
      <c r="G323" s="16" t="str">
        <f>HYPERLINK("http://maps.google.com/maps?f=q&amp;hl=en&amp;geocode=&amp;q=-15.6554584503174,23.6716690063477")</f>
        <v>http://maps.google.com/maps?f=q&amp;hl=en&amp;geocode=&amp;q=-15.6554584503174,23.6716690063477</v>
      </c>
    </row>
    <row r="324" spans="1:7" ht="15" x14ac:dyDescent="0.3">
      <c r="A324">
        <v>39.941719999999997</v>
      </c>
      <c r="B324">
        <v>-75.228129999999993</v>
      </c>
      <c r="C324" t="s">
        <v>41</v>
      </c>
      <c r="D324" t="s">
        <v>284</v>
      </c>
      <c r="F324" s="21"/>
      <c r="G324" s="16" t="str">
        <f>HYPERLINK("http://maps.google.com/maps?f=q&amp;hl=en&amp;geocode=&amp;q=39.94172,-75.22813")</f>
        <v>http://maps.google.com/maps?f=q&amp;hl=en&amp;geocode=&amp;q=39.94172,-75.22813</v>
      </c>
    </row>
    <row r="325" spans="1:7" ht="15" x14ac:dyDescent="0.3">
      <c r="A325">
        <v>33.6343093697146</v>
      </c>
      <c r="B325">
        <v>-98.431443554428498</v>
      </c>
      <c r="C325" t="s">
        <v>41</v>
      </c>
      <c r="D325" t="s">
        <v>271</v>
      </c>
      <c r="F325" s="21"/>
      <c r="G325" s="16" t="str">
        <f>HYPERLINK("http://maps.google.com/maps?f=q&amp;hl=en&amp;geocode=&amp;q=33.6343093697146,-98.4314435544285")</f>
        <v>http://maps.google.com/maps?f=q&amp;hl=en&amp;geocode=&amp;q=33.6343093697146,-98.4314435544285</v>
      </c>
    </row>
    <row r="326" spans="1:7" ht="15" x14ac:dyDescent="0.3">
      <c r="A326">
        <v>30.949144139765298</v>
      </c>
      <c r="B326">
        <v>-83.369325406518897</v>
      </c>
      <c r="C326" t="s">
        <v>41</v>
      </c>
      <c r="D326" t="s">
        <v>285</v>
      </c>
      <c r="F326" s="21"/>
      <c r="G326" s="16" t="str">
        <f>HYPERLINK("http://maps.google.com/maps?f=q&amp;hl=en&amp;geocode=&amp;q=30.9491441397653,-83.3693254065189")</f>
        <v>http://maps.google.com/maps?f=q&amp;hl=en&amp;geocode=&amp;q=30.9491441397653,-83.3693254065189</v>
      </c>
    </row>
    <row r="327" spans="1:7" ht="15" x14ac:dyDescent="0.3">
      <c r="A327">
        <v>40.303310023342803</v>
      </c>
      <c r="B327">
        <v>-79.402918441827296</v>
      </c>
      <c r="C327" t="s">
        <v>41</v>
      </c>
      <c r="D327" t="s">
        <v>74</v>
      </c>
      <c r="F327" s="21"/>
      <c r="G327" s="16" t="str">
        <f>HYPERLINK("http://maps.google.com/maps?f=q&amp;hl=en&amp;geocode=&amp;q=40.3033100233428,-79.4029184418273")</f>
        <v>http://maps.google.com/maps?f=q&amp;hl=en&amp;geocode=&amp;q=40.3033100233428,-79.4029184418273</v>
      </c>
    </row>
    <row r="328" spans="1:7" ht="15" x14ac:dyDescent="0.3">
      <c r="A328">
        <v>36.263401031494098</v>
      </c>
      <c r="B328">
        <v>-90.292747497558594</v>
      </c>
      <c r="C328" t="s">
        <v>43</v>
      </c>
      <c r="D328" t="s">
        <v>286</v>
      </c>
      <c r="F328" s="21"/>
      <c r="G328" s="16" t="str">
        <f>HYPERLINK("http://maps.google.com/maps?f=q&amp;hl=en&amp;geocode=&amp;q=36.2634010314941,-90.2927474975586")</f>
        <v>http://maps.google.com/maps?f=q&amp;hl=en&amp;geocode=&amp;q=36.2634010314941,-90.2927474975586</v>
      </c>
    </row>
    <row r="329" spans="1:7" ht="15" x14ac:dyDescent="0.3">
      <c r="A329">
        <v>42.470289999999999</v>
      </c>
      <c r="B329">
        <v>-83.077780000000004</v>
      </c>
      <c r="C329" t="s">
        <v>42</v>
      </c>
      <c r="D329" t="s">
        <v>177</v>
      </c>
      <c r="F329" s="21"/>
      <c r="G329" s="16" t="str">
        <f>HYPERLINK("http://maps.google.com/maps?f=q&amp;hl=en&amp;geocode=&amp;q=42.47029,-83.07778")</f>
        <v>http://maps.google.com/maps?f=q&amp;hl=en&amp;geocode=&amp;q=42.47029,-83.07778</v>
      </c>
    </row>
    <row r="330" spans="1:7" ht="15" x14ac:dyDescent="0.3">
      <c r="A330">
        <v>-41.0574340820313</v>
      </c>
      <c r="B330">
        <v>174.876220703125</v>
      </c>
      <c r="C330" t="s">
        <v>41</v>
      </c>
      <c r="D330" t="s">
        <v>287</v>
      </c>
      <c r="F330" s="21"/>
      <c r="G330" s="16" t="str">
        <f>HYPERLINK("http://maps.google.com/maps?f=q&amp;hl=en&amp;geocode=&amp;q=-41.0574340820313,174.876220703125")</f>
        <v>http://maps.google.com/maps?f=q&amp;hl=en&amp;geocode=&amp;q=-41.0574340820313,174.876220703125</v>
      </c>
    </row>
    <row r="331" spans="1:7" ht="15" x14ac:dyDescent="0.3">
      <c r="A331">
        <v>38.3956599751657</v>
      </c>
      <c r="B331">
        <v>-82.559436444366895</v>
      </c>
      <c r="C331" t="s">
        <v>41</v>
      </c>
      <c r="D331" t="s">
        <v>288</v>
      </c>
      <c r="F331" s="21"/>
      <c r="G331" s="16" t="str">
        <f>HYPERLINK("http://maps.google.com/maps?f=q&amp;hl=en&amp;geocode=&amp;q=38.3956599751657,-82.5594364443669")</f>
        <v>http://maps.google.com/maps?f=q&amp;hl=en&amp;geocode=&amp;q=38.3956599751657,-82.5594364443669</v>
      </c>
    </row>
    <row r="332" spans="1:7" ht="15" x14ac:dyDescent="0.3">
      <c r="A332">
        <v>40.105413319456602</v>
      </c>
      <c r="B332">
        <v>-75.3726104567276</v>
      </c>
      <c r="C332" t="s">
        <v>41</v>
      </c>
      <c r="D332" t="s">
        <v>289</v>
      </c>
      <c r="F332" s="21"/>
      <c r="G332" s="16" t="str">
        <f>HYPERLINK("http://maps.google.com/maps?f=q&amp;hl=en&amp;geocode=&amp;q=40.1054133194566,-75.3726104567276")</f>
        <v>http://maps.google.com/maps?f=q&amp;hl=en&amp;geocode=&amp;q=40.1054133194566,-75.3726104567276</v>
      </c>
    </row>
    <row r="333" spans="1:7" ht="15" x14ac:dyDescent="0.3">
      <c r="A333">
        <v>45.648638338202602</v>
      </c>
      <c r="B333">
        <v>-84.502070195098597</v>
      </c>
      <c r="C333" t="s">
        <v>41</v>
      </c>
      <c r="D333" t="s">
        <v>290</v>
      </c>
      <c r="F333" s="21"/>
      <c r="G333" s="16" t="str">
        <f>HYPERLINK("http://maps.google.com/maps?f=q&amp;hl=en&amp;geocode=&amp;q=45.6486383382026,-84.5020701950986")</f>
        <v>http://maps.google.com/maps?f=q&amp;hl=en&amp;geocode=&amp;q=45.6486383382026,-84.5020701950986</v>
      </c>
    </row>
    <row r="334" spans="1:7" ht="15" x14ac:dyDescent="0.3">
      <c r="A334">
        <v>39.952008273889298</v>
      </c>
      <c r="B334">
        <v>-75.2206661315156</v>
      </c>
      <c r="C334" t="s">
        <v>42</v>
      </c>
      <c r="D334" t="s">
        <v>291</v>
      </c>
      <c r="F334" s="21"/>
      <c r="G334" s="16" t="str">
        <f>HYPERLINK("http://maps.google.com/maps?f=q&amp;hl=en&amp;geocode=&amp;q=39.9520082738893,-75.2206661315156")</f>
        <v>http://maps.google.com/maps?f=q&amp;hl=en&amp;geocode=&amp;q=39.9520082738893,-75.2206661315156</v>
      </c>
    </row>
    <row r="335" spans="1:7" ht="15" x14ac:dyDescent="0.3">
      <c r="A335" t="s">
        <v>44</v>
      </c>
      <c r="B335" t="s">
        <v>44</v>
      </c>
      <c r="C335" t="s">
        <v>44</v>
      </c>
      <c r="D335" t="s">
        <v>292</v>
      </c>
      <c r="F335" s="21"/>
      <c r="G335" s="16"/>
    </row>
    <row r="336" spans="1:7" ht="15" x14ac:dyDescent="0.3">
      <c r="A336">
        <v>-33.138832092285199</v>
      </c>
      <c r="B336">
        <v>137.29994201660199</v>
      </c>
      <c r="C336" t="s">
        <v>41</v>
      </c>
      <c r="D336" t="s">
        <v>293</v>
      </c>
      <c r="F336" s="21"/>
      <c r="G336" s="16" t="str">
        <f>HYPERLINK("http://maps.google.com/maps?f=q&amp;hl=en&amp;geocode=&amp;q=-33.1388320922852,137.299942016602")</f>
        <v>http://maps.google.com/maps?f=q&amp;hl=en&amp;geocode=&amp;q=-33.1388320922852,137.299942016602</v>
      </c>
    </row>
    <row r="337" spans="1:7" ht="15" x14ac:dyDescent="0.3">
      <c r="A337">
        <v>39.084159999999997</v>
      </c>
      <c r="B337">
        <v>-94.70326</v>
      </c>
      <c r="C337" t="s">
        <v>42</v>
      </c>
      <c r="D337" t="s">
        <v>294</v>
      </c>
      <c r="F337" s="21"/>
      <c r="G337" s="16" t="str">
        <f>HYPERLINK("http://maps.google.com/maps?f=q&amp;hl=en&amp;geocode=&amp;q=39.08416,-94.70326")</f>
        <v>http://maps.google.com/maps?f=q&amp;hl=en&amp;geocode=&amp;q=39.08416,-94.70326</v>
      </c>
    </row>
    <row r="338" spans="1:7" ht="15" x14ac:dyDescent="0.3">
      <c r="A338">
        <v>42.549280000000003</v>
      </c>
      <c r="B338">
        <v>-114.53552000000001</v>
      </c>
      <c r="C338" t="s">
        <v>43</v>
      </c>
      <c r="D338" t="s">
        <v>295</v>
      </c>
      <c r="F338" s="21"/>
      <c r="G338" s="16" t="str">
        <f>HYPERLINK("http://maps.google.com/maps?f=q&amp;hl=en&amp;geocode=&amp;q=42.54928,-114.53552")</f>
        <v>http://maps.google.com/maps?f=q&amp;hl=en&amp;geocode=&amp;q=42.54928,-114.53552</v>
      </c>
    </row>
    <row r="339" spans="1:7" ht="15" x14ac:dyDescent="0.3">
      <c r="A339">
        <v>33.650739999999999</v>
      </c>
      <c r="B339">
        <v>-81.37482</v>
      </c>
      <c r="C339" t="s">
        <v>41</v>
      </c>
      <c r="D339" t="s">
        <v>296</v>
      </c>
      <c r="F339" s="21"/>
      <c r="G339" s="16" t="str">
        <f>HYPERLINK("http://maps.google.com/maps?f=q&amp;hl=en&amp;geocode=&amp;q=33.65074,-81.37482")</f>
        <v>http://maps.google.com/maps?f=q&amp;hl=en&amp;geocode=&amp;q=33.65074,-81.37482</v>
      </c>
    </row>
    <row r="340" spans="1:7" ht="15" x14ac:dyDescent="0.3">
      <c r="A340">
        <v>43.321670532226598</v>
      </c>
      <c r="B340">
        <v>-92.866836547851605</v>
      </c>
      <c r="C340" t="s">
        <v>43</v>
      </c>
      <c r="D340" t="s">
        <v>297</v>
      </c>
      <c r="F340" s="21"/>
      <c r="G340" s="16" t="str">
        <f>HYPERLINK("http://maps.google.com/maps?f=q&amp;hl=en&amp;geocode=&amp;q=43.3216705322266,-92.8668365478516")</f>
        <v>http://maps.google.com/maps?f=q&amp;hl=en&amp;geocode=&amp;q=43.3216705322266,-92.8668365478516</v>
      </c>
    </row>
    <row r="341" spans="1:7" ht="15" x14ac:dyDescent="0.3">
      <c r="A341">
        <v>-31.964845657348601</v>
      </c>
      <c r="B341">
        <v>115.895874023438</v>
      </c>
      <c r="C341" t="s">
        <v>41</v>
      </c>
      <c r="D341" t="s">
        <v>129</v>
      </c>
      <c r="F341" s="21"/>
      <c r="G341" s="16" t="str">
        <f>HYPERLINK("http://maps.google.com/maps?f=q&amp;hl=en&amp;geocode=&amp;q=-31.9648456573486,115.895874023438")</f>
        <v>http://maps.google.com/maps?f=q&amp;hl=en&amp;geocode=&amp;q=-31.9648456573486,115.895874023438</v>
      </c>
    </row>
    <row r="342" spans="1:7" ht="15" x14ac:dyDescent="0.3">
      <c r="A342">
        <v>35.076482063598398</v>
      </c>
      <c r="B342">
        <v>-88.251108870814093</v>
      </c>
      <c r="C342" t="s">
        <v>41</v>
      </c>
      <c r="D342" t="s">
        <v>298</v>
      </c>
      <c r="F342" s="21"/>
      <c r="G342" s="16" t="str">
        <f>HYPERLINK("http://maps.google.com/maps?f=q&amp;hl=en&amp;geocode=&amp;q=35.0764820635984,-88.2511088708141")</f>
        <v>http://maps.google.com/maps?f=q&amp;hl=en&amp;geocode=&amp;q=35.0764820635984,-88.2511088708141</v>
      </c>
    </row>
    <row r="343" spans="1:7" ht="15" x14ac:dyDescent="0.3">
      <c r="A343">
        <v>55.444400787353501</v>
      </c>
      <c r="B343">
        <v>11.5437002182007</v>
      </c>
      <c r="C343" t="s">
        <v>41</v>
      </c>
      <c r="D343" t="s">
        <v>299</v>
      </c>
      <c r="F343" s="21"/>
      <c r="G343" s="16" t="str">
        <f>HYPERLINK("http://maps.google.com/maps?f=q&amp;hl=en&amp;geocode=&amp;q=55.4444007873535,11.5437002182007")</f>
        <v>http://maps.google.com/maps?f=q&amp;hl=en&amp;geocode=&amp;q=55.4444007873535,11.5437002182007</v>
      </c>
    </row>
    <row r="344" spans="1:7" ht="15" x14ac:dyDescent="0.3">
      <c r="A344">
        <v>40.035789999999999</v>
      </c>
      <c r="B344">
        <v>-75.226730000000003</v>
      </c>
      <c r="C344" t="s">
        <v>42</v>
      </c>
      <c r="D344" t="s">
        <v>300</v>
      </c>
      <c r="F344" s="21"/>
      <c r="G344" s="16" t="str">
        <f>HYPERLINK("http://maps.google.com/maps?f=q&amp;hl=en&amp;geocode=&amp;q=40.03579,-75.22673")</f>
        <v>http://maps.google.com/maps?f=q&amp;hl=en&amp;geocode=&amp;q=40.03579,-75.22673</v>
      </c>
    </row>
    <row r="345" spans="1:7" ht="15" x14ac:dyDescent="0.3">
      <c r="A345">
        <v>-37.884498596191399</v>
      </c>
      <c r="B345">
        <v>175.48199462890599</v>
      </c>
      <c r="C345" t="s">
        <v>41</v>
      </c>
      <c r="D345" t="s">
        <v>301</v>
      </c>
      <c r="F345" s="21"/>
      <c r="G345" s="16" t="str">
        <f>HYPERLINK("http://maps.google.com/maps?f=q&amp;hl=en&amp;geocode=&amp;q=-37.8844985961914,175.481994628906")</f>
        <v>http://maps.google.com/maps?f=q&amp;hl=en&amp;geocode=&amp;q=-37.8844985961914,175.481994628906</v>
      </c>
    </row>
    <row r="346" spans="1:7" ht="15" x14ac:dyDescent="0.3">
      <c r="A346">
        <v>37.623112263959001</v>
      </c>
      <c r="B346">
        <v>-77.376379279567601</v>
      </c>
      <c r="C346" t="s">
        <v>43</v>
      </c>
      <c r="D346" t="s">
        <v>302</v>
      </c>
      <c r="F346" s="21"/>
      <c r="G346" s="16" t="str">
        <f>HYPERLINK("http://maps.google.com/maps?f=q&amp;hl=en&amp;geocode=&amp;q=37.623112263959,-77.3763792795676")</f>
        <v>http://maps.google.com/maps?f=q&amp;hl=en&amp;geocode=&amp;q=37.623112263959,-77.3763792795676</v>
      </c>
    </row>
    <row r="347" spans="1:7" ht="15" x14ac:dyDescent="0.3">
      <c r="A347">
        <v>40.030993699932402</v>
      </c>
      <c r="B347">
        <v>-75.228703371134998</v>
      </c>
      <c r="C347" t="s">
        <v>41</v>
      </c>
      <c r="D347" t="s">
        <v>303</v>
      </c>
      <c r="F347" s="21"/>
      <c r="G347" s="16" t="str">
        <f>HYPERLINK("http://maps.google.com/maps?f=q&amp;hl=en&amp;geocode=&amp;q=40.0309936999324,-75.228703371135")</f>
        <v>http://maps.google.com/maps?f=q&amp;hl=en&amp;geocode=&amp;q=40.0309936999324,-75.228703371135</v>
      </c>
    </row>
    <row r="348" spans="1:7" ht="15" x14ac:dyDescent="0.3">
      <c r="A348">
        <v>42.982892234619001</v>
      </c>
      <c r="B348">
        <v>-95.623861177090802</v>
      </c>
      <c r="C348" t="s">
        <v>41</v>
      </c>
      <c r="D348" t="s">
        <v>70</v>
      </c>
      <c r="F348" s="21"/>
      <c r="G348" s="16" t="str">
        <f>HYPERLINK("http://maps.google.com/maps?f=q&amp;hl=en&amp;geocode=&amp;q=42.982892234619,-95.6238611770908")</f>
        <v>http://maps.google.com/maps?f=q&amp;hl=en&amp;geocode=&amp;q=42.982892234619,-95.6238611770908</v>
      </c>
    </row>
    <row r="349" spans="1:7" ht="15" x14ac:dyDescent="0.3">
      <c r="A349">
        <v>30.058877140194099</v>
      </c>
      <c r="B349">
        <v>-90.433201953150501</v>
      </c>
      <c r="C349" t="s">
        <v>41</v>
      </c>
      <c r="D349" t="s">
        <v>304</v>
      </c>
      <c r="F349" s="21"/>
      <c r="G349" s="16" t="str">
        <f>HYPERLINK("http://maps.google.com/maps?f=q&amp;hl=en&amp;geocode=&amp;q=30.0588771401941,-90.4332019531505")</f>
        <v>http://maps.google.com/maps?f=q&amp;hl=en&amp;geocode=&amp;q=30.0588771401941,-90.4332019531505</v>
      </c>
    </row>
    <row r="350" spans="1:7" ht="15" x14ac:dyDescent="0.3">
      <c r="A350">
        <v>43.011972604735703</v>
      </c>
      <c r="B350">
        <v>-95.6239095526076</v>
      </c>
      <c r="C350" t="s">
        <v>41</v>
      </c>
      <c r="D350" t="s">
        <v>228</v>
      </c>
      <c r="F350" s="21"/>
      <c r="G350" s="16" t="str">
        <f>HYPERLINK("http://maps.google.com/maps?f=q&amp;hl=en&amp;geocode=&amp;q=43.0119726047357,-95.6239095526076")</f>
        <v>http://maps.google.com/maps?f=q&amp;hl=en&amp;geocode=&amp;q=43.0119726047357,-95.6239095526076</v>
      </c>
    </row>
    <row r="351" spans="1:7" ht="15" x14ac:dyDescent="0.3">
      <c r="A351">
        <v>43.26088</v>
      </c>
      <c r="B351">
        <v>-112.14492</v>
      </c>
      <c r="C351" t="s">
        <v>42</v>
      </c>
      <c r="D351" t="s">
        <v>305</v>
      </c>
      <c r="F351" s="21"/>
      <c r="G351" s="16" t="str">
        <f>HYPERLINK("http://maps.google.com/maps?f=q&amp;hl=en&amp;geocode=&amp;q=43.26088,-112.14492")</f>
        <v>http://maps.google.com/maps?f=q&amp;hl=en&amp;geocode=&amp;q=43.26088,-112.14492</v>
      </c>
    </row>
    <row r="352" spans="1:7" ht="15" x14ac:dyDescent="0.3">
      <c r="A352">
        <v>-32.476999900000003</v>
      </c>
      <c r="B352">
        <v>115.78574</v>
      </c>
      <c r="C352" t="s">
        <v>41</v>
      </c>
      <c r="D352" t="s">
        <v>306</v>
      </c>
      <c r="F352" s="21"/>
      <c r="G352" s="16" t="str">
        <f>HYPERLINK("http://maps.google.com/maps?f=q&amp;hl=en&amp;geocode=&amp;q=-32.4769999,115.78574")</f>
        <v>http://maps.google.com/maps?f=q&amp;hl=en&amp;geocode=&amp;q=-32.4769999,115.78574</v>
      </c>
    </row>
    <row r="353" spans="1:7" ht="15" x14ac:dyDescent="0.3">
      <c r="A353">
        <v>54.841087341308601</v>
      </c>
      <c r="B353">
        <v>11.161624908447299</v>
      </c>
      <c r="C353" t="s">
        <v>41</v>
      </c>
      <c r="D353" t="s">
        <v>307</v>
      </c>
      <c r="F353" s="21"/>
      <c r="G353" s="16" t="str">
        <f>HYPERLINK("http://maps.google.com/maps?f=q&amp;hl=en&amp;geocode=&amp;q=54.8410873413086,11.1616249084473")</f>
        <v>http://maps.google.com/maps?f=q&amp;hl=en&amp;geocode=&amp;q=54.8410873413086,11.1616249084473</v>
      </c>
    </row>
    <row r="354" spans="1:7" ht="15" x14ac:dyDescent="0.3">
      <c r="A354">
        <v>36.385362880786403</v>
      </c>
      <c r="B354">
        <v>-78.626081207609204</v>
      </c>
      <c r="C354" t="s">
        <v>41</v>
      </c>
      <c r="D354" t="s">
        <v>308</v>
      </c>
      <c r="F354" s="21"/>
      <c r="G354" s="16" t="str">
        <f>HYPERLINK("http://maps.google.com/maps?f=q&amp;hl=en&amp;geocode=&amp;q=36.3853628807864,-78.6260812076092")</f>
        <v>http://maps.google.com/maps?f=q&amp;hl=en&amp;geocode=&amp;q=36.3853628807864,-78.6260812076092</v>
      </c>
    </row>
    <row r="355" spans="1:7" ht="15" x14ac:dyDescent="0.3">
      <c r="A355">
        <v>40.098739234895</v>
      </c>
      <c r="B355">
        <v>-75.030399858481204</v>
      </c>
      <c r="C355" t="s">
        <v>41</v>
      </c>
      <c r="D355" t="s">
        <v>309</v>
      </c>
      <c r="F355" s="21"/>
      <c r="G355" s="16" t="str">
        <f>HYPERLINK("http://maps.google.com/maps?f=q&amp;hl=en&amp;geocode=&amp;q=40.098739234895,-75.0303998584812")</f>
        <v>http://maps.google.com/maps?f=q&amp;hl=en&amp;geocode=&amp;q=40.098739234895,-75.0303998584812</v>
      </c>
    </row>
    <row r="356" spans="1:7" ht="15" x14ac:dyDescent="0.3">
      <c r="A356">
        <v>-32.476999900000003</v>
      </c>
      <c r="B356">
        <v>115.78574</v>
      </c>
      <c r="C356" t="s">
        <v>41</v>
      </c>
      <c r="D356" t="s">
        <v>306</v>
      </c>
      <c r="F356" s="21"/>
      <c r="G356" s="16" t="str">
        <f>HYPERLINK("http://maps.google.com/maps?f=q&amp;hl=en&amp;geocode=&amp;q=-32.4769999,115.78574")</f>
        <v>http://maps.google.com/maps?f=q&amp;hl=en&amp;geocode=&amp;q=-32.4769999,115.78574</v>
      </c>
    </row>
    <row r="357" spans="1:7" ht="15" x14ac:dyDescent="0.3">
      <c r="A357">
        <v>40.009125394058501</v>
      </c>
      <c r="B357">
        <v>-75.102381498165798</v>
      </c>
      <c r="C357" t="s">
        <v>43</v>
      </c>
      <c r="D357" t="s">
        <v>310</v>
      </c>
      <c r="F357" s="21"/>
      <c r="G357" s="16" t="str">
        <f>HYPERLINK("http://maps.google.com/maps?f=q&amp;hl=en&amp;geocode=&amp;q=40.0091253940585,-75.1023814981658")</f>
        <v>http://maps.google.com/maps?f=q&amp;hl=en&amp;geocode=&amp;q=40.0091253940585,-75.1023814981658</v>
      </c>
    </row>
    <row r="358" spans="1:7" ht="15" x14ac:dyDescent="0.3">
      <c r="A358">
        <v>42.332630027895704</v>
      </c>
      <c r="B358">
        <v>-77.287630299464197</v>
      </c>
      <c r="C358" t="s">
        <v>41</v>
      </c>
      <c r="D358" t="s">
        <v>311</v>
      </c>
      <c r="F358" s="21"/>
      <c r="G358" s="16" t="str">
        <f>HYPERLINK("http://maps.google.com/maps?f=q&amp;hl=en&amp;geocode=&amp;q=42.3326300278957,-77.2876302994642")</f>
        <v>http://maps.google.com/maps?f=q&amp;hl=en&amp;geocode=&amp;q=42.3326300278957,-77.2876302994642</v>
      </c>
    </row>
    <row r="359" spans="1:7" ht="15" x14ac:dyDescent="0.3">
      <c r="A359">
        <v>-32.139159900000003</v>
      </c>
      <c r="B359">
        <v>133.67353</v>
      </c>
      <c r="C359" t="s">
        <v>41</v>
      </c>
      <c r="D359" t="s">
        <v>312</v>
      </c>
      <c r="F359" s="21"/>
      <c r="G359" s="16" t="str">
        <f>HYPERLINK("http://maps.google.com/maps?f=q&amp;hl=en&amp;geocode=&amp;q=-32.1391599,133.67353")</f>
        <v>http://maps.google.com/maps?f=q&amp;hl=en&amp;geocode=&amp;q=-32.1391599,133.67353</v>
      </c>
    </row>
    <row r="360" spans="1:7" ht="15" x14ac:dyDescent="0.3">
      <c r="A360">
        <v>39.975760000000001</v>
      </c>
      <c r="B360">
        <v>-75.241799999999998</v>
      </c>
      <c r="C360" t="s">
        <v>43</v>
      </c>
      <c r="D360" t="s">
        <v>313</v>
      </c>
      <c r="F360" s="21"/>
      <c r="G360" s="16" t="str">
        <f>HYPERLINK("http://maps.google.com/maps?f=q&amp;hl=en&amp;geocode=&amp;q=39.97576,-75.2418")</f>
        <v>http://maps.google.com/maps?f=q&amp;hl=en&amp;geocode=&amp;q=39.97576,-75.2418</v>
      </c>
    </row>
    <row r="361" spans="1:7" ht="15" x14ac:dyDescent="0.3">
      <c r="A361">
        <v>32.990949999999998</v>
      </c>
      <c r="B361">
        <v>-97.446380000000005</v>
      </c>
      <c r="C361" t="s">
        <v>42</v>
      </c>
      <c r="D361" t="s">
        <v>314</v>
      </c>
      <c r="F361" s="21"/>
      <c r="G361" s="16" t="str">
        <f>HYPERLINK("http://maps.google.com/maps?f=q&amp;hl=en&amp;geocode=&amp;q=32.99095,-97.44638")</f>
        <v>http://maps.google.com/maps?f=q&amp;hl=en&amp;geocode=&amp;q=32.99095,-97.44638</v>
      </c>
    </row>
    <row r="362" spans="1:7" ht="15" x14ac:dyDescent="0.3">
      <c r="A362">
        <v>39.970370000000003</v>
      </c>
      <c r="B362">
        <v>-75.245140000000006</v>
      </c>
      <c r="C362" t="s">
        <v>43</v>
      </c>
      <c r="D362" t="s">
        <v>315</v>
      </c>
      <c r="F362" s="21"/>
      <c r="G362" s="16" t="str">
        <f>HYPERLINK("http://maps.google.com/maps?f=q&amp;hl=en&amp;geocode=&amp;q=39.97037,-75.24514")</f>
        <v>http://maps.google.com/maps?f=q&amp;hl=en&amp;geocode=&amp;q=39.97037,-75.24514</v>
      </c>
    </row>
    <row r="363" spans="1:7" ht="15" x14ac:dyDescent="0.3">
      <c r="A363">
        <v>37.6307527593533</v>
      </c>
      <c r="B363">
        <v>-80.985487552934401</v>
      </c>
      <c r="C363" t="s">
        <v>41</v>
      </c>
      <c r="D363" t="s">
        <v>84</v>
      </c>
      <c r="F363" s="21"/>
      <c r="G363" s="16" t="str">
        <f>HYPERLINK("http://maps.google.com/maps?f=q&amp;hl=en&amp;geocode=&amp;q=37.6307527593533,-80.9854875529344")</f>
        <v>http://maps.google.com/maps?f=q&amp;hl=en&amp;geocode=&amp;q=37.6307527593533,-80.9854875529344</v>
      </c>
    </row>
    <row r="364" spans="1:7" ht="15" x14ac:dyDescent="0.3">
      <c r="A364">
        <v>-31.950477600097699</v>
      </c>
      <c r="B364">
        <v>115.86053466796901</v>
      </c>
      <c r="C364" t="s">
        <v>43</v>
      </c>
      <c r="D364" t="s">
        <v>316</v>
      </c>
      <c r="F364" s="21"/>
      <c r="G364" s="16" t="str">
        <f>HYPERLINK("http://maps.google.com/maps?f=q&amp;hl=en&amp;geocode=&amp;q=-31.9504776000977,115.860534667969")</f>
        <v>http://maps.google.com/maps?f=q&amp;hl=en&amp;geocode=&amp;q=-31.9504776000977,115.860534667969</v>
      </c>
    </row>
    <row r="365" spans="1:7" ht="15" x14ac:dyDescent="0.3">
      <c r="A365">
        <v>39.801048278808601</v>
      </c>
      <c r="B365">
        <v>-89.643600463867202</v>
      </c>
      <c r="C365" t="s">
        <v>41</v>
      </c>
      <c r="D365" t="s">
        <v>317</v>
      </c>
      <c r="F365" s="21"/>
      <c r="G365" s="16" t="str">
        <f>HYPERLINK("http://maps.google.com/maps?f=q&amp;hl=en&amp;geocode=&amp;q=39.8010482788086,-89.6436004638672")</f>
        <v>http://maps.google.com/maps?f=q&amp;hl=en&amp;geocode=&amp;q=39.8010482788086,-89.6436004638672</v>
      </c>
    </row>
    <row r="366" spans="1:7" ht="15" x14ac:dyDescent="0.3">
      <c r="A366">
        <v>39.684371948242202</v>
      </c>
      <c r="B366">
        <v>21.8974094390869</v>
      </c>
      <c r="C366" t="s">
        <v>41</v>
      </c>
      <c r="D366" t="s">
        <v>318</v>
      </c>
      <c r="F366" s="21"/>
      <c r="G366" s="16" t="str">
        <f>HYPERLINK("http://maps.google.com/maps?f=q&amp;hl=en&amp;geocode=&amp;q=39.6843719482422,21.8974094390869")</f>
        <v>http://maps.google.com/maps?f=q&amp;hl=en&amp;geocode=&amp;q=39.6843719482422,21.8974094390869</v>
      </c>
    </row>
    <row r="367" spans="1:7" ht="15" x14ac:dyDescent="0.3">
      <c r="A367">
        <v>39.948359748369803</v>
      </c>
      <c r="B367">
        <v>-75.2397064042935</v>
      </c>
      <c r="C367" t="s">
        <v>41</v>
      </c>
      <c r="D367" t="s">
        <v>319</v>
      </c>
      <c r="F367" s="21"/>
      <c r="G367" s="16" t="str">
        <f>HYPERLINK("http://maps.google.com/maps?f=q&amp;hl=en&amp;geocode=&amp;q=39.9483597483698,-75.2397064042935")</f>
        <v>http://maps.google.com/maps?f=q&amp;hl=en&amp;geocode=&amp;q=39.9483597483698,-75.2397064042935</v>
      </c>
    </row>
    <row r="368" spans="1:7" ht="15" x14ac:dyDescent="0.3">
      <c r="A368">
        <v>32.751150925678999</v>
      </c>
      <c r="B368">
        <v>-93.832936636138498</v>
      </c>
      <c r="C368" t="s">
        <v>41</v>
      </c>
      <c r="D368" t="s">
        <v>320</v>
      </c>
      <c r="F368" s="21"/>
      <c r="G368" s="16" t="str">
        <f>HYPERLINK("http://maps.google.com/maps?f=q&amp;hl=en&amp;geocode=&amp;q=32.751150925679,-93.8329366361385")</f>
        <v>http://maps.google.com/maps?f=q&amp;hl=en&amp;geocode=&amp;q=32.751150925679,-93.8329366361385</v>
      </c>
    </row>
    <row r="369" spans="1:7" ht="15" x14ac:dyDescent="0.3">
      <c r="A369">
        <v>35.514073333543699</v>
      </c>
      <c r="B369">
        <v>-108.739489080844</v>
      </c>
      <c r="C369" t="s">
        <v>43</v>
      </c>
      <c r="D369" t="s">
        <v>321</v>
      </c>
      <c r="F369" s="21"/>
      <c r="G369" s="16" t="str">
        <f>HYPERLINK("http://maps.google.com/maps?f=q&amp;hl=en&amp;geocode=&amp;q=35.5140733335437,-108.739489080844")</f>
        <v>http://maps.google.com/maps?f=q&amp;hl=en&amp;geocode=&amp;q=35.5140733335437,-108.739489080844</v>
      </c>
    </row>
    <row r="370" spans="1:7" ht="15" x14ac:dyDescent="0.3">
      <c r="A370">
        <v>35.514073333543699</v>
      </c>
      <c r="B370">
        <v>-108.739489080844</v>
      </c>
      <c r="C370" t="s">
        <v>43</v>
      </c>
      <c r="D370" t="s">
        <v>321</v>
      </c>
      <c r="F370" s="21"/>
      <c r="G370" s="16" t="str">
        <f>HYPERLINK("http://maps.google.com/maps?f=q&amp;hl=en&amp;geocode=&amp;q=35.5140733335437,-108.739489080844")</f>
        <v>http://maps.google.com/maps?f=q&amp;hl=en&amp;geocode=&amp;q=35.5140733335437,-108.739489080844</v>
      </c>
    </row>
    <row r="371" spans="1:7" ht="15" x14ac:dyDescent="0.3">
      <c r="A371">
        <v>35.514073333543699</v>
      </c>
      <c r="B371">
        <v>-108.739489080844</v>
      </c>
      <c r="C371" t="s">
        <v>43</v>
      </c>
      <c r="D371" t="s">
        <v>321</v>
      </c>
      <c r="F371" s="21"/>
      <c r="G371" s="16" t="str">
        <f>HYPERLINK("http://maps.google.com/maps?f=q&amp;hl=en&amp;geocode=&amp;q=35.5140733335437,-108.739489080844")</f>
        <v>http://maps.google.com/maps?f=q&amp;hl=en&amp;geocode=&amp;q=35.5140733335437,-108.739489080844</v>
      </c>
    </row>
    <row r="372" spans="1:7" ht="15" x14ac:dyDescent="0.3">
      <c r="A372">
        <v>55.709686279296903</v>
      </c>
      <c r="B372">
        <v>11.7013349533081</v>
      </c>
      <c r="C372" t="s">
        <v>41</v>
      </c>
      <c r="D372" t="s">
        <v>322</v>
      </c>
      <c r="F372" s="21"/>
      <c r="G372" s="16" t="str">
        <f>HYPERLINK("http://maps.google.com/maps?f=q&amp;hl=en&amp;geocode=&amp;q=55.7096862792969,11.7013349533081")</f>
        <v>http://maps.google.com/maps?f=q&amp;hl=en&amp;geocode=&amp;q=55.7096862792969,11.7013349533081</v>
      </c>
    </row>
    <row r="373" spans="1:7" ht="15" x14ac:dyDescent="0.3">
      <c r="A373">
        <v>37.6307527593533</v>
      </c>
      <c r="B373">
        <v>-80.985487552934401</v>
      </c>
      <c r="C373" t="s">
        <v>41</v>
      </c>
      <c r="D373" t="s">
        <v>84</v>
      </c>
      <c r="F373" s="21"/>
      <c r="G373" s="16" t="str">
        <f>HYPERLINK("http://maps.google.com/maps?f=q&amp;hl=en&amp;geocode=&amp;q=37.6307527593533,-80.9854875529344")</f>
        <v>http://maps.google.com/maps?f=q&amp;hl=en&amp;geocode=&amp;q=37.6307527593533,-80.9854875529344</v>
      </c>
    </row>
    <row r="374" spans="1:7" ht="15" x14ac:dyDescent="0.3">
      <c r="A374">
        <v>33.625079999999997</v>
      </c>
      <c r="B374">
        <v>-112.20246</v>
      </c>
      <c r="C374" t="s">
        <v>43</v>
      </c>
      <c r="D374" t="s">
        <v>323</v>
      </c>
      <c r="F374" s="21"/>
      <c r="G374" s="16" t="str">
        <f>HYPERLINK("http://maps.google.com/maps?f=q&amp;hl=en&amp;geocode=&amp;q=33.62508,-112.20246")</f>
        <v>http://maps.google.com/maps?f=q&amp;hl=en&amp;geocode=&amp;q=33.62508,-112.20246</v>
      </c>
    </row>
    <row r="375" spans="1:7" ht="15" x14ac:dyDescent="0.3">
      <c r="A375">
        <v>39.927219999999998</v>
      </c>
      <c r="B375">
        <v>-75.236270000000005</v>
      </c>
      <c r="C375" t="s">
        <v>43</v>
      </c>
      <c r="D375" t="s">
        <v>324</v>
      </c>
      <c r="F375" s="21"/>
      <c r="G375" s="16" t="str">
        <f>HYPERLINK("http://maps.google.com/maps?f=q&amp;hl=en&amp;geocode=&amp;q=39.92722,-75.23627")</f>
        <v>http://maps.google.com/maps?f=q&amp;hl=en&amp;geocode=&amp;q=39.92722,-75.23627</v>
      </c>
    </row>
    <row r="376" spans="1:7" ht="15" x14ac:dyDescent="0.3">
      <c r="A376">
        <v>44.3056541100621</v>
      </c>
      <c r="B376">
        <v>-91.997303565719207</v>
      </c>
      <c r="C376" t="s">
        <v>41</v>
      </c>
      <c r="D376" t="s">
        <v>325</v>
      </c>
      <c r="F376" s="21"/>
      <c r="G376" s="16" t="str">
        <f>HYPERLINK("http://maps.google.com/maps?f=q&amp;hl=en&amp;geocode=&amp;q=44.3056541100621,-91.9973035657192")</f>
        <v>http://maps.google.com/maps?f=q&amp;hl=en&amp;geocode=&amp;q=44.3056541100621,-91.9973035657192</v>
      </c>
    </row>
    <row r="377" spans="1:7" ht="15" x14ac:dyDescent="0.3">
      <c r="A377">
        <v>33.406871511554002</v>
      </c>
      <c r="B377">
        <v>-111.643169265464</v>
      </c>
      <c r="C377" t="s">
        <v>41</v>
      </c>
      <c r="D377" t="s">
        <v>326</v>
      </c>
      <c r="F377" s="21"/>
      <c r="G377" s="16" t="str">
        <f>HYPERLINK("http://maps.google.com/maps?f=q&amp;hl=en&amp;geocode=&amp;q=33.406871511554,-111.643169265464")</f>
        <v>http://maps.google.com/maps?f=q&amp;hl=en&amp;geocode=&amp;q=33.406871511554,-111.643169265464</v>
      </c>
    </row>
    <row r="378" spans="1:7" ht="15" x14ac:dyDescent="0.3">
      <c r="A378">
        <v>43.050577264096503</v>
      </c>
      <c r="B378">
        <v>-83.719408959556304</v>
      </c>
      <c r="C378" t="s">
        <v>41</v>
      </c>
      <c r="D378" t="s">
        <v>327</v>
      </c>
      <c r="F378" s="21"/>
      <c r="G378" s="16" t="str">
        <f>HYPERLINK("http://maps.google.com/maps?f=q&amp;hl=en&amp;geocode=&amp;q=43.0505772640965,-83.7194089595563")</f>
        <v>http://maps.google.com/maps?f=q&amp;hl=en&amp;geocode=&amp;q=43.0505772640965,-83.7194089595563</v>
      </c>
    </row>
    <row r="379" spans="1:7" ht="15" x14ac:dyDescent="0.3">
      <c r="A379">
        <v>-28.433322906494102</v>
      </c>
      <c r="B379">
        <v>21.270805358886701</v>
      </c>
      <c r="C379" t="s">
        <v>43</v>
      </c>
      <c r="D379" t="s">
        <v>328</v>
      </c>
      <c r="F379" s="21"/>
      <c r="G379" s="16" t="str">
        <f>HYPERLINK("http://maps.google.com/maps?f=q&amp;hl=en&amp;geocode=&amp;q=-28.4333229064941,21.2708053588867")</f>
        <v>http://maps.google.com/maps?f=q&amp;hl=en&amp;geocode=&amp;q=-28.4333229064941,21.2708053588867</v>
      </c>
    </row>
    <row r="380" spans="1:7" ht="15" x14ac:dyDescent="0.3">
      <c r="A380">
        <v>37.15155</v>
      </c>
      <c r="B380">
        <v>-77.300139999999999</v>
      </c>
      <c r="C380" t="s">
        <v>41</v>
      </c>
      <c r="D380" t="s">
        <v>329</v>
      </c>
      <c r="F380" s="21"/>
      <c r="G380" s="16" t="str">
        <f>HYPERLINK("http://maps.google.com/maps?f=q&amp;hl=en&amp;geocode=&amp;q=37.15155,-77.30014")</f>
        <v>http://maps.google.com/maps?f=q&amp;hl=en&amp;geocode=&amp;q=37.15155,-77.30014</v>
      </c>
    </row>
    <row r="381" spans="1:7" ht="15" x14ac:dyDescent="0.3">
      <c r="A381">
        <v>34.753895960092699</v>
      </c>
      <c r="B381">
        <v>-106.75541715611</v>
      </c>
      <c r="C381" t="s">
        <v>41</v>
      </c>
      <c r="D381" t="s">
        <v>330</v>
      </c>
      <c r="F381" s="21"/>
      <c r="G381" s="16" t="str">
        <f>HYPERLINK("http://maps.google.com/maps?f=q&amp;hl=en&amp;geocode=&amp;q=34.7538959600927,-106.75541715611")</f>
        <v>http://maps.google.com/maps?f=q&amp;hl=en&amp;geocode=&amp;q=34.7538959600927,-106.75541715611</v>
      </c>
    </row>
    <row r="382" spans="1:7" ht="15" x14ac:dyDescent="0.3">
      <c r="A382">
        <v>36.066762645677201</v>
      </c>
      <c r="B382">
        <v>-79.397047552247798</v>
      </c>
      <c r="C382" t="s">
        <v>41</v>
      </c>
      <c r="D382" t="s">
        <v>331</v>
      </c>
      <c r="F382" s="21"/>
      <c r="G382" s="16" t="str">
        <f>HYPERLINK("http://maps.google.com/maps?f=q&amp;hl=en&amp;geocode=&amp;q=36.0667626456772,-79.3970475522478")</f>
        <v>http://maps.google.com/maps?f=q&amp;hl=en&amp;geocode=&amp;q=36.0667626456772,-79.3970475522478</v>
      </c>
    </row>
    <row r="383" spans="1:7" ht="15" x14ac:dyDescent="0.3">
      <c r="A383">
        <v>39.402630000000002</v>
      </c>
      <c r="B383">
        <v>-76.609920000000002</v>
      </c>
      <c r="C383" t="s">
        <v>41</v>
      </c>
      <c r="D383" t="s">
        <v>332</v>
      </c>
      <c r="F383" s="21"/>
      <c r="G383" s="16" t="str">
        <f>HYPERLINK("http://maps.google.com/maps?f=q&amp;hl=en&amp;geocode=&amp;q=39.40263,-76.60992")</f>
        <v>http://maps.google.com/maps?f=q&amp;hl=en&amp;geocode=&amp;q=39.40263,-76.60992</v>
      </c>
    </row>
    <row r="384" spans="1:7" ht="15" x14ac:dyDescent="0.3">
      <c r="A384">
        <v>40.020454357963601</v>
      </c>
      <c r="B384">
        <v>-75.209858375107004</v>
      </c>
      <c r="C384" t="s">
        <v>41</v>
      </c>
      <c r="D384" t="s">
        <v>333</v>
      </c>
      <c r="F384" s="21"/>
      <c r="G384" s="16" t="str">
        <f>HYPERLINK("http://maps.google.com/maps?f=q&amp;hl=en&amp;geocode=&amp;q=40.0204543579636,-75.209858375107")</f>
        <v>http://maps.google.com/maps?f=q&amp;hl=en&amp;geocode=&amp;q=40.0204543579636,-75.209858375107</v>
      </c>
    </row>
    <row r="385" spans="1:7" ht="15" x14ac:dyDescent="0.3">
      <c r="A385">
        <v>38.725276947021499</v>
      </c>
      <c r="B385">
        <v>-77.047775268554702</v>
      </c>
      <c r="C385" t="s">
        <v>41</v>
      </c>
      <c r="D385" t="s">
        <v>334</v>
      </c>
      <c r="F385" s="21"/>
      <c r="G385" s="16" t="str">
        <f>HYPERLINK("http://maps.google.com/maps?f=q&amp;hl=en&amp;geocode=&amp;q=38.7252769470215,-77.0477752685547")</f>
        <v>http://maps.google.com/maps?f=q&amp;hl=en&amp;geocode=&amp;q=38.7252769470215,-77.0477752685547</v>
      </c>
    </row>
    <row r="386" spans="1:7" ht="15" x14ac:dyDescent="0.3">
      <c r="A386" t="s">
        <v>44</v>
      </c>
      <c r="B386" t="s">
        <v>44</v>
      </c>
      <c r="C386" t="s">
        <v>44</v>
      </c>
      <c r="D386" t="s">
        <v>335</v>
      </c>
      <c r="F386" s="21"/>
      <c r="G386" s="16"/>
    </row>
    <row r="387" spans="1:7" ht="15" x14ac:dyDescent="0.3">
      <c r="A387">
        <v>42.570610000000002</v>
      </c>
      <c r="B387">
        <v>-114.5551</v>
      </c>
      <c r="C387" t="s">
        <v>43</v>
      </c>
      <c r="D387" t="s">
        <v>336</v>
      </c>
      <c r="F387" s="21"/>
      <c r="G387" s="16" t="str">
        <f>HYPERLINK("http://maps.google.com/maps?f=q&amp;hl=en&amp;geocode=&amp;q=42.57061,-114.5551")</f>
        <v>http://maps.google.com/maps?f=q&amp;hl=en&amp;geocode=&amp;q=42.57061,-114.5551</v>
      </c>
    </row>
    <row r="388" spans="1:7" ht="15" x14ac:dyDescent="0.3">
      <c r="A388">
        <v>50.780136108398402</v>
      </c>
      <c r="B388">
        <v>4.2288222312927202</v>
      </c>
      <c r="C388" t="s">
        <v>43</v>
      </c>
      <c r="D388" t="s">
        <v>337</v>
      </c>
      <c r="F388" s="21"/>
      <c r="G388" s="16" t="str">
        <f>HYPERLINK("http://maps.google.com/maps?f=q&amp;hl=en&amp;geocode=&amp;q=50.7801361083984,4.22882223129272")</f>
        <v>http://maps.google.com/maps?f=q&amp;hl=en&amp;geocode=&amp;q=50.7801361083984,4.22882223129272</v>
      </c>
    </row>
    <row r="389" spans="1:7" ht="15" x14ac:dyDescent="0.3">
      <c r="A389" t="s">
        <v>44</v>
      </c>
      <c r="B389" t="s">
        <v>44</v>
      </c>
      <c r="C389" t="s">
        <v>44</v>
      </c>
      <c r="D389" t="s">
        <v>338</v>
      </c>
      <c r="F389" s="21"/>
      <c r="G389" s="16"/>
    </row>
    <row r="390" spans="1:7" ht="15" x14ac:dyDescent="0.3">
      <c r="A390">
        <v>39.9726</v>
      </c>
      <c r="B390">
        <v>-75.241200000000006</v>
      </c>
      <c r="C390" t="s">
        <v>43</v>
      </c>
      <c r="D390" t="s">
        <v>339</v>
      </c>
      <c r="F390" s="21"/>
      <c r="G390" s="16" t="str">
        <f>HYPERLINK("http://maps.google.com/maps?f=q&amp;hl=en&amp;geocode=&amp;q=39.9726,-75.2412")</f>
        <v>http://maps.google.com/maps?f=q&amp;hl=en&amp;geocode=&amp;q=39.9726,-75.2412</v>
      </c>
    </row>
    <row r="391" spans="1:7" ht="15" x14ac:dyDescent="0.3">
      <c r="A391">
        <v>40.310877630831698</v>
      </c>
      <c r="B391">
        <v>-78.323730967948194</v>
      </c>
      <c r="C391" t="s">
        <v>41</v>
      </c>
      <c r="D391" t="s">
        <v>340</v>
      </c>
      <c r="F391" s="21"/>
      <c r="G391" s="16" t="str">
        <f>HYPERLINK("http://maps.google.com/maps?f=q&amp;hl=en&amp;geocode=&amp;q=40.3108776308317,-78.3237309679482")</f>
        <v>http://maps.google.com/maps?f=q&amp;hl=en&amp;geocode=&amp;q=40.3108776308317,-78.3237309679482</v>
      </c>
    </row>
    <row r="392" spans="1:7" ht="15" x14ac:dyDescent="0.3">
      <c r="A392">
        <v>44.938899993896499</v>
      </c>
      <c r="B392">
        <v>-117.176879882813</v>
      </c>
      <c r="C392" t="s">
        <v>41</v>
      </c>
      <c r="D392" t="s">
        <v>341</v>
      </c>
      <c r="F392" s="21"/>
      <c r="G392" s="16" t="str">
        <f>HYPERLINK("http://maps.google.com/maps?f=q&amp;hl=en&amp;geocode=&amp;q=44.9388999938965,-117.176879882813")</f>
        <v>http://maps.google.com/maps?f=q&amp;hl=en&amp;geocode=&amp;q=44.9388999938965,-117.176879882813</v>
      </c>
    </row>
    <row r="393" spans="1:7" ht="15" x14ac:dyDescent="0.3">
      <c r="A393">
        <v>42.4211838777669</v>
      </c>
      <c r="B393">
        <v>-76.492153618799193</v>
      </c>
      <c r="C393" t="s">
        <v>41</v>
      </c>
      <c r="D393" t="s">
        <v>146</v>
      </c>
      <c r="F393" s="21"/>
      <c r="G393" s="16" t="str">
        <f>HYPERLINK("http://maps.google.com/maps?f=q&amp;hl=en&amp;geocode=&amp;q=42.4211838777669,-76.4921536187992")</f>
        <v>http://maps.google.com/maps?f=q&amp;hl=en&amp;geocode=&amp;q=42.4211838777669,-76.4921536187992</v>
      </c>
    </row>
    <row r="394" spans="1:7" ht="15" x14ac:dyDescent="0.3">
      <c r="A394">
        <v>42.4211838777669</v>
      </c>
      <c r="B394">
        <v>-76.492153618799193</v>
      </c>
      <c r="C394" t="s">
        <v>41</v>
      </c>
      <c r="D394" t="s">
        <v>146</v>
      </c>
      <c r="F394" s="21"/>
      <c r="G394" s="16" t="str">
        <f>HYPERLINK("http://maps.google.com/maps?f=q&amp;hl=en&amp;geocode=&amp;q=42.4211838777669,-76.4921536187992")</f>
        <v>http://maps.google.com/maps?f=q&amp;hl=en&amp;geocode=&amp;q=42.4211838777669,-76.4921536187992</v>
      </c>
    </row>
    <row r="395" spans="1:7" ht="15" x14ac:dyDescent="0.3">
      <c r="A395">
        <v>40.054490000000001</v>
      </c>
      <c r="B395">
        <v>-87.632000000000005</v>
      </c>
      <c r="C395" t="s">
        <v>42</v>
      </c>
      <c r="D395" t="s">
        <v>342</v>
      </c>
      <c r="F395" s="21"/>
      <c r="G395" s="16" t="str">
        <f>HYPERLINK("http://maps.google.com/maps?f=q&amp;hl=en&amp;geocode=&amp;q=40.05449,-87.632")</f>
        <v>http://maps.google.com/maps?f=q&amp;hl=en&amp;geocode=&amp;q=40.05449,-87.632</v>
      </c>
    </row>
    <row r="396" spans="1:7" ht="15" x14ac:dyDescent="0.3">
      <c r="A396">
        <v>32.3061440219007</v>
      </c>
      <c r="B396">
        <v>-84.787083742856595</v>
      </c>
      <c r="C396" t="s">
        <v>41</v>
      </c>
      <c r="D396" t="s">
        <v>343</v>
      </c>
      <c r="F396" s="21"/>
      <c r="G396" s="16" t="str">
        <f>HYPERLINK("http://maps.google.com/maps?f=q&amp;hl=en&amp;geocode=&amp;q=32.3061440219007,-84.7870837428566")</f>
        <v>http://maps.google.com/maps?f=q&amp;hl=en&amp;geocode=&amp;q=32.3061440219007,-84.7870837428566</v>
      </c>
    </row>
    <row r="397" spans="1:7" ht="15" x14ac:dyDescent="0.3">
      <c r="A397">
        <v>37.194240570068402</v>
      </c>
      <c r="B397">
        <v>-8.5855684280395508</v>
      </c>
      <c r="C397" t="s">
        <v>41</v>
      </c>
      <c r="D397" t="s">
        <v>344</v>
      </c>
      <c r="F397" s="21"/>
      <c r="G397" s="16" t="str">
        <f>HYPERLINK("http://maps.google.com/maps?f=q&amp;hl=en&amp;geocode=&amp;q=37.1942405700684,-8.58556842803955")</f>
        <v>http://maps.google.com/maps?f=q&amp;hl=en&amp;geocode=&amp;q=37.1942405700684,-8.58556842803955</v>
      </c>
    </row>
    <row r="398" spans="1:7" ht="15" x14ac:dyDescent="0.3">
      <c r="A398">
        <v>41.142995407780496</v>
      </c>
      <c r="B398">
        <v>-111.755596339175</v>
      </c>
      <c r="C398" t="s">
        <v>41</v>
      </c>
      <c r="D398" t="s">
        <v>345</v>
      </c>
      <c r="F398" s="21"/>
      <c r="G398" s="16" t="str">
        <f>HYPERLINK("http://maps.google.com/maps?f=q&amp;hl=en&amp;geocode=&amp;q=41.1429954077805,-111.755596339175")</f>
        <v>http://maps.google.com/maps?f=q&amp;hl=en&amp;geocode=&amp;q=41.1429954077805,-111.755596339175</v>
      </c>
    </row>
    <row r="399" spans="1:7" ht="15" x14ac:dyDescent="0.3">
      <c r="A399" t="s">
        <v>44</v>
      </c>
      <c r="B399" t="s">
        <v>44</v>
      </c>
      <c r="C399" t="s">
        <v>44</v>
      </c>
      <c r="D399" t="s">
        <v>346</v>
      </c>
      <c r="F399" s="21"/>
      <c r="G399" s="16"/>
    </row>
    <row r="400" spans="1:7" ht="15" x14ac:dyDescent="0.3">
      <c r="A400">
        <v>43.095120000000001</v>
      </c>
      <c r="B400">
        <v>-74.480930000000001</v>
      </c>
      <c r="C400" t="s">
        <v>43</v>
      </c>
      <c r="D400" t="s">
        <v>347</v>
      </c>
      <c r="F400" s="21"/>
      <c r="G400" s="16" t="str">
        <f>HYPERLINK("http://maps.google.com/maps?f=q&amp;hl=en&amp;geocode=&amp;q=43.09512,-74.48093")</f>
        <v>http://maps.google.com/maps?f=q&amp;hl=en&amp;geocode=&amp;q=43.09512,-74.48093</v>
      </c>
    </row>
    <row r="401" spans="1:7" ht="15" x14ac:dyDescent="0.3">
      <c r="A401">
        <v>42.470289999999999</v>
      </c>
      <c r="B401">
        <v>-83.077780000000004</v>
      </c>
      <c r="C401" t="s">
        <v>42</v>
      </c>
      <c r="D401" t="s">
        <v>177</v>
      </c>
      <c r="F401" s="21"/>
      <c r="G401" s="16" t="str">
        <f>HYPERLINK("http://maps.google.com/maps?f=q&amp;hl=en&amp;geocode=&amp;q=42.47029,-83.07778")</f>
        <v>http://maps.google.com/maps?f=q&amp;hl=en&amp;geocode=&amp;q=42.47029,-83.07778</v>
      </c>
    </row>
    <row r="402" spans="1:7" ht="15" x14ac:dyDescent="0.3">
      <c r="A402">
        <v>39.941719999999997</v>
      </c>
      <c r="B402">
        <v>-75.228129999999993</v>
      </c>
      <c r="C402" t="s">
        <v>41</v>
      </c>
      <c r="D402" t="s">
        <v>284</v>
      </c>
      <c r="F402" s="21"/>
      <c r="G402" s="16" t="str">
        <f>HYPERLINK("http://maps.google.com/maps?f=q&amp;hl=en&amp;geocode=&amp;q=39.94172,-75.22813")</f>
        <v>http://maps.google.com/maps?f=q&amp;hl=en&amp;geocode=&amp;q=39.94172,-75.22813</v>
      </c>
    </row>
    <row r="403" spans="1:7" ht="15" x14ac:dyDescent="0.3">
      <c r="A403" t="s">
        <v>44</v>
      </c>
      <c r="B403" t="s">
        <v>44</v>
      </c>
      <c r="C403" t="s">
        <v>44</v>
      </c>
      <c r="D403" t="s">
        <v>348</v>
      </c>
      <c r="F403" s="21"/>
      <c r="G403" s="16"/>
    </row>
    <row r="404" spans="1:7" ht="15" x14ac:dyDescent="0.3">
      <c r="A404">
        <v>45.970160185671403</v>
      </c>
      <c r="B404">
        <v>-88.401043347949994</v>
      </c>
      <c r="C404" t="s">
        <v>41</v>
      </c>
      <c r="D404" t="s">
        <v>349</v>
      </c>
      <c r="F404" s="21"/>
      <c r="G404" s="16" t="str">
        <f>HYPERLINK("http://maps.google.com/maps?f=q&amp;hl=en&amp;geocode=&amp;q=45.9701601856714,-88.40104334795")</f>
        <v>http://maps.google.com/maps?f=q&amp;hl=en&amp;geocode=&amp;q=45.9701601856714,-88.40104334795</v>
      </c>
    </row>
    <row r="405" spans="1:7" ht="15" x14ac:dyDescent="0.3">
      <c r="A405">
        <v>28.518065862163901</v>
      </c>
      <c r="B405">
        <v>-81.337361495459007</v>
      </c>
      <c r="C405" t="s">
        <v>41</v>
      </c>
      <c r="D405" t="s">
        <v>350</v>
      </c>
      <c r="F405" s="21"/>
      <c r="G405" s="16" t="str">
        <f>HYPERLINK("http://maps.google.com/maps?f=q&amp;hl=en&amp;geocode=&amp;q=28.5180658621639,-81.337361495459")</f>
        <v>http://maps.google.com/maps?f=q&amp;hl=en&amp;geocode=&amp;q=28.5180658621639,-81.337361495459</v>
      </c>
    </row>
    <row r="406" spans="1:7" ht="15" x14ac:dyDescent="0.3">
      <c r="A406">
        <v>39.963581805251799</v>
      </c>
      <c r="B406">
        <v>-75.239755066088506</v>
      </c>
      <c r="C406" t="s">
        <v>41</v>
      </c>
      <c r="D406" t="s">
        <v>351</v>
      </c>
      <c r="F406" s="21"/>
      <c r="G406" s="16" t="str">
        <f>HYPERLINK("http://maps.google.com/maps?f=q&amp;hl=en&amp;geocode=&amp;q=39.9635818052518,-75.2397550660885")</f>
        <v>http://maps.google.com/maps?f=q&amp;hl=en&amp;geocode=&amp;q=39.9635818052518,-75.2397550660885</v>
      </c>
    </row>
    <row r="407" spans="1:7" ht="15" x14ac:dyDescent="0.3">
      <c r="A407">
        <v>31.693166610636599</v>
      </c>
      <c r="B407">
        <v>-83.645837412754204</v>
      </c>
      <c r="C407" t="s">
        <v>41</v>
      </c>
      <c r="D407" t="s">
        <v>352</v>
      </c>
      <c r="F407" s="21"/>
      <c r="G407" s="16" t="str">
        <f>HYPERLINK("http://maps.google.com/maps?f=q&amp;hl=en&amp;geocode=&amp;q=31.6931666106366,-83.6458374127542")</f>
        <v>http://maps.google.com/maps?f=q&amp;hl=en&amp;geocode=&amp;q=31.6931666106366,-83.6458374127542</v>
      </c>
    </row>
    <row r="408" spans="1:7" ht="15" x14ac:dyDescent="0.3">
      <c r="A408">
        <v>29.140590667724599</v>
      </c>
      <c r="B408">
        <v>-8.9533882141113299</v>
      </c>
      <c r="C408" t="s">
        <v>41</v>
      </c>
      <c r="D408" t="s">
        <v>353</v>
      </c>
      <c r="F408" s="21"/>
      <c r="G408" s="16" t="str">
        <f>HYPERLINK("http://maps.google.com/maps?f=q&amp;hl=en&amp;geocode=&amp;q=29.1405906677246,-8.95338821411133")</f>
        <v>http://maps.google.com/maps?f=q&amp;hl=en&amp;geocode=&amp;q=29.1405906677246,-8.95338821411133</v>
      </c>
    </row>
    <row r="409" spans="1:7" ht="15" x14ac:dyDescent="0.3">
      <c r="A409">
        <v>52.241729736328097</v>
      </c>
      <c r="B409">
        <v>34.425788879394503</v>
      </c>
      <c r="C409" t="s">
        <v>41</v>
      </c>
      <c r="D409" t="s">
        <v>354</v>
      </c>
      <c r="F409" s="21"/>
      <c r="G409" s="16" t="str">
        <f>HYPERLINK("http://maps.google.com/maps?f=q&amp;hl=en&amp;geocode=&amp;q=52.2417297363281,34.4257888793945")</f>
        <v>http://maps.google.com/maps?f=q&amp;hl=en&amp;geocode=&amp;q=52.2417297363281,34.4257888793945</v>
      </c>
    </row>
    <row r="410" spans="1:7" ht="15" x14ac:dyDescent="0.3">
      <c r="A410">
        <v>43.321670532226598</v>
      </c>
      <c r="B410">
        <v>-92.866836547851605</v>
      </c>
      <c r="C410" t="s">
        <v>43</v>
      </c>
      <c r="D410" t="s">
        <v>297</v>
      </c>
      <c r="F410" s="21"/>
      <c r="G410" s="16" t="str">
        <f>HYPERLINK("http://maps.google.com/maps?f=q&amp;hl=en&amp;geocode=&amp;q=43.3216705322266,-92.8668365478516")</f>
        <v>http://maps.google.com/maps?f=q&amp;hl=en&amp;geocode=&amp;q=43.3216705322266,-92.8668365478516</v>
      </c>
    </row>
    <row r="411" spans="1:7" ht="15" x14ac:dyDescent="0.3">
      <c r="A411" t="s">
        <v>44</v>
      </c>
      <c r="B411" t="s">
        <v>44</v>
      </c>
      <c r="C411" t="s">
        <v>44</v>
      </c>
      <c r="D411" t="s">
        <v>178</v>
      </c>
      <c r="F411" s="21"/>
      <c r="G411" s="16"/>
    </row>
    <row r="412" spans="1:7" ht="15" x14ac:dyDescent="0.3">
      <c r="A412">
        <v>32.8159504195363</v>
      </c>
      <c r="B412">
        <v>-96.6721417613618</v>
      </c>
      <c r="C412" t="s">
        <v>41</v>
      </c>
      <c r="D412" t="s">
        <v>355</v>
      </c>
      <c r="F412" s="21"/>
      <c r="G412" s="16" t="str">
        <f>HYPERLINK("http://maps.google.com/maps?f=q&amp;hl=en&amp;geocode=&amp;q=32.8159504195363,-96.6721417613618")</f>
        <v>http://maps.google.com/maps?f=q&amp;hl=en&amp;geocode=&amp;q=32.8159504195363,-96.6721417613618</v>
      </c>
    </row>
    <row r="413" spans="1:7" ht="15" x14ac:dyDescent="0.3">
      <c r="A413">
        <v>39.052810000000001</v>
      </c>
      <c r="B413">
        <v>-94.580489999999998</v>
      </c>
      <c r="C413" t="s">
        <v>43</v>
      </c>
      <c r="D413" t="s">
        <v>356</v>
      </c>
      <c r="F413" s="21"/>
      <c r="G413" s="16" t="str">
        <f>HYPERLINK("http://maps.google.com/maps?f=q&amp;hl=en&amp;geocode=&amp;q=39.05281,-94.58049")</f>
        <v>http://maps.google.com/maps?f=q&amp;hl=en&amp;geocode=&amp;q=39.05281,-94.58049</v>
      </c>
    </row>
    <row r="414" spans="1:7" ht="15" x14ac:dyDescent="0.3">
      <c r="A414">
        <v>-35.581090000000003</v>
      </c>
      <c r="B414">
        <v>138.59594000000001</v>
      </c>
      <c r="C414" t="s">
        <v>41</v>
      </c>
      <c r="D414" t="s">
        <v>357</v>
      </c>
      <c r="F414" s="21"/>
      <c r="G414" s="16" t="str">
        <f>HYPERLINK("http://maps.google.com/maps?f=q&amp;hl=en&amp;geocode=&amp;q=-35.58109,138.59594")</f>
        <v>http://maps.google.com/maps?f=q&amp;hl=en&amp;geocode=&amp;q=-35.58109,138.59594</v>
      </c>
    </row>
    <row r="415" spans="1:7" ht="15" x14ac:dyDescent="0.3">
      <c r="A415">
        <v>43.213422000000001</v>
      </c>
      <c r="B415">
        <v>-77.812286999999998</v>
      </c>
      <c r="C415" t="s">
        <v>41</v>
      </c>
      <c r="D415" t="s">
        <v>358</v>
      </c>
      <c r="F415" s="21"/>
      <c r="G415" s="16" t="str">
        <f>HYPERLINK("http://maps.google.com/maps?f=q&amp;hl=en&amp;geocode=&amp;q=43.213422,-77.812287")</f>
        <v>http://maps.google.com/maps?f=q&amp;hl=en&amp;geocode=&amp;q=43.213422,-77.812287</v>
      </c>
    </row>
    <row r="416" spans="1:7" ht="15" x14ac:dyDescent="0.3">
      <c r="A416">
        <v>40.295375456728202</v>
      </c>
      <c r="B416">
        <v>-80.429641423872198</v>
      </c>
      <c r="C416" t="s">
        <v>41</v>
      </c>
      <c r="D416" t="s">
        <v>359</v>
      </c>
      <c r="F416" s="21"/>
      <c r="G416" s="16" t="str">
        <f>HYPERLINK("http://maps.google.com/maps?f=q&amp;hl=en&amp;geocode=&amp;q=40.2953754567282,-80.4296414238722")</f>
        <v>http://maps.google.com/maps?f=q&amp;hl=en&amp;geocode=&amp;q=40.2953754567282,-80.4296414238722</v>
      </c>
    </row>
    <row r="417" spans="1:7" ht="15" x14ac:dyDescent="0.3">
      <c r="A417">
        <v>33.415500000000002</v>
      </c>
      <c r="B417">
        <v>-79.629980000000003</v>
      </c>
      <c r="C417" t="s">
        <v>42</v>
      </c>
      <c r="D417" t="s">
        <v>360</v>
      </c>
      <c r="F417" s="21"/>
      <c r="G417" s="16" t="str">
        <f>HYPERLINK("http://maps.google.com/maps?f=q&amp;hl=en&amp;geocode=&amp;q=33.4155,-79.62998")</f>
        <v>http://maps.google.com/maps?f=q&amp;hl=en&amp;geocode=&amp;q=33.4155,-79.62998</v>
      </c>
    </row>
    <row r="418" spans="1:7" ht="15" x14ac:dyDescent="0.3">
      <c r="A418" t="s">
        <v>44</v>
      </c>
      <c r="B418" t="s">
        <v>44</v>
      </c>
      <c r="C418" t="s">
        <v>44</v>
      </c>
      <c r="D418" t="s">
        <v>361</v>
      </c>
      <c r="F418" s="21"/>
      <c r="G418" s="16"/>
    </row>
    <row r="419" spans="1:7" ht="15" x14ac:dyDescent="0.3">
      <c r="A419">
        <v>40.415102224503499</v>
      </c>
      <c r="B419">
        <v>-105.050038484647</v>
      </c>
      <c r="C419" t="s">
        <v>41</v>
      </c>
      <c r="D419" t="s">
        <v>264</v>
      </c>
      <c r="F419" s="21"/>
      <c r="G419" s="16" t="str">
        <f>HYPERLINK("http://maps.google.com/maps?f=q&amp;hl=en&amp;geocode=&amp;q=40.4151022245035,-105.050038484647")</f>
        <v>http://maps.google.com/maps?f=q&amp;hl=en&amp;geocode=&amp;q=40.4151022245035,-105.050038484647</v>
      </c>
    </row>
    <row r="420" spans="1:7" ht="15" x14ac:dyDescent="0.3">
      <c r="A420">
        <v>43.005388312255398</v>
      </c>
      <c r="B420">
        <v>-95.623922798189398</v>
      </c>
      <c r="C420" t="s">
        <v>41</v>
      </c>
      <c r="D420" t="s">
        <v>362</v>
      </c>
      <c r="F420" s="21"/>
      <c r="G420" s="16" t="str">
        <f>HYPERLINK("http://maps.google.com/maps?f=q&amp;hl=en&amp;geocode=&amp;q=43.0053883122554,-95.6239227981894")</f>
        <v>http://maps.google.com/maps?f=q&amp;hl=en&amp;geocode=&amp;q=43.0053883122554,-95.6239227981894</v>
      </c>
    </row>
    <row r="421" spans="1:7" ht="15" x14ac:dyDescent="0.3">
      <c r="A421">
        <v>43.005388312255398</v>
      </c>
      <c r="B421">
        <v>-95.623922798189398</v>
      </c>
      <c r="C421" t="s">
        <v>41</v>
      </c>
      <c r="D421" t="s">
        <v>362</v>
      </c>
      <c r="F421" s="21"/>
      <c r="G421" s="16" t="str">
        <f>HYPERLINK("http://maps.google.com/maps?f=q&amp;hl=en&amp;geocode=&amp;q=43.0053883122554,-95.6239227981894")</f>
        <v>http://maps.google.com/maps?f=q&amp;hl=en&amp;geocode=&amp;q=43.0053883122554,-95.6239227981894</v>
      </c>
    </row>
    <row r="422" spans="1:7" ht="15" x14ac:dyDescent="0.3">
      <c r="A422">
        <v>42.4211838777669</v>
      </c>
      <c r="B422">
        <v>-76.492153618799193</v>
      </c>
      <c r="C422" t="s">
        <v>41</v>
      </c>
      <c r="D422" t="s">
        <v>146</v>
      </c>
      <c r="F422" s="21"/>
      <c r="G422" s="16" t="str">
        <f>HYPERLINK("http://maps.google.com/maps?f=q&amp;hl=en&amp;geocode=&amp;q=42.4211838777669,-76.4921536187992")</f>
        <v>http://maps.google.com/maps?f=q&amp;hl=en&amp;geocode=&amp;q=42.4211838777669,-76.4921536187992</v>
      </c>
    </row>
    <row r="423" spans="1:7" ht="15" x14ac:dyDescent="0.3">
      <c r="A423">
        <v>42.4211838777669</v>
      </c>
      <c r="B423">
        <v>-76.492153618799193</v>
      </c>
      <c r="C423" t="s">
        <v>41</v>
      </c>
      <c r="D423" t="s">
        <v>146</v>
      </c>
      <c r="F423" s="21"/>
      <c r="G423" s="16" t="str">
        <f>HYPERLINK("http://maps.google.com/maps?f=q&amp;hl=en&amp;geocode=&amp;q=42.4211838777669,-76.4921536187992")</f>
        <v>http://maps.google.com/maps?f=q&amp;hl=en&amp;geocode=&amp;q=42.4211838777669,-76.4921536187992</v>
      </c>
    </row>
    <row r="424" spans="1:7" ht="15" x14ac:dyDescent="0.3">
      <c r="A424">
        <v>39.975490000000001</v>
      </c>
      <c r="B424">
        <v>-75.264080000000007</v>
      </c>
      <c r="C424" t="s">
        <v>41</v>
      </c>
      <c r="D424" t="s">
        <v>212</v>
      </c>
      <c r="F424" s="21"/>
      <c r="G424" s="16" t="str">
        <f>HYPERLINK("http://maps.google.com/maps?f=q&amp;hl=en&amp;geocode=&amp;q=39.97549,-75.26408")</f>
        <v>http://maps.google.com/maps?f=q&amp;hl=en&amp;geocode=&amp;q=39.97549,-75.26408</v>
      </c>
    </row>
    <row r="425" spans="1:7" ht="15" x14ac:dyDescent="0.3">
      <c r="A425">
        <v>39.963529999999999</v>
      </c>
      <c r="B425">
        <v>-75.24042</v>
      </c>
      <c r="C425" t="s">
        <v>43</v>
      </c>
      <c r="D425" t="s">
        <v>363</v>
      </c>
      <c r="F425" s="21"/>
      <c r="G425" s="16" t="str">
        <f>HYPERLINK("http://maps.google.com/maps?f=q&amp;hl=en&amp;geocode=&amp;q=39.96353,-75.24042")</f>
        <v>http://maps.google.com/maps?f=q&amp;hl=en&amp;geocode=&amp;q=39.96353,-75.24042</v>
      </c>
    </row>
    <row r="426" spans="1:7" ht="15" x14ac:dyDescent="0.3">
      <c r="A426">
        <v>53.489730834960902</v>
      </c>
      <c r="B426">
        <v>-2.2843000888824498</v>
      </c>
      <c r="C426" t="s">
        <v>43</v>
      </c>
      <c r="D426" t="s">
        <v>364</v>
      </c>
      <c r="F426" s="21"/>
      <c r="G426" s="16" t="str">
        <f>HYPERLINK("http://maps.google.com/maps?f=q&amp;hl=en&amp;geocode=&amp;q=53.4897308349609,-2.28430008888245")</f>
        <v>http://maps.google.com/maps?f=q&amp;hl=en&amp;geocode=&amp;q=53.4897308349609,-2.28430008888245</v>
      </c>
    </row>
    <row r="427" spans="1:7" ht="15" x14ac:dyDescent="0.3">
      <c r="A427">
        <v>41.716110229492202</v>
      </c>
      <c r="B427">
        <v>-83.476448059082003</v>
      </c>
      <c r="C427" t="s">
        <v>41</v>
      </c>
      <c r="D427" t="s">
        <v>365</v>
      </c>
      <c r="F427" s="21"/>
      <c r="G427" s="16" t="str">
        <f>HYPERLINK("http://maps.google.com/maps?f=q&amp;hl=en&amp;geocode=&amp;q=41.7161102294922,-83.476448059082")</f>
        <v>http://maps.google.com/maps?f=q&amp;hl=en&amp;geocode=&amp;q=41.7161102294922,-83.476448059082</v>
      </c>
    </row>
    <row r="428" spans="1:7" ht="15" x14ac:dyDescent="0.3">
      <c r="A428">
        <v>39.999470000000002</v>
      </c>
      <c r="B428">
        <v>-75.113339999999994</v>
      </c>
      <c r="C428" t="s">
        <v>41</v>
      </c>
      <c r="D428" t="s">
        <v>366</v>
      </c>
      <c r="F428" s="21"/>
      <c r="G428" s="16" t="str">
        <f>HYPERLINK("http://maps.google.com/maps?f=q&amp;hl=en&amp;geocode=&amp;q=39.99947,-75.11334")</f>
        <v>http://maps.google.com/maps?f=q&amp;hl=en&amp;geocode=&amp;q=39.99947,-75.11334</v>
      </c>
    </row>
    <row r="429" spans="1:7" ht="15" x14ac:dyDescent="0.3">
      <c r="A429">
        <v>32.306834365939302</v>
      </c>
      <c r="B429">
        <v>-84.785814057968295</v>
      </c>
      <c r="C429" t="s">
        <v>41</v>
      </c>
      <c r="D429" t="s">
        <v>367</v>
      </c>
      <c r="F429" s="21"/>
      <c r="G429" s="16" t="str">
        <f>HYPERLINK("http://maps.google.com/maps?f=q&amp;hl=en&amp;geocode=&amp;q=32.3068343659393,-84.7858140579683")</f>
        <v>http://maps.google.com/maps?f=q&amp;hl=en&amp;geocode=&amp;q=32.3068343659393,-84.7858140579683</v>
      </c>
    </row>
    <row r="430" spans="1:7" ht="15" x14ac:dyDescent="0.3">
      <c r="A430" t="s">
        <v>44</v>
      </c>
      <c r="B430" t="s">
        <v>44</v>
      </c>
      <c r="C430" t="s">
        <v>44</v>
      </c>
      <c r="D430" t="s">
        <v>368</v>
      </c>
      <c r="F430" s="21"/>
      <c r="G430" s="16"/>
    </row>
    <row r="431" spans="1:7" ht="15" x14ac:dyDescent="0.3">
      <c r="A431">
        <v>33.6724977445745</v>
      </c>
      <c r="B431">
        <v>-84.431369919922105</v>
      </c>
      <c r="C431" t="s">
        <v>43</v>
      </c>
      <c r="D431" t="s">
        <v>369</v>
      </c>
      <c r="F431" s="21"/>
      <c r="G431" s="16" t="str">
        <f>HYPERLINK("http://maps.google.com/maps?f=q&amp;hl=en&amp;geocode=&amp;q=33.6724977445745,-84.4313699199221")</f>
        <v>http://maps.google.com/maps?f=q&amp;hl=en&amp;geocode=&amp;q=33.6724977445745,-84.4313699199221</v>
      </c>
    </row>
    <row r="432" spans="1:7" ht="15" x14ac:dyDescent="0.3">
      <c r="A432" t="s">
        <v>44</v>
      </c>
      <c r="B432" t="s">
        <v>44</v>
      </c>
      <c r="C432" t="s">
        <v>44</v>
      </c>
      <c r="D432" t="s">
        <v>75</v>
      </c>
      <c r="F432" s="21"/>
      <c r="G432" s="16"/>
    </row>
    <row r="433" spans="1:7" ht="15" x14ac:dyDescent="0.3">
      <c r="A433">
        <v>26.703710000000001</v>
      </c>
      <c r="B433">
        <v>-80.301820000000006</v>
      </c>
      <c r="C433" t="s">
        <v>43</v>
      </c>
      <c r="D433" t="s">
        <v>370</v>
      </c>
      <c r="F433" s="21"/>
      <c r="G433" s="16" t="str">
        <f>HYPERLINK("http://maps.google.com/maps?f=q&amp;hl=en&amp;geocode=&amp;q=26.70371,-80.30182")</f>
        <v>http://maps.google.com/maps?f=q&amp;hl=en&amp;geocode=&amp;q=26.70371,-80.30182</v>
      </c>
    </row>
    <row r="434" spans="1:7" ht="15" x14ac:dyDescent="0.3">
      <c r="A434">
        <v>40.010103098544498</v>
      </c>
      <c r="B434">
        <v>-75.097113029629796</v>
      </c>
      <c r="C434" t="s">
        <v>41</v>
      </c>
      <c r="D434" t="s">
        <v>371</v>
      </c>
      <c r="F434" s="21"/>
      <c r="G434" s="16" t="str">
        <f>HYPERLINK("http://maps.google.com/maps?f=q&amp;hl=en&amp;geocode=&amp;q=40.0101030985445,-75.0971130296298")</f>
        <v>http://maps.google.com/maps?f=q&amp;hl=en&amp;geocode=&amp;q=40.0101030985445,-75.0971130296298</v>
      </c>
    </row>
    <row r="435" spans="1:7" ht="15" x14ac:dyDescent="0.3">
      <c r="A435">
        <v>37.241072477694097</v>
      </c>
      <c r="B435">
        <v>-79.998654977856503</v>
      </c>
      <c r="C435" t="s">
        <v>41</v>
      </c>
      <c r="D435" t="s">
        <v>372</v>
      </c>
      <c r="F435" s="21"/>
      <c r="G435" s="16" t="str">
        <f>HYPERLINK("http://maps.google.com/maps?f=q&amp;hl=en&amp;geocode=&amp;q=37.2410724776941,-79.9986549778565")</f>
        <v>http://maps.google.com/maps?f=q&amp;hl=en&amp;geocode=&amp;q=37.2410724776941,-79.9986549778565</v>
      </c>
    </row>
    <row r="436" spans="1:7" ht="15" x14ac:dyDescent="0.3">
      <c r="A436">
        <v>37.15155</v>
      </c>
      <c r="B436">
        <v>-77.300139999999999</v>
      </c>
      <c r="C436" t="s">
        <v>41</v>
      </c>
      <c r="D436" t="s">
        <v>329</v>
      </c>
      <c r="F436" s="21"/>
      <c r="G436" s="16" t="str">
        <f>HYPERLINK("http://maps.google.com/maps?f=q&amp;hl=en&amp;geocode=&amp;q=37.15155,-77.30014")</f>
        <v>http://maps.google.com/maps?f=q&amp;hl=en&amp;geocode=&amp;q=37.15155,-77.30014</v>
      </c>
    </row>
    <row r="437" spans="1:7" ht="15" x14ac:dyDescent="0.3">
      <c r="A437" t="s">
        <v>44</v>
      </c>
      <c r="B437" t="s">
        <v>44</v>
      </c>
      <c r="C437" t="s">
        <v>44</v>
      </c>
      <c r="D437" t="s">
        <v>373</v>
      </c>
      <c r="F437" s="21"/>
      <c r="G437" s="16"/>
    </row>
    <row r="438" spans="1:7" ht="15" x14ac:dyDescent="0.3">
      <c r="A438" t="s">
        <v>44</v>
      </c>
      <c r="B438" t="s">
        <v>44</v>
      </c>
      <c r="C438" t="s">
        <v>44</v>
      </c>
      <c r="D438" t="s">
        <v>374</v>
      </c>
      <c r="F438" s="21"/>
      <c r="G438" s="16"/>
    </row>
    <row r="439" spans="1:7" ht="15" x14ac:dyDescent="0.3">
      <c r="A439">
        <v>39.952829999999999</v>
      </c>
      <c r="B439">
        <v>-75.238759999999999</v>
      </c>
      <c r="C439" t="s">
        <v>41</v>
      </c>
      <c r="D439" t="s">
        <v>375</v>
      </c>
      <c r="F439" s="21"/>
      <c r="G439" s="16" t="str">
        <f>HYPERLINK("http://maps.google.com/maps?f=q&amp;hl=en&amp;geocode=&amp;q=39.95283,-75.23876")</f>
        <v>http://maps.google.com/maps?f=q&amp;hl=en&amp;geocode=&amp;q=39.95283,-75.23876</v>
      </c>
    </row>
    <row r="440" spans="1:7" ht="15" x14ac:dyDescent="0.3">
      <c r="A440">
        <v>42.028280000000002</v>
      </c>
      <c r="B440">
        <v>-87.722430000000003</v>
      </c>
      <c r="C440" t="s">
        <v>41</v>
      </c>
      <c r="D440" t="s">
        <v>376</v>
      </c>
      <c r="F440" s="21"/>
      <c r="G440" s="16" t="str">
        <f>HYPERLINK("http://maps.google.com/maps?f=q&amp;hl=en&amp;geocode=&amp;q=42.02828,-87.72243")</f>
        <v>http://maps.google.com/maps?f=q&amp;hl=en&amp;geocode=&amp;q=42.02828,-87.72243</v>
      </c>
    </row>
    <row r="441" spans="1:7" ht="15" x14ac:dyDescent="0.3">
      <c r="A441">
        <v>-35.786228179931598</v>
      </c>
      <c r="B441">
        <v>-71.674674987792997</v>
      </c>
      <c r="C441" t="s">
        <v>41</v>
      </c>
      <c r="D441" t="s">
        <v>377</v>
      </c>
      <c r="F441" s="21"/>
      <c r="G441" s="16" t="str">
        <f>HYPERLINK("http://maps.google.com/maps?f=q&amp;hl=en&amp;geocode=&amp;q=-35.7862281799316,-71.674674987793")</f>
        <v>http://maps.google.com/maps?f=q&amp;hl=en&amp;geocode=&amp;q=-35.7862281799316,-71.674674987793</v>
      </c>
    </row>
    <row r="442" spans="1:7" ht="15" x14ac:dyDescent="0.3">
      <c r="A442">
        <v>42.394583224721998</v>
      </c>
      <c r="B442">
        <v>-82.984064137090996</v>
      </c>
      <c r="C442" t="s">
        <v>41</v>
      </c>
      <c r="D442" t="s">
        <v>378</v>
      </c>
      <c r="F442" s="21"/>
      <c r="G442" s="16" t="str">
        <f>HYPERLINK("http://maps.google.com/maps?f=q&amp;hl=en&amp;geocode=&amp;q=42.394583224722,-82.984064137091")</f>
        <v>http://maps.google.com/maps?f=q&amp;hl=en&amp;geocode=&amp;q=42.394583224722,-82.984064137091</v>
      </c>
    </row>
    <row r="443" spans="1:7" ht="15" x14ac:dyDescent="0.3">
      <c r="A443">
        <v>38.590043867295599</v>
      </c>
      <c r="B443">
        <v>-90.297371600555607</v>
      </c>
      <c r="C443" t="s">
        <v>41</v>
      </c>
      <c r="D443" t="s">
        <v>379</v>
      </c>
      <c r="F443" s="21"/>
      <c r="G443" s="16" t="str">
        <f>HYPERLINK("http://maps.google.com/maps?f=q&amp;hl=en&amp;geocode=&amp;q=38.5900438672956,-90.2973716005556")</f>
        <v>http://maps.google.com/maps?f=q&amp;hl=en&amp;geocode=&amp;q=38.5900438672956,-90.2973716005556</v>
      </c>
    </row>
    <row r="444" spans="1:7" ht="15" x14ac:dyDescent="0.3">
      <c r="A444">
        <v>64.802013589071507</v>
      </c>
      <c r="B444">
        <v>-147.55953002248401</v>
      </c>
      <c r="C444" t="s">
        <v>43</v>
      </c>
      <c r="D444" t="s">
        <v>380</v>
      </c>
      <c r="F444" s="21"/>
      <c r="G444" s="16" t="str">
        <f>HYPERLINK("http://maps.google.com/maps?f=q&amp;hl=en&amp;geocode=&amp;q=64.8020135890715,-147.559530022484")</f>
        <v>http://maps.google.com/maps?f=q&amp;hl=en&amp;geocode=&amp;q=64.8020135890715,-147.559530022484</v>
      </c>
    </row>
    <row r="445" spans="1:7" ht="15" x14ac:dyDescent="0.3">
      <c r="A445">
        <v>39.918709999999997</v>
      </c>
      <c r="B445">
        <v>-75.228719999999996</v>
      </c>
      <c r="C445" t="s">
        <v>41</v>
      </c>
      <c r="D445" t="s">
        <v>381</v>
      </c>
      <c r="F445" s="21"/>
      <c r="G445" s="16" t="str">
        <f>HYPERLINK("http://maps.google.com/maps?f=q&amp;hl=en&amp;geocode=&amp;q=39.91871,-75.22872")</f>
        <v>http://maps.google.com/maps?f=q&amp;hl=en&amp;geocode=&amp;q=39.91871,-75.22872</v>
      </c>
    </row>
    <row r="446" spans="1:7" ht="15" x14ac:dyDescent="0.3">
      <c r="A446">
        <v>53.196468353271499</v>
      </c>
      <c r="B446">
        <v>-2.8804199695587198</v>
      </c>
      <c r="C446" t="s">
        <v>43</v>
      </c>
      <c r="D446" t="s">
        <v>382</v>
      </c>
      <c r="F446" s="21"/>
      <c r="G446" s="16" t="str">
        <f>HYPERLINK("http://maps.google.com/maps?f=q&amp;hl=en&amp;geocode=&amp;q=53.1964683532715,-2.88041996955872")</f>
        <v>http://maps.google.com/maps?f=q&amp;hl=en&amp;geocode=&amp;q=53.1964683532715,-2.88041996955872</v>
      </c>
    </row>
    <row r="447" spans="1:7" ht="15" x14ac:dyDescent="0.3">
      <c r="A447">
        <v>53.196468353271499</v>
      </c>
      <c r="B447">
        <v>-2.8804199695587198</v>
      </c>
      <c r="C447" t="s">
        <v>43</v>
      </c>
      <c r="D447" t="s">
        <v>382</v>
      </c>
      <c r="F447" s="21"/>
      <c r="G447" s="16" t="str">
        <f>HYPERLINK("http://maps.google.com/maps?f=q&amp;hl=en&amp;geocode=&amp;q=53.1964683532715,-2.88041996955872")</f>
        <v>http://maps.google.com/maps?f=q&amp;hl=en&amp;geocode=&amp;q=53.1964683532715,-2.88041996955872</v>
      </c>
    </row>
    <row r="448" spans="1:7" ht="15" x14ac:dyDescent="0.3">
      <c r="A448">
        <v>53.196468353271499</v>
      </c>
      <c r="B448">
        <v>-2.8804199695587198</v>
      </c>
      <c r="C448" t="s">
        <v>43</v>
      </c>
      <c r="D448" t="s">
        <v>382</v>
      </c>
      <c r="F448" s="21"/>
      <c r="G448" s="16" t="str">
        <f>HYPERLINK("http://maps.google.com/maps?f=q&amp;hl=en&amp;geocode=&amp;q=53.1964683532715,-2.88041996955872")</f>
        <v>http://maps.google.com/maps?f=q&amp;hl=en&amp;geocode=&amp;q=53.1964683532715,-2.88041996955872</v>
      </c>
    </row>
    <row r="449" spans="1:7" ht="15" x14ac:dyDescent="0.3">
      <c r="A449">
        <v>53.196468353271499</v>
      </c>
      <c r="B449">
        <v>-2.8804199695587198</v>
      </c>
      <c r="C449" t="s">
        <v>43</v>
      </c>
      <c r="D449" t="s">
        <v>382</v>
      </c>
      <c r="F449" s="21"/>
      <c r="G449" s="16" t="str">
        <f>HYPERLINK("http://maps.google.com/maps?f=q&amp;hl=en&amp;geocode=&amp;q=53.1964683532715,-2.88041996955872")</f>
        <v>http://maps.google.com/maps?f=q&amp;hl=en&amp;geocode=&amp;q=53.1964683532715,-2.88041996955872</v>
      </c>
    </row>
    <row r="450" spans="1:7" ht="15" x14ac:dyDescent="0.3">
      <c r="A450">
        <v>39.191621825589401</v>
      </c>
      <c r="B450">
        <v>-76.741106195753403</v>
      </c>
      <c r="C450" t="s">
        <v>41</v>
      </c>
      <c r="D450" t="s">
        <v>383</v>
      </c>
      <c r="F450" s="21"/>
      <c r="G450" s="16" t="str">
        <f>HYPERLINK("http://maps.google.com/maps?f=q&amp;hl=en&amp;geocode=&amp;q=39.1916218255894,-76.7411061957534")</f>
        <v>http://maps.google.com/maps?f=q&amp;hl=en&amp;geocode=&amp;q=39.1916218255894,-76.7411061957534</v>
      </c>
    </row>
    <row r="451" spans="1:7" ht="15" x14ac:dyDescent="0.3">
      <c r="A451" t="s">
        <v>44</v>
      </c>
      <c r="B451" t="s">
        <v>44</v>
      </c>
      <c r="C451" t="s">
        <v>44</v>
      </c>
      <c r="D451" t="s">
        <v>235</v>
      </c>
      <c r="F451" s="21"/>
      <c r="G451" s="16"/>
    </row>
    <row r="452" spans="1:7" ht="15" x14ac:dyDescent="0.3">
      <c r="A452">
        <v>39.925113571397397</v>
      </c>
      <c r="B452">
        <v>-75.229210782505106</v>
      </c>
      <c r="C452" t="s">
        <v>43</v>
      </c>
      <c r="D452" t="s">
        <v>384</v>
      </c>
      <c r="F452" s="21"/>
      <c r="G452" s="16" t="str">
        <f>HYPERLINK("http://maps.google.com/maps?f=q&amp;hl=en&amp;geocode=&amp;q=39.9251135713974,-75.2292107825051")</f>
        <v>http://maps.google.com/maps?f=q&amp;hl=en&amp;geocode=&amp;q=39.9251135713974,-75.2292107825051</v>
      </c>
    </row>
    <row r="453" spans="1:7" ht="15" x14ac:dyDescent="0.3">
      <c r="A453" t="s">
        <v>44</v>
      </c>
      <c r="B453" t="s">
        <v>44</v>
      </c>
      <c r="C453" t="s">
        <v>44</v>
      </c>
      <c r="D453" t="s">
        <v>385</v>
      </c>
      <c r="F453" s="21"/>
      <c r="G453" s="16"/>
    </row>
    <row r="454" spans="1:7" ht="15" x14ac:dyDescent="0.3">
      <c r="A454">
        <v>58.407268524169901</v>
      </c>
      <c r="B454">
        <v>12.8236799240112</v>
      </c>
      <c r="C454" t="s">
        <v>43</v>
      </c>
      <c r="D454" t="s">
        <v>386</v>
      </c>
      <c r="F454" s="21"/>
      <c r="G454" s="16" t="str">
        <f>HYPERLINK("http://maps.google.com/maps?f=q&amp;hl=en&amp;geocode=&amp;q=58.4072685241699,12.8236799240112")</f>
        <v>http://maps.google.com/maps?f=q&amp;hl=en&amp;geocode=&amp;q=58.4072685241699,12.8236799240112</v>
      </c>
    </row>
    <row r="455" spans="1:7" ht="15" x14ac:dyDescent="0.3">
      <c r="A455">
        <v>58.407268524169901</v>
      </c>
      <c r="B455">
        <v>12.8236799240112</v>
      </c>
      <c r="C455" t="s">
        <v>43</v>
      </c>
      <c r="D455" t="s">
        <v>386</v>
      </c>
      <c r="F455" s="21"/>
      <c r="G455" s="16" t="str">
        <f>HYPERLINK("http://maps.google.com/maps?f=q&amp;hl=en&amp;geocode=&amp;q=58.4072685241699,12.8236799240112")</f>
        <v>http://maps.google.com/maps?f=q&amp;hl=en&amp;geocode=&amp;q=58.4072685241699,12.8236799240112</v>
      </c>
    </row>
    <row r="456" spans="1:7" ht="15" x14ac:dyDescent="0.3">
      <c r="A456">
        <v>58.407268524169901</v>
      </c>
      <c r="B456">
        <v>12.8236799240112</v>
      </c>
      <c r="C456" t="s">
        <v>43</v>
      </c>
      <c r="D456" t="s">
        <v>386</v>
      </c>
      <c r="F456" s="21"/>
      <c r="G456" s="16" t="str">
        <f>HYPERLINK("http://maps.google.com/maps?f=q&amp;hl=en&amp;geocode=&amp;q=58.4072685241699,12.8236799240112")</f>
        <v>http://maps.google.com/maps?f=q&amp;hl=en&amp;geocode=&amp;q=58.4072685241699,12.8236799240112</v>
      </c>
    </row>
    <row r="457" spans="1:7" ht="15" x14ac:dyDescent="0.3">
      <c r="A457">
        <v>40.998276131205401</v>
      </c>
      <c r="B457">
        <v>-92.415897813701207</v>
      </c>
      <c r="C457" t="s">
        <v>41</v>
      </c>
      <c r="D457" t="s">
        <v>387</v>
      </c>
      <c r="F457" s="21"/>
      <c r="G457" s="16" t="str">
        <f>HYPERLINK("http://maps.google.com/maps?f=q&amp;hl=en&amp;geocode=&amp;q=40.9982761312054,-92.4158978137012")</f>
        <v>http://maps.google.com/maps?f=q&amp;hl=en&amp;geocode=&amp;q=40.9982761312054,-92.4158978137012</v>
      </c>
    </row>
    <row r="458" spans="1:7" ht="15" x14ac:dyDescent="0.3">
      <c r="A458">
        <v>39.953499999999998</v>
      </c>
      <c r="B458">
        <v>-75.231570000000005</v>
      </c>
      <c r="C458" t="s">
        <v>42</v>
      </c>
      <c r="D458" t="s">
        <v>388</v>
      </c>
      <c r="F458" s="21"/>
      <c r="G458" s="16" t="str">
        <f>HYPERLINK("http://maps.google.com/maps?f=q&amp;hl=en&amp;geocode=&amp;q=39.9535,-75.23157")</f>
        <v>http://maps.google.com/maps?f=q&amp;hl=en&amp;geocode=&amp;q=39.9535,-75.23157</v>
      </c>
    </row>
    <row r="459" spans="1:7" ht="15" x14ac:dyDescent="0.3">
      <c r="A459" t="s">
        <v>44</v>
      </c>
      <c r="B459" t="s">
        <v>44</v>
      </c>
      <c r="C459" t="s">
        <v>44</v>
      </c>
      <c r="D459" t="s">
        <v>75</v>
      </c>
      <c r="F459" s="21"/>
      <c r="G459" s="16"/>
    </row>
    <row r="460" spans="1:7" ht="15" x14ac:dyDescent="0.3">
      <c r="A460" t="s">
        <v>44</v>
      </c>
      <c r="B460" t="s">
        <v>44</v>
      </c>
      <c r="C460" t="s">
        <v>44</v>
      </c>
      <c r="D460" t="s">
        <v>389</v>
      </c>
      <c r="F460" s="21"/>
      <c r="G460" s="16"/>
    </row>
    <row r="461" spans="1:7" ht="15" x14ac:dyDescent="0.3">
      <c r="A461">
        <v>30.013470000000002</v>
      </c>
      <c r="B461">
        <v>-90.176649999999995</v>
      </c>
      <c r="C461" t="s">
        <v>41</v>
      </c>
      <c r="D461" t="s">
        <v>390</v>
      </c>
      <c r="F461" s="21"/>
      <c r="G461" s="16" t="str">
        <f>HYPERLINK("http://maps.google.com/maps?f=q&amp;hl=en&amp;geocode=&amp;q=30.01347,-90.17665")</f>
        <v>http://maps.google.com/maps?f=q&amp;hl=en&amp;geocode=&amp;q=30.01347,-90.17665</v>
      </c>
    </row>
    <row r="462" spans="1:7" ht="15" x14ac:dyDescent="0.3">
      <c r="A462">
        <v>30.013470000000002</v>
      </c>
      <c r="B462">
        <v>-90.176649999999995</v>
      </c>
      <c r="C462" t="s">
        <v>41</v>
      </c>
      <c r="D462" t="s">
        <v>390</v>
      </c>
      <c r="F462" s="21"/>
      <c r="G462" s="16" t="str">
        <f>HYPERLINK("http://maps.google.com/maps?f=q&amp;hl=en&amp;geocode=&amp;q=30.01347,-90.17665")</f>
        <v>http://maps.google.com/maps?f=q&amp;hl=en&amp;geocode=&amp;q=30.01347,-90.17665</v>
      </c>
    </row>
    <row r="463" spans="1:7" ht="15" x14ac:dyDescent="0.3">
      <c r="A463">
        <v>30.013597252129799</v>
      </c>
      <c r="B463">
        <v>-90.178112333309699</v>
      </c>
      <c r="C463" t="s">
        <v>41</v>
      </c>
      <c r="D463" t="s">
        <v>176</v>
      </c>
      <c r="F463" s="21"/>
      <c r="G463" s="16" t="str">
        <f>HYPERLINK("http://maps.google.com/maps?f=q&amp;hl=en&amp;geocode=&amp;q=30.0135972521298,-90.1781123333097")</f>
        <v>http://maps.google.com/maps?f=q&amp;hl=en&amp;geocode=&amp;q=30.0135972521298,-90.1781123333097</v>
      </c>
    </row>
    <row r="464" spans="1:7" ht="15" x14ac:dyDescent="0.3">
      <c r="A464">
        <v>30.013597252129799</v>
      </c>
      <c r="B464">
        <v>-90.178112333309699</v>
      </c>
      <c r="C464" t="s">
        <v>41</v>
      </c>
      <c r="D464" t="s">
        <v>176</v>
      </c>
      <c r="F464" s="21"/>
      <c r="G464" s="16" t="str">
        <f>HYPERLINK("http://maps.google.com/maps?f=q&amp;hl=en&amp;geocode=&amp;q=30.0135972521298,-90.1781123333097")</f>
        <v>http://maps.google.com/maps?f=q&amp;hl=en&amp;geocode=&amp;q=30.0135972521298,-90.1781123333097</v>
      </c>
    </row>
    <row r="465" spans="1:7" ht="15" x14ac:dyDescent="0.3">
      <c r="A465">
        <v>30.013597252129799</v>
      </c>
      <c r="B465">
        <v>-90.178112333309699</v>
      </c>
      <c r="C465" t="s">
        <v>41</v>
      </c>
      <c r="D465" t="s">
        <v>176</v>
      </c>
      <c r="F465" s="21"/>
      <c r="G465" s="16" t="str">
        <f>HYPERLINK("http://maps.google.com/maps?f=q&amp;hl=en&amp;geocode=&amp;q=30.0135972521298,-90.1781123333097")</f>
        <v>http://maps.google.com/maps?f=q&amp;hl=en&amp;geocode=&amp;q=30.0135972521298,-90.1781123333097</v>
      </c>
    </row>
    <row r="466" spans="1:7" ht="15" x14ac:dyDescent="0.3">
      <c r="A466">
        <v>40.026373002701298</v>
      </c>
      <c r="B466">
        <v>-75.225474499451195</v>
      </c>
      <c r="C466" t="s">
        <v>43</v>
      </c>
      <c r="D466" t="s">
        <v>391</v>
      </c>
      <c r="F466" s="21"/>
      <c r="G466" s="16" t="str">
        <f>HYPERLINK("http://maps.google.com/maps?f=q&amp;hl=en&amp;geocode=&amp;q=40.0263730027013,-75.2254744994512")</f>
        <v>http://maps.google.com/maps?f=q&amp;hl=en&amp;geocode=&amp;q=40.0263730027013,-75.2254744994512</v>
      </c>
    </row>
    <row r="467" spans="1:7" ht="15" x14ac:dyDescent="0.3">
      <c r="A467">
        <v>53.196468353271499</v>
      </c>
      <c r="B467">
        <v>-2.8804199695587198</v>
      </c>
      <c r="C467" t="s">
        <v>43</v>
      </c>
      <c r="D467" t="s">
        <v>382</v>
      </c>
      <c r="F467" s="21"/>
      <c r="G467" s="16" t="str">
        <f>HYPERLINK("http://maps.google.com/maps?f=q&amp;hl=en&amp;geocode=&amp;q=53.1964683532715,-2.88041996955872")</f>
        <v>http://maps.google.com/maps?f=q&amp;hl=en&amp;geocode=&amp;q=53.1964683532715,-2.88041996955872</v>
      </c>
    </row>
    <row r="468" spans="1:7" ht="15" x14ac:dyDescent="0.3">
      <c r="A468">
        <v>43.424995206643402</v>
      </c>
      <c r="B468">
        <v>-98.404084654513895</v>
      </c>
      <c r="C468" t="s">
        <v>41</v>
      </c>
      <c r="D468" t="s">
        <v>392</v>
      </c>
      <c r="F468" s="21"/>
      <c r="G468" s="16" t="str">
        <f>HYPERLINK("http://maps.google.com/maps?f=q&amp;hl=en&amp;geocode=&amp;q=43.4249952066434,-98.4040846545139")</f>
        <v>http://maps.google.com/maps?f=q&amp;hl=en&amp;geocode=&amp;q=43.4249952066434,-98.4040846545139</v>
      </c>
    </row>
    <row r="469" spans="1:7" ht="15" x14ac:dyDescent="0.3">
      <c r="A469">
        <v>30.297419427938198</v>
      </c>
      <c r="B469">
        <v>-94.237692312159197</v>
      </c>
      <c r="C469" t="s">
        <v>41</v>
      </c>
      <c r="D469" t="s">
        <v>393</v>
      </c>
      <c r="F469" s="21"/>
      <c r="G469" s="16" t="str">
        <f>HYPERLINK("http://maps.google.com/maps?f=q&amp;hl=en&amp;geocode=&amp;q=30.2974194279382,-94.2376923121592")</f>
        <v>http://maps.google.com/maps?f=q&amp;hl=en&amp;geocode=&amp;q=30.2974194279382,-94.2376923121592</v>
      </c>
    </row>
    <row r="470" spans="1:7" ht="15" x14ac:dyDescent="0.3">
      <c r="A470">
        <v>39.047535000000003</v>
      </c>
      <c r="B470">
        <v>-84.537053999999998</v>
      </c>
      <c r="C470" t="s">
        <v>41</v>
      </c>
      <c r="D470" t="s">
        <v>394</v>
      </c>
      <c r="F470" s="21"/>
      <c r="G470" s="16" t="str">
        <f>HYPERLINK("http://maps.google.com/maps?f=q&amp;hl=en&amp;geocode=&amp;q=39.047535,-84.537054")</f>
        <v>http://maps.google.com/maps?f=q&amp;hl=en&amp;geocode=&amp;q=39.047535,-84.537054</v>
      </c>
    </row>
    <row r="471" spans="1:7" ht="15" x14ac:dyDescent="0.3">
      <c r="A471">
        <v>41.38879</v>
      </c>
      <c r="B471">
        <v>-70.521209999999996</v>
      </c>
      <c r="C471" t="s">
        <v>41</v>
      </c>
      <c r="D471" t="s">
        <v>395</v>
      </c>
      <c r="F471" s="21"/>
      <c r="G471" s="16" t="str">
        <f>HYPERLINK("http://maps.google.com/maps?f=q&amp;hl=en&amp;geocode=&amp;q=41.38879,-70.52121")</f>
        <v>http://maps.google.com/maps?f=q&amp;hl=en&amp;geocode=&amp;q=41.38879,-70.52121</v>
      </c>
    </row>
    <row r="472" spans="1:7" ht="15" x14ac:dyDescent="0.3">
      <c r="A472">
        <v>40.032490000000003</v>
      </c>
      <c r="B472">
        <v>-75.225560000000002</v>
      </c>
      <c r="C472" t="s">
        <v>41</v>
      </c>
      <c r="D472" t="s">
        <v>396</v>
      </c>
      <c r="F472" s="21"/>
      <c r="G472" s="16" t="str">
        <f>HYPERLINK("http://maps.google.com/maps?f=q&amp;hl=en&amp;geocode=&amp;q=40.03249,-75.22556")</f>
        <v>http://maps.google.com/maps?f=q&amp;hl=en&amp;geocode=&amp;q=40.03249,-75.22556</v>
      </c>
    </row>
    <row r="473" spans="1:7" ht="15" x14ac:dyDescent="0.3">
      <c r="A473">
        <v>39.954037576622397</v>
      </c>
      <c r="B473">
        <v>-75.226335996261298</v>
      </c>
      <c r="C473" t="s">
        <v>41</v>
      </c>
      <c r="D473" t="s">
        <v>397</v>
      </c>
      <c r="F473" s="21"/>
      <c r="G473" s="16" t="str">
        <f>HYPERLINK("http://maps.google.com/maps?f=q&amp;hl=en&amp;geocode=&amp;q=39.9540375766224,-75.2263359962613")</f>
        <v>http://maps.google.com/maps?f=q&amp;hl=en&amp;geocode=&amp;q=39.9540375766224,-75.2263359962613</v>
      </c>
    </row>
    <row r="474" spans="1:7" ht="15" x14ac:dyDescent="0.3">
      <c r="A474">
        <v>29.841709136962901</v>
      </c>
      <c r="B474">
        <v>78.675361633300795</v>
      </c>
      <c r="C474" t="s">
        <v>41</v>
      </c>
      <c r="D474" t="s">
        <v>398</v>
      </c>
      <c r="F474" s="21"/>
      <c r="G474" s="16" t="str">
        <f>HYPERLINK("http://maps.google.com/maps?f=q&amp;hl=en&amp;geocode=&amp;q=29.8417091369629,78.6753616333008")</f>
        <v>http://maps.google.com/maps?f=q&amp;hl=en&amp;geocode=&amp;q=29.8417091369629,78.6753616333008</v>
      </c>
    </row>
    <row r="475" spans="1:7" ht="15" x14ac:dyDescent="0.3">
      <c r="A475">
        <v>40.013988494872997</v>
      </c>
      <c r="B475">
        <v>-75.303192138671903</v>
      </c>
      <c r="C475" t="s">
        <v>41</v>
      </c>
      <c r="D475" t="s">
        <v>399</v>
      </c>
      <c r="F475" s="21"/>
      <c r="G475" s="16" t="str">
        <f>HYPERLINK("http://maps.google.com/maps?f=q&amp;hl=en&amp;geocode=&amp;q=40.013988494873,-75.3031921386719")</f>
        <v>http://maps.google.com/maps?f=q&amp;hl=en&amp;geocode=&amp;q=40.013988494873,-75.3031921386719</v>
      </c>
    </row>
    <row r="476" spans="1:7" ht="15" x14ac:dyDescent="0.3">
      <c r="A476">
        <v>38.863590000000002</v>
      </c>
      <c r="B476">
        <v>-90.079520000000002</v>
      </c>
      <c r="C476" t="s">
        <v>43</v>
      </c>
      <c r="D476" t="s">
        <v>400</v>
      </c>
      <c r="F476" s="21"/>
      <c r="G476" s="16" t="str">
        <f>HYPERLINK("http://maps.google.com/maps?f=q&amp;hl=en&amp;geocode=&amp;q=38.86359,-90.07952")</f>
        <v>http://maps.google.com/maps?f=q&amp;hl=en&amp;geocode=&amp;q=38.86359,-90.07952</v>
      </c>
    </row>
    <row r="477" spans="1:7" ht="15" x14ac:dyDescent="0.3">
      <c r="A477">
        <v>38.766411589082097</v>
      </c>
      <c r="B477">
        <v>-90.591846957956406</v>
      </c>
      <c r="C477" t="s">
        <v>43</v>
      </c>
      <c r="D477" t="s">
        <v>401</v>
      </c>
      <c r="F477" s="21"/>
      <c r="G477" s="16" t="str">
        <f>HYPERLINK("http://maps.google.com/maps?f=q&amp;hl=en&amp;geocode=&amp;q=38.7664115890821,-90.5918469579564")</f>
        <v>http://maps.google.com/maps?f=q&amp;hl=en&amp;geocode=&amp;q=38.7664115890821,-90.5918469579564</v>
      </c>
    </row>
    <row r="478" spans="1:7" ht="15" x14ac:dyDescent="0.3">
      <c r="A478">
        <v>40.460018157958999</v>
      </c>
      <c r="B478">
        <v>-78.591552734375</v>
      </c>
      <c r="C478" t="s">
        <v>43</v>
      </c>
      <c r="D478" t="s">
        <v>102</v>
      </c>
      <c r="F478" s="21"/>
      <c r="G478" s="16" t="str">
        <f>HYPERLINK("http://maps.google.com/maps?f=q&amp;hl=en&amp;geocode=&amp;q=40.460018157959,-78.591552734375")</f>
        <v>http://maps.google.com/maps?f=q&amp;hl=en&amp;geocode=&amp;q=40.460018157959,-78.591552734375</v>
      </c>
    </row>
    <row r="479" spans="1:7" ht="15" x14ac:dyDescent="0.3">
      <c r="A479">
        <v>40.037979125976598</v>
      </c>
      <c r="B479">
        <v>-75.223060607910199</v>
      </c>
      <c r="C479" t="s">
        <v>41</v>
      </c>
      <c r="D479" t="s">
        <v>132</v>
      </c>
      <c r="F479" s="21"/>
      <c r="G479" s="16" t="str">
        <f>HYPERLINK("http://maps.google.com/maps?f=q&amp;hl=en&amp;geocode=&amp;q=40.0379791259766,-75.2230606079102")</f>
        <v>http://maps.google.com/maps?f=q&amp;hl=en&amp;geocode=&amp;q=40.0379791259766,-75.2230606079102</v>
      </c>
    </row>
    <row r="480" spans="1:7" ht="15" x14ac:dyDescent="0.3">
      <c r="A480">
        <v>43.040962853589299</v>
      </c>
      <c r="B480">
        <v>-95.624018475677801</v>
      </c>
      <c r="C480" t="s">
        <v>41</v>
      </c>
      <c r="D480" t="s">
        <v>152</v>
      </c>
      <c r="F480" s="21"/>
      <c r="G480" s="16" t="str">
        <f>HYPERLINK("http://maps.google.com/maps?f=q&amp;hl=en&amp;geocode=&amp;q=43.0409628535893,-95.6240184756778")</f>
        <v>http://maps.google.com/maps?f=q&amp;hl=en&amp;geocode=&amp;q=43.0409628535893,-95.6240184756778</v>
      </c>
    </row>
    <row r="481" spans="1:7" ht="15" x14ac:dyDescent="0.3">
      <c r="A481">
        <v>-32.7033500671387</v>
      </c>
      <c r="B481">
        <v>137.70617675781301</v>
      </c>
      <c r="C481" t="s">
        <v>41</v>
      </c>
      <c r="D481" t="s">
        <v>52</v>
      </c>
      <c r="F481" s="21"/>
      <c r="G481" s="16" t="str">
        <f>HYPERLINK("http://maps.google.com/maps?f=q&amp;hl=en&amp;geocode=&amp;q=-32.7033500671387,137.706176757813")</f>
        <v>http://maps.google.com/maps?f=q&amp;hl=en&amp;geocode=&amp;q=-32.7033500671387,137.706176757813</v>
      </c>
    </row>
    <row r="482" spans="1:7" ht="15" x14ac:dyDescent="0.3">
      <c r="A482">
        <v>47.095829010009801</v>
      </c>
      <c r="B482">
        <v>-122.62953948974599</v>
      </c>
      <c r="C482" t="s">
        <v>43</v>
      </c>
      <c r="D482" t="s">
        <v>402</v>
      </c>
      <c r="F482" s="21"/>
      <c r="G482" s="16" t="str">
        <f>HYPERLINK("http://maps.google.com/maps?f=q&amp;hl=en&amp;geocode=&amp;q=47.0958290100098,-122.629539489746")</f>
        <v>http://maps.google.com/maps?f=q&amp;hl=en&amp;geocode=&amp;q=47.0958290100098,-122.629539489746</v>
      </c>
    </row>
    <row r="483" spans="1:7" ht="15" x14ac:dyDescent="0.3">
      <c r="A483">
        <v>55.955589294433601</v>
      </c>
      <c r="B483">
        <v>-2.77958011627197</v>
      </c>
      <c r="C483" t="s">
        <v>43</v>
      </c>
      <c r="D483" t="s">
        <v>403</v>
      </c>
      <c r="F483" s="21"/>
      <c r="G483" s="16" t="str">
        <f>HYPERLINK("http://maps.google.com/maps?f=q&amp;hl=en&amp;geocode=&amp;q=55.9555892944336,-2.77958011627197")</f>
        <v>http://maps.google.com/maps?f=q&amp;hl=en&amp;geocode=&amp;q=55.9555892944336,-2.77958011627197</v>
      </c>
    </row>
    <row r="484" spans="1:7" ht="15" x14ac:dyDescent="0.3">
      <c r="A484">
        <v>39.9726</v>
      </c>
      <c r="B484">
        <v>-75.241200000000006</v>
      </c>
      <c r="C484" t="s">
        <v>43</v>
      </c>
      <c r="D484" t="s">
        <v>339</v>
      </c>
      <c r="F484" s="21"/>
      <c r="G484" s="16" t="str">
        <f>HYPERLINK("http://maps.google.com/maps?f=q&amp;hl=en&amp;geocode=&amp;q=39.9726,-75.2412")</f>
        <v>http://maps.google.com/maps?f=q&amp;hl=en&amp;geocode=&amp;q=39.9726,-75.2412</v>
      </c>
    </row>
    <row r="485" spans="1:7" ht="15" x14ac:dyDescent="0.3">
      <c r="A485">
        <v>41.073617878881599</v>
      </c>
      <c r="B485">
        <v>-81.248220167043002</v>
      </c>
      <c r="C485" t="s">
        <v>41</v>
      </c>
      <c r="D485" t="s">
        <v>404</v>
      </c>
      <c r="F485" s="21"/>
      <c r="G485" s="16" t="str">
        <f>HYPERLINK("http://maps.google.com/maps?f=q&amp;hl=en&amp;geocode=&amp;q=41.0736178788816,-81.248220167043")</f>
        <v>http://maps.google.com/maps?f=q&amp;hl=en&amp;geocode=&amp;q=41.0736178788816,-81.248220167043</v>
      </c>
    </row>
    <row r="486" spans="1:7" ht="15" x14ac:dyDescent="0.3">
      <c r="A486">
        <v>41.073617878881599</v>
      </c>
      <c r="B486">
        <v>-81.248220167043002</v>
      </c>
      <c r="C486" t="s">
        <v>41</v>
      </c>
      <c r="D486" t="s">
        <v>404</v>
      </c>
      <c r="F486" s="21"/>
      <c r="G486" s="16" t="str">
        <f>HYPERLINK("http://maps.google.com/maps?f=q&amp;hl=en&amp;geocode=&amp;q=41.0736178788816,-81.248220167043")</f>
        <v>http://maps.google.com/maps?f=q&amp;hl=en&amp;geocode=&amp;q=41.0736178788816,-81.248220167043</v>
      </c>
    </row>
    <row r="487" spans="1:7" ht="15" x14ac:dyDescent="0.3">
      <c r="A487">
        <v>43.941169738769503</v>
      </c>
      <c r="B487">
        <v>-122.87419128418</v>
      </c>
      <c r="C487" t="s">
        <v>43</v>
      </c>
      <c r="D487" t="s">
        <v>405</v>
      </c>
      <c r="F487" s="21"/>
      <c r="G487" s="16" t="str">
        <f>HYPERLINK("http://maps.google.com/maps?f=q&amp;hl=en&amp;geocode=&amp;q=43.9411697387695,-122.87419128418")</f>
        <v>http://maps.google.com/maps?f=q&amp;hl=en&amp;geocode=&amp;q=43.9411697387695,-122.87419128418</v>
      </c>
    </row>
    <row r="488" spans="1:7" ht="15" x14ac:dyDescent="0.3">
      <c r="A488">
        <v>41.0766144897228</v>
      </c>
      <c r="B488">
        <v>-80.724495965529002</v>
      </c>
      <c r="C488" t="s">
        <v>41</v>
      </c>
      <c r="D488" t="s">
        <v>406</v>
      </c>
      <c r="F488" s="21"/>
      <c r="G488" s="16" t="str">
        <f>HYPERLINK("http://maps.google.com/maps?f=q&amp;hl=en&amp;geocode=&amp;q=41.0766144897228,-80.724495965529")</f>
        <v>http://maps.google.com/maps?f=q&amp;hl=en&amp;geocode=&amp;q=41.0766144897228,-80.724495965529</v>
      </c>
    </row>
    <row r="489" spans="1:7" ht="15" x14ac:dyDescent="0.3">
      <c r="A489">
        <v>39.959629999999997</v>
      </c>
      <c r="B489">
        <v>-75.19708</v>
      </c>
      <c r="C489" t="s">
        <v>43</v>
      </c>
      <c r="D489" t="s">
        <v>407</v>
      </c>
      <c r="F489" s="21"/>
      <c r="G489" s="16" t="str">
        <f>HYPERLINK("http://maps.google.com/maps?f=q&amp;hl=en&amp;geocode=&amp;q=39.95963,-75.19708")</f>
        <v>http://maps.google.com/maps?f=q&amp;hl=en&amp;geocode=&amp;q=39.95963,-75.19708</v>
      </c>
    </row>
    <row r="490" spans="1:7" ht="15" x14ac:dyDescent="0.3">
      <c r="A490">
        <v>40.468830108642599</v>
      </c>
      <c r="B490">
        <v>-79.981201171875</v>
      </c>
      <c r="C490" t="s">
        <v>43</v>
      </c>
      <c r="D490" t="s">
        <v>408</v>
      </c>
      <c r="F490" s="21"/>
      <c r="G490" s="16" t="str">
        <f>HYPERLINK("http://maps.google.com/maps?f=q&amp;hl=en&amp;geocode=&amp;q=40.4688301086426,-79.981201171875")</f>
        <v>http://maps.google.com/maps?f=q&amp;hl=en&amp;geocode=&amp;q=40.4688301086426,-79.981201171875</v>
      </c>
    </row>
    <row r="491" spans="1:7" ht="15" x14ac:dyDescent="0.3">
      <c r="A491">
        <v>44.244550552190702</v>
      </c>
      <c r="B491">
        <v>-85.394581697647695</v>
      </c>
      <c r="C491" t="s">
        <v>43</v>
      </c>
      <c r="D491" t="s">
        <v>409</v>
      </c>
      <c r="F491" s="21"/>
      <c r="G491" s="16" t="str">
        <f>HYPERLINK("http://maps.google.com/maps?f=q&amp;hl=en&amp;geocode=&amp;q=44.2445505521907,-85.3945816976477")</f>
        <v>http://maps.google.com/maps?f=q&amp;hl=en&amp;geocode=&amp;q=44.2445505521907,-85.3945816976477</v>
      </c>
    </row>
    <row r="492" spans="1:7" ht="15" x14ac:dyDescent="0.3">
      <c r="A492">
        <v>33.936018308014397</v>
      </c>
      <c r="B492">
        <v>-84.533137842325502</v>
      </c>
      <c r="C492" t="s">
        <v>43</v>
      </c>
      <c r="D492" t="s">
        <v>410</v>
      </c>
      <c r="F492" s="21"/>
      <c r="G492" s="16" t="str">
        <f>HYPERLINK("http://maps.google.com/maps?f=q&amp;hl=en&amp;geocode=&amp;q=33.9360183080144,-84.5331378423255")</f>
        <v>http://maps.google.com/maps?f=q&amp;hl=en&amp;geocode=&amp;q=33.9360183080144,-84.5331378423255</v>
      </c>
    </row>
    <row r="493" spans="1:7" ht="15" x14ac:dyDescent="0.3">
      <c r="A493">
        <v>41.233863218392898</v>
      </c>
      <c r="B493">
        <v>-92.525928747020799</v>
      </c>
      <c r="C493" t="s">
        <v>41</v>
      </c>
      <c r="D493" t="s">
        <v>233</v>
      </c>
      <c r="F493" s="21"/>
      <c r="G493" s="16" t="str">
        <f>HYPERLINK("http://maps.google.com/maps?f=q&amp;hl=en&amp;geocode=&amp;q=41.2338632183929,-92.5259287470208")</f>
        <v>http://maps.google.com/maps?f=q&amp;hl=en&amp;geocode=&amp;q=41.2338632183929,-92.5259287470208</v>
      </c>
    </row>
    <row r="494" spans="1:7" ht="15" x14ac:dyDescent="0.3">
      <c r="A494">
        <v>42.094970703125</v>
      </c>
      <c r="B494">
        <v>-91.665573120117202</v>
      </c>
      <c r="C494" t="s">
        <v>43</v>
      </c>
      <c r="D494" t="s">
        <v>411</v>
      </c>
      <c r="F494" s="21"/>
      <c r="G494" s="16" t="str">
        <f>HYPERLINK("http://maps.google.com/maps?f=q&amp;hl=en&amp;geocode=&amp;q=42.094970703125,-91.6655731201172")</f>
        <v>http://maps.google.com/maps?f=q&amp;hl=en&amp;geocode=&amp;q=42.094970703125,-91.6655731201172</v>
      </c>
    </row>
    <row r="495" spans="1:7" ht="15" x14ac:dyDescent="0.3">
      <c r="A495">
        <v>35.428350000000002</v>
      </c>
      <c r="B495">
        <v>-97.134460000000004</v>
      </c>
      <c r="C495" t="s">
        <v>42</v>
      </c>
      <c r="D495" t="s">
        <v>412</v>
      </c>
      <c r="F495" s="21"/>
      <c r="G495" s="16" t="str">
        <f>HYPERLINK("http://maps.google.com/maps?f=q&amp;hl=en&amp;geocode=&amp;q=35.42835,-97.13446")</f>
        <v>http://maps.google.com/maps?f=q&amp;hl=en&amp;geocode=&amp;q=35.42835,-97.13446</v>
      </c>
    </row>
    <row r="496" spans="1:7" ht="15" x14ac:dyDescent="0.3">
      <c r="A496">
        <v>38.798560000000002</v>
      </c>
      <c r="B496">
        <v>-90.20908</v>
      </c>
      <c r="C496" t="s">
        <v>43</v>
      </c>
      <c r="D496" t="s">
        <v>413</v>
      </c>
      <c r="F496" s="21"/>
      <c r="G496" s="16" t="str">
        <f>HYPERLINK("http://maps.google.com/maps?f=q&amp;hl=en&amp;geocode=&amp;q=38.79856,-90.20908")</f>
        <v>http://maps.google.com/maps?f=q&amp;hl=en&amp;geocode=&amp;q=38.79856,-90.20908</v>
      </c>
    </row>
    <row r="497" spans="1:7" ht="15" x14ac:dyDescent="0.3">
      <c r="A497">
        <v>28.007390000000001</v>
      </c>
      <c r="B497">
        <v>-80.643069999999994</v>
      </c>
      <c r="C497" t="s">
        <v>42</v>
      </c>
      <c r="D497" t="s">
        <v>414</v>
      </c>
      <c r="F497" s="21"/>
      <c r="G497" s="16" t="str">
        <f>HYPERLINK("http://maps.google.com/maps?f=q&amp;hl=en&amp;geocode=&amp;q=28.00739,-80.64307")</f>
        <v>http://maps.google.com/maps?f=q&amp;hl=en&amp;geocode=&amp;q=28.00739,-80.64307</v>
      </c>
    </row>
    <row r="498" spans="1:7" ht="15" x14ac:dyDescent="0.3">
      <c r="A498">
        <v>39.975349999999999</v>
      </c>
      <c r="B498">
        <v>-75.261470000000003</v>
      </c>
      <c r="C498" t="s">
        <v>41</v>
      </c>
      <c r="D498" t="s">
        <v>415</v>
      </c>
      <c r="F498" s="21"/>
      <c r="G498" s="16" t="str">
        <f>HYPERLINK("http://maps.google.com/maps?f=q&amp;hl=en&amp;geocode=&amp;q=39.97535,-75.26147")</f>
        <v>http://maps.google.com/maps?f=q&amp;hl=en&amp;geocode=&amp;q=39.97535,-75.26147</v>
      </c>
    </row>
    <row r="499" spans="1:7" ht="15" x14ac:dyDescent="0.3">
      <c r="A499">
        <v>38.744968077935702</v>
      </c>
      <c r="B499">
        <v>-78.645033659973393</v>
      </c>
      <c r="C499" t="s">
        <v>41</v>
      </c>
      <c r="D499" t="s">
        <v>416</v>
      </c>
      <c r="F499" s="21"/>
      <c r="G499" s="16" t="str">
        <f>HYPERLINK("http://maps.google.com/maps?f=q&amp;hl=en&amp;geocode=&amp;q=38.7449680779357,-78.6450336599734")</f>
        <v>http://maps.google.com/maps?f=q&amp;hl=en&amp;geocode=&amp;q=38.7449680779357,-78.6450336599734</v>
      </c>
    </row>
    <row r="500" spans="1:7" ht="15" x14ac:dyDescent="0.3">
      <c r="A500">
        <v>38.136859999999999</v>
      </c>
      <c r="B500">
        <v>-77.561269999999993</v>
      </c>
      <c r="C500" t="s">
        <v>41</v>
      </c>
      <c r="D500" t="s">
        <v>417</v>
      </c>
      <c r="F500" s="21"/>
      <c r="G500" s="16" t="str">
        <f>HYPERLINK("http://maps.google.com/maps?f=q&amp;hl=en&amp;geocode=&amp;q=38.13686,-77.56127")</f>
        <v>http://maps.google.com/maps?f=q&amp;hl=en&amp;geocode=&amp;q=38.13686,-77.56127</v>
      </c>
    </row>
    <row r="501" spans="1:7" ht="15" x14ac:dyDescent="0.3">
      <c r="A501">
        <v>42.055511357663697</v>
      </c>
      <c r="B501">
        <v>-87.704743012435799</v>
      </c>
      <c r="C501" t="s">
        <v>41</v>
      </c>
      <c r="D501" t="s">
        <v>418</v>
      </c>
      <c r="F501" s="21"/>
      <c r="G501" s="16" t="str">
        <f>HYPERLINK("http://maps.google.com/maps?f=q&amp;hl=en&amp;geocode=&amp;q=42.0555113576637,-87.7047430124358")</f>
        <v>http://maps.google.com/maps?f=q&amp;hl=en&amp;geocode=&amp;q=42.0555113576637,-87.7047430124358</v>
      </c>
    </row>
    <row r="502" spans="1:7" ht="15" x14ac:dyDescent="0.3">
      <c r="A502" t="s">
        <v>44</v>
      </c>
      <c r="B502" t="s">
        <v>44</v>
      </c>
      <c r="C502" t="s">
        <v>44</v>
      </c>
      <c r="D502" t="s">
        <v>419</v>
      </c>
      <c r="F502" s="21"/>
      <c r="G502" s="16"/>
    </row>
    <row r="503" spans="1:7" ht="15" x14ac:dyDescent="0.3">
      <c r="A503">
        <v>46.7700805664063</v>
      </c>
      <c r="B503">
        <v>4.9185299873352104</v>
      </c>
      <c r="C503" t="s">
        <v>43</v>
      </c>
      <c r="D503" t="s">
        <v>420</v>
      </c>
      <c r="F503" s="21"/>
      <c r="G503" s="16" t="str">
        <f>HYPERLINK("http://maps.google.com/maps?f=q&amp;hl=en&amp;geocode=&amp;q=46.7700805664063,4.91852998733521")</f>
        <v>http://maps.google.com/maps?f=q&amp;hl=en&amp;geocode=&amp;q=46.7700805664063,4.91852998733521</v>
      </c>
    </row>
    <row r="504" spans="1:7" ht="15" x14ac:dyDescent="0.3">
      <c r="A504">
        <v>38.589080000000003</v>
      </c>
      <c r="B504">
        <v>-90.290170000000003</v>
      </c>
      <c r="C504" t="s">
        <v>41</v>
      </c>
      <c r="D504" t="s">
        <v>421</v>
      </c>
      <c r="F504" s="21"/>
      <c r="G504" s="16" t="str">
        <f>HYPERLINK("http://maps.google.com/maps?f=q&amp;hl=en&amp;geocode=&amp;q=38.58908,-90.29017")</f>
        <v>http://maps.google.com/maps?f=q&amp;hl=en&amp;geocode=&amp;q=38.58908,-90.29017</v>
      </c>
    </row>
    <row r="505" spans="1:7" ht="15" x14ac:dyDescent="0.3">
      <c r="A505">
        <v>36.383634418760103</v>
      </c>
      <c r="B505">
        <v>-78.635280298519305</v>
      </c>
      <c r="C505" t="s">
        <v>41</v>
      </c>
      <c r="D505" t="s">
        <v>51</v>
      </c>
      <c r="F505" s="21"/>
      <c r="G505" s="16" t="str">
        <f>HYPERLINK("http://maps.google.com/maps?f=q&amp;hl=en&amp;geocode=&amp;q=36.3836344187601,-78.6352802985193")</f>
        <v>http://maps.google.com/maps?f=q&amp;hl=en&amp;geocode=&amp;q=36.3836344187601,-78.6352802985193</v>
      </c>
    </row>
    <row r="506" spans="1:7" ht="15" x14ac:dyDescent="0.3">
      <c r="A506">
        <v>41.433275724662899</v>
      </c>
      <c r="B506">
        <v>-82.022944714217402</v>
      </c>
      <c r="C506" t="s">
        <v>41</v>
      </c>
      <c r="D506" t="s">
        <v>422</v>
      </c>
      <c r="F506" s="21"/>
      <c r="G506" s="16" t="str">
        <f>HYPERLINK("http://maps.google.com/maps?f=q&amp;hl=en&amp;geocode=&amp;q=41.4332757246629,-82.0229447142174")</f>
        <v>http://maps.google.com/maps?f=q&amp;hl=en&amp;geocode=&amp;q=41.4332757246629,-82.0229447142174</v>
      </c>
    </row>
    <row r="507" spans="1:7" ht="15" x14ac:dyDescent="0.3">
      <c r="A507">
        <v>39.972029999999997</v>
      </c>
      <c r="B507">
        <v>-75.234480000000005</v>
      </c>
      <c r="C507" t="s">
        <v>42</v>
      </c>
      <c r="D507" t="s">
        <v>423</v>
      </c>
      <c r="F507" s="21"/>
      <c r="G507" s="16" t="str">
        <f>HYPERLINK("http://maps.google.com/maps?f=q&amp;hl=en&amp;geocode=&amp;q=39.97203,-75.23448")</f>
        <v>http://maps.google.com/maps?f=q&amp;hl=en&amp;geocode=&amp;q=39.97203,-75.23448</v>
      </c>
    </row>
    <row r="508" spans="1:7" ht="15" x14ac:dyDescent="0.3">
      <c r="A508">
        <v>51.132999420166001</v>
      </c>
      <c r="B508">
        <v>9.1669998168945295</v>
      </c>
      <c r="C508" t="s">
        <v>41</v>
      </c>
      <c r="D508" t="s">
        <v>424</v>
      </c>
      <c r="F508" s="21"/>
      <c r="G508" s="16" t="str">
        <f>HYPERLINK("http://maps.google.com/maps?f=q&amp;hl=en&amp;geocode=&amp;q=51.132999420166,9.16699981689453")</f>
        <v>http://maps.google.com/maps?f=q&amp;hl=en&amp;geocode=&amp;q=51.132999420166,9.16699981689453</v>
      </c>
    </row>
    <row r="509" spans="1:7" ht="15" x14ac:dyDescent="0.3">
      <c r="A509">
        <v>34.8241996765137</v>
      </c>
      <c r="B509">
        <v>-97.112663269042997</v>
      </c>
      <c r="C509" t="s">
        <v>43</v>
      </c>
      <c r="D509" t="s">
        <v>425</v>
      </c>
      <c r="F509" s="21"/>
      <c r="G509" s="16" t="str">
        <f>HYPERLINK("http://maps.google.com/maps?f=q&amp;hl=en&amp;geocode=&amp;q=34.8241996765137,-97.112663269043")</f>
        <v>http://maps.google.com/maps?f=q&amp;hl=en&amp;geocode=&amp;q=34.8241996765137,-97.112663269043</v>
      </c>
    </row>
    <row r="510" spans="1:7" ht="15" x14ac:dyDescent="0.3">
      <c r="A510">
        <v>41.022918701171903</v>
      </c>
      <c r="B510">
        <v>-78.438087463378906</v>
      </c>
      <c r="C510" t="s">
        <v>41</v>
      </c>
      <c r="D510" t="s">
        <v>426</v>
      </c>
      <c r="F510" s="21"/>
      <c r="G510" s="16" t="str">
        <f>HYPERLINK("http://maps.google.com/maps?f=q&amp;hl=en&amp;geocode=&amp;q=41.0229187011719,-78.4380874633789")</f>
        <v>http://maps.google.com/maps?f=q&amp;hl=en&amp;geocode=&amp;q=41.0229187011719,-78.4380874633789</v>
      </c>
    </row>
    <row r="511" spans="1:7" ht="15" x14ac:dyDescent="0.3">
      <c r="A511">
        <v>40.460018157958999</v>
      </c>
      <c r="B511">
        <v>-78.591552734375</v>
      </c>
      <c r="C511" t="s">
        <v>43</v>
      </c>
      <c r="D511" t="s">
        <v>427</v>
      </c>
      <c r="F511" s="21"/>
      <c r="G511" s="16" t="str">
        <f>HYPERLINK("http://maps.google.com/maps?f=q&amp;hl=en&amp;geocode=&amp;q=40.460018157959,-78.591552734375")</f>
        <v>http://maps.google.com/maps?f=q&amp;hl=en&amp;geocode=&amp;q=40.460018157959,-78.591552734375</v>
      </c>
    </row>
    <row r="512" spans="1:7" ht="15" x14ac:dyDescent="0.3">
      <c r="A512">
        <v>34.580092171679397</v>
      </c>
      <c r="B512">
        <v>-86.980537979413</v>
      </c>
      <c r="C512" t="s">
        <v>41</v>
      </c>
      <c r="D512" t="s">
        <v>428</v>
      </c>
      <c r="F512" s="21"/>
      <c r="G512" s="16" t="str">
        <f>HYPERLINK("http://maps.google.com/maps?f=q&amp;hl=en&amp;geocode=&amp;q=34.5800921716794,-86.980537979413")</f>
        <v>http://maps.google.com/maps?f=q&amp;hl=en&amp;geocode=&amp;q=34.5800921716794,-86.980537979413</v>
      </c>
    </row>
    <row r="513" spans="1:7" ht="15" x14ac:dyDescent="0.3">
      <c r="A513">
        <v>38.58887</v>
      </c>
      <c r="B513">
        <v>-90.28819</v>
      </c>
      <c r="C513" t="s">
        <v>41</v>
      </c>
      <c r="D513" t="s">
        <v>429</v>
      </c>
      <c r="F513" s="21"/>
      <c r="G513" s="16" t="str">
        <f>HYPERLINK("http://maps.google.com/maps?f=q&amp;hl=en&amp;geocode=&amp;q=38.58887,-90.28819")</f>
        <v>http://maps.google.com/maps?f=q&amp;hl=en&amp;geocode=&amp;q=38.58887,-90.28819</v>
      </c>
    </row>
    <row r="514" spans="1:7" ht="15" x14ac:dyDescent="0.3">
      <c r="A514" t="s">
        <v>44</v>
      </c>
      <c r="B514" t="s">
        <v>44</v>
      </c>
      <c r="C514" t="s">
        <v>44</v>
      </c>
      <c r="D514" t="s">
        <v>430</v>
      </c>
      <c r="F514" s="21"/>
      <c r="G514" s="16"/>
    </row>
    <row r="515" spans="1:7" ht="15" x14ac:dyDescent="0.3">
      <c r="A515">
        <v>39.950189999999999</v>
      </c>
      <c r="B515">
        <v>-75.243200000000002</v>
      </c>
      <c r="C515" t="s">
        <v>43</v>
      </c>
      <c r="D515" t="s">
        <v>431</v>
      </c>
      <c r="F515" s="21"/>
      <c r="G515" s="16" t="str">
        <f>HYPERLINK("http://maps.google.com/maps?f=q&amp;hl=en&amp;geocode=&amp;q=39.95019,-75.2432")</f>
        <v>http://maps.google.com/maps?f=q&amp;hl=en&amp;geocode=&amp;q=39.95019,-75.2432</v>
      </c>
    </row>
    <row r="516" spans="1:7" ht="15" x14ac:dyDescent="0.3">
      <c r="A516">
        <v>30.299074998091601</v>
      </c>
      <c r="B516">
        <v>-85.532838087110093</v>
      </c>
      <c r="C516" t="s">
        <v>41</v>
      </c>
      <c r="D516" t="s">
        <v>432</v>
      </c>
      <c r="F516" s="21"/>
      <c r="G516" s="16" t="str">
        <f>HYPERLINK("http://maps.google.com/maps?f=q&amp;hl=en&amp;geocode=&amp;q=30.2990749980916,-85.5328380871101")</f>
        <v>http://maps.google.com/maps?f=q&amp;hl=en&amp;geocode=&amp;q=30.2990749980916,-85.5328380871101</v>
      </c>
    </row>
    <row r="517" spans="1:7" ht="15" x14ac:dyDescent="0.3">
      <c r="A517">
        <v>37.6307527593533</v>
      </c>
      <c r="B517">
        <v>-80.985487552934401</v>
      </c>
      <c r="C517" t="s">
        <v>41</v>
      </c>
      <c r="D517" t="s">
        <v>84</v>
      </c>
      <c r="F517" s="21"/>
      <c r="G517" s="16" t="str">
        <f>HYPERLINK("http://maps.google.com/maps?f=q&amp;hl=en&amp;geocode=&amp;q=37.6307527593533,-80.9854875529344")</f>
        <v>http://maps.google.com/maps?f=q&amp;hl=en&amp;geocode=&amp;q=37.6307527593533,-80.9854875529344</v>
      </c>
    </row>
    <row r="518" spans="1:7" ht="15" x14ac:dyDescent="0.3">
      <c r="A518">
        <v>-31.950477600097699</v>
      </c>
      <c r="B518">
        <v>115.86053466796901</v>
      </c>
      <c r="C518" t="s">
        <v>43</v>
      </c>
      <c r="D518" t="s">
        <v>433</v>
      </c>
      <c r="F518" s="21"/>
      <c r="G518" s="16" t="str">
        <f>HYPERLINK("http://maps.google.com/maps?f=q&amp;hl=en&amp;geocode=&amp;q=-31.9504776000977,115.860534667969")</f>
        <v>http://maps.google.com/maps?f=q&amp;hl=en&amp;geocode=&amp;q=-31.9504776000977,115.860534667969</v>
      </c>
    </row>
    <row r="519" spans="1:7" ht="15" x14ac:dyDescent="0.3">
      <c r="A519">
        <v>39.950530000000001</v>
      </c>
      <c r="B519">
        <v>-75.222939999999994</v>
      </c>
      <c r="C519" t="s">
        <v>41</v>
      </c>
      <c r="D519" t="s">
        <v>434</v>
      </c>
      <c r="F519" s="21"/>
      <c r="G519" s="16" t="str">
        <f>HYPERLINK("http://maps.google.com/maps?f=q&amp;hl=en&amp;geocode=&amp;q=39.95053,-75.22294")</f>
        <v>http://maps.google.com/maps?f=q&amp;hl=en&amp;geocode=&amp;q=39.95053,-75.22294</v>
      </c>
    </row>
    <row r="520" spans="1:7" ht="15" x14ac:dyDescent="0.3">
      <c r="A520">
        <v>37.193137624588601</v>
      </c>
      <c r="B520">
        <v>-79.925634611896299</v>
      </c>
      <c r="C520" t="s">
        <v>41</v>
      </c>
      <c r="D520" t="s">
        <v>435</v>
      </c>
      <c r="F520" s="21"/>
      <c r="G520" s="16" t="str">
        <f>HYPERLINK("http://maps.google.com/maps?f=q&amp;hl=en&amp;geocode=&amp;q=37.1931376245886,-79.9256346118963")</f>
        <v>http://maps.google.com/maps?f=q&amp;hl=en&amp;geocode=&amp;q=37.1931376245886,-79.9256346118963</v>
      </c>
    </row>
    <row r="521" spans="1:7" ht="15" x14ac:dyDescent="0.3">
      <c r="A521">
        <v>28.2471611755571</v>
      </c>
      <c r="B521">
        <v>-82.718509611653602</v>
      </c>
      <c r="C521" t="s">
        <v>41</v>
      </c>
      <c r="D521" t="s">
        <v>436</v>
      </c>
      <c r="F521" s="21"/>
      <c r="G521" s="16" t="str">
        <f>HYPERLINK("http://maps.google.com/maps?f=q&amp;hl=en&amp;geocode=&amp;q=28.2471611755571,-82.7185096116536")</f>
        <v>http://maps.google.com/maps?f=q&amp;hl=en&amp;geocode=&amp;q=28.2471611755571,-82.7185096116536</v>
      </c>
    </row>
    <row r="522" spans="1:7" ht="15" x14ac:dyDescent="0.3">
      <c r="A522">
        <v>42.901218415783198</v>
      </c>
      <c r="B522">
        <v>-85.799510077948099</v>
      </c>
      <c r="C522" t="s">
        <v>41</v>
      </c>
      <c r="D522" t="s">
        <v>437</v>
      </c>
      <c r="F522" s="21"/>
      <c r="G522" s="16" t="str">
        <f>HYPERLINK("http://maps.google.com/maps?f=q&amp;hl=en&amp;geocode=&amp;q=42.9012184157832,-85.7995100779481")</f>
        <v>http://maps.google.com/maps?f=q&amp;hl=en&amp;geocode=&amp;q=42.9012184157832,-85.7995100779481</v>
      </c>
    </row>
    <row r="523" spans="1:7" ht="15" x14ac:dyDescent="0.3">
      <c r="A523">
        <v>39.972439999999999</v>
      </c>
      <c r="B523">
        <v>-75.253249999999994</v>
      </c>
      <c r="C523" t="s">
        <v>43</v>
      </c>
      <c r="D523" t="s">
        <v>438</v>
      </c>
      <c r="F523" s="21"/>
      <c r="G523" s="16" t="str">
        <f>HYPERLINK("http://maps.google.com/maps?f=q&amp;hl=en&amp;geocode=&amp;q=39.97244,-75.25325")</f>
        <v>http://maps.google.com/maps?f=q&amp;hl=en&amp;geocode=&amp;q=39.97244,-75.25325</v>
      </c>
    </row>
    <row r="524" spans="1:7" ht="15" x14ac:dyDescent="0.3">
      <c r="A524">
        <v>35.098800330260801</v>
      </c>
      <c r="B524">
        <v>-89.896650619755405</v>
      </c>
      <c r="C524" t="s">
        <v>41</v>
      </c>
      <c r="D524" t="s">
        <v>439</v>
      </c>
      <c r="F524" s="21"/>
      <c r="G524" s="16" t="str">
        <f>HYPERLINK("http://maps.google.com/maps?f=q&amp;hl=en&amp;geocode=&amp;q=35.0988003302608,-89.8966506197554")</f>
        <v>http://maps.google.com/maps?f=q&amp;hl=en&amp;geocode=&amp;q=35.0988003302608,-89.8966506197554</v>
      </c>
    </row>
    <row r="525" spans="1:7" ht="15" x14ac:dyDescent="0.3">
      <c r="A525">
        <v>-36.791999816894503</v>
      </c>
      <c r="B525">
        <v>175.080001831055</v>
      </c>
      <c r="C525" t="s">
        <v>41</v>
      </c>
      <c r="D525" t="s">
        <v>440</v>
      </c>
      <c r="F525" s="21"/>
      <c r="G525" s="16" t="str">
        <f>HYPERLINK("http://maps.google.com/maps?f=q&amp;hl=en&amp;geocode=&amp;q=-36.7919998168945,175.080001831055")</f>
        <v>http://maps.google.com/maps?f=q&amp;hl=en&amp;geocode=&amp;q=-36.7919998168945,175.080001831055</v>
      </c>
    </row>
    <row r="526" spans="1:7" ht="15" x14ac:dyDescent="0.3">
      <c r="A526">
        <v>39.972439999999999</v>
      </c>
      <c r="B526">
        <v>-75.253249999999994</v>
      </c>
      <c r="C526" t="s">
        <v>43</v>
      </c>
      <c r="D526" t="s">
        <v>438</v>
      </c>
      <c r="F526" s="21"/>
      <c r="G526" s="16" t="str">
        <f>HYPERLINK("http://maps.google.com/maps?f=q&amp;hl=en&amp;geocode=&amp;q=39.97244,-75.25325")</f>
        <v>http://maps.google.com/maps?f=q&amp;hl=en&amp;geocode=&amp;q=39.97244,-75.25325</v>
      </c>
    </row>
    <row r="527" spans="1:7" ht="15" x14ac:dyDescent="0.3">
      <c r="A527">
        <v>39.912489999999998</v>
      </c>
      <c r="B527">
        <v>-75.237579999999994</v>
      </c>
      <c r="C527" t="s">
        <v>41</v>
      </c>
      <c r="D527" t="s">
        <v>441</v>
      </c>
      <c r="F527" s="21"/>
      <c r="G527" s="16" t="str">
        <f>HYPERLINK("http://maps.google.com/maps?f=q&amp;hl=en&amp;geocode=&amp;q=39.91249,-75.23758")</f>
        <v>http://maps.google.com/maps?f=q&amp;hl=en&amp;geocode=&amp;q=39.91249,-75.23758</v>
      </c>
    </row>
    <row r="528" spans="1:7" ht="15" x14ac:dyDescent="0.3">
      <c r="A528">
        <v>25.821310043335</v>
      </c>
      <c r="B528">
        <v>-80.332283020019503</v>
      </c>
      <c r="C528" t="s">
        <v>41</v>
      </c>
      <c r="D528" t="s">
        <v>442</v>
      </c>
      <c r="F528" s="21"/>
      <c r="G528" s="16" t="str">
        <f>HYPERLINK("http://maps.google.com/maps?f=q&amp;hl=en&amp;geocode=&amp;q=25.821310043335,-80.3322830200195")</f>
        <v>http://maps.google.com/maps?f=q&amp;hl=en&amp;geocode=&amp;q=25.821310043335,-80.3322830200195</v>
      </c>
    </row>
    <row r="529" spans="1:7" ht="15" x14ac:dyDescent="0.3">
      <c r="A529">
        <v>42.470289999999999</v>
      </c>
      <c r="B529">
        <v>-83.077780000000004</v>
      </c>
      <c r="C529" t="s">
        <v>42</v>
      </c>
      <c r="D529" t="s">
        <v>177</v>
      </c>
      <c r="F529" s="21"/>
      <c r="G529" s="16" t="str">
        <f>HYPERLINK("http://maps.google.com/maps?f=q&amp;hl=en&amp;geocode=&amp;q=42.47029,-83.07778")</f>
        <v>http://maps.google.com/maps?f=q&amp;hl=en&amp;geocode=&amp;q=42.47029,-83.07778</v>
      </c>
    </row>
    <row r="530" spans="1:7" ht="15" x14ac:dyDescent="0.3">
      <c r="A530">
        <v>36.119354248046903</v>
      </c>
      <c r="B530">
        <v>-91.047416687011705</v>
      </c>
      <c r="C530" t="s">
        <v>41</v>
      </c>
      <c r="D530" t="s">
        <v>443</v>
      </c>
      <c r="F530" s="21"/>
      <c r="G530" s="16" t="str">
        <f>HYPERLINK("http://maps.google.com/maps?f=q&amp;hl=en&amp;geocode=&amp;q=36.1193542480469,-91.0474166870117")</f>
        <v>http://maps.google.com/maps?f=q&amp;hl=en&amp;geocode=&amp;q=36.1193542480469,-91.0474166870117</v>
      </c>
    </row>
    <row r="531" spans="1:7" ht="15" x14ac:dyDescent="0.3">
      <c r="A531">
        <v>40.037979125976598</v>
      </c>
      <c r="B531">
        <v>-75.223060607910199</v>
      </c>
      <c r="C531" t="s">
        <v>41</v>
      </c>
      <c r="D531" t="s">
        <v>277</v>
      </c>
      <c r="F531" s="21"/>
      <c r="G531" s="16" t="str">
        <f>HYPERLINK("http://maps.google.com/maps?f=q&amp;hl=en&amp;geocode=&amp;q=40.0379791259766,-75.2230606079102")</f>
        <v>http://maps.google.com/maps?f=q&amp;hl=en&amp;geocode=&amp;q=40.0379791259766,-75.2230606079102</v>
      </c>
    </row>
    <row r="532" spans="1:7" ht="15" x14ac:dyDescent="0.3">
      <c r="A532">
        <v>39.97701</v>
      </c>
      <c r="B532">
        <v>-75.266869999999997</v>
      </c>
      <c r="C532" t="s">
        <v>41</v>
      </c>
      <c r="D532" t="s">
        <v>444</v>
      </c>
      <c r="F532" s="21"/>
      <c r="G532" s="16" t="str">
        <f>HYPERLINK("http://maps.google.com/maps?f=q&amp;hl=en&amp;geocode=&amp;q=39.97701,-75.26687")</f>
        <v>http://maps.google.com/maps?f=q&amp;hl=en&amp;geocode=&amp;q=39.97701,-75.26687</v>
      </c>
    </row>
    <row r="533" spans="1:7" ht="15" x14ac:dyDescent="0.3">
      <c r="A533">
        <v>40.779430389404297</v>
      </c>
      <c r="B533">
        <v>-7.1032009124755904</v>
      </c>
      <c r="C533" t="s">
        <v>43</v>
      </c>
      <c r="D533" t="s">
        <v>445</v>
      </c>
      <c r="F533" s="21"/>
      <c r="G533" s="16" t="str">
        <f>HYPERLINK("http://maps.google.com/maps?f=q&amp;hl=en&amp;geocode=&amp;q=40.7794303894043,-7.10320091247559")</f>
        <v>http://maps.google.com/maps?f=q&amp;hl=en&amp;geocode=&amp;q=40.7794303894043,-7.10320091247559</v>
      </c>
    </row>
    <row r="534" spans="1:7" ht="15" x14ac:dyDescent="0.3">
      <c r="A534" t="s">
        <v>44</v>
      </c>
      <c r="B534" t="s">
        <v>44</v>
      </c>
      <c r="C534" t="s">
        <v>44</v>
      </c>
      <c r="D534" t="s">
        <v>136</v>
      </c>
      <c r="F534" s="21"/>
      <c r="G534" s="16"/>
    </row>
    <row r="535" spans="1:7" ht="15" x14ac:dyDescent="0.3">
      <c r="A535">
        <v>38.947154998779297</v>
      </c>
      <c r="B535">
        <v>-8.9184045791625994</v>
      </c>
      <c r="C535" t="s">
        <v>41</v>
      </c>
      <c r="D535" t="s">
        <v>446</v>
      </c>
      <c r="F535" s="21"/>
      <c r="G535" s="16" t="str">
        <f>HYPERLINK("http://maps.google.com/maps?f=q&amp;hl=en&amp;geocode=&amp;q=38.9471549987793,-8.9184045791626")</f>
        <v>http://maps.google.com/maps?f=q&amp;hl=en&amp;geocode=&amp;q=38.9471549987793,-8.9184045791626</v>
      </c>
    </row>
    <row r="536" spans="1:7" ht="15" x14ac:dyDescent="0.3">
      <c r="A536" t="s">
        <v>44</v>
      </c>
      <c r="B536" t="s">
        <v>44</v>
      </c>
      <c r="C536" t="s">
        <v>44</v>
      </c>
      <c r="D536" t="s">
        <v>447</v>
      </c>
      <c r="F536" s="21"/>
      <c r="G536" s="16"/>
    </row>
    <row r="537" spans="1:7" ht="15" x14ac:dyDescent="0.3">
      <c r="A537" t="s">
        <v>44</v>
      </c>
      <c r="B537" t="s">
        <v>44</v>
      </c>
      <c r="C537" t="s">
        <v>44</v>
      </c>
      <c r="D537" t="s">
        <v>227</v>
      </c>
      <c r="F537" s="21"/>
      <c r="G537" s="16"/>
    </row>
    <row r="538" spans="1:7" ht="15" x14ac:dyDescent="0.3">
      <c r="A538">
        <v>39.950429999999997</v>
      </c>
      <c r="B538">
        <v>-75.245199999999997</v>
      </c>
      <c r="C538" t="s">
        <v>43</v>
      </c>
      <c r="D538" t="s">
        <v>198</v>
      </c>
      <c r="F538" s="21"/>
      <c r="G538" s="16" t="str">
        <f>HYPERLINK("http://maps.google.com/maps?f=q&amp;hl=en&amp;geocode=&amp;q=39.95043,-75.2452")</f>
        <v>http://maps.google.com/maps?f=q&amp;hl=en&amp;geocode=&amp;q=39.95043,-75.2452</v>
      </c>
    </row>
    <row r="539" spans="1:7" ht="15" x14ac:dyDescent="0.3">
      <c r="A539" t="s">
        <v>44</v>
      </c>
      <c r="B539" t="s">
        <v>44</v>
      </c>
      <c r="C539" t="s">
        <v>44</v>
      </c>
      <c r="D539" t="s">
        <v>229</v>
      </c>
      <c r="F539" s="21"/>
      <c r="G539" s="16"/>
    </row>
    <row r="540" spans="1:7" ht="15" x14ac:dyDescent="0.3">
      <c r="A540">
        <v>7.3835182189941397</v>
      </c>
      <c r="B540">
        <v>-12.2588081359863</v>
      </c>
      <c r="C540" t="s">
        <v>41</v>
      </c>
      <c r="D540" t="s">
        <v>202</v>
      </c>
      <c r="F540" s="21"/>
      <c r="G540" s="16" t="str">
        <f>HYPERLINK("http://maps.google.com/maps?f=q&amp;hl=en&amp;geocode=&amp;q=7.38351821899414,-12.2588081359863")</f>
        <v>http://maps.google.com/maps?f=q&amp;hl=en&amp;geocode=&amp;q=7.38351821899414,-12.2588081359863</v>
      </c>
    </row>
    <row r="541" spans="1:7" ht="15" x14ac:dyDescent="0.3">
      <c r="A541">
        <v>52.147850036621101</v>
      </c>
      <c r="B541">
        <v>19.377759933471701</v>
      </c>
      <c r="C541" t="s">
        <v>43</v>
      </c>
      <c r="D541" t="s">
        <v>448</v>
      </c>
      <c r="F541" s="21"/>
      <c r="G541" s="16" t="str">
        <f>HYPERLINK("http://maps.google.com/maps?f=q&amp;hl=en&amp;geocode=&amp;q=52.1478500366211,19.3777599334717")</f>
        <v>http://maps.google.com/maps?f=q&amp;hl=en&amp;geocode=&amp;q=52.1478500366211,19.3777599334717</v>
      </c>
    </row>
    <row r="542" spans="1:7" ht="15" x14ac:dyDescent="0.3">
      <c r="A542">
        <v>32.799732208252003</v>
      </c>
      <c r="B542">
        <v>-79.938827514648395</v>
      </c>
      <c r="C542" t="s">
        <v>41</v>
      </c>
      <c r="D542" t="s">
        <v>449</v>
      </c>
      <c r="F542" s="21"/>
      <c r="G542" s="16" t="str">
        <f>HYPERLINK("http://maps.google.com/maps?f=q&amp;hl=en&amp;geocode=&amp;q=32.799732208252,-79.9388275146484")</f>
        <v>http://maps.google.com/maps?f=q&amp;hl=en&amp;geocode=&amp;q=32.799732208252,-79.9388275146484</v>
      </c>
    </row>
    <row r="543" spans="1:7" ht="15" x14ac:dyDescent="0.3">
      <c r="A543">
        <v>34.202334519999297</v>
      </c>
      <c r="B543">
        <v>-88.754153999731699</v>
      </c>
      <c r="C543" t="s">
        <v>41</v>
      </c>
      <c r="D543" t="s">
        <v>450</v>
      </c>
      <c r="F543" s="21"/>
      <c r="G543" s="16" t="str">
        <f>HYPERLINK("http://maps.google.com/maps?f=q&amp;hl=en&amp;geocode=&amp;q=34.2023345199993,-88.7541539997317")</f>
        <v>http://maps.google.com/maps?f=q&amp;hl=en&amp;geocode=&amp;q=34.2023345199993,-88.7541539997317</v>
      </c>
    </row>
    <row r="544" spans="1:7" ht="15" x14ac:dyDescent="0.3">
      <c r="A544">
        <v>-33.636524200439503</v>
      </c>
      <c r="B544">
        <v>138.01736450195301</v>
      </c>
      <c r="C544" t="s">
        <v>41</v>
      </c>
      <c r="D544" t="s">
        <v>451</v>
      </c>
      <c r="F544" s="21"/>
      <c r="G544" s="16" t="str">
        <f>HYPERLINK("http://maps.google.com/maps?f=q&amp;hl=en&amp;geocode=&amp;q=-33.6365242004395,138.017364501953")</f>
        <v>http://maps.google.com/maps?f=q&amp;hl=en&amp;geocode=&amp;q=-33.6365242004395,138.017364501953</v>
      </c>
    </row>
    <row r="545" spans="1:7" ht="15" x14ac:dyDescent="0.3">
      <c r="A545">
        <v>40.894489288330099</v>
      </c>
      <c r="B545">
        <v>-72.892898559570298</v>
      </c>
      <c r="C545" t="s">
        <v>43</v>
      </c>
      <c r="D545" t="s">
        <v>452</v>
      </c>
      <c r="F545" s="21"/>
      <c r="G545" s="16" t="str">
        <f>HYPERLINK("http://maps.google.com/maps?f=q&amp;hl=en&amp;geocode=&amp;q=40.8944892883301,-72.8928985595703")</f>
        <v>http://maps.google.com/maps?f=q&amp;hl=en&amp;geocode=&amp;q=40.8944892883301,-72.8928985595703</v>
      </c>
    </row>
    <row r="546" spans="1:7" ht="15" x14ac:dyDescent="0.3">
      <c r="A546">
        <v>52.005270000000003</v>
      </c>
      <c r="B546">
        <v>-2.7381600000000001</v>
      </c>
      <c r="C546" t="s">
        <v>43</v>
      </c>
      <c r="D546" t="s">
        <v>453</v>
      </c>
      <c r="F546" s="21"/>
      <c r="G546" s="16" t="str">
        <f>HYPERLINK("http://maps.google.com/maps?f=q&amp;hl=en&amp;geocode=&amp;q=52.00527,-2.73816")</f>
        <v>http://maps.google.com/maps?f=q&amp;hl=en&amp;geocode=&amp;q=52.00527,-2.73816</v>
      </c>
    </row>
    <row r="547" spans="1:7" ht="15" x14ac:dyDescent="0.3">
      <c r="A547">
        <v>38.58887</v>
      </c>
      <c r="B547">
        <v>-90.28819</v>
      </c>
      <c r="C547" t="s">
        <v>41</v>
      </c>
      <c r="D547" t="s">
        <v>429</v>
      </c>
      <c r="F547" s="21"/>
      <c r="G547" s="16" t="str">
        <f>HYPERLINK("http://maps.google.com/maps?f=q&amp;hl=en&amp;geocode=&amp;q=38.58887,-90.28819")</f>
        <v>http://maps.google.com/maps?f=q&amp;hl=en&amp;geocode=&amp;q=38.58887,-90.28819</v>
      </c>
    </row>
    <row r="548" spans="1:7" ht="15" x14ac:dyDescent="0.3">
      <c r="A548">
        <v>3.9976069927215598</v>
      </c>
      <c r="B548">
        <v>-73.277969360351605</v>
      </c>
      <c r="C548" t="s">
        <v>41</v>
      </c>
      <c r="D548" t="s">
        <v>454</v>
      </c>
      <c r="F548" s="21"/>
      <c r="G548" s="16" t="str">
        <f>HYPERLINK("http://maps.google.com/maps?f=q&amp;hl=en&amp;geocode=&amp;q=3.99760699272156,-73.2779693603516")</f>
        <v>http://maps.google.com/maps?f=q&amp;hl=en&amp;geocode=&amp;q=3.99760699272156,-73.2779693603516</v>
      </c>
    </row>
    <row r="549" spans="1:7" ht="15" x14ac:dyDescent="0.3">
      <c r="A549" t="s">
        <v>44</v>
      </c>
      <c r="B549" t="s">
        <v>44</v>
      </c>
      <c r="C549" t="s">
        <v>44</v>
      </c>
      <c r="D549" t="s">
        <v>455</v>
      </c>
      <c r="F549" s="21"/>
      <c r="G549" s="16"/>
    </row>
    <row r="550" spans="1:7" ht="15" x14ac:dyDescent="0.3">
      <c r="A550" t="s">
        <v>44</v>
      </c>
      <c r="B550" t="s">
        <v>44</v>
      </c>
      <c r="C550" t="s">
        <v>44</v>
      </c>
      <c r="D550" t="s">
        <v>456</v>
      </c>
      <c r="F550" s="21"/>
      <c r="G550" s="16"/>
    </row>
    <row r="551" spans="1:7" ht="15" x14ac:dyDescent="0.3">
      <c r="A551">
        <v>41.066800000000001</v>
      </c>
      <c r="B551">
        <v>-81.250429999999994</v>
      </c>
      <c r="C551" t="s">
        <v>41</v>
      </c>
      <c r="D551" t="s">
        <v>457</v>
      </c>
      <c r="F551" s="21"/>
      <c r="G551" s="16" t="str">
        <f>HYPERLINK("http://maps.google.com/maps?f=q&amp;hl=en&amp;geocode=&amp;q=41.0668,-81.25043")</f>
        <v>http://maps.google.com/maps?f=q&amp;hl=en&amp;geocode=&amp;q=41.0668,-81.25043</v>
      </c>
    </row>
    <row r="552" spans="1:7" ht="15" x14ac:dyDescent="0.3">
      <c r="A552">
        <v>40.0104927580783</v>
      </c>
      <c r="B552">
        <v>-75.098807733261097</v>
      </c>
      <c r="C552" t="s">
        <v>41</v>
      </c>
      <c r="D552" t="s">
        <v>458</v>
      </c>
      <c r="F552" s="21"/>
      <c r="G552" s="16" t="str">
        <f>HYPERLINK("http://maps.google.com/maps?f=q&amp;hl=en&amp;geocode=&amp;q=40.0104927580783,-75.0988077332611")</f>
        <v>http://maps.google.com/maps?f=q&amp;hl=en&amp;geocode=&amp;q=40.0104927580783,-75.0988077332611</v>
      </c>
    </row>
    <row r="553" spans="1:7" ht="15" x14ac:dyDescent="0.3">
      <c r="A553">
        <v>-31.95421</v>
      </c>
      <c r="B553">
        <v>115.85057</v>
      </c>
      <c r="C553" t="s">
        <v>41</v>
      </c>
      <c r="D553" t="s">
        <v>219</v>
      </c>
      <c r="F553" s="21"/>
      <c r="G553" s="16" t="str">
        <f>HYPERLINK("http://maps.google.com/maps?f=q&amp;hl=en&amp;geocode=&amp;q=-31.95421,115.85057")</f>
        <v>http://maps.google.com/maps?f=q&amp;hl=en&amp;geocode=&amp;q=-31.95421,115.85057</v>
      </c>
    </row>
    <row r="554" spans="1:7" ht="15" x14ac:dyDescent="0.3">
      <c r="A554">
        <v>51.508949279785199</v>
      </c>
      <c r="B554">
        <v>-1.7500000074505799E-2</v>
      </c>
      <c r="C554" t="s">
        <v>43</v>
      </c>
      <c r="D554" t="s">
        <v>459</v>
      </c>
      <c r="F554" s="21"/>
      <c r="G554" s="16" t="str">
        <f>HYPERLINK("http://maps.google.com/maps?f=q&amp;hl=en&amp;geocode=&amp;q=51.5089492797852,-0.0175000000745058")</f>
        <v>http://maps.google.com/maps?f=q&amp;hl=en&amp;geocode=&amp;q=51.5089492797852,-0.0175000000745058</v>
      </c>
    </row>
    <row r="555" spans="1:7" ht="15" x14ac:dyDescent="0.3">
      <c r="A555">
        <v>51.508949279785199</v>
      </c>
      <c r="B555">
        <v>-1.7500000074505799E-2</v>
      </c>
      <c r="C555" t="s">
        <v>43</v>
      </c>
      <c r="D555" t="s">
        <v>460</v>
      </c>
      <c r="F555" s="21"/>
      <c r="G555" s="16" t="str">
        <f>HYPERLINK("http://maps.google.com/maps?f=q&amp;hl=en&amp;geocode=&amp;q=51.5089492797852,-0.0175000000745058")</f>
        <v>http://maps.google.com/maps?f=q&amp;hl=en&amp;geocode=&amp;q=51.5089492797852,-0.0175000000745058</v>
      </c>
    </row>
    <row r="556" spans="1:7" ht="15" x14ac:dyDescent="0.3">
      <c r="A556">
        <v>50.361934661865199</v>
      </c>
      <c r="B556">
        <v>4.2579112052917498</v>
      </c>
      <c r="C556" t="s">
        <v>43</v>
      </c>
      <c r="D556" t="s">
        <v>461</v>
      </c>
      <c r="F556" s="21"/>
      <c r="G556" s="16" t="str">
        <f>HYPERLINK("http://maps.google.com/maps?f=q&amp;hl=en&amp;geocode=&amp;q=50.3619346618652,4.25791120529175")</f>
        <v>http://maps.google.com/maps?f=q&amp;hl=en&amp;geocode=&amp;q=50.3619346618652,4.25791120529175</v>
      </c>
    </row>
    <row r="557" spans="1:7" ht="15" x14ac:dyDescent="0.3">
      <c r="A557">
        <v>39.926990000000004</v>
      </c>
      <c r="B557">
        <v>-75.226159999999993</v>
      </c>
      <c r="C557" t="s">
        <v>41</v>
      </c>
      <c r="D557" t="s">
        <v>462</v>
      </c>
      <c r="F557" s="21"/>
      <c r="G557" s="16" t="str">
        <f>HYPERLINK("http://maps.google.com/maps?f=q&amp;hl=en&amp;geocode=&amp;q=39.92699,-75.22616")</f>
        <v>http://maps.google.com/maps?f=q&amp;hl=en&amp;geocode=&amp;q=39.92699,-75.22616</v>
      </c>
    </row>
    <row r="558" spans="1:7" ht="15" x14ac:dyDescent="0.3">
      <c r="A558">
        <v>43.006404866591303</v>
      </c>
      <c r="B558">
        <v>-87.993302770689297</v>
      </c>
      <c r="C558" t="s">
        <v>41</v>
      </c>
      <c r="D558" t="s">
        <v>463</v>
      </c>
      <c r="F558" s="21"/>
      <c r="G558" s="16" t="str">
        <f>HYPERLINK("http://maps.google.com/maps?f=q&amp;hl=en&amp;geocode=&amp;q=43.0064048665913,-87.9933027706893")</f>
        <v>http://maps.google.com/maps?f=q&amp;hl=en&amp;geocode=&amp;q=43.0064048665913,-87.9933027706893</v>
      </c>
    </row>
    <row r="559" spans="1:7" ht="15" x14ac:dyDescent="0.3">
      <c r="A559">
        <v>41.726581455153998</v>
      </c>
      <c r="B559">
        <v>-83.705501122496003</v>
      </c>
      <c r="C559" t="s">
        <v>41</v>
      </c>
      <c r="D559" t="s">
        <v>464</v>
      </c>
      <c r="F559" s="21"/>
      <c r="G559" s="16" t="str">
        <f>HYPERLINK("http://maps.google.com/maps?f=q&amp;hl=en&amp;geocode=&amp;q=41.726581455154,-83.705501122496")</f>
        <v>http://maps.google.com/maps?f=q&amp;hl=en&amp;geocode=&amp;q=41.726581455154,-83.705501122496</v>
      </c>
    </row>
    <row r="560" spans="1:7" ht="15" x14ac:dyDescent="0.3">
      <c r="A560" t="s">
        <v>44</v>
      </c>
      <c r="B560" t="s">
        <v>44</v>
      </c>
      <c r="C560" t="s">
        <v>44</v>
      </c>
      <c r="D560" t="s">
        <v>465</v>
      </c>
      <c r="F560" s="21"/>
      <c r="G560" s="16"/>
    </row>
    <row r="561" spans="1:7" ht="15" x14ac:dyDescent="0.3">
      <c r="A561">
        <v>39.950238938908903</v>
      </c>
      <c r="B561">
        <v>-75.218217022702504</v>
      </c>
      <c r="C561" t="s">
        <v>43</v>
      </c>
      <c r="D561" t="s">
        <v>466</v>
      </c>
      <c r="F561" s="21"/>
      <c r="G561" s="16" t="str">
        <f>HYPERLINK("http://maps.google.com/maps?f=q&amp;hl=en&amp;geocode=&amp;q=39.9502389389089,-75.2182170227025")</f>
        <v>http://maps.google.com/maps?f=q&amp;hl=en&amp;geocode=&amp;q=39.9502389389089,-75.2182170227025</v>
      </c>
    </row>
    <row r="562" spans="1:7" ht="15" x14ac:dyDescent="0.3">
      <c r="A562">
        <v>43.251548767089801</v>
      </c>
      <c r="B562">
        <v>2.0074200630188002</v>
      </c>
      <c r="C562" t="s">
        <v>41</v>
      </c>
      <c r="D562" t="s">
        <v>467</v>
      </c>
      <c r="F562" s="21"/>
      <c r="G562" s="16" t="str">
        <f>HYPERLINK("http://maps.google.com/maps?f=q&amp;hl=en&amp;geocode=&amp;q=43.2515487670898,2.0074200630188")</f>
        <v>http://maps.google.com/maps?f=q&amp;hl=en&amp;geocode=&amp;q=43.2515487670898,2.0074200630188</v>
      </c>
    </row>
    <row r="563" spans="1:7" ht="15" x14ac:dyDescent="0.3">
      <c r="A563">
        <v>7.3835182189941397</v>
      </c>
      <c r="B563">
        <v>-12.2588081359863</v>
      </c>
      <c r="C563" t="s">
        <v>41</v>
      </c>
      <c r="D563" t="s">
        <v>202</v>
      </c>
      <c r="F563" s="21"/>
      <c r="G563" s="16" t="str">
        <f>HYPERLINK("http://maps.google.com/maps?f=q&amp;hl=en&amp;geocode=&amp;q=7.38351821899414,-12.2588081359863")</f>
        <v>http://maps.google.com/maps?f=q&amp;hl=en&amp;geocode=&amp;q=7.38351821899414,-12.2588081359863</v>
      </c>
    </row>
    <row r="564" spans="1:7" ht="15" x14ac:dyDescent="0.3">
      <c r="A564">
        <v>46.619251251220703</v>
      </c>
      <c r="B564">
        <v>-63.1351509094238</v>
      </c>
      <c r="C564" t="s">
        <v>41</v>
      </c>
      <c r="D564" t="s">
        <v>468</v>
      </c>
      <c r="F564" s="21"/>
      <c r="G564" s="16" t="str">
        <f>HYPERLINK("http://maps.google.com/maps?f=q&amp;hl=en&amp;geocode=&amp;q=46.6192512512207,-63.1351509094238")</f>
        <v>http://maps.google.com/maps?f=q&amp;hl=en&amp;geocode=&amp;q=46.6192512512207,-63.1351509094238</v>
      </c>
    </row>
    <row r="565" spans="1:7" ht="15" x14ac:dyDescent="0.3">
      <c r="A565">
        <v>36.248629999999999</v>
      </c>
      <c r="B565">
        <v>-119.31603</v>
      </c>
      <c r="C565" t="s">
        <v>41</v>
      </c>
      <c r="D565" t="s">
        <v>469</v>
      </c>
      <c r="F565" s="21"/>
      <c r="G565" s="16" t="str">
        <f>HYPERLINK("http://maps.google.com/maps?f=q&amp;hl=en&amp;geocode=&amp;q=36.24863,-119.31603")</f>
        <v>http://maps.google.com/maps?f=q&amp;hl=en&amp;geocode=&amp;q=36.24863,-119.31603</v>
      </c>
    </row>
    <row r="566" spans="1:7" ht="15" x14ac:dyDescent="0.3">
      <c r="A566">
        <v>41.868020000000001</v>
      </c>
      <c r="B566">
        <v>-91.57611</v>
      </c>
      <c r="C566" t="s">
        <v>41</v>
      </c>
      <c r="D566" t="s">
        <v>243</v>
      </c>
      <c r="F566" s="21"/>
      <c r="G566" s="16" t="str">
        <f>HYPERLINK("http://maps.google.com/maps?f=q&amp;hl=en&amp;geocode=&amp;q=41.86802,-91.57611")</f>
        <v>http://maps.google.com/maps?f=q&amp;hl=en&amp;geocode=&amp;q=41.86802,-91.57611</v>
      </c>
    </row>
    <row r="567" spans="1:7" ht="15" x14ac:dyDescent="0.3">
      <c r="A567">
        <v>41.868020000000001</v>
      </c>
      <c r="B567">
        <v>-91.57611</v>
      </c>
      <c r="C567" t="s">
        <v>41</v>
      </c>
      <c r="D567" t="s">
        <v>243</v>
      </c>
      <c r="F567" s="21"/>
      <c r="G567" s="16" t="str">
        <f>HYPERLINK("http://maps.google.com/maps?f=q&amp;hl=en&amp;geocode=&amp;q=41.86802,-91.57611")</f>
        <v>http://maps.google.com/maps?f=q&amp;hl=en&amp;geocode=&amp;q=41.86802,-91.57611</v>
      </c>
    </row>
    <row r="568" spans="1:7" ht="15" x14ac:dyDescent="0.3">
      <c r="A568">
        <v>39.911540000000002</v>
      </c>
      <c r="B568">
        <v>-75.239750000000001</v>
      </c>
      <c r="C568" t="s">
        <v>41</v>
      </c>
      <c r="D568" t="s">
        <v>470</v>
      </c>
      <c r="F568" s="21"/>
      <c r="G568" s="16" t="str">
        <f>HYPERLINK("http://maps.google.com/maps?f=q&amp;hl=en&amp;geocode=&amp;q=39.91154,-75.23975")</f>
        <v>http://maps.google.com/maps?f=q&amp;hl=en&amp;geocode=&amp;q=39.91154,-75.23975</v>
      </c>
    </row>
    <row r="569" spans="1:7" ht="15" x14ac:dyDescent="0.3">
      <c r="A569">
        <v>-32.7033500671387</v>
      </c>
      <c r="B569">
        <v>137.70617675781301</v>
      </c>
      <c r="C569" t="s">
        <v>41</v>
      </c>
      <c r="D569" t="s">
        <v>471</v>
      </c>
      <c r="F569" s="21"/>
      <c r="G569" s="16" t="str">
        <f>HYPERLINK("http://maps.google.com/maps?f=q&amp;hl=en&amp;geocode=&amp;q=-32.7033500671387,137.706176757813")</f>
        <v>http://maps.google.com/maps?f=q&amp;hl=en&amp;geocode=&amp;q=-32.7033500671387,137.706176757813</v>
      </c>
    </row>
    <row r="570" spans="1:7" ht="15" x14ac:dyDescent="0.3">
      <c r="A570">
        <v>33.810540000000003</v>
      </c>
      <c r="B570">
        <v>-118.03908</v>
      </c>
      <c r="C570" t="s">
        <v>42</v>
      </c>
      <c r="D570" t="s">
        <v>472</v>
      </c>
      <c r="F570" s="21"/>
      <c r="G570" s="16" t="str">
        <f>HYPERLINK("http://maps.google.com/maps?f=q&amp;hl=en&amp;geocode=&amp;q=33.81054,-118.03908")</f>
        <v>http://maps.google.com/maps?f=q&amp;hl=en&amp;geocode=&amp;q=33.81054,-118.03908</v>
      </c>
    </row>
    <row r="571" spans="1:7" ht="15" x14ac:dyDescent="0.3">
      <c r="A571">
        <v>40.49765</v>
      </c>
      <c r="B571">
        <v>-106.85681</v>
      </c>
      <c r="C571" t="s">
        <v>43</v>
      </c>
      <c r="D571" t="s">
        <v>473</v>
      </c>
      <c r="F571" s="21"/>
      <c r="G571" s="16" t="str">
        <f>HYPERLINK("http://maps.google.com/maps?f=q&amp;hl=en&amp;geocode=&amp;q=40.49765,-106.85681")</f>
        <v>http://maps.google.com/maps?f=q&amp;hl=en&amp;geocode=&amp;q=40.49765,-106.85681</v>
      </c>
    </row>
    <row r="572" spans="1:7" ht="15" x14ac:dyDescent="0.3">
      <c r="A572">
        <v>40.4592450340052</v>
      </c>
      <c r="B572">
        <v>-109.517154202157</v>
      </c>
      <c r="C572" t="s">
        <v>41</v>
      </c>
      <c r="D572" t="s">
        <v>474</v>
      </c>
      <c r="F572" s="21"/>
      <c r="G572" s="16" t="str">
        <f>HYPERLINK("http://maps.google.com/maps?f=q&amp;hl=en&amp;geocode=&amp;q=40.4592450340052,-109.517154202157")</f>
        <v>http://maps.google.com/maps?f=q&amp;hl=en&amp;geocode=&amp;q=40.4592450340052,-109.517154202157</v>
      </c>
    </row>
    <row r="573" spans="1:7" ht="15" x14ac:dyDescent="0.3">
      <c r="A573">
        <v>30.641068024748499</v>
      </c>
      <c r="B573">
        <v>-92.648017180556494</v>
      </c>
      <c r="C573" t="s">
        <v>42</v>
      </c>
      <c r="D573" t="s">
        <v>475</v>
      </c>
      <c r="F573" s="21"/>
      <c r="G573" s="16" t="str">
        <f>HYPERLINK("http://maps.google.com/maps?f=q&amp;hl=en&amp;geocode=&amp;q=30.6410680247485,-92.6480171805565")</f>
        <v>http://maps.google.com/maps?f=q&amp;hl=en&amp;geocode=&amp;q=30.6410680247485,-92.6480171805565</v>
      </c>
    </row>
    <row r="574" spans="1:7" ht="15" x14ac:dyDescent="0.3">
      <c r="A574">
        <v>38.029542350577998</v>
      </c>
      <c r="B574">
        <v>-121.61603278451</v>
      </c>
      <c r="C574" t="s">
        <v>41</v>
      </c>
      <c r="D574" t="s">
        <v>476</v>
      </c>
      <c r="F574" s="21"/>
      <c r="G574" s="16" t="str">
        <f>HYPERLINK("http://maps.google.com/maps?f=q&amp;hl=en&amp;geocode=&amp;q=38.029542350578,-121.61603278451")</f>
        <v>http://maps.google.com/maps?f=q&amp;hl=en&amp;geocode=&amp;q=38.029542350578,-121.61603278451</v>
      </c>
    </row>
    <row r="575" spans="1:7" ht="15" x14ac:dyDescent="0.3">
      <c r="A575">
        <v>31.383836844298699</v>
      </c>
      <c r="B575">
        <v>-84.940552252332495</v>
      </c>
      <c r="C575" t="s">
        <v>43</v>
      </c>
      <c r="D575" t="s">
        <v>477</v>
      </c>
      <c r="F575" s="21"/>
      <c r="G575" s="16" t="str">
        <f>HYPERLINK("http://maps.google.com/maps?f=q&amp;hl=en&amp;geocode=&amp;q=31.3838368442987,-84.9405522523325")</f>
        <v>http://maps.google.com/maps?f=q&amp;hl=en&amp;geocode=&amp;q=31.3838368442987,-84.9405522523325</v>
      </c>
    </row>
    <row r="576" spans="1:7" ht="15" x14ac:dyDescent="0.3">
      <c r="A576">
        <v>36.845760345458999</v>
      </c>
      <c r="B576">
        <v>-83.322372436523395</v>
      </c>
      <c r="C576" t="s">
        <v>43</v>
      </c>
      <c r="D576" t="s">
        <v>478</v>
      </c>
      <c r="F576" s="21"/>
      <c r="G576" s="16" t="str">
        <f>HYPERLINK("http://maps.google.com/maps?f=q&amp;hl=en&amp;geocode=&amp;q=36.845760345459,-83.3223724365234")</f>
        <v>http://maps.google.com/maps?f=q&amp;hl=en&amp;geocode=&amp;q=36.845760345459,-83.3223724365234</v>
      </c>
    </row>
    <row r="577" spans="1:7" ht="15" x14ac:dyDescent="0.3">
      <c r="A577">
        <v>39.011209999999998</v>
      </c>
      <c r="B577">
        <v>-76.676150000000007</v>
      </c>
      <c r="C577" t="s">
        <v>41</v>
      </c>
      <c r="D577" t="s">
        <v>479</v>
      </c>
      <c r="F577" s="21"/>
      <c r="G577" s="16" t="str">
        <f>HYPERLINK("http://maps.google.com/maps?f=q&amp;hl=en&amp;geocode=&amp;q=39.01121,-76.67615")</f>
        <v>http://maps.google.com/maps?f=q&amp;hl=en&amp;geocode=&amp;q=39.01121,-76.67615</v>
      </c>
    </row>
    <row r="578" spans="1:7" ht="15" x14ac:dyDescent="0.3">
      <c r="A578">
        <v>33.485243784704899</v>
      </c>
      <c r="B578">
        <v>-112.19018025802799</v>
      </c>
      <c r="C578" t="s">
        <v>41</v>
      </c>
      <c r="D578" t="s">
        <v>480</v>
      </c>
      <c r="F578" s="21"/>
      <c r="G578" s="16" t="str">
        <f>HYPERLINK("http://maps.google.com/maps?f=q&amp;hl=en&amp;geocode=&amp;q=33.4852437847049,-112.190180258028")</f>
        <v>http://maps.google.com/maps?f=q&amp;hl=en&amp;geocode=&amp;q=33.4852437847049,-112.190180258028</v>
      </c>
    </row>
    <row r="579" spans="1:7" ht="15" x14ac:dyDescent="0.3">
      <c r="A579">
        <v>31.883710000000001</v>
      </c>
      <c r="B579">
        <v>-102.49551</v>
      </c>
      <c r="C579" t="s">
        <v>41</v>
      </c>
      <c r="D579" t="s">
        <v>119</v>
      </c>
      <c r="F579" s="21"/>
      <c r="G579" s="16" t="str">
        <f>HYPERLINK("http://maps.google.com/maps?f=q&amp;hl=en&amp;geocode=&amp;q=31.88371,-102.49551")</f>
        <v>http://maps.google.com/maps?f=q&amp;hl=en&amp;geocode=&amp;q=31.88371,-102.49551</v>
      </c>
    </row>
    <row r="580" spans="1:7" ht="15" x14ac:dyDescent="0.3">
      <c r="A580">
        <v>31.883710000000001</v>
      </c>
      <c r="B580">
        <v>-102.49551</v>
      </c>
      <c r="C580" t="s">
        <v>41</v>
      </c>
      <c r="D580" t="s">
        <v>119</v>
      </c>
      <c r="F580" s="21"/>
      <c r="G580" s="16" t="str">
        <f>HYPERLINK("http://maps.google.com/maps?f=q&amp;hl=en&amp;geocode=&amp;q=31.88371,-102.49551")</f>
        <v>http://maps.google.com/maps?f=q&amp;hl=en&amp;geocode=&amp;q=31.88371,-102.49551</v>
      </c>
    </row>
    <row r="581" spans="1:7" ht="15" x14ac:dyDescent="0.3">
      <c r="A581">
        <v>32.306834365939302</v>
      </c>
      <c r="B581">
        <v>-84.785814057968295</v>
      </c>
      <c r="C581" t="s">
        <v>41</v>
      </c>
      <c r="D581" t="s">
        <v>367</v>
      </c>
      <c r="F581" s="21"/>
      <c r="G581" s="16" t="str">
        <f>HYPERLINK("http://maps.google.com/maps?f=q&amp;hl=en&amp;geocode=&amp;q=32.3068343659393,-84.7858140579683")</f>
        <v>http://maps.google.com/maps?f=q&amp;hl=en&amp;geocode=&amp;q=32.3068343659393,-84.7858140579683</v>
      </c>
    </row>
    <row r="582" spans="1:7" ht="15" x14ac:dyDescent="0.3">
      <c r="A582">
        <v>39.970370000000003</v>
      </c>
      <c r="B582">
        <v>-75.245140000000006</v>
      </c>
      <c r="C582" t="s">
        <v>43</v>
      </c>
      <c r="D582" t="s">
        <v>315</v>
      </c>
      <c r="F582" s="21"/>
      <c r="G582" s="16" t="str">
        <f>HYPERLINK("http://maps.google.com/maps?f=q&amp;hl=en&amp;geocode=&amp;q=39.97037,-75.24514")</f>
        <v>http://maps.google.com/maps?f=q&amp;hl=en&amp;geocode=&amp;q=39.97037,-75.24514</v>
      </c>
    </row>
    <row r="583" spans="1:7" ht="15" x14ac:dyDescent="0.3">
      <c r="A583">
        <v>39.912550000000003</v>
      </c>
      <c r="B583">
        <v>-75.237489999999994</v>
      </c>
      <c r="C583" t="s">
        <v>41</v>
      </c>
      <c r="D583" t="s">
        <v>481</v>
      </c>
      <c r="F583" s="21"/>
      <c r="G583" s="16" t="str">
        <f>HYPERLINK("http://maps.google.com/maps?f=q&amp;hl=en&amp;geocode=&amp;q=39.91255,-75.23749")</f>
        <v>http://maps.google.com/maps?f=q&amp;hl=en&amp;geocode=&amp;q=39.91255,-75.23749</v>
      </c>
    </row>
    <row r="584" spans="1:7" ht="15" x14ac:dyDescent="0.3">
      <c r="A584">
        <v>-32.51153</v>
      </c>
      <c r="B584">
        <v>137.77942999999999</v>
      </c>
      <c r="C584" t="s">
        <v>41</v>
      </c>
      <c r="D584" t="s">
        <v>482</v>
      </c>
      <c r="F584" s="21"/>
      <c r="G584" s="16" t="str">
        <f>HYPERLINK("http://maps.google.com/maps?f=q&amp;hl=en&amp;geocode=&amp;q=-32.51153,137.77943")</f>
        <v>http://maps.google.com/maps?f=q&amp;hl=en&amp;geocode=&amp;q=-32.51153,137.77943</v>
      </c>
    </row>
    <row r="585" spans="1:7" ht="15" x14ac:dyDescent="0.3">
      <c r="A585">
        <v>40.006929999999997</v>
      </c>
      <c r="B585">
        <v>-75.107900000000001</v>
      </c>
      <c r="C585" t="s">
        <v>41</v>
      </c>
      <c r="D585" t="s">
        <v>483</v>
      </c>
      <c r="F585" s="21"/>
      <c r="G585" s="16" t="str">
        <f>HYPERLINK("http://maps.google.com/maps?f=q&amp;hl=en&amp;geocode=&amp;q=40.00693,-75.1079")</f>
        <v>http://maps.google.com/maps?f=q&amp;hl=en&amp;geocode=&amp;q=40.00693,-75.1079</v>
      </c>
    </row>
    <row r="586" spans="1:7" ht="15" x14ac:dyDescent="0.3">
      <c r="A586">
        <v>30.013597252129799</v>
      </c>
      <c r="B586">
        <v>-90.178112333309699</v>
      </c>
      <c r="C586" t="s">
        <v>41</v>
      </c>
      <c r="D586" t="s">
        <v>176</v>
      </c>
      <c r="F586" s="21"/>
      <c r="G586" s="16" t="str">
        <f>HYPERLINK("http://maps.google.com/maps?f=q&amp;hl=en&amp;geocode=&amp;q=30.0135972521298,-90.1781123333097")</f>
        <v>http://maps.google.com/maps?f=q&amp;hl=en&amp;geocode=&amp;q=30.0135972521298,-90.1781123333097</v>
      </c>
    </row>
    <row r="587" spans="1:7" ht="15" x14ac:dyDescent="0.3">
      <c r="A587">
        <v>30.013597252129799</v>
      </c>
      <c r="B587">
        <v>-90.178112333309699</v>
      </c>
      <c r="C587" t="s">
        <v>41</v>
      </c>
      <c r="D587" t="s">
        <v>176</v>
      </c>
      <c r="F587" s="21"/>
      <c r="G587" s="16" t="str">
        <f>HYPERLINK("http://maps.google.com/maps?f=q&amp;hl=en&amp;geocode=&amp;q=30.0135972521298,-90.1781123333097")</f>
        <v>http://maps.google.com/maps?f=q&amp;hl=en&amp;geocode=&amp;q=30.0135972521298,-90.1781123333097</v>
      </c>
    </row>
    <row r="588" spans="1:7" ht="15" x14ac:dyDescent="0.3">
      <c r="A588">
        <v>40.007402561785597</v>
      </c>
      <c r="B588">
        <v>-75.099459402791496</v>
      </c>
      <c r="C588" t="s">
        <v>41</v>
      </c>
      <c r="D588" t="s">
        <v>484</v>
      </c>
      <c r="F588" s="21"/>
      <c r="G588" s="16" t="str">
        <f>HYPERLINK("http://maps.google.com/maps?f=q&amp;hl=en&amp;geocode=&amp;q=40.0074025617856,-75.0994594027915")</f>
        <v>http://maps.google.com/maps?f=q&amp;hl=en&amp;geocode=&amp;q=40.0074025617856,-75.0994594027915</v>
      </c>
    </row>
    <row r="589" spans="1:7" ht="15" x14ac:dyDescent="0.3">
      <c r="A589">
        <v>-33.866344451904297</v>
      </c>
      <c r="B589">
        <v>18.497240066528299</v>
      </c>
      <c r="C589" t="s">
        <v>41</v>
      </c>
      <c r="D589" t="s">
        <v>485</v>
      </c>
      <c r="F589" s="21"/>
      <c r="G589" s="16" t="str">
        <f>HYPERLINK("http://maps.google.com/maps?f=q&amp;hl=en&amp;geocode=&amp;q=-33.8663444519043,18.4972400665283")</f>
        <v>http://maps.google.com/maps?f=q&amp;hl=en&amp;geocode=&amp;q=-33.8663444519043,18.4972400665283</v>
      </c>
    </row>
    <row r="590" spans="1:7" ht="15" x14ac:dyDescent="0.3">
      <c r="A590">
        <v>30.2800327962957</v>
      </c>
      <c r="B590">
        <v>-81.778886922948999</v>
      </c>
      <c r="C590" t="s">
        <v>43</v>
      </c>
      <c r="D590" t="s">
        <v>486</v>
      </c>
      <c r="F590" s="21"/>
      <c r="G590" s="16" t="str">
        <f>HYPERLINK("http://maps.google.com/maps?f=q&amp;hl=en&amp;geocode=&amp;q=30.2800327962957,-81.778886922949")</f>
        <v>http://maps.google.com/maps?f=q&amp;hl=en&amp;geocode=&amp;q=30.2800327962957,-81.778886922949</v>
      </c>
    </row>
    <row r="591" spans="1:7" ht="15" x14ac:dyDescent="0.3">
      <c r="A591" t="s">
        <v>44</v>
      </c>
      <c r="B591" t="s">
        <v>44</v>
      </c>
      <c r="C591" t="s">
        <v>44</v>
      </c>
      <c r="D591" t="s">
        <v>487</v>
      </c>
      <c r="F591" s="21"/>
      <c r="G591" s="16"/>
    </row>
    <row r="592" spans="1:7" ht="15" x14ac:dyDescent="0.3">
      <c r="A592">
        <v>39.960970000000003</v>
      </c>
      <c r="B592">
        <v>-75.232870000000005</v>
      </c>
      <c r="C592" t="s">
        <v>43</v>
      </c>
      <c r="D592" t="s">
        <v>488</v>
      </c>
      <c r="F592" s="21"/>
      <c r="G592" s="16" t="str">
        <f>HYPERLINK("http://maps.google.com/maps?f=q&amp;hl=en&amp;geocode=&amp;q=39.96097,-75.23287")</f>
        <v>http://maps.google.com/maps?f=q&amp;hl=en&amp;geocode=&amp;q=39.96097,-75.23287</v>
      </c>
    </row>
    <row r="593" spans="1:7" ht="15" x14ac:dyDescent="0.3">
      <c r="A593">
        <v>47.095829010009801</v>
      </c>
      <c r="B593">
        <v>-122.62953948974599</v>
      </c>
      <c r="C593" t="s">
        <v>43</v>
      </c>
      <c r="D593" t="s">
        <v>402</v>
      </c>
      <c r="F593" s="21"/>
      <c r="G593" s="16" t="str">
        <f>HYPERLINK("http://maps.google.com/maps?f=q&amp;hl=en&amp;geocode=&amp;q=47.0958290100098,-122.629539489746")</f>
        <v>http://maps.google.com/maps?f=q&amp;hl=en&amp;geocode=&amp;q=47.0958290100098,-122.629539489746</v>
      </c>
    </row>
    <row r="594" spans="1:7" ht="15" x14ac:dyDescent="0.3">
      <c r="A594">
        <v>47.095829010009801</v>
      </c>
      <c r="B594">
        <v>-122.62953948974599</v>
      </c>
      <c r="C594" t="s">
        <v>43</v>
      </c>
      <c r="D594" t="s">
        <v>402</v>
      </c>
      <c r="F594" s="21"/>
      <c r="G594" s="16" t="str">
        <f>HYPERLINK("http://maps.google.com/maps?f=q&amp;hl=en&amp;geocode=&amp;q=47.0958290100098,-122.629539489746")</f>
        <v>http://maps.google.com/maps?f=q&amp;hl=en&amp;geocode=&amp;q=47.0958290100098,-122.629539489746</v>
      </c>
    </row>
    <row r="595" spans="1:7" ht="15" x14ac:dyDescent="0.3">
      <c r="A595">
        <v>39.977229999999999</v>
      </c>
      <c r="B595">
        <v>-75.245090000000005</v>
      </c>
      <c r="C595" t="s">
        <v>41</v>
      </c>
      <c r="D595" t="s">
        <v>489</v>
      </c>
      <c r="F595" s="21"/>
      <c r="G595" s="16" t="str">
        <f>HYPERLINK("http://maps.google.com/maps?f=q&amp;hl=en&amp;geocode=&amp;q=39.97723,-75.24509")</f>
        <v>http://maps.google.com/maps?f=q&amp;hl=en&amp;geocode=&amp;q=39.97723,-75.24509</v>
      </c>
    </row>
    <row r="596" spans="1:7" ht="15" x14ac:dyDescent="0.3">
      <c r="A596">
        <v>37.050380706787102</v>
      </c>
      <c r="B596">
        <v>-122.07330322265599</v>
      </c>
      <c r="C596" t="s">
        <v>43</v>
      </c>
      <c r="D596" t="s">
        <v>490</v>
      </c>
      <c r="F596" s="21"/>
      <c r="G596" s="16" t="str">
        <f>HYPERLINK("http://maps.google.com/maps?f=q&amp;hl=en&amp;geocode=&amp;q=37.0503807067871,-122.073303222656")</f>
        <v>http://maps.google.com/maps?f=q&amp;hl=en&amp;geocode=&amp;q=37.0503807067871,-122.073303222656</v>
      </c>
    </row>
    <row r="597" spans="1:7" ht="15" x14ac:dyDescent="0.3">
      <c r="A597">
        <v>42.999576568603501</v>
      </c>
      <c r="B597">
        <v>-107.551513671875</v>
      </c>
      <c r="C597" t="s">
        <v>41</v>
      </c>
      <c r="D597" t="s">
        <v>491</v>
      </c>
      <c r="F597" s="21"/>
      <c r="G597" s="16" t="str">
        <f>HYPERLINK("http://maps.google.com/maps?f=q&amp;hl=en&amp;geocode=&amp;q=42.9995765686035,-107.551513671875")</f>
        <v>http://maps.google.com/maps?f=q&amp;hl=en&amp;geocode=&amp;q=42.9995765686035,-107.551513671875</v>
      </c>
    </row>
    <row r="598" spans="1:7" ht="15" x14ac:dyDescent="0.3">
      <c r="A598" t="s">
        <v>44</v>
      </c>
      <c r="B598" t="s">
        <v>44</v>
      </c>
      <c r="C598" t="s">
        <v>44</v>
      </c>
      <c r="D598" t="s">
        <v>492</v>
      </c>
      <c r="F598" s="21"/>
      <c r="G598" s="16"/>
    </row>
    <row r="599" spans="1:7" ht="15" x14ac:dyDescent="0.3">
      <c r="A599">
        <v>42.5449409484863</v>
      </c>
      <c r="B599">
        <v>-101.11856842041</v>
      </c>
      <c r="C599" t="s">
        <v>43</v>
      </c>
      <c r="D599" t="s">
        <v>493</v>
      </c>
      <c r="F599" s="21"/>
      <c r="G599" s="16" t="str">
        <f>HYPERLINK("http://maps.google.com/maps?f=q&amp;hl=en&amp;geocode=&amp;q=42.5449409484863,-101.11856842041")</f>
        <v>http://maps.google.com/maps?f=q&amp;hl=en&amp;geocode=&amp;q=42.5449409484863,-101.11856842041</v>
      </c>
    </row>
    <row r="600" spans="1:7" ht="15" x14ac:dyDescent="0.3">
      <c r="A600" t="s">
        <v>44</v>
      </c>
      <c r="B600" t="s">
        <v>44</v>
      </c>
      <c r="C600" t="s">
        <v>44</v>
      </c>
      <c r="D600" t="s">
        <v>494</v>
      </c>
      <c r="F600" s="21"/>
      <c r="G600" s="16"/>
    </row>
    <row r="601" spans="1:7" ht="15" x14ac:dyDescent="0.3">
      <c r="A601" t="s">
        <v>44</v>
      </c>
      <c r="B601" t="s">
        <v>44</v>
      </c>
      <c r="C601" t="s">
        <v>44</v>
      </c>
      <c r="D601" t="s">
        <v>101</v>
      </c>
      <c r="F601" s="21"/>
      <c r="G601" s="16"/>
    </row>
    <row r="602" spans="1:7" ht="15" x14ac:dyDescent="0.3">
      <c r="A602">
        <v>42.11403</v>
      </c>
      <c r="B602">
        <v>-75.775890000000004</v>
      </c>
      <c r="C602" t="s">
        <v>42</v>
      </c>
      <c r="D602" t="s">
        <v>495</v>
      </c>
      <c r="F602" s="21"/>
      <c r="G602" s="16" t="str">
        <f>HYPERLINK("http://maps.google.com/maps?f=q&amp;hl=en&amp;geocode=&amp;q=42.11403,-75.77589")</f>
        <v>http://maps.google.com/maps?f=q&amp;hl=en&amp;geocode=&amp;q=42.11403,-75.77589</v>
      </c>
    </row>
    <row r="603" spans="1:7" ht="15" x14ac:dyDescent="0.3">
      <c r="A603">
        <v>29.707139999999999</v>
      </c>
      <c r="B603">
        <v>-95.470529999999997</v>
      </c>
      <c r="C603" t="s">
        <v>41</v>
      </c>
      <c r="D603" t="s">
        <v>496</v>
      </c>
      <c r="F603" s="21"/>
      <c r="G603" s="16" t="str">
        <f>HYPERLINK("http://maps.google.com/maps?f=q&amp;hl=en&amp;geocode=&amp;q=29.70714,-95.47053")</f>
        <v>http://maps.google.com/maps?f=q&amp;hl=en&amp;geocode=&amp;q=29.70714,-95.47053</v>
      </c>
    </row>
    <row r="604" spans="1:7" ht="15" x14ac:dyDescent="0.3">
      <c r="A604">
        <v>-26.584983825683601</v>
      </c>
      <c r="B604">
        <v>149.194747924805</v>
      </c>
      <c r="C604" t="s">
        <v>41</v>
      </c>
      <c r="D604" t="s">
        <v>497</v>
      </c>
      <c r="F604" s="21"/>
      <c r="G604" s="16" t="str">
        <f>HYPERLINK("http://maps.google.com/maps?f=q&amp;hl=en&amp;geocode=&amp;q=-26.5849838256836,149.194747924805")</f>
        <v>http://maps.google.com/maps?f=q&amp;hl=en&amp;geocode=&amp;q=-26.5849838256836,149.194747924805</v>
      </c>
    </row>
    <row r="605" spans="1:7" ht="15" x14ac:dyDescent="0.3">
      <c r="A605">
        <v>34.682781219482401</v>
      </c>
      <c r="B605">
        <v>50.188331604003899</v>
      </c>
      <c r="C605" t="s">
        <v>41</v>
      </c>
      <c r="D605" t="s">
        <v>498</v>
      </c>
      <c r="F605" s="21"/>
      <c r="G605" s="16" t="str">
        <f>HYPERLINK("http://maps.google.com/maps?f=q&amp;hl=en&amp;geocode=&amp;q=34.6827812194824,50.1883316040039")</f>
        <v>http://maps.google.com/maps?f=q&amp;hl=en&amp;geocode=&amp;q=34.6827812194824,50.1883316040039</v>
      </c>
    </row>
    <row r="606" spans="1:7" ht="15" x14ac:dyDescent="0.3">
      <c r="A606">
        <v>41.868020000000001</v>
      </c>
      <c r="B606">
        <v>-91.57611</v>
      </c>
      <c r="C606" t="s">
        <v>41</v>
      </c>
      <c r="D606" t="s">
        <v>243</v>
      </c>
      <c r="F606" s="21"/>
      <c r="G606" s="16" t="str">
        <f>HYPERLINK("http://maps.google.com/maps?f=q&amp;hl=en&amp;geocode=&amp;q=41.86802,-91.57611")</f>
        <v>http://maps.google.com/maps?f=q&amp;hl=en&amp;geocode=&amp;q=41.86802,-91.57611</v>
      </c>
    </row>
    <row r="607" spans="1:7" ht="15" x14ac:dyDescent="0.3">
      <c r="A607">
        <v>40.029081015729403</v>
      </c>
      <c r="B607">
        <v>-76.614457979002296</v>
      </c>
      <c r="C607" t="s">
        <v>41</v>
      </c>
      <c r="D607" t="s">
        <v>499</v>
      </c>
      <c r="F607" s="21"/>
      <c r="G607" s="16" t="str">
        <f>HYPERLINK("http://maps.google.com/maps?f=q&amp;hl=en&amp;geocode=&amp;q=40.0290810157294,-76.6144579790023")</f>
        <v>http://maps.google.com/maps?f=q&amp;hl=en&amp;geocode=&amp;q=40.0290810157294,-76.6144579790023</v>
      </c>
    </row>
    <row r="608" spans="1:7" ht="15" x14ac:dyDescent="0.3">
      <c r="A608">
        <v>47.002783975540702</v>
      </c>
      <c r="B608">
        <v>-122.540970372871</v>
      </c>
      <c r="C608" t="s">
        <v>43</v>
      </c>
      <c r="D608" t="s">
        <v>500</v>
      </c>
      <c r="F608" s="21"/>
      <c r="G608" s="16" t="str">
        <f>HYPERLINK("http://maps.google.com/maps?f=q&amp;hl=en&amp;geocode=&amp;q=47.0027839755407,-122.540970372871")</f>
        <v>http://maps.google.com/maps?f=q&amp;hl=en&amp;geocode=&amp;q=47.0027839755407,-122.540970372871</v>
      </c>
    </row>
    <row r="609" spans="1:7" ht="15" x14ac:dyDescent="0.3">
      <c r="A609">
        <v>40.013988494872997</v>
      </c>
      <c r="B609">
        <v>-75.303192138671903</v>
      </c>
      <c r="C609" t="s">
        <v>41</v>
      </c>
      <c r="D609" t="s">
        <v>501</v>
      </c>
      <c r="F609" s="21"/>
      <c r="G609" s="16" t="str">
        <f>HYPERLINK("http://maps.google.com/maps?f=q&amp;hl=en&amp;geocode=&amp;q=40.013988494873,-75.3031921386719")</f>
        <v>http://maps.google.com/maps?f=q&amp;hl=en&amp;geocode=&amp;q=40.013988494873,-75.3031921386719</v>
      </c>
    </row>
    <row r="610" spans="1:7" ht="15" x14ac:dyDescent="0.3">
      <c r="A610">
        <v>39.972025000000002</v>
      </c>
      <c r="B610">
        <v>-75.251435000000001</v>
      </c>
      <c r="C610" t="s">
        <v>42</v>
      </c>
      <c r="D610" t="s">
        <v>502</v>
      </c>
      <c r="F610" s="21"/>
      <c r="G610" s="16" t="str">
        <f>HYPERLINK("http://maps.google.com/maps?f=q&amp;hl=en&amp;geocode=&amp;q=39.972025,-75.251435")</f>
        <v>http://maps.google.com/maps?f=q&amp;hl=en&amp;geocode=&amp;q=39.972025,-75.251435</v>
      </c>
    </row>
    <row r="611" spans="1:7" ht="15" x14ac:dyDescent="0.3">
      <c r="A611">
        <v>29.707139999999999</v>
      </c>
      <c r="B611">
        <v>-95.470529999999997</v>
      </c>
      <c r="C611" t="s">
        <v>41</v>
      </c>
      <c r="D611" t="s">
        <v>496</v>
      </c>
      <c r="F611" s="21"/>
      <c r="G611" s="16" t="str">
        <f>HYPERLINK("http://maps.google.com/maps?f=q&amp;hl=en&amp;geocode=&amp;q=29.70714,-95.47053")</f>
        <v>http://maps.google.com/maps?f=q&amp;hl=en&amp;geocode=&amp;q=29.70714,-95.47053</v>
      </c>
    </row>
    <row r="612" spans="1:7" ht="15" x14ac:dyDescent="0.3">
      <c r="A612">
        <v>29.707139999999999</v>
      </c>
      <c r="B612">
        <v>-95.470529999999997</v>
      </c>
      <c r="C612" t="s">
        <v>41</v>
      </c>
      <c r="D612" t="s">
        <v>496</v>
      </c>
      <c r="F612" s="21"/>
      <c r="G612" s="16" t="str">
        <f>HYPERLINK("http://maps.google.com/maps?f=q&amp;hl=en&amp;geocode=&amp;q=29.70714,-95.47053")</f>
        <v>http://maps.google.com/maps?f=q&amp;hl=en&amp;geocode=&amp;q=29.70714,-95.47053</v>
      </c>
    </row>
    <row r="613" spans="1:7" ht="15" x14ac:dyDescent="0.3">
      <c r="A613">
        <v>28.007390000000001</v>
      </c>
      <c r="B613">
        <v>-80.643069999999994</v>
      </c>
      <c r="C613" t="s">
        <v>42</v>
      </c>
      <c r="D613" t="s">
        <v>414</v>
      </c>
      <c r="F613" s="21"/>
      <c r="G613" s="16" t="str">
        <f>HYPERLINK("http://maps.google.com/maps?f=q&amp;hl=en&amp;geocode=&amp;q=28.00739,-80.64307")</f>
        <v>http://maps.google.com/maps?f=q&amp;hl=en&amp;geocode=&amp;q=28.00739,-80.64307</v>
      </c>
    </row>
    <row r="614" spans="1:7" ht="15" x14ac:dyDescent="0.3">
      <c r="A614">
        <v>28.007390000000001</v>
      </c>
      <c r="B614">
        <v>-80.643069999999994</v>
      </c>
      <c r="C614" t="s">
        <v>42</v>
      </c>
      <c r="D614" t="s">
        <v>414</v>
      </c>
      <c r="F614" s="21"/>
      <c r="G614" s="16" t="str">
        <f>HYPERLINK("http://maps.google.com/maps?f=q&amp;hl=en&amp;geocode=&amp;q=28.00739,-80.64307")</f>
        <v>http://maps.google.com/maps?f=q&amp;hl=en&amp;geocode=&amp;q=28.00739,-80.64307</v>
      </c>
    </row>
    <row r="615" spans="1:7" ht="15" x14ac:dyDescent="0.3">
      <c r="A615">
        <v>-37.895980000000002</v>
      </c>
      <c r="B615">
        <v>144.27633</v>
      </c>
      <c r="C615" t="s">
        <v>41</v>
      </c>
      <c r="D615" t="s">
        <v>503</v>
      </c>
      <c r="F615" s="21"/>
      <c r="G615" s="16" t="str">
        <f>HYPERLINK("http://maps.google.com/maps?f=q&amp;hl=en&amp;geocode=&amp;q=-37.89598,144.27633")</f>
        <v>http://maps.google.com/maps?f=q&amp;hl=en&amp;geocode=&amp;q=-37.89598,144.27633</v>
      </c>
    </row>
    <row r="616" spans="1:7" ht="15" x14ac:dyDescent="0.3">
      <c r="A616">
        <v>33.633616625625898</v>
      </c>
      <c r="B616">
        <v>-117.909103098872</v>
      </c>
      <c r="C616" t="s">
        <v>41</v>
      </c>
      <c r="D616" t="s">
        <v>504</v>
      </c>
      <c r="F616" s="21"/>
      <c r="G616" s="16" t="str">
        <f>HYPERLINK("http://maps.google.com/maps?f=q&amp;hl=en&amp;geocode=&amp;q=33.6336166256259,-117.909103098872")</f>
        <v>http://maps.google.com/maps?f=q&amp;hl=en&amp;geocode=&amp;q=33.6336166256259,-117.909103098872</v>
      </c>
    </row>
    <row r="617" spans="1:7" ht="15" x14ac:dyDescent="0.3">
      <c r="A617">
        <v>39.960172215538897</v>
      </c>
      <c r="B617">
        <v>-75.239837539915399</v>
      </c>
      <c r="C617" t="s">
        <v>41</v>
      </c>
      <c r="D617" t="s">
        <v>505</v>
      </c>
      <c r="F617" s="21"/>
      <c r="G617" s="16" t="str">
        <f>HYPERLINK("http://maps.google.com/maps?f=q&amp;hl=en&amp;geocode=&amp;q=39.9601722155389,-75.2398375399154")</f>
        <v>http://maps.google.com/maps?f=q&amp;hl=en&amp;geocode=&amp;q=39.9601722155389,-75.2398375399154</v>
      </c>
    </row>
    <row r="618" spans="1:7" ht="15" x14ac:dyDescent="0.3">
      <c r="A618">
        <v>-34.745849999999997</v>
      </c>
      <c r="B618">
        <v>138.60986</v>
      </c>
      <c r="C618" t="s">
        <v>41</v>
      </c>
      <c r="D618" t="s">
        <v>506</v>
      </c>
      <c r="F618" s="21"/>
      <c r="G618" s="16" t="str">
        <f>HYPERLINK("http://maps.google.com/maps?f=q&amp;hl=en&amp;geocode=&amp;q=-34.74585,138.60986")</f>
        <v>http://maps.google.com/maps?f=q&amp;hl=en&amp;geocode=&amp;q=-34.74585,138.60986</v>
      </c>
    </row>
    <row r="619" spans="1:7" ht="15" x14ac:dyDescent="0.3">
      <c r="A619">
        <v>39.996009999999998</v>
      </c>
      <c r="B619">
        <v>-75.092140000000001</v>
      </c>
      <c r="C619" t="s">
        <v>41</v>
      </c>
      <c r="D619" t="s">
        <v>507</v>
      </c>
      <c r="F619" s="21"/>
      <c r="G619" s="16" t="str">
        <f>HYPERLINK("http://maps.google.com/maps?f=q&amp;hl=en&amp;geocode=&amp;q=39.99601,-75.09214")</f>
        <v>http://maps.google.com/maps?f=q&amp;hl=en&amp;geocode=&amp;q=39.99601,-75.09214</v>
      </c>
    </row>
    <row r="620" spans="1:7" ht="15" x14ac:dyDescent="0.3">
      <c r="A620">
        <v>29.533359527587901</v>
      </c>
      <c r="B620">
        <v>-95.119140625</v>
      </c>
      <c r="C620" t="s">
        <v>43</v>
      </c>
      <c r="D620" t="s">
        <v>222</v>
      </c>
      <c r="F620" s="21"/>
      <c r="G620" s="16" t="str">
        <f>HYPERLINK("http://maps.google.com/maps?f=q&amp;hl=en&amp;geocode=&amp;q=29.5333595275879,-95.119140625")</f>
        <v>http://maps.google.com/maps?f=q&amp;hl=en&amp;geocode=&amp;q=29.5333595275879,-95.119140625</v>
      </c>
    </row>
    <row r="621" spans="1:7" ht="15" x14ac:dyDescent="0.3">
      <c r="A621">
        <v>-36.718856811523402</v>
      </c>
      <c r="B621">
        <v>142.19622802734401</v>
      </c>
      <c r="C621" t="s">
        <v>43</v>
      </c>
      <c r="D621" t="s">
        <v>508</v>
      </c>
      <c r="F621" s="21"/>
      <c r="G621" s="16" t="str">
        <f>HYPERLINK("http://maps.google.com/maps?f=q&amp;hl=en&amp;geocode=&amp;q=-36.7188568115234,142.196228027344")</f>
        <v>http://maps.google.com/maps?f=q&amp;hl=en&amp;geocode=&amp;q=-36.7188568115234,142.196228027344</v>
      </c>
    </row>
    <row r="622" spans="1:7" ht="15" x14ac:dyDescent="0.3">
      <c r="A622">
        <v>36.383634418760103</v>
      </c>
      <c r="B622">
        <v>-78.635280298519305</v>
      </c>
      <c r="C622" t="s">
        <v>41</v>
      </c>
      <c r="D622" t="s">
        <v>51</v>
      </c>
      <c r="F622" s="21"/>
      <c r="G622" s="16" t="str">
        <f>HYPERLINK("http://maps.google.com/maps?f=q&amp;hl=en&amp;geocode=&amp;q=36.3836344187601,-78.6352802985193")</f>
        <v>http://maps.google.com/maps?f=q&amp;hl=en&amp;geocode=&amp;q=36.3836344187601,-78.6352802985193</v>
      </c>
    </row>
    <row r="623" spans="1:7" ht="15" x14ac:dyDescent="0.3">
      <c r="A623">
        <v>44.292468279169199</v>
      </c>
      <c r="B623">
        <v>-83.481390704053098</v>
      </c>
      <c r="C623" t="s">
        <v>41</v>
      </c>
      <c r="D623" t="s">
        <v>509</v>
      </c>
      <c r="F623" s="21"/>
      <c r="G623" s="16" t="str">
        <f>HYPERLINK("http://maps.google.com/maps?f=q&amp;hl=en&amp;geocode=&amp;q=44.2924682791692,-83.4813907040531")</f>
        <v>http://maps.google.com/maps?f=q&amp;hl=en&amp;geocode=&amp;q=44.2924682791692,-83.4813907040531</v>
      </c>
    </row>
    <row r="624" spans="1:7" ht="15" x14ac:dyDescent="0.3">
      <c r="A624">
        <v>41.181840000000001</v>
      </c>
      <c r="B624">
        <v>-81.810929999999999</v>
      </c>
      <c r="C624" t="s">
        <v>41</v>
      </c>
      <c r="D624" t="s">
        <v>510</v>
      </c>
      <c r="F624" s="21"/>
      <c r="G624" s="16" t="str">
        <f>HYPERLINK("http://maps.google.com/maps?f=q&amp;hl=en&amp;geocode=&amp;q=41.18184,-81.81093")</f>
        <v>http://maps.google.com/maps?f=q&amp;hl=en&amp;geocode=&amp;q=41.18184,-81.81093</v>
      </c>
    </row>
    <row r="625" spans="1:7" ht="15" x14ac:dyDescent="0.3">
      <c r="A625">
        <v>45.777801513671903</v>
      </c>
      <c r="B625">
        <v>-95.696022033691406</v>
      </c>
      <c r="C625" t="s">
        <v>41</v>
      </c>
      <c r="D625" t="s">
        <v>511</v>
      </c>
      <c r="F625" s="21"/>
      <c r="G625" s="16" t="str">
        <f>HYPERLINK("http://maps.google.com/maps?f=q&amp;hl=en&amp;geocode=&amp;q=45.7778015136719,-95.6960220336914")</f>
        <v>http://maps.google.com/maps?f=q&amp;hl=en&amp;geocode=&amp;q=45.7778015136719,-95.6960220336914</v>
      </c>
    </row>
    <row r="626" spans="1:7" ht="15" x14ac:dyDescent="0.3">
      <c r="A626">
        <v>42.997422656800801</v>
      </c>
      <c r="B626">
        <v>-95.623939346082395</v>
      </c>
      <c r="C626" t="s">
        <v>41</v>
      </c>
      <c r="D626" t="s">
        <v>71</v>
      </c>
      <c r="F626" s="21"/>
      <c r="G626" s="16" t="str">
        <f>HYPERLINK("http://maps.google.com/maps?f=q&amp;hl=en&amp;geocode=&amp;q=42.9974226568008,-95.6239393460824")</f>
        <v>http://maps.google.com/maps?f=q&amp;hl=en&amp;geocode=&amp;q=42.9974226568008,-95.6239393460824</v>
      </c>
    </row>
    <row r="627" spans="1:7" ht="15" x14ac:dyDescent="0.3">
      <c r="A627">
        <v>47.2570850349693</v>
      </c>
      <c r="B627">
        <v>-122.54199206979899</v>
      </c>
      <c r="C627" t="s">
        <v>41</v>
      </c>
      <c r="D627" t="s">
        <v>512</v>
      </c>
      <c r="F627" s="21"/>
      <c r="G627" s="16" t="str">
        <f>HYPERLINK("http://maps.google.com/maps?f=q&amp;hl=en&amp;geocode=&amp;q=47.2570850349693,-122.541992069799")</f>
        <v>http://maps.google.com/maps?f=q&amp;hl=en&amp;geocode=&amp;q=47.2570850349693,-122.541992069799</v>
      </c>
    </row>
    <row r="628" spans="1:7" ht="15" x14ac:dyDescent="0.3">
      <c r="A628">
        <v>40.024619260599501</v>
      </c>
      <c r="B628">
        <v>-75.131679512591504</v>
      </c>
      <c r="C628" t="s">
        <v>41</v>
      </c>
      <c r="D628" t="s">
        <v>513</v>
      </c>
      <c r="F628" s="21"/>
      <c r="G628" s="16" t="str">
        <f>HYPERLINK("http://maps.google.com/maps?f=q&amp;hl=en&amp;geocode=&amp;q=40.0246192605995,-75.1316795125915")</f>
        <v>http://maps.google.com/maps?f=q&amp;hl=en&amp;geocode=&amp;q=40.0246192605995,-75.1316795125915</v>
      </c>
    </row>
    <row r="629" spans="1:7" ht="15" x14ac:dyDescent="0.3">
      <c r="A629">
        <v>42.8322015188295</v>
      </c>
      <c r="B629">
        <v>-77.382213953143705</v>
      </c>
      <c r="C629" t="s">
        <v>41</v>
      </c>
      <c r="D629" t="s">
        <v>514</v>
      </c>
      <c r="F629" s="21"/>
      <c r="G629" s="16" t="str">
        <f>HYPERLINK("http://maps.google.com/maps?f=q&amp;hl=en&amp;geocode=&amp;q=42.8322015188295,-77.3822139531437")</f>
        <v>http://maps.google.com/maps?f=q&amp;hl=en&amp;geocode=&amp;q=42.8322015188295,-77.3822139531437</v>
      </c>
    </row>
    <row r="630" spans="1:7" ht="15" x14ac:dyDescent="0.3">
      <c r="A630">
        <v>40.013988494872997</v>
      </c>
      <c r="B630">
        <v>-75.303192138671903</v>
      </c>
      <c r="C630" t="s">
        <v>41</v>
      </c>
      <c r="D630" t="s">
        <v>501</v>
      </c>
      <c r="F630" s="21"/>
      <c r="G630" s="16" t="str">
        <f>HYPERLINK("http://maps.google.com/maps?f=q&amp;hl=en&amp;geocode=&amp;q=40.013988494873,-75.3031921386719")</f>
        <v>http://maps.google.com/maps?f=q&amp;hl=en&amp;geocode=&amp;q=40.013988494873,-75.3031921386719</v>
      </c>
    </row>
    <row r="631" spans="1:7" ht="15" x14ac:dyDescent="0.3">
      <c r="A631">
        <v>33.925411224365199</v>
      </c>
      <c r="B631">
        <v>35.899726867675803</v>
      </c>
      <c r="C631" t="s">
        <v>41</v>
      </c>
      <c r="D631" t="s">
        <v>515</v>
      </c>
      <c r="F631" s="21"/>
      <c r="G631" s="16" t="str">
        <f>HYPERLINK("http://maps.google.com/maps?f=q&amp;hl=en&amp;geocode=&amp;q=33.9254112243652,35.8997268676758")</f>
        <v>http://maps.google.com/maps?f=q&amp;hl=en&amp;geocode=&amp;q=33.9254112243652,35.8997268676758</v>
      </c>
    </row>
    <row r="632" spans="1:7" ht="15" x14ac:dyDescent="0.3">
      <c r="A632">
        <v>28.007390000000001</v>
      </c>
      <c r="B632">
        <v>-80.643069999999994</v>
      </c>
      <c r="C632" t="s">
        <v>42</v>
      </c>
      <c r="D632" t="s">
        <v>516</v>
      </c>
      <c r="F632" s="21"/>
      <c r="G632" s="16" t="str">
        <f>HYPERLINK("http://maps.google.com/maps?f=q&amp;hl=en&amp;geocode=&amp;q=28.00739,-80.64307")</f>
        <v>http://maps.google.com/maps?f=q&amp;hl=en&amp;geocode=&amp;q=28.00739,-80.64307</v>
      </c>
    </row>
    <row r="633" spans="1:7" ht="15" x14ac:dyDescent="0.3">
      <c r="A633">
        <v>39.966990000000003</v>
      </c>
      <c r="B633">
        <v>-75.196600000000004</v>
      </c>
      <c r="C633" t="s">
        <v>43</v>
      </c>
      <c r="D633" t="s">
        <v>517</v>
      </c>
      <c r="F633" s="21"/>
      <c r="G633" s="16" t="str">
        <f>HYPERLINK("http://maps.google.com/maps?f=q&amp;hl=en&amp;geocode=&amp;q=39.96699,-75.1966")</f>
        <v>http://maps.google.com/maps?f=q&amp;hl=en&amp;geocode=&amp;q=39.96699,-75.1966</v>
      </c>
    </row>
    <row r="634" spans="1:7" ht="15" x14ac:dyDescent="0.3">
      <c r="A634">
        <v>39.131308202348798</v>
      </c>
      <c r="B634">
        <v>-85.120075185054802</v>
      </c>
      <c r="C634" t="s">
        <v>41</v>
      </c>
      <c r="D634" t="s">
        <v>518</v>
      </c>
      <c r="F634" s="21"/>
      <c r="G634" s="16" t="str">
        <f>HYPERLINK("http://maps.google.com/maps?f=q&amp;hl=en&amp;geocode=&amp;q=39.1313082023488,-85.1200751850548")</f>
        <v>http://maps.google.com/maps?f=q&amp;hl=en&amp;geocode=&amp;q=39.1313082023488,-85.1200751850548</v>
      </c>
    </row>
    <row r="635" spans="1:7" ht="15" x14ac:dyDescent="0.3">
      <c r="A635">
        <v>41.400970458984403</v>
      </c>
      <c r="B635">
        <v>-79.757980346679702</v>
      </c>
      <c r="C635" t="s">
        <v>41</v>
      </c>
      <c r="D635" t="s">
        <v>519</v>
      </c>
      <c r="F635" s="21"/>
      <c r="G635" s="16" t="str">
        <f>HYPERLINK("http://maps.google.com/maps?f=q&amp;hl=en&amp;geocode=&amp;q=41.4009704589844,-79.7579803466797")</f>
        <v>http://maps.google.com/maps?f=q&amp;hl=en&amp;geocode=&amp;q=41.4009704589844,-79.7579803466797</v>
      </c>
    </row>
    <row r="636" spans="1:7" ht="15" x14ac:dyDescent="0.3">
      <c r="A636">
        <v>34.682781219482401</v>
      </c>
      <c r="B636">
        <v>50.188331604003899</v>
      </c>
      <c r="C636" t="s">
        <v>41</v>
      </c>
      <c r="D636" t="s">
        <v>520</v>
      </c>
      <c r="F636" s="21"/>
      <c r="G636" s="16" t="str">
        <f>HYPERLINK("http://maps.google.com/maps?f=q&amp;hl=en&amp;geocode=&amp;q=34.6827812194824,50.1883316040039")</f>
        <v>http://maps.google.com/maps?f=q&amp;hl=en&amp;geocode=&amp;q=34.6827812194824,50.1883316040039</v>
      </c>
    </row>
    <row r="637" spans="1:7" ht="15" x14ac:dyDescent="0.3">
      <c r="A637">
        <v>39.996954737656701</v>
      </c>
      <c r="B637">
        <v>-75.117221959843704</v>
      </c>
      <c r="C637" t="s">
        <v>41</v>
      </c>
      <c r="D637" t="s">
        <v>521</v>
      </c>
      <c r="F637" s="21"/>
      <c r="G637" s="16" t="str">
        <f>HYPERLINK("http://maps.google.com/maps?f=q&amp;hl=en&amp;geocode=&amp;q=39.9969547376567,-75.1172219598437")</f>
        <v>http://maps.google.com/maps?f=q&amp;hl=en&amp;geocode=&amp;q=39.9969547376567,-75.1172219598437</v>
      </c>
    </row>
    <row r="638" spans="1:7" ht="15" x14ac:dyDescent="0.3">
      <c r="A638">
        <v>39.952829999999999</v>
      </c>
      <c r="B638">
        <v>-75.238759999999999</v>
      </c>
      <c r="C638" t="s">
        <v>41</v>
      </c>
      <c r="D638" t="s">
        <v>375</v>
      </c>
      <c r="F638" s="21"/>
      <c r="G638" s="16" t="str">
        <f>HYPERLINK("http://maps.google.com/maps?f=q&amp;hl=en&amp;geocode=&amp;q=39.95283,-75.23876")</f>
        <v>http://maps.google.com/maps?f=q&amp;hl=en&amp;geocode=&amp;q=39.95283,-75.23876</v>
      </c>
    </row>
    <row r="639" spans="1:7" ht="15" x14ac:dyDescent="0.3">
      <c r="A639">
        <v>39.952730000000003</v>
      </c>
      <c r="B639">
        <v>-75.238</v>
      </c>
      <c r="C639" t="s">
        <v>41</v>
      </c>
      <c r="D639" t="s">
        <v>522</v>
      </c>
      <c r="F639" s="21"/>
      <c r="G639" s="16" t="str">
        <f>HYPERLINK("http://maps.google.com/maps?f=q&amp;hl=en&amp;geocode=&amp;q=39.95273,-75.238")</f>
        <v>http://maps.google.com/maps?f=q&amp;hl=en&amp;geocode=&amp;q=39.95273,-75.238</v>
      </c>
    </row>
    <row r="640" spans="1:7" ht="15" x14ac:dyDescent="0.3">
      <c r="A640">
        <v>41.686759948730497</v>
      </c>
      <c r="B640">
        <v>-85.975669860839801</v>
      </c>
      <c r="C640" t="s">
        <v>41</v>
      </c>
      <c r="D640" t="s">
        <v>523</v>
      </c>
      <c r="F640" s="21"/>
      <c r="G640" s="16" t="str">
        <f>HYPERLINK("http://maps.google.com/maps?f=q&amp;hl=en&amp;geocode=&amp;q=41.6867599487305,-85.9756698608398")</f>
        <v>http://maps.google.com/maps?f=q&amp;hl=en&amp;geocode=&amp;q=41.6867599487305,-85.9756698608398</v>
      </c>
    </row>
    <row r="641" spans="1:7" ht="15" x14ac:dyDescent="0.3">
      <c r="A641">
        <v>40.310450703028501</v>
      </c>
      <c r="B641">
        <v>-78.322363777872894</v>
      </c>
      <c r="C641" t="s">
        <v>41</v>
      </c>
      <c r="D641" t="s">
        <v>524</v>
      </c>
      <c r="F641" s="21"/>
      <c r="G641" s="16" t="str">
        <f>HYPERLINK("http://maps.google.com/maps?f=q&amp;hl=en&amp;geocode=&amp;q=40.3104507030285,-78.3223637778729")</f>
        <v>http://maps.google.com/maps?f=q&amp;hl=en&amp;geocode=&amp;q=40.3104507030285,-78.3223637778729</v>
      </c>
    </row>
    <row r="642" spans="1:7" ht="15" x14ac:dyDescent="0.3">
      <c r="A642">
        <v>54.901432037353501</v>
      </c>
      <c r="B642">
        <v>10.7508296966553</v>
      </c>
      <c r="C642" t="s">
        <v>43</v>
      </c>
      <c r="D642" t="s">
        <v>525</v>
      </c>
      <c r="F642" s="21"/>
      <c r="G642" s="16" t="str">
        <f>HYPERLINK("http://maps.google.com/maps?f=q&amp;hl=en&amp;geocode=&amp;q=54.9014320373535,10.7508296966553")</f>
        <v>http://maps.google.com/maps?f=q&amp;hl=en&amp;geocode=&amp;q=54.9014320373535,10.7508296966553</v>
      </c>
    </row>
    <row r="643" spans="1:7" ht="15" x14ac:dyDescent="0.3">
      <c r="A643">
        <v>29.533359527587901</v>
      </c>
      <c r="B643">
        <v>-95.119140625</v>
      </c>
      <c r="C643" t="s">
        <v>43</v>
      </c>
      <c r="D643" t="s">
        <v>526</v>
      </c>
      <c r="F643" s="21"/>
      <c r="G643" s="16" t="str">
        <f>HYPERLINK("http://maps.google.com/maps?f=q&amp;hl=en&amp;geocode=&amp;q=29.5333595275879,-95.119140625")</f>
        <v>http://maps.google.com/maps?f=q&amp;hl=en&amp;geocode=&amp;q=29.5333595275879,-95.119140625</v>
      </c>
    </row>
    <row r="644" spans="1:7" ht="15" x14ac:dyDescent="0.3">
      <c r="A644">
        <v>39.395359999999997</v>
      </c>
      <c r="B644">
        <v>-87.27534</v>
      </c>
      <c r="C644" t="s">
        <v>41</v>
      </c>
      <c r="D644" t="s">
        <v>527</v>
      </c>
      <c r="F644" s="21"/>
      <c r="G644" s="16" t="str">
        <f>HYPERLINK("http://maps.google.com/maps?f=q&amp;hl=en&amp;geocode=&amp;q=39.39536,-87.27534")</f>
        <v>http://maps.google.com/maps?f=q&amp;hl=en&amp;geocode=&amp;q=39.39536,-87.27534</v>
      </c>
    </row>
    <row r="645" spans="1:7" ht="15" x14ac:dyDescent="0.3">
      <c r="A645">
        <v>47.861337989546698</v>
      </c>
      <c r="B645">
        <v>-117.89077560223301</v>
      </c>
      <c r="C645" t="s">
        <v>41</v>
      </c>
      <c r="D645" t="s">
        <v>528</v>
      </c>
      <c r="F645" s="21"/>
      <c r="G645" s="16" t="str">
        <f>HYPERLINK("http://maps.google.com/maps?f=q&amp;hl=en&amp;geocode=&amp;q=47.8613379895467,-117.890775602233")</f>
        <v>http://maps.google.com/maps?f=q&amp;hl=en&amp;geocode=&amp;q=47.8613379895467,-117.890775602233</v>
      </c>
    </row>
    <row r="646" spans="1:7" ht="15" x14ac:dyDescent="0.3">
      <c r="A646">
        <v>38.126269999999998</v>
      </c>
      <c r="B646">
        <v>-91.063680000000005</v>
      </c>
      <c r="C646" t="s">
        <v>42</v>
      </c>
      <c r="D646" t="s">
        <v>529</v>
      </c>
      <c r="F646" s="21"/>
      <c r="G646" s="16" t="str">
        <f>HYPERLINK("http://maps.google.com/maps?f=q&amp;hl=en&amp;geocode=&amp;q=38.12627,-91.06368")</f>
        <v>http://maps.google.com/maps?f=q&amp;hl=en&amp;geocode=&amp;q=38.12627,-91.06368</v>
      </c>
    </row>
    <row r="647" spans="1:7" ht="15" x14ac:dyDescent="0.3">
      <c r="A647">
        <v>48.073791409644997</v>
      </c>
      <c r="B647">
        <v>-117.242558332144</v>
      </c>
      <c r="C647" t="s">
        <v>41</v>
      </c>
      <c r="D647" t="s">
        <v>530</v>
      </c>
      <c r="F647" s="21"/>
      <c r="G647" s="16" t="str">
        <f>HYPERLINK("http://maps.google.com/maps?f=q&amp;hl=en&amp;geocode=&amp;q=48.073791409645,-117.242558332144")</f>
        <v>http://maps.google.com/maps?f=q&amp;hl=en&amp;geocode=&amp;q=48.073791409645,-117.242558332144</v>
      </c>
    </row>
    <row r="648" spans="1:7" ht="15" x14ac:dyDescent="0.3">
      <c r="A648">
        <v>41.008699</v>
      </c>
      <c r="B648">
        <v>-88.523814999999999</v>
      </c>
      <c r="C648" t="s">
        <v>41</v>
      </c>
      <c r="D648" t="s">
        <v>531</v>
      </c>
      <c r="F648" s="21"/>
      <c r="G648" s="16" t="str">
        <f>HYPERLINK("http://maps.google.com/maps?f=q&amp;hl=en&amp;geocode=&amp;q=41.008699,-88.523815")</f>
        <v>http://maps.google.com/maps?f=q&amp;hl=en&amp;geocode=&amp;q=41.008699,-88.523815</v>
      </c>
    </row>
    <row r="649" spans="1:7" ht="15" x14ac:dyDescent="0.3">
      <c r="A649">
        <v>40.292059999999999</v>
      </c>
      <c r="B649">
        <v>-98.259889999999999</v>
      </c>
      <c r="C649" t="s">
        <v>42</v>
      </c>
      <c r="D649" t="s">
        <v>532</v>
      </c>
      <c r="F649" s="21"/>
      <c r="G649" s="16" t="str">
        <f>HYPERLINK("http://maps.google.com/maps?f=q&amp;hl=en&amp;geocode=&amp;q=40.29206,-98.25989")</f>
        <v>http://maps.google.com/maps?f=q&amp;hl=en&amp;geocode=&amp;q=40.29206,-98.25989</v>
      </c>
    </row>
    <row r="650" spans="1:7" ht="15" x14ac:dyDescent="0.3">
      <c r="A650">
        <v>40.292059999999999</v>
      </c>
      <c r="B650">
        <v>-98.259889999999999</v>
      </c>
      <c r="C650" t="s">
        <v>42</v>
      </c>
      <c r="D650" t="s">
        <v>532</v>
      </c>
      <c r="F650" s="21"/>
      <c r="G650" s="16" t="str">
        <f>HYPERLINK("http://maps.google.com/maps?f=q&amp;hl=en&amp;geocode=&amp;q=40.29206,-98.25989")</f>
        <v>http://maps.google.com/maps?f=q&amp;hl=en&amp;geocode=&amp;q=40.29206,-98.25989</v>
      </c>
    </row>
    <row r="651" spans="1:7" ht="15" x14ac:dyDescent="0.3">
      <c r="A651">
        <v>40.395938873291001</v>
      </c>
      <c r="B651">
        <v>-77.027488708496094</v>
      </c>
      <c r="C651" t="s">
        <v>41</v>
      </c>
      <c r="D651" t="s">
        <v>533</v>
      </c>
      <c r="F651" s="21"/>
      <c r="G651" s="16" t="str">
        <f>HYPERLINK("http://maps.google.com/maps?f=q&amp;hl=en&amp;geocode=&amp;q=40.395938873291,-77.0274887084961")</f>
        <v>http://maps.google.com/maps?f=q&amp;hl=en&amp;geocode=&amp;q=40.395938873291,-77.0274887084961</v>
      </c>
    </row>
    <row r="652" spans="1:7" ht="15" x14ac:dyDescent="0.3">
      <c r="A652">
        <v>40.030320000000003</v>
      </c>
      <c r="B652">
        <v>-75.131860000000003</v>
      </c>
      <c r="C652" t="s">
        <v>42</v>
      </c>
      <c r="D652" t="s">
        <v>534</v>
      </c>
      <c r="F652" s="21"/>
      <c r="G652" s="16" t="str">
        <f>HYPERLINK("http://maps.google.com/maps?f=q&amp;hl=en&amp;geocode=&amp;q=40.03032,-75.13186")</f>
        <v>http://maps.google.com/maps?f=q&amp;hl=en&amp;geocode=&amp;q=40.03032,-75.13186</v>
      </c>
    </row>
    <row r="653" spans="1:7" ht="15" x14ac:dyDescent="0.3">
      <c r="A653" t="s">
        <v>44</v>
      </c>
      <c r="B653" t="s">
        <v>44</v>
      </c>
      <c r="C653" t="s">
        <v>44</v>
      </c>
      <c r="D653" t="s">
        <v>535</v>
      </c>
      <c r="F653" s="21"/>
      <c r="G653" s="16"/>
    </row>
    <row r="654" spans="1:7" ht="15" x14ac:dyDescent="0.3">
      <c r="A654">
        <v>49.503551483154297</v>
      </c>
      <c r="B654">
        <v>5.9784989356994602</v>
      </c>
      <c r="C654" t="s">
        <v>41</v>
      </c>
      <c r="D654" t="s">
        <v>536</v>
      </c>
      <c r="F654" s="21"/>
      <c r="G654" s="16" t="str">
        <f>HYPERLINK("http://maps.google.com/maps?f=q&amp;hl=en&amp;geocode=&amp;q=49.5035514831543,5.97849893569946")</f>
        <v>http://maps.google.com/maps?f=q&amp;hl=en&amp;geocode=&amp;q=49.5035514831543,5.97849893569946</v>
      </c>
    </row>
    <row r="655" spans="1:7" ht="15" x14ac:dyDescent="0.3">
      <c r="A655">
        <v>36.457597404635699</v>
      </c>
      <c r="B655">
        <v>-97.801004650559307</v>
      </c>
      <c r="C655" t="s">
        <v>41</v>
      </c>
      <c r="D655" t="s">
        <v>537</v>
      </c>
      <c r="F655" s="21"/>
      <c r="G655" s="16" t="str">
        <f>HYPERLINK("http://maps.google.com/maps?f=q&amp;hl=en&amp;geocode=&amp;q=36.4575974046357,-97.8010046505593")</f>
        <v>http://maps.google.com/maps?f=q&amp;hl=en&amp;geocode=&amp;q=36.4575974046357,-97.8010046505593</v>
      </c>
    </row>
    <row r="656" spans="1:7" ht="15" x14ac:dyDescent="0.3">
      <c r="A656">
        <v>39.972423849390701</v>
      </c>
      <c r="B656">
        <v>-75.253437150248203</v>
      </c>
      <c r="C656" t="s">
        <v>41</v>
      </c>
      <c r="D656" t="s">
        <v>538</v>
      </c>
      <c r="F656" s="21"/>
      <c r="G656" s="16" t="str">
        <f>HYPERLINK("http://maps.google.com/maps?f=q&amp;hl=en&amp;geocode=&amp;q=39.9724238493907,-75.2534371502482")</f>
        <v>http://maps.google.com/maps?f=q&amp;hl=en&amp;geocode=&amp;q=39.9724238493907,-75.2534371502482</v>
      </c>
    </row>
    <row r="657" spans="1:7" ht="15" x14ac:dyDescent="0.3">
      <c r="A657">
        <v>39.977245487612002</v>
      </c>
      <c r="B657">
        <v>-75.265592614649194</v>
      </c>
      <c r="C657" t="s">
        <v>41</v>
      </c>
      <c r="D657" t="s">
        <v>539</v>
      </c>
      <c r="F657" s="21"/>
      <c r="G657" s="16" t="str">
        <f>HYPERLINK("http://maps.google.com/maps?f=q&amp;hl=en&amp;geocode=&amp;q=39.977245487612,-75.2655926146492")</f>
        <v>http://maps.google.com/maps?f=q&amp;hl=en&amp;geocode=&amp;q=39.977245487612,-75.2655926146492</v>
      </c>
    </row>
    <row r="658" spans="1:7" ht="15" x14ac:dyDescent="0.3">
      <c r="A658">
        <v>-33.866344451904297</v>
      </c>
      <c r="B658">
        <v>18.497240066528299</v>
      </c>
      <c r="C658" t="s">
        <v>41</v>
      </c>
      <c r="D658" t="s">
        <v>540</v>
      </c>
      <c r="F658" s="21"/>
      <c r="G658" s="16" t="str">
        <f>HYPERLINK("http://maps.google.com/maps?f=q&amp;hl=en&amp;geocode=&amp;q=-33.8663444519043,18.4972400665283")</f>
        <v>http://maps.google.com/maps?f=q&amp;hl=en&amp;geocode=&amp;q=-33.8663444519043,18.4972400665283</v>
      </c>
    </row>
    <row r="659" spans="1:7" ht="15" x14ac:dyDescent="0.3">
      <c r="A659">
        <v>63.125186920166001</v>
      </c>
      <c r="B659">
        <v>103.753982543945</v>
      </c>
      <c r="C659" t="s">
        <v>43</v>
      </c>
      <c r="D659" t="s">
        <v>541</v>
      </c>
      <c r="F659" s="21"/>
      <c r="G659" s="16" t="str">
        <f>HYPERLINK("http://maps.google.com/maps?f=q&amp;hl=en&amp;geocode=&amp;q=63.125186920166,103.753982543945")</f>
        <v>http://maps.google.com/maps?f=q&amp;hl=en&amp;geocode=&amp;q=63.125186920166,103.753982543945</v>
      </c>
    </row>
    <row r="660" spans="1:7" ht="15" x14ac:dyDescent="0.3">
      <c r="A660">
        <v>34.237920000000003</v>
      </c>
      <c r="B660">
        <v>-97.488960000000006</v>
      </c>
      <c r="C660" t="s">
        <v>43</v>
      </c>
      <c r="D660" t="s">
        <v>542</v>
      </c>
      <c r="F660" s="21"/>
      <c r="G660" s="16" t="str">
        <f>HYPERLINK("http://maps.google.com/maps?f=q&amp;hl=en&amp;geocode=&amp;q=34.23792,-97.48896")</f>
        <v>http://maps.google.com/maps?f=q&amp;hl=en&amp;geocode=&amp;q=34.23792,-97.48896</v>
      </c>
    </row>
    <row r="661" spans="1:7" ht="15" x14ac:dyDescent="0.3">
      <c r="A661">
        <v>30.327950000000001</v>
      </c>
      <c r="B661">
        <v>-89.361540000000005</v>
      </c>
      <c r="C661" t="s">
        <v>43</v>
      </c>
      <c r="D661" t="s">
        <v>543</v>
      </c>
      <c r="F661" s="21"/>
      <c r="G661" s="16" t="str">
        <f>HYPERLINK("http://maps.google.com/maps?f=q&amp;hl=en&amp;geocode=&amp;q=30.32795,-89.36154")</f>
        <v>http://maps.google.com/maps?f=q&amp;hl=en&amp;geocode=&amp;q=30.32795,-89.36154</v>
      </c>
    </row>
    <row r="662" spans="1:7" ht="15" x14ac:dyDescent="0.3">
      <c r="A662">
        <v>30.327950000000001</v>
      </c>
      <c r="B662">
        <v>-89.361540000000005</v>
      </c>
      <c r="C662" t="s">
        <v>43</v>
      </c>
      <c r="D662" t="s">
        <v>543</v>
      </c>
      <c r="F662" s="21"/>
      <c r="G662" s="16" t="str">
        <f>HYPERLINK("http://maps.google.com/maps?f=q&amp;hl=en&amp;geocode=&amp;q=30.32795,-89.36154")</f>
        <v>http://maps.google.com/maps?f=q&amp;hl=en&amp;geocode=&amp;q=30.32795,-89.36154</v>
      </c>
    </row>
    <row r="663" spans="1:7" ht="15" x14ac:dyDescent="0.3">
      <c r="A663">
        <v>30.327950000000001</v>
      </c>
      <c r="B663">
        <v>-89.361540000000005</v>
      </c>
      <c r="C663" t="s">
        <v>43</v>
      </c>
      <c r="D663" t="s">
        <v>543</v>
      </c>
      <c r="F663" s="21"/>
      <c r="G663" s="16" t="str">
        <f>HYPERLINK("http://maps.google.com/maps?f=q&amp;hl=en&amp;geocode=&amp;q=30.32795,-89.36154")</f>
        <v>http://maps.google.com/maps?f=q&amp;hl=en&amp;geocode=&amp;q=30.32795,-89.36154</v>
      </c>
    </row>
    <row r="664" spans="1:7" ht="15" x14ac:dyDescent="0.3">
      <c r="A664">
        <v>50.413559900000003</v>
      </c>
      <c r="B664">
        <v>4.4393700000000003</v>
      </c>
      <c r="C664" t="s">
        <v>41</v>
      </c>
      <c r="D664" t="s">
        <v>544</v>
      </c>
      <c r="F664" s="21"/>
      <c r="G664" s="16" t="str">
        <f>HYPERLINK("http://maps.google.com/maps?f=q&amp;hl=en&amp;geocode=&amp;q=50.4135599,4.43937")</f>
        <v>http://maps.google.com/maps?f=q&amp;hl=en&amp;geocode=&amp;q=50.4135599,4.43937</v>
      </c>
    </row>
    <row r="665" spans="1:7" ht="15" x14ac:dyDescent="0.3">
      <c r="A665">
        <v>54.841087341308601</v>
      </c>
      <c r="B665">
        <v>11.161624908447299</v>
      </c>
      <c r="C665" t="s">
        <v>41</v>
      </c>
      <c r="D665" t="s">
        <v>545</v>
      </c>
      <c r="F665" s="21"/>
      <c r="G665" s="16" t="str">
        <f>HYPERLINK("http://maps.google.com/maps?f=q&amp;hl=en&amp;geocode=&amp;q=54.8410873413086,11.1616249084473")</f>
        <v>http://maps.google.com/maps?f=q&amp;hl=en&amp;geocode=&amp;q=54.8410873413086,11.1616249084473</v>
      </c>
    </row>
    <row r="666" spans="1:7" ht="15" x14ac:dyDescent="0.3">
      <c r="A666">
        <v>54.841087341308601</v>
      </c>
      <c r="B666">
        <v>11.161624908447299</v>
      </c>
      <c r="C666" t="s">
        <v>41</v>
      </c>
      <c r="D666" t="s">
        <v>545</v>
      </c>
      <c r="F666" s="21"/>
      <c r="G666" s="16" t="str">
        <f>HYPERLINK("http://maps.google.com/maps?f=q&amp;hl=en&amp;geocode=&amp;q=54.8410873413086,11.1616249084473")</f>
        <v>http://maps.google.com/maps?f=q&amp;hl=en&amp;geocode=&amp;q=54.8410873413086,11.1616249084473</v>
      </c>
    </row>
    <row r="667" spans="1:7" ht="15" x14ac:dyDescent="0.3">
      <c r="A667" t="s">
        <v>44</v>
      </c>
      <c r="B667" t="s">
        <v>44</v>
      </c>
      <c r="C667" t="s">
        <v>44</v>
      </c>
      <c r="D667" t="s">
        <v>546</v>
      </c>
      <c r="F667" s="21"/>
      <c r="G667" s="16"/>
    </row>
    <row r="668" spans="1:7" ht="15" x14ac:dyDescent="0.3">
      <c r="A668">
        <v>37.881070671726597</v>
      </c>
      <c r="B668">
        <v>-89.476924648639795</v>
      </c>
      <c r="C668" t="s">
        <v>43</v>
      </c>
      <c r="D668" t="s">
        <v>547</v>
      </c>
      <c r="F668" s="21"/>
      <c r="G668" s="16" t="str">
        <f>HYPERLINK("http://maps.google.com/maps?f=q&amp;hl=en&amp;geocode=&amp;q=37.8810706717266,-89.4769246486398")</f>
        <v>http://maps.google.com/maps?f=q&amp;hl=en&amp;geocode=&amp;q=37.8810706717266,-89.4769246486398</v>
      </c>
    </row>
    <row r="669" spans="1:7" ht="15" x14ac:dyDescent="0.3">
      <c r="A669">
        <v>41.008699</v>
      </c>
      <c r="B669">
        <v>-88.523814999999999</v>
      </c>
      <c r="C669" t="s">
        <v>41</v>
      </c>
      <c r="D669" t="s">
        <v>531</v>
      </c>
      <c r="F669" s="21"/>
      <c r="G669" s="16" t="str">
        <f>HYPERLINK("http://maps.google.com/maps?f=q&amp;hl=en&amp;geocode=&amp;q=41.008699,-88.523815")</f>
        <v>http://maps.google.com/maps?f=q&amp;hl=en&amp;geocode=&amp;q=41.008699,-88.523815</v>
      </c>
    </row>
    <row r="670" spans="1:7" ht="15" x14ac:dyDescent="0.3">
      <c r="A670">
        <v>40.04074</v>
      </c>
      <c r="B670">
        <v>-75.124300000000005</v>
      </c>
      <c r="C670" t="s">
        <v>41</v>
      </c>
      <c r="D670" t="s">
        <v>548</v>
      </c>
      <c r="F670" s="21"/>
      <c r="G670" s="16" t="str">
        <f>HYPERLINK("http://maps.google.com/maps?f=q&amp;hl=en&amp;geocode=&amp;q=40.04074,-75.1243")</f>
        <v>http://maps.google.com/maps?f=q&amp;hl=en&amp;geocode=&amp;q=40.04074,-75.1243</v>
      </c>
    </row>
    <row r="671" spans="1:7" ht="15" x14ac:dyDescent="0.3">
      <c r="A671">
        <v>40.04074</v>
      </c>
      <c r="B671">
        <v>-75.124300000000005</v>
      </c>
      <c r="C671" t="s">
        <v>41</v>
      </c>
      <c r="D671" t="s">
        <v>548</v>
      </c>
      <c r="F671" s="21"/>
      <c r="G671" s="16" t="str">
        <f>HYPERLINK("http://maps.google.com/maps?f=q&amp;hl=en&amp;geocode=&amp;q=40.04074,-75.1243")</f>
        <v>http://maps.google.com/maps?f=q&amp;hl=en&amp;geocode=&amp;q=40.04074,-75.1243</v>
      </c>
    </row>
    <row r="672" spans="1:7" ht="15" x14ac:dyDescent="0.3">
      <c r="A672">
        <v>40.292059999999999</v>
      </c>
      <c r="B672">
        <v>-98.259889999999999</v>
      </c>
      <c r="C672" t="s">
        <v>42</v>
      </c>
      <c r="D672" t="s">
        <v>532</v>
      </c>
      <c r="F672" s="21"/>
      <c r="G672" s="16" t="str">
        <f>HYPERLINK("http://maps.google.com/maps?f=q&amp;hl=en&amp;geocode=&amp;q=40.29206,-98.25989")</f>
        <v>http://maps.google.com/maps?f=q&amp;hl=en&amp;geocode=&amp;q=40.29206,-98.25989</v>
      </c>
    </row>
    <row r="673" spans="1:7" ht="15" x14ac:dyDescent="0.3">
      <c r="A673">
        <v>33.810540000000003</v>
      </c>
      <c r="B673">
        <v>-118.03908</v>
      </c>
      <c r="C673" t="s">
        <v>42</v>
      </c>
      <c r="D673" t="s">
        <v>549</v>
      </c>
      <c r="F673" s="21"/>
      <c r="G673" s="16" t="str">
        <f>HYPERLINK("http://maps.google.com/maps?f=q&amp;hl=en&amp;geocode=&amp;q=33.81054,-118.03908")</f>
        <v>http://maps.google.com/maps?f=q&amp;hl=en&amp;geocode=&amp;q=33.81054,-118.03908</v>
      </c>
    </row>
    <row r="674" spans="1:7" ht="15" x14ac:dyDescent="0.3">
      <c r="A674">
        <v>40.096572999999999</v>
      </c>
      <c r="B674">
        <v>-75.030089000000004</v>
      </c>
      <c r="C674" t="s">
        <v>41</v>
      </c>
      <c r="D674" t="s">
        <v>550</v>
      </c>
      <c r="F674" s="21"/>
      <c r="G674" s="16" t="str">
        <f>HYPERLINK("http://maps.google.com/maps?f=q&amp;hl=en&amp;geocode=&amp;q=40.096573,-75.030089")</f>
        <v>http://maps.google.com/maps?f=q&amp;hl=en&amp;geocode=&amp;q=40.096573,-75.030089</v>
      </c>
    </row>
    <row r="675" spans="1:7" ht="15" x14ac:dyDescent="0.3">
      <c r="A675">
        <v>43.036430000000003</v>
      </c>
      <c r="B675">
        <v>-76.145899999999997</v>
      </c>
      <c r="C675" t="s">
        <v>43</v>
      </c>
      <c r="D675" t="s">
        <v>201</v>
      </c>
      <c r="F675" s="21"/>
      <c r="G675" s="16" t="str">
        <f>HYPERLINK("http://maps.google.com/maps?f=q&amp;hl=en&amp;geocode=&amp;q=43.03643,-76.1459")</f>
        <v>http://maps.google.com/maps?f=q&amp;hl=en&amp;geocode=&amp;q=43.03643,-76.1459</v>
      </c>
    </row>
    <row r="676" spans="1:7" ht="15" x14ac:dyDescent="0.3">
      <c r="A676">
        <v>48.026901245117202</v>
      </c>
      <c r="B676">
        <v>3.6677799224853498</v>
      </c>
      <c r="C676" t="s">
        <v>43</v>
      </c>
      <c r="D676" t="s">
        <v>551</v>
      </c>
      <c r="F676" s="21"/>
      <c r="G676" s="16" t="str">
        <f>HYPERLINK("http://maps.google.com/maps?f=q&amp;hl=en&amp;geocode=&amp;q=48.0269012451172,3.66777992248535")</f>
        <v>http://maps.google.com/maps?f=q&amp;hl=en&amp;geocode=&amp;q=48.0269012451172,3.66777992248535</v>
      </c>
    </row>
    <row r="677" spans="1:7" ht="15" x14ac:dyDescent="0.3">
      <c r="A677">
        <v>48.026901245117202</v>
      </c>
      <c r="B677">
        <v>3.6677799224853498</v>
      </c>
      <c r="C677" t="s">
        <v>43</v>
      </c>
      <c r="D677" t="s">
        <v>552</v>
      </c>
      <c r="F677" s="21"/>
      <c r="G677" s="16" t="str">
        <f>HYPERLINK("http://maps.google.com/maps?f=q&amp;hl=en&amp;geocode=&amp;q=48.0269012451172,3.66777992248535")</f>
        <v>http://maps.google.com/maps?f=q&amp;hl=en&amp;geocode=&amp;q=48.0269012451172,3.66777992248535</v>
      </c>
    </row>
    <row r="678" spans="1:7" ht="15" x14ac:dyDescent="0.3">
      <c r="A678">
        <v>39.994509000000001</v>
      </c>
      <c r="B678">
        <v>-75.092248999999995</v>
      </c>
      <c r="C678" t="s">
        <v>41</v>
      </c>
      <c r="D678" t="s">
        <v>553</v>
      </c>
      <c r="F678" s="21"/>
      <c r="G678" s="16" t="str">
        <f>HYPERLINK("http://maps.google.com/maps?f=q&amp;hl=en&amp;geocode=&amp;q=39.994509,-75.092249")</f>
        <v>http://maps.google.com/maps?f=q&amp;hl=en&amp;geocode=&amp;q=39.994509,-75.092249</v>
      </c>
    </row>
    <row r="679" spans="1:7" ht="15" x14ac:dyDescent="0.3">
      <c r="A679">
        <v>40.039520000000003</v>
      </c>
      <c r="B679">
        <v>-75.129829999999998</v>
      </c>
      <c r="C679" t="s">
        <v>42</v>
      </c>
      <c r="D679" t="s">
        <v>554</v>
      </c>
      <c r="F679" s="21"/>
      <c r="G679" s="16" t="str">
        <f>HYPERLINK("http://maps.google.com/maps?f=q&amp;hl=en&amp;geocode=&amp;q=40.03952,-75.12983")</f>
        <v>http://maps.google.com/maps?f=q&amp;hl=en&amp;geocode=&amp;q=40.03952,-75.12983</v>
      </c>
    </row>
    <row r="680" spans="1:7" ht="15" x14ac:dyDescent="0.3">
      <c r="A680">
        <v>40.027747354564497</v>
      </c>
      <c r="B680">
        <v>-75.130656151245802</v>
      </c>
      <c r="C680" t="s">
        <v>41</v>
      </c>
      <c r="D680" t="s">
        <v>555</v>
      </c>
      <c r="F680" s="21"/>
      <c r="G680" s="16" t="str">
        <f>HYPERLINK("http://maps.google.com/maps?f=q&amp;hl=en&amp;geocode=&amp;q=40.0277473545645,-75.1306561512458")</f>
        <v>http://maps.google.com/maps?f=q&amp;hl=en&amp;geocode=&amp;q=40.0277473545645,-75.1306561512458</v>
      </c>
    </row>
    <row r="681" spans="1:7" ht="15" x14ac:dyDescent="0.3">
      <c r="A681">
        <v>40.026870000000002</v>
      </c>
      <c r="B681">
        <v>-75.130809999999997</v>
      </c>
      <c r="C681" t="s">
        <v>43</v>
      </c>
      <c r="D681" t="s">
        <v>556</v>
      </c>
      <c r="F681" s="21"/>
      <c r="G681" s="16" t="str">
        <f>HYPERLINK("http://maps.google.com/maps?f=q&amp;hl=en&amp;geocode=&amp;q=40.02687,-75.13081")</f>
        <v>http://maps.google.com/maps?f=q&amp;hl=en&amp;geocode=&amp;q=40.02687,-75.13081</v>
      </c>
    </row>
    <row r="682" spans="1:7" ht="15" x14ac:dyDescent="0.3">
      <c r="A682">
        <v>37.920199154875696</v>
      </c>
      <c r="B682">
        <v>-89.5264870654226</v>
      </c>
      <c r="C682" t="s">
        <v>41</v>
      </c>
      <c r="D682" t="s">
        <v>557</v>
      </c>
      <c r="F682" s="21"/>
      <c r="G682" s="16" t="str">
        <f>HYPERLINK("http://maps.google.com/maps?f=q&amp;hl=en&amp;geocode=&amp;q=37.9201991548757,-89.5264870654226")</f>
        <v>http://maps.google.com/maps?f=q&amp;hl=en&amp;geocode=&amp;q=37.9201991548757,-89.5264870654226</v>
      </c>
    </row>
    <row r="683" spans="1:7" ht="15" x14ac:dyDescent="0.3">
      <c r="A683">
        <v>40.168048858642599</v>
      </c>
      <c r="B683">
        <v>-78.135139465332003</v>
      </c>
      <c r="C683" t="s">
        <v>43</v>
      </c>
      <c r="D683" t="s">
        <v>558</v>
      </c>
      <c r="F683" s="21"/>
      <c r="G683" s="16" t="str">
        <f>HYPERLINK("http://maps.google.com/maps?f=q&amp;hl=en&amp;geocode=&amp;q=40.1680488586426,-78.135139465332")</f>
        <v>http://maps.google.com/maps?f=q&amp;hl=en&amp;geocode=&amp;q=40.1680488586426,-78.135139465332</v>
      </c>
    </row>
    <row r="684" spans="1:7" ht="15" x14ac:dyDescent="0.3">
      <c r="A684">
        <v>40.018120000000003</v>
      </c>
      <c r="B684">
        <v>-75.134529999999998</v>
      </c>
      <c r="C684" t="s">
        <v>42</v>
      </c>
      <c r="D684" t="s">
        <v>559</v>
      </c>
      <c r="F684" s="21"/>
      <c r="G684" s="16" t="str">
        <f>HYPERLINK("http://maps.google.com/maps?f=q&amp;hl=en&amp;geocode=&amp;q=40.01812,-75.13453")</f>
        <v>http://maps.google.com/maps?f=q&amp;hl=en&amp;geocode=&amp;q=40.01812,-75.13453</v>
      </c>
    </row>
    <row r="685" spans="1:7" ht="15" x14ac:dyDescent="0.3">
      <c r="A685">
        <v>40.018120000000003</v>
      </c>
      <c r="B685">
        <v>-75.134529999999998</v>
      </c>
      <c r="C685" t="s">
        <v>42</v>
      </c>
      <c r="D685" t="s">
        <v>559</v>
      </c>
      <c r="F685" s="21"/>
      <c r="G685" s="16" t="str">
        <f>HYPERLINK("http://maps.google.com/maps?f=q&amp;hl=en&amp;geocode=&amp;q=40.01812,-75.13453")</f>
        <v>http://maps.google.com/maps?f=q&amp;hl=en&amp;geocode=&amp;q=40.01812,-75.13453</v>
      </c>
    </row>
    <row r="686" spans="1:7" ht="15" x14ac:dyDescent="0.3">
      <c r="A686">
        <v>39.343631999999999</v>
      </c>
      <c r="B686">
        <v>-78.757249000000002</v>
      </c>
      <c r="C686" t="s">
        <v>41</v>
      </c>
      <c r="D686" t="s">
        <v>560</v>
      </c>
      <c r="F686" s="21"/>
      <c r="G686" s="16" t="str">
        <f>HYPERLINK("http://maps.google.com/maps?f=q&amp;hl=en&amp;geocode=&amp;q=39.343632,-78.757249")</f>
        <v>http://maps.google.com/maps?f=q&amp;hl=en&amp;geocode=&amp;q=39.343632,-78.757249</v>
      </c>
    </row>
    <row r="687" spans="1:7" ht="15" x14ac:dyDescent="0.3">
      <c r="A687">
        <v>39.911706093644703</v>
      </c>
      <c r="B687">
        <v>-75.239026495784202</v>
      </c>
      <c r="C687" t="s">
        <v>43</v>
      </c>
      <c r="D687" t="s">
        <v>561</v>
      </c>
      <c r="F687" s="21"/>
      <c r="G687" s="16" t="str">
        <f>HYPERLINK("http://maps.google.com/maps?f=q&amp;hl=en&amp;geocode=&amp;q=39.9117060936447,-75.2390264957842")</f>
        <v>http://maps.google.com/maps?f=q&amp;hl=en&amp;geocode=&amp;q=39.9117060936447,-75.2390264957842</v>
      </c>
    </row>
    <row r="688" spans="1:7" ht="15" x14ac:dyDescent="0.3">
      <c r="A688">
        <v>44.347720000000002</v>
      </c>
      <c r="B688">
        <v>-87.928359999999998</v>
      </c>
      <c r="C688" t="s">
        <v>41</v>
      </c>
      <c r="D688" t="s">
        <v>562</v>
      </c>
      <c r="F688" s="21"/>
      <c r="G688" s="16" t="str">
        <f>HYPERLINK("http://maps.google.com/maps?f=q&amp;hl=en&amp;geocode=&amp;q=44.34772,-87.92836")</f>
        <v>http://maps.google.com/maps?f=q&amp;hl=en&amp;geocode=&amp;q=44.34772,-87.92836</v>
      </c>
    </row>
    <row r="689" spans="1:7" ht="15" x14ac:dyDescent="0.3">
      <c r="A689">
        <v>40.098739234895</v>
      </c>
      <c r="B689">
        <v>-75.030399858481204</v>
      </c>
      <c r="C689" t="s">
        <v>41</v>
      </c>
      <c r="D689" t="s">
        <v>309</v>
      </c>
      <c r="F689" s="21"/>
      <c r="G689" s="16" t="str">
        <f>HYPERLINK("http://maps.google.com/maps?f=q&amp;hl=en&amp;geocode=&amp;q=40.098739234895,-75.0303998584812")</f>
        <v>http://maps.google.com/maps?f=q&amp;hl=en&amp;geocode=&amp;q=40.098739234895,-75.0303998584812</v>
      </c>
    </row>
    <row r="690" spans="1:7" ht="15" x14ac:dyDescent="0.3">
      <c r="A690">
        <v>32.8288553638601</v>
      </c>
      <c r="B690">
        <v>-83.648368788365204</v>
      </c>
      <c r="C690" t="s">
        <v>41</v>
      </c>
      <c r="D690" t="s">
        <v>563</v>
      </c>
      <c r="F690" s="21"/>
      <c r="G690" s="16" t="str">
        <f>HYPERLINK("http://maps.google.com/maps?f=q&amp;hl=en&amp;geocode=&amp;q=32.8288553638601,-83.6483687883652")</f>
        <v>http://maps.google.com/maps?f=q&amp;hl=en&amp;geocode=&amp;q=32.8288553638601,-83.6483687883652</v>
      </c>
    </row>
    <row r="691" spans="1:7" ht="15" x14ac:dyDescent="0.3">
      <c r="A691">
        <v>33.593525385079602</v>
      </c>
      <c r="B691">
        <v>-84.233393162309298</v>
      </c>
      <c r="C691" t="s">
        <v>41</v>
      </c>
      <c r="D691" t="s">
        <v>564</v>
      </c>
      <c r="F691" s="21"/>
      <c r="G691" s="16" t="str">
        <f>HYPERLINK("http://maps.google.com/maps?f=q&amp;hl=en&amp;geocode=&amp;q=33.5935253850796,-84.2333931623093")</f>
        <v>http://maps.google.com/maps?f=q&amp;hl=en&amp;geocode=&amp;q=33.5935253850796,-84.2333931623093</v>
      </c>
    </row>
    <row r="692" spans="1:7" ht="15" x14ac:dyDescent="0.3">
      <c r="A692">
        <v>-32.476999900000003</v>
      </c>
      <c r="B692">
        <v>115.78574</v>
      </c>
      <c r="C692" t="s">
        <v>41</v>
      </c>
      <c r="D692" t="s">
        <v>306</v>
      </c>
      <c r="F692" s="21"/>
      <c r="G692" s="16" t="str">
        <f>HYPERLINK("http://maps.google.com/maps?f=q&amp;hl=en&amp;geocode=&amp;q=-32.4769999,115.78574")</f>
        <v>http://maps.google.com/maps?f=q&amp;hl=en&amp;geocode=&amp;q=-32.4769999,115.78574</v>
      </c>
    </row>
    <row r="693" spans="1:7" ht="15" x14ac:dyDescent="0.3">
      <c r="A693">
        <v>41.066800000000001</v>
      </c>
      <c r="B693">
        <v>-81.250429999999994</v>
      </c>
      <c r="C693" t="s">
        <v>41</v>
      </c>
      <c r="D693" t="s">
        <v>457</v>
      </c>
      <c r="F693" s="21"/>
      <c r="G693" s="16" t="str">
        <f>HYPERLINK("http://maps.google.com/maps?f=q&amp;hl=en&amp;geocode=&amp;q=41.0668,-81.25043")</f>
        <v>http://maps.google.com/maps?f=q&amp;hl=en&amp;geocode=&amp;q=41.0668,-81.25043</v>
      </c>
    </row>
    <row r="694" spans="1:7" ht="15" x14ac:dyDescent="0.3">
      <c r="A694">
        <v>35.912851874818202</v>
      </c>
      <c r="B694">
        <v>-87.3827199517211</v>
      </c>
      <c r="C694" t="s">
        <v>41</v>
      </c>
      <c r="D694" t="s">
        <v>565</v>
      </c>
      <c r="F694" s="21"/>
      <c r="G694" s="16" t="str">
        <f>HYPERLINK("http://maps.google.com/maps?f=q&amp;hl=en&amp;geocode=&amp;q=35.9128518748182,-87.3827199517211")</f>
        <v>http://maps.google.com/maps?f=q&amp;hl=en&amp;geocode=&amp;q=35.9128518748182,-87.3827199517211</v>
      </c>
    </row>
    <row r="695" spans="1:7" ht="15" x14ac:dyDescent="0.3">
      <c r="A695">
        <v>39.960230000000003</v>
      </c>
      <c r="B695">
        <v>-75.239080000000001</v>
      </c>
      <c r="C695" t="s">
        <v>43</v>
      </c>
      <c r="D695" t="s">
        <v>566</v>
      </c>
      <c r="F695" s="21"/>
      <c r="G695" s="16" t="str">
        <f>HYPERLINK("http://maps.google.com/maps?f=q&amp;hl=en&amp;geocode=&amp;q=39.96023,-75.23908")</f>
        <v>http://maps.google.com/maps?f=q&amp;hl=en&amp;geocode=&amp;q=39.96023,-75.23908</v>
      </c>
    </row>
    <row r="696" spans="1:7" ht="15" x14ac:dyDescent="0.3">
      <c r="A696">
        <v>40.393252853590802</v>
      </c>
      <c r="B696">
        <v>-91.586079040398403</v>
      </c>
      <c r="C696" t="s">
        <v>41</v>
      </c>
      <c r="D696" t="s">
        <v>567</v>
      </c>
      <c r="F696" s="21"/>
      <c r="G696" s="16" t="str">
        <f>HYPERLINK("http://maps.google.com/maps?f=q&amp;hl=en&amp;geocode=&amp;q=40.3932528535908,-91.5860790403984")</f>
        <v>http://maps.google.com/maps?f=q&amp;hl=en&amp;geocode=&amp;q=40.3932528535908,-91.5860790403984</v>
      </c>
    </row>
    <row r="697" spans="1:7" ht="15" x14ac:dyDescent="0.3">
      <c r="A697">
        <v>32.833759999999998</v>
      </c>
      <c r="B697">
        <v>-96.767750000000007</v>
      </c>
      <c r="C697" t="s">
        <v>41</v>
      </c>
      <c r="D697" t="s">
        <v>568</v>
      </c>
      <c r="F697" s="21"/>
      <c r="G697" s="16" t="str">
        <f>HYPERLINK("http://maps.google.com/maps?f=q&amp;hl=en&amp;geocode=&amp;q=32.83376,-96.76775")</f>
        <v>http://maps.google.com/maps?f=q&amp;hl=en&amp;geocode=&amp;q=32.83376,-96.76775</v>
      </c>
    </row>
    <row r="698" spans="1:7" ht="15" x14ac:dyDescent="0.3">
      <c r="A698">
        <v>41.606333497135303</v>
      </c>
      <c r="B698">
        <v>-76.434198536406399</v>
      </c>
      <c r="C698" t="s">
        <v>42</v>
      </c>
      <c r="D698" t="s">
        <v>569</v>
      </c>
      <c r="F698" s="21"/>
      <c r="G698" s="16" t="str">
        <f>HYPERLINK("http://maps.google.com/maps?f=q&amp;hl=en&amp;geocode=&amp;q=41.6063334971353,-76.4341985364064")</f>
        <v>http://maps.google.com/maps?f=q&amp;hl=en&amp;geocode=&amp;q=41.6063334971353,-76.4341985364064</v>
      </c>
    </row>
    <row r="699" spans="1:7" ht="15" x14ac:dyDescent="0.3">
      <c r="A699">
        <v>41.1077880859375</v>
      </c>
      <c r="B699">
        <v>-74.133483886718807</v>
      </c>
      <c r="C699" t="s">
        <v>41</v>
      </c>
      <c r="D699" t="s">
        <v>570</v>
      </c>
      <c r="F699" s="21"/>
      <c r="G699" s="16" t="str">
        <f>HYPERLINK("http://maps.google.com/maps?f=q&amp;hl=en&amp;geocode=&amp;q=41.1077880859375,-74.1334838867188")</f>
        <v>http://maps.google.com/maps?f=q&amp;hl=en&amp;geocode=&amp;q=41.1077880859375,-74.1334838867188</v>
      </c>
    </row>
    <row r="700" spans="1:7" ht="15" x14ac:dyDescent="0.3">
      <c r="A700">
        <v>42.119393753781203</v>
      </c>
      <c r="B700">
        <v>-77.208682245206603</v>
      </c>
      <c r="C700" t="s">
        <v>41</v>
      </c>
      <c r="D700" t="s">
        <v>571</v>
      </c>
      <c r="F700" s="21"/>
      <c r="G700" s="16" t="str">
        <f>HYPERLINK("http://maps.google.com/maps?f=q&amp;hl=en&amp;geocode=&amp;q=42.1193937537812,-77.2086822452066")</f>
        <v>http://maps.google.com/maps?f=q&amp;hl=en&amp;geocode=&amp;q=42.1193937537812,-77.2086822452066</v>
      </c>
    </row>
    <row r="701" spans="1:7" ht="15" x14ac:dyDescent="0.3">
      <c r="A701">
        <v>31.457000000000001</v>
      </c>
      <c r="B701">
        <v>-110.90863</v>
      </c>
      <c r="C701" t="s">
        <v>42</v>
      </c>
      <c r="D701" t="s">
        <v>572</v>
      </c>
      <c r="F701" s="21"/>
      <c r="G701" s="16" t="str">
        <f>HYPERLINK("http://maps.google.com/maps?f=q&amp;hl=en&amp;geocode=&amp;q=31.457,-110.90863")</f>
        <v>http://maps.google.com/maps?f=q&amp;hl=en&amp;geocode=&amp;q=31.457,-110.90863</v>
      </c>
    </row>
    <row r="702" spans="1:7" ht="15" x14ac:dyDescent="0.3">
      <c r="A702">
        <v>39.979484999999997</v>
      </c>
      <c r="B702">
        <v>-75.253424999999893</v>
      </c>
      <c r="C702" t="s">
        <v>43</v>
      </c>
      <c r="D702" t="s">
        <v>573</v>
      </c>
      <c r="F702" s="21"/>
      <c r="G702" s="16" t="str">
        <f>HYPERLINK("http://maps.google.com/maps?f=q&amp;hl=en&amp;geocode=&amp;q=39.979485,-75.253424999999993")</f>
        <v>http://maps.google.com/maps?f=q&amp;hl=en&amp;geocode=&amp;q=39.979485,-75.253424999999993</v>
      </c>
    </row>
    <row r="703" spans="1:7" ht="15" x14ac:dyDescent="0.3">
      <c r="A703">
        <v>39.939992896646899</v>
      </c>
      <c r="B703">
        <v>-75.218499185415794</v>
      </c>
      <c r="C703" t="s">
        <v>41</v>
      </c>
      <c r="D703" t="s">
        <v>574</v>
      </c>
      <c r="F703" s="21"/>
      <c r="G703" s="16" t="str">
        <f>HYPERLINK("http://maps.google.com/maps?f=q&amp;hl=en&amp;geocode=&amp;q=39.9399928966469,-75.2184991854158")</f>
        <v>http://maps.google.com/maps?f=q&amp;hl=en&amp;geocode=&amp;q=39.9399928966469,-75.2184991854158</v>
      </c>
    </row>
    <row r="704" spans="1:7" ht="15" x14ac:dyDescent="0.3">
      <c r="A704">
        <v>39.9536720964674</v>
      </c>
      <c r="B704">
        <v>-75.241227235137202</v>
      </c>
      <c r="C704" t="s">
        <v>41</v>
      </c>
      <c r="D704" t="s">
        <v>195</v>
      </c>
      <c r="F704" s="21"/>
      <c r="G704" s="16" t="str">
        <f>HYPERLINK("http://maps.google.com/maps?f=q&amp;hl=en&amp;geocode=&amp;q=39.9536720964674,-75.2412272351372")</f>
        <v>http://maps.google.com/maps?f=q&amp;hl=en&amp;geocode=&amp;q=39.9536720964674,-75.2412272351372</v>
      </c>
    </row>
    <row r="705" spans="1:7" ht="15" x14ac:dyDescent="0.3">
      <c r="A705">
        <v>46.536786537606702</v>
      </c>
      <c r="B705">
        <v>-104.628162435557</v>
      </c>
      <c r="C705" t="s">
        <v>41</v>
      </c>
      <c r="D705" t="s">
        <v>575</v>
      </c>
      <c r="F705" s="21"/>
      <c r="G705" s="16" t="str">
        <f>HYPERLINK("http://maps.google.com/maps?f=q&amp;hl=en&amp;geocode=&amp;q=46.5367865376067,-104.628162435557")</f>
        <v>http://maps.google.com/maps?f=q&amp;hl=en&amp;geocode=&amp;q=46.5367865376067,-104.628162435557</v>
      </c>
    </row>
    <row r="706" spans="1:7" ht="15" x14ac:dyDescent="0.3">
      <c r="A706">
        <v>33.596593951297798</v>
      </c>
      <c r="B706">
        <v>-84.234836509950497</v>
      </c>
      <c r="C706" t="s">
        <v>41</v>
      </c>
      <c r="D706" t="s">
        <v>576</v>
      </c>
      <c r="F706" s="21"/>
      <c r="G706" s="16" t="str">
        <f>HYPERLINK("http://maps.google.com/maps?f=q&amp;hl=en&amp;geocode=&amp;q=33.5965939512978,-84.2348365099505")</f>
        <v>http://maps.google.com/maps?f=q&amp;hl=en&amp;geocode=&amp;q=33.5965939512978,-84.2348365099505</v>
      </c>
    </row>
    <row r="707" spans="1:7" ht="15" x14ac:dyDescent="0.3">
      <c r="A707">
        <v>36.248629999999999</v>
      </c>
      <c r="B707">
        <v>-119.31603</v>
      </c>
      <c r="C707" t="s">
        <v>41</v>
      </c>
      <c r="D707" t="s">
        <v>469</v>
      </c>
      <c r="F707" s="21"/>
      <c r="G707" s="16" t="str">
        <f>HYPERLINK("http://maps.google.com/maps?f=q&amp;hl=en&amp;geocode=&amp;q=36.24863,-119.31603")</f>
        <v>http://maps.google.com/maps?f=q&amp;hl=en&amp;geocode=&amp;q=36.24863,-119.31603</v>
      </c>
    </row>
    <row r="708" spans="1:7" ht="15" x14ac:dyDescent="0.3">
      <c r="A708" t="s">
        <v>44</v>
      </c>
      <c r="B708" t="s">
        <v>44</v>
      </c>
      <c r="C708" t="s">
        <v>44</v>
      </c>
      <c r="D708" t="s">
        <v>577</v>
      </c>
      <c r="F708" s="21"/>
      <c r="G708" s="16"/>
    </row>
    <row r="709" spans="1:7" ht="15" x14ac:dyDescent="0.3">
      <c r="A709">
        <v>43.049912435756902</v>
      </c>
      <c r="B709">
        <v>-83.719523963798693</v>
      </c>
      <c r="C709" t="s">
        <v>41</v>
      </c>
      <c r="D709" t="s">
        <v>578</v>
      </c>
      <c r="F709" s="21"/>
      <c r="G709" s="16" t="str">
        <f>HYPERLINK("http://maps.google.com/maps?f=q&amp;hl=en&amp;geocode=&amp;q=43.0499124357569,-83.7195239637987")</f>
        <v>http://maps.google.com/maps?f=q&amp;hl=en&amp;geocode=&amp;q=43.0499124357569,-83.7195239637987</v>
      </c>
    </row>
    <row r="710" spans="1:7" ht="15" x14ac:dyDescent="0.3">
      <c r="A710">
        <v>34.420884984838999</v>
      </c>
      <c r="B710">
        <v>-117.578989962275</v>
      </c>
      <c r="C710" t="s">
        <v>41</v>
      </c>
      <c r="D710" t="s">
        <v>579</v>
      </c>
      <c r="F710" s="21"/>
      <c r="G710" s="16" t="str">
        <f>HYPERLINK("http://maps.google.com/maps?f=q&amp;hl=en&amp;geocode=&amp;q=34.420884984839,-117.578989962275")</f>
        <v>http://maps.google.com/maps?f=q&amp;hl=en&amp;geocode=&amp;q=34.420884984839,-117.578989962275</v>
      </c>
    </row>
    <row r="711" spans="1:7" ht="15" x14ac:dyDescent="0.3">
      <c r="A711">
        <v>39.357881997319403</v>
      </c>
      <c r="B711">
        <v>-76.6909527595963</v>
      </c>
      <c r="C711" t="s">
        <v>41</v>
      </c>
      <c r="D711" t="s">
        <v>580</v>
      </c>
      <c r="F711" s="21"/>
      <c r="G711" s="16" t="str">
        <f>HYPERLINK("http://maps.google.com/maps?f=q&amp;hl=en&amp;geocode=&amp;q=39.3578819973194,-76.6909527595963")</f>
        <v>http://maps.google.com/maps?f=q&amp;hl=en&amp;geocode=&amp;q=39.3578819973194,-76.6909527595963</v>
      </c>
    </row>
    <row r="712" spans="1:7" ht="15" x14ac:dyDescent="0.3">
      <c r="A712">
        <v>39.084159999999997</v>
      </c>
      <c r="B712">
        <v>-94.70326</v>
      </c>
      <c r="C712" t="s">
        <v>42</v>
      </c>
      <c r="D712" t="s">
        <v>294</v>
      </c>
      <c r="F712" s="21"/>
      <c r="G712" s="16" t="str">
        <f>HYPERLINK("http://maps.google.com/maps?f=q&amp;hl=en&amp;geocode=&amp;q=39.08416,-94.70326")</f>
        <v>http://maps.google.com/maps?f=q&amp;hl=en&amp;geocode=&amp;q=39.08416,-94.70326</v>
      </c>
    </row>
    <row r="713" spans="1:7" ht="15" x14ac:dyDescent="0.3">
      <c r="A713">
        <v>39.925229999999999</v>
      </c>
      <c r="B713">
        <v>-75.235249999999994</v>
      </c>
      <c r="C713" t="s">
        <v>41</v>
      </c>
      <c r="D713" t="s">
        <v>161</v>
      </c>
      <c r="F713" s="21"/>
      <c r="G713" s="16" t="str">
        <f>HYPERLINK("http://maps.google.com/maps?f=q&amp;hl=en&amp;geocode=&amp;q=39.92523,-75.23525")</f>
        <v>http://maps.google.com/maps?f=q&amp;hl=en&amp;geocode=&amp;q=39.92523,-75.23525</v>
      </c>
    </row>
    <row r="714" spans="1:7" ht="15" x14ac:dyDescent="0.3">
      <c r="A714">
        <v>32.8340744270117</v>
      </c>
      <c r="B714">
        <v>-96.764017016522303</v>
      </c>
      <c r="C714" t="s">
        <v>41</v>
      </c>
      <c r="D714" t="s">
        <v>581</v>
      </c>
      <c r="F714" s="21"/>
      <c r="G714" s="16" t="str">
        <f>HYPERLINK("http://maps.google.com/maps?f=q&amp;hl=en&amp;geocode=&amp;q=32.8340744270117,-96.7640170165223")</f>
        <v>http://maps.google.com/maps?f=q&amp;hl=en&amp;geocode=&amp;q=32.8340744270117,-96.7640170165223</v>
      </c>
    </row>
    <row r="715" spans="1:7" ht="15" x14ac:dyDescent="0.3">
      <c r="A715">
        <v>35.463450000000002</v>
      </c>
      <c r="B715">
        <v>-97.599180000000004</v>
      </c>
      <c r="C715" t="s">
        <v>43</v>
      </c>
      <c r="D715" t="s">
        <v>582</v>
      </c>
      <c r="F715" s="21"/>
      <c r="G715" s="16" t="str">
        <f>HYPERLINK("http://maps.google.com/maps?f=q&amp;hl=en&amp;geocode=&amp;q=35.46345,-97.59918")</f>
        <v>http://maps.google.com/maps?f=q&amp;hl=en&amp;geocode=&amp;q=35.46345,-97.59918</v>
      </c>
    </row>
    <row r="716" spans="1:7" ht="15" x14ac:dyDescent="0.3">
      <c r="A716">
        <v>39.97392</v>
      </c>
      <c r="B716">
        <v>-75.229259999999996</v>
      </c>
      <c r="C716" t="s">
        <v>42</v>
      </c>
      <c r="D716" t="s">
        <v>583</v>
      </c>
      <c r="F716" s="21"/>
      <c r="G716" s="16" t="str">
        <f>HYPERLINK("http://maps.google.com/maps?f=q&amp;hl=en&amp;geocode=&amp;q=39.97392,-75.22926")</f>
        <v>http://maps.google.com/maps?f=q&amp;hl=en&amp;geocode=&amp;q=39.97392,-75.22926</v>
      </c>
    </row>
    <row r="717" spans="1:7" ht="15" x14ac:dyDescent="0.3">
      <c r="A717">
        <v>44.201091766357401</v>
      </c>
      <c r="B717">
        <v>-77.596351623535199</v>
      </c>
      <c r="C717" t="s">
        <v>41</v>
      </c>
      <c r="D717" t="s">
        <v>584</v>
      </c>
      <c r="F717" s="21"/>
      <c r="G717" s="16" t="str">
        <f>HYPERLINK("http://maps.google.com/maps?f=q&amp;hl=en&amp;geocode=&amp;q=44.2010917663574,-77.5963516235352")</f>
        <v>http://maps.google.com/maps?f=q&amp;hl=en&amp;geocode=&amp;q=44.2010917663574,-77.5963516235352</v>
      </c>
    </row>
    <row r="718" spans="1:7" ht="15" x14ac:dyDescent="0.3">
      <c r="A718">
        <v>35.3248411232046</v>
      </c>
      <c r="B718">
        <v>-94.414282820617601</v>
      </c>
      <c r="C718" t="s">
        <v>43</v>
      </c>
      <c r="D718" t="s">
        <v>585</v>
      </c>
      <c r="F718" s="21"/>
      <c r="G718" s="16" t="str">
        <f>HYPERLINK("http://maps.google.com/maps?f=q&amp;hl=en&amp;geocode=&amp;q=35.3248411232046,-94.4142828206176")</f>
        <v>http://maps.google.com/maps?f=q&amp;hl=en&amp;geocode=&amp;q=35.3248411232046,-94.4142828206176</v>
      </c>
    </row>
    <row r="719" spans="1:7" ht="15" x14ac:dyDescent="0.3">
      <c r="A719">
        <v>44.148738861083999</v>
      </c>
      <c r="B719">
        <v>4.0363497734069798</v>
      </c>
      <c r="C719" t="s">
        <v>43</v>
      </c>
      <c r="D719" t="s">
        <v>586</v>
      </c>
      <c r="F719" s="21"/>
      <c r="G719" s="16" t="str">
        <f>HYPERLINK("http://maps.google.com/maps?f=q&amp;hl=en&amp;geocode=&amp;q=44.148738861084,4.03634977340698")</f>
        <v>http://maps.google.com/maps?f=q&amp;hl=en&amp;geocode=&amp;q=44.148738861084,4.03634977340698</v>
      </c>
    </row>
    <row r="720" spans="1:7" ht="15" x14ac:dyDescent="0.3">
      <c r="A720">
        <v>1.8769199848175</v>
      </c>
      <c r="B720">
        <v>21.729049682617202</v>
      </c>
      <c r="C720" t="s">
        <v>43</v>
      </c>
      <c r="D720" t="s">
        <v>587</v>
      </c>
      <c r="F720" s="21"/>
      <c r="G720" s="16" t="str">
        <f>HYPERLINK("http://maps.google.com/maps?f=q&amp;hl=en&amp;geocode=&amp;q=1.8769199848175,21.7290496826172")</f>
        <v>http://maps.google.com/maps?f=q&amp;hl=en&amp;geocode=&amp;q=1.8769199848175,21.7290496826172</v>
      </c>
    </row>
    <row r="721" spans="1:7" ht="15" x14ac:dyDescent="0.3">
      <c r="A721">
        <v>39.926830000000002</v>
      </c>
      <c r="B721">
        <v>-75.225729999999999</v>
      </c>
      <c r="C721" t="s">
        <v>43</v>
      </c>
      <c r="D721" t="s">
        <v>588</v>
      </c>
      <c r="F721" s="21"/>
      <c r="G721" s="16" t="str">
        <f>HYPERLINK("http://maps.google.com/maps?f=q&amp;hl=en&amp;geocode=&amp;q=39.92683,-75.22573")</f>
        <v>http://maps.google.com/maps?f=q&amp;hl=en&amp;geocode=&amp;q=39.92683,-75.22573</v>
      </c>
    </row>
    <row r="722" spans="1:7" ht="15" x14ac:dyDescent="0.3">
      <c r="A722">
        <v>29.956340789794901</v>
      </c>
      <c r="B722">
        <v>-90.190109252929702</v>
      </c>
      <c r="C722" t="s">
        <v>41</v>
      </c>
      <c r="D722" t="s">
        <v>589</v>
      </c>
      <c r="F722" s="21"/>
      <c r="G722" s="16" t="str">
        <f>HYPERLINK("http://maps.google.com/maps?f=q&amp;hl=en&amp;geocode=&amp;q=29.9563407897949,-90.1901092529297")</f>
        <v>http://maps.google.com/maps?f=q&amp;hl=en&amp;geocode=&amp;q=29.9563407897949,-90.1901092529297</v>
      </c>
    </row>
    <row r="723" spans="1:7" ht="15" x14ac:dyDescent="0.3">
      <c r="A723">
        <v>40.037979125976598</v>
      </c>
      <c r="B723">
        <v>-75.223060607910199</v>
      </c>
      <c r="C723" t="s">
        <v>41</v>
      </c>
      <c r="D723" t="s">
        <v>590</v>
      </c>
      <c r="F723" s="21"/>
      <c r="G723" s="16" t="str">
        <f>HYPERLINK("http://maps.google.com/maps?f=q&amp;hl=en&amp;geocode=&amp;q=40.0379791259766,-75.2230606079102")</f>
        <v>http://maps.google.com/maps?f=q&amp;hl=en&amp;geocode=&amp;q=40.0379791259766,-75.2230606079102</v>
      </c>
    </row>
    <row r="724" spans="1:7" ht="15" x14ac:dyDescent="0.3">
      <c r="A724">
        <v>51.482168999999999</v>
      </c>
      <c r="B724">
        <v>-0.48915399999999998</v>
      </c>
      <c r="C724" t="s">
        <v>43</v>
      </c>
      <c r="D724" t="s">
        <v>591</v>
      </c>
      <c r="F724" s="21"/>
      <c r="G724" s="16" t="str">
        <f>HYPERLINK("http://maps.google.com/maps?f=q&amp;hl=en&amp;geocode=&amp;q=51.482169,-0.489154")</f>
        <v>http://maps.google.com/maps?f=q&amp;hl=en&amp;geocode=&amp;q=51.482169,-0.489154</v>
      </c>
    </row>
    <row r="725" spans="1:7" ht="15" x14ac:dyDescent="0.3">
      <c r="A725">
        <v>41.153622051066698</v>
      </c>
      <c r="B725">
        <v>-111.911943634571</v>
      </c>
      <c r="C725" t="s">
        <v>41</v>
      </c>
      <c r="D725" t="s">
        <v>592</v>
      </c>
      <c r="F725" s="21"/>
      <c r="G725" s="16" t="str">
        <f>HYPERLINK("http://maps.google.com/maps?f=q&amp;hl=en&amp;geocode=&amp;q=41.1536220510667,-111.911943634571")</f>
        <v>http://maps.google.com/maps?f=q&amp;hl=en&amp;geocode=&amp;q=41.1536220510667,-111.911943634571</v>
      </c>
    </row>
    <row r="726" spans="1:7" ht="15" x14ac:dyDescent="0.3">
      <c r="A726">
        <v>41.153622051066698</v>
      </c>
      <c r="B726">
        <v>-111.911943634571</v>
      </c>
      <c r="C726" t="s">
        <v>41</v>
      </c>
      <c r="D726" t="s">
        <v>592</v>
      </c>
      <c r="F726" s="21"/>
      <c r="G726" s="16" t="str">
        <f>HYPERLINK("http://maps.google.com/maps?f=q&amp;hl=en&amp;geocode=&amp;q=41.1536220510667,-111.911943634571")</f>
        <v>http://maps.google.com/maps?f=q&amp;hl=en&amp;geocode=&amp;q=41.1536220510667,-111.911943634571</v>
      </c>
    </row>
    <row r="727" spans="1:7" ht="15" x14ac:dyDescent="0.3">
      <c r="A727">
        <v>41.153622051066698</v>
      </c>
      <c r="B727">
        <v>-111.911943634571</v>
      </c>
      <c r="C727" t="s">
        <v>41</v>
      </c>
      <c r="D727" t="s">
        <v>592</v>
      </c>
      <c r="F727" s="21"/>
      <c r="G727" s="16" t="str">
        <f>HYPERLINK("http://maps.google.com/maps?f=q&amp;hl=en&amp;geocode=&amp;q=41.1536220510667,-111.911943634571")</f>
        <v>http://maps.google.com/maps?f=q&amp;hl=en&amp;geocode=&amp;q=41.1536220510667,-111.911943634571</v>
      </c>
    </row>
    <row r="728" spans="1:7" ht="15" x14ac:dyDescent="0.3">
      <c r="A728">
        <v>41.153622051066698</v>
      </c>
      <c r="B728">
        <v>-111.911943634571</v>
      </c>
      <c r="C728" t="s">
        <v>41</v>
      </c>
      <c r="D728" t="s">
        <v>592</v>
      </c>
      <c r="F728" s="21"/>
      <c r="G728" s="16" t="str">
        <f>HYPERLINK("http://maps.google.com/maps?f=q&amp;hl=en&amp;geocode=&amp;q=41.1536220510667,-111.911943634571")</f>
        <v>http://maps.google.com/maps?f=q&amp;hl=en&amp;geocode=&amp;q=41.1536220510667,-111.911943634571</v>
      </c>
    </row>
    <row r="729" spans="1:7" ht="15" x14ac:dyDescent="0.3">
      <c r="A729">
        <v>37.633452405360998</v>
      </c>
      <c r="B729">
        <v>-113.1796250238</v>
      </c>
      <c r="C729" t="s">
        <v>41</v>
      </c>
      <c r="D729" t="s">
        <v>593</v>
      </c>
      <c r="F729" s="21"/>
      <c r="G729" s="16" t="str">
        <f>HYPERLINK("http://maps.google.com/maps?f=q&amp;hl=en&amp;geocode=&amp;q=37.633452405361,-113.1796250238")</f>
        <v>http://maps.google.com/maps?f=q&amp;hl=en&amp;geocode=&amp;q=37.633452405361,-113.1796250238</v>
      </c>
    </row>
    <row r="730" spans="1:7" ht="15" x14ac:dyDescent="0.3">
      <c r="A730">
        <v>-36.791999816894503</v>
      </c>
      <c r="B730">
        <v>175.080001831055</v>
      </c>
      <c r="C730" t="s">
        <v>41</v>
      </c>
      <c r="D730" t="s">
        <v>440</v>
      </c>
      <c r="F730" s="21"/>
      <c r="G730" s="16" t="str">
        <f>HYPERLINK("http://maps.google.com/maps?f=q&amp;hl=en&amp;geocode=&amp;q=-36.7919998168945,175.080001831055")</f>
        <v>http://maps.google.com/maps?f=q&amp;hl=en&amp;geocode=&amp;q=-36.7919998168945,175.080001831055</v>
      </c>
    </row>
    <row r="731" spans="1:7" ht="15" x14ac:dyDescent="0.3">
      <c r="A731">
        <v>39.980420000000002</v>
      </c>
      <c r="B731">
        <v>-75.234039999999993</v>
      </c>
      <c r="C731" t="s">
        <v>43</v>
      </c>
      <c r="D731" t="s">
        <v>594</v>
      </c>
      <c r="F731" s="21"/>
      <c r="G731" s="16" t="str">
        <f>HYPERLINK("http://maps.google.com/maps?f=q&amp;hl=en&amp;geocode=&amp;q=39.98042,-75.23404")</f>
        <v>http://maps.google.com/maps?f=q&amp;hl=en&amp;geocode=&amp;q=39.98042,-75.23404</v>
      </c>
    </row>
    <row r="732" spans="1:7" ht="15" x14ac:dyDescent="0.3">
      <c r="A732">
        <v>34.246699999999997</v>
      </c>
      <c r="B732">
        <v>-84.178910000000002</v>
      </c>
      <c r="C732" t="s">
        <v>41</v>
      </c>
      <c r="D732" t="s">
        <v>595</v>
      </c>
      <c r="F732" s="21"/>
      <c r="G732" s="16" t="str">
        <f>HYPERLINK("http://maps.google.com/maps?f=q&amp;hl=en&amp;geocode=&amp;q=34.2467,-84.17891")</f>
        <v>http://maps.google.com/maps?f=q&amp;hl=en&amp;geocode=&amp;q=34.2467,-84.17891</v>
      </c>
    </row>
    <row r="733" spans="1:7" ht="15" x14ac:dyDescent="0.3">
      <c r="A733">
        <v>46.655139923095703</v>
      </c>
      <c r="B733">
        <v>7.5754299163818404</v>
      </c>
      <c r="C733" t="s">
        <v>41</v>
      </c>
      <c r="D733" t="s">
        <v>596</v>
      </c>
      <c r="F733" s="21"/>
      <c r="G733" s="16" t="str">
        <f>HYPERLINK("http://maps.google.com/maps?f=q&amp;hl=en&amp;geocode=&amp;q=46.6551399230957,7.57542991638184")</f>
        <v>http://maps.google.com/maps?f=q&amp;hl=en&amp;geocode=&amp;q=46.6551399230957,7.57542991638184</v>
      </c>
    </row>
    <row r="734" spans="1:7" ht="15" x14ac:dyDescent="0.3">
      <c r="A734">
        <v>40.030670000000001</v>
      </c>
      <c r="B734">
        <v>-75.214759999999998</v>
      </c>
      <c r="C734" t="s">
        <v>41</v>
      </c>
      <c r="D734" t="s">
        <v>597</v>
      </c>
      <c r="F734" s="21"/>
      <c r="G734" s="16" t="str">
        <f>HYPERLINK("http://maps.google.com/maps?f=q&amp;hl=en&amp;geocode=&amp;q=40.03067,-75.21476")</f>
        <v>http://maps.google.com/maps?f=q&amp;hl=en&amp;geocode=&amp;q=40.03067,-75.21476</v>
      </c>
    </row>
    <row r="735" spans="1:7" ht="15" x14ac:dyDescent="0.3">
      <c r="A735">
        <v>60.938350677490199</v>
      </c>
      <c r="B735">
        <v>6.8248219490051296</v>
      </c>
      <c r="C735" t="s">
        <v>43</v>
      </c>
      <c r="D735" t="s">
        <v>598</v>
      </c>
      <c r="F735" s="21"/>
      <c r="G735" s="16" t="str">
        <f>HYPERLINK("http://maps.google.com/maps?f=q&amp;hl=en&amp;geocode=&amp;q=60.9383506774902,6.82482194900513")</f>
        <v>http://maps.google.com/maps?f=q&amp;hl=en&amp;geocode=&amp;q=60.9383506774902,6.82482194900513</v>
      </c>
    </row>
    <row r="736" spans="1:7" ht="15" x14ac:dyDescent="0.3">
      <c r="A736">
        <v>39.949117936668401</v>
      </c>
      <c r="B736">
        <v>-86.087262418709599</v>
      </c>
      <c r="C736" t="s">
        <v>41</v>
      </c>
      <c r="D736" t="s">
        <v>599</v>
      </c>
      <c r="F736" s="21"/>
      <c r="G736" s="16" t="str">
        <f>HYPERLINK("http://maps.google.com/maps?f=q&amp;hl=en&amp;geocode=&amp;q=39.9491179366684,-86.0872624187096")</f>
        <v>http://maps.google.com/maps?f=q&amp;hl=en&amp;geocode=&amp;q=39.9491179366684,-86.0872624187096</v>
      </c>
    </row>
    <row r="737" spans="1:7" ht="15" x14ac:dyDescent="0.3">
      <c r="A737">
        <v>39.949117936668401</v>
      </c>
      <c r="B737">
        <v>-86.087262418709599</v>
      </c>
      <c r="C737" t="s">
        <v>41</v>
      </c>
      <c r="D737" t="s">
        <v>599</v>
      </c>
      <c r="F737" s="21"/>
      <c r="G737" s="16" t="str">
        <f>HYPERLINK("http://maps.google.com/maps?f=q&amp;hl=en&amp;geocode=&amp;q=39.9491179366684,-86.0872624187096")</f>
        <v>http://maps.google.com/maps?f=q&amp;hl=en&amp;geocode=&amp;q=39.9491179366684,-86.0872624187096</v>
      </c>
    </row>
    <row r="738" spans="1:7" ht="15" x14ac:dyDescent="0.3">
      <c r="A738">
        <v>39.694409560255203</v>
      </c>
      <c r="B738">
        <v>-84.118646745103007</v>
      </c>
      <c r="C738" t="s">
        <v>41</v>
      </c>
      <c r="D738" t="s">
        <v>600</v>
      </c>
      <c r="F738" s="21"/>
      <c r="G738" s="16" t="str">
        <f>HYPERLINK("http://maps.google.com/maps?f=q&amp;hl=en&amp;geocode=&amp;q=39.6944095602552,-84.118646745103")</f>
        <v>http://maps.google.com/maps?f=q&amp;hl=en&amp;geocode=&amp;q=39.6944095602552,-84.118646745103</v>
      </c>
    </row>
    <row r="739" spans="1:7" ht="15" x14ac:dyDescent="0.3">
      <c r="A739">
        <v>50.068752288818402</v>
      </c>
      <c r="B739">
        <v>-85.828125</v>
      </c>
      <c r="C739" t="s">
        <v>41</v>
      </c>
      <c r="D739" t="s">
        <v>601</v>
      </c>
      <c r="F739" s="21"/>
      <c r="G739" s="16" t="str">
        <f>HYPERLINK("http://maps.google.com/maps?f=q&amp;hl=en&amp;geocode=&amp;q=50.0687522888184,-85.828125")</f>
        <v>http://maps.google.com/maps?f=q&amp;hl=en&amp;geocode=&amp;q=50.0687522888184,-85.828125</v>
      </c>
    </row>
    <row r="740" spans="1:7" ht="15" x14ac:dyDescent="0.3">
      <c r="A740">
        <v>39.926990000000004</v>
      </c>
      <c r="B740">
        <v>-75.226159999999993</v>
      </c>
      <c r="C740" t="s">
        <v>41</v>
      </c>
      <c r="D740" t="s">
        <v>462</v>
      </c>
      <c r="F740" s="21"/>
      <c r="G740" s="16" t="str">
        <f>HYPERLINK("http://maps.google.com/maps?f=q&amp;hl=en&amp;geocode=&amp;q=39.92699,-75.22616")</f>
        <v>http://maps.google.com/maps?f=q&amp;hl=en&amp;geocode=&amp;q=39.92699,-75.22616</v>
      </c>
    </row>
    <row r="741" spans="1:7" ht="15" x14ac:dyDescent="0.3">
      <c r="A741">
        <v>48.008468627929702</v>
      </c>
      <c r="B741">
        <v>12.169349670410201</v>
      </c>
      <c r="C741" t="s">
        <v>43</v>
      </c>
      <c r="D741" t="s">
        <v>602</v>
      </c>
      <c r="F741" s="21"/>
      <c r="G741" s="16" t="str">
        <f>HYPERLINK("http://maps.google.com/maps?f=q&amp;hl=en&amp;geocode=&amp;q=48.0084686279297,12.1693496704102")</f>
        <v>http://maps.google.com/maps?f=q&amp;hl=en&amp;geocode=&amp;q=48.0084686279297,12.1693496704102</v>
      </c>
    </row>
    <row r="742" spans="1:7" ht="15" x14ac:dyDescent="0.3">
      <c r="A742">
        <v>35.907490000000003</v>
      </c>
      <c r="B742">
        <v>-78.483360000000005</v>
      </c>
      <c r="C742" t="s">
        <v>42</v>
      </c>
      <c r="D742" t="s">
        <v>603</v>
      </c>
      <c r="F742" s="21"/>
      <c r="G742" s="16" t="str">
        <f>HYPERLINK("http://maps.google.com/maps?f=q&amp;hl=en&amp;geocode=&amp;q=35.90749,-78.48336")</f>
        <v>http://maps.google.com/maps?f=q&amp;hl=en&amp;geocode=&amp;q=35.90749,-78.48336</v>
      </c>
    </row>
    <row r="743" spans="1:7" ht="15" x14ac:dyDescent="0.3">
      <c r="A743">
        <v>45.535679999999999</v>
      </c>
      <c r="B743">
        <v>-122.92128</v>
      </c>
      <c r="C743" t="s">
        <v>42</v>
      </c>
      <c r="D743" t="s">
        <v>604</v>
      </c>
      <c r="F743" s="21"/>
      <c r="G743" s="16" t="str">
        <f>HYPERLINK("http://maps.google.com/maps?f=q&amp;hl=en&amp;geocode=&amp;q=45.53568,-122.92128")</f>
        <v>http://maps.google.com/maps?f=q&amp;hl=en&amp;geocode=&amp;q=45.53568,-122.92128</v>
      </c>
    </row>
    <row r="744" spans="1:7" ht="15" x14ac:dyDescent="0.3">
      <c r="A744">
        <v>-26.034427642822301</v>
      </c>
      <c r="B744">
        <v>28.5431098937988</v>
      </c>
      <c r="C744" t="s">
        <v>43</v>
      </c>
      <c r="D744" t="s">
        <v>115</v>
      </c>
      <c r="F744" s="21"/>
      <c r="G744" s="16" t="str">
        <f>HYPERLINK("http://maps.google.com/maps?f=q&amp;hl=en&amp;geocode=&amp;q=-26.0344276428223,28.5431098937988")</f>
        <v>http://maps.google.com/maps?f=q&amp;hl=en&amp;geocode=&amp;q=-26.0344276428223,28.5431098937988</v>
      </c>
    </row>
    <row r="745" spans="1:7" ht="15" x14ac:dyDescent="0.3">
      <c r="A745">
        <v>39.919103242239501</v>
      </c>
      <c r="B745">
        <v>-75.231589990755793</v>
      </c>
      <c r="C745" t="s">
        <v>43</v>
      </c>
      <c r="D745" t="s">
        <v>605</v>
      </c>
      <c r="F745" s="21"/>
      <c r="G745" s="16" t="str">
        <f>HYPERLINK("http://maps.google.com/maps?f=q&amp;hl=en&amp;geocode=&amp;q=39.9191032422395,-75.2315899907558")</f>
        <v>http://maps.google.com/maps?f=q&amp;hl=en&amp;geocode=&amp;q=39.9191032422395,-75.2315899907558</v>
      </c>
    </row>
    <row r="746" spans="1:7" ht="15" x14ac:dyDescent="0.3">
      <c r="A746">
        <v>48.008468627929702</v>
      </c>
      <c r="B746">
        <v>12.169349670410201</v>
      </c>
      <c r="C746" t="s">
        <v>43</v>
      </c>
      <c r="D746" t="s">
        <v>606</v>
      </c>
      <c r="F746" s="21"/>
      <c r="G746" s="16" t="str">
        <f>HYPERLINK("http://maps.google.com/maps?f=q&amp;hl=en&amp;geocode=&amp;q=48.0084686279297,12.1693496704102")</f>
        <v>http://maps.google.com/maps?f=q&amp;hl=en&amp;geocode=&amp;q=48.0084686279297,12.1693496704102</v>
      </c>
    </row>
    <row r="747" spans="1:7" ht="15" x14ac:dyDescent="0.3">
      <c r="A747">
        <v>-26.188575744628899</v>
      </c>
      <c r="B747">
        <v>27.929327011108398</v>
      </c>
      <c r="C747" t="s">
        <v>43</v>
      </c>
      <c r="D747" t="s">
        <v>607</v>
      </c>
      <c r="F747" s="21"/>
      <c r="G747" s="16" t="str">
        <f>HYPERLINK("http://maps.google.com/maps?f=q&amp;hl=en&amp;geocode=&amp;q=-26.1885757446289,27.9293270111084")</f>
        <v>http://maps.google.com/maps?f=q&amp;hl=en&amp;geocode=&amp;q=-26.1885757446289,27.9293270111084</v>
      </c>
    </row>
    <row r="748" spans="1:7" ht="15" x14ac:dyDescent="0.3">
      <c r="A748">
        <v>54.560886383056598</v>
      </c>
      <c r="B748">
        <v>-2.2125120162963898</v>
      </c>
      <c r="C748" t="s">
        <v>41</v>
      </c>
      <c r="D748" t="s">
        <v>608</v>
      </c>
      <c r="F748" s="21"/>
      <c r="G748" s="16" t="str">
        <f>HYPERLINK("http://maps.google.com/maps?f=q&amp;hl=en&amp;geocode=&amp;q=54.5608863830566,-2.21251201629639")</f>
        <v>http://maps.google.com/maps?f=q&amp;hl=en&amp;geocode=&amp;q=54.5608863830566,-2.21251201629639</v>
      </c>
    </row>
    <row r="749" spans="1:7" ht="15" x14ac:dyDescent="0.3">
      <c r="A749">
        <v>54.560886383056598</v>
      </c>
      <c r="B749">
        <v>-2.2125120162963898</v>
      </c>
      <c r="C749" t="s">
        <v>41</v>
      </c>
      <c r="D749" t="s">
        <v>608</v>
      </c>
      <c r="F749" s="21"/>
      <c r="G749" s="16" t="str">
        <f>HYPERLINK("http://maps.google.com/maps?f=q&amp;hl=en&amp;geocode=&amp;q=54.5608863830566,-2.21251201629639")</f>
        <v>http://maps.google.com/maps?f=q&amp;hl=en&amp;geocode=&amp;q=54.5608863830566,-2.21251201629639</v>
      </c>
    </row>
    <row r="750" spans="1:7" ht="15" x14ac:dyDescent="0.3">
      <c r="A750">
        <v>40.12424</v>
      </c>
      <c r="B750">
        <v>-74.994780000000006</v>
      </c>
      <c r="C750" t="s">
        <v>41</v>
      </c>
      <c r="D750" t="s">
        <v>609</v>
      </c>
      <c r="F750" s="21"/>
      <c r="G750" s="16" t="str">
        <f>HYPERLINK("http://maps.google.com/maps?f=q&amp;hl=en&amp;geocode=&amp;q=40.12424,-74.99478")</f>
        <v>http://maps.google.com/maps?f=q&amp;hl=en&amp;geocode=&amp;q=40.12424,-74.99478</v>
      </c>
    </row>
    <row r="751" spans="1:7" ht="15" x14ac:dyDescent="0.3">
      <c r="A751">
        <v>60.2794189453125</v>
      </c>
      <c r="B751">
        <v>11.7918996810913</v>
      </c>
      <c r="C751" t="s">
        <v>43</v>
      </c>
      <c r="D751" t="s">
        <v>610</v>
      </c>
      <c r="F751" s="21"/>
      <c r="G751" s="16" t="str">
        <f>HYPERLINK("http://maps.google.com/maps?f=q&amp;hl=en&amp;geocode=&amp;q=60.2794189453125,11.7918996810913")</f>
        <v>http://maps.google.com/maps?f=q&amp;hl=en&amp;geocode=&amp;q=60.2794189453125,11.7918996810913</v>
      </c>
    </row>
    <row r="752" spans="1:7" ht="15" x14ac:dyDescent="0.3">
      <c r="A752">
        <v>34.641100000000002</v>
      </c>
      <c r="B752">
        <v>-87.069909999999993</v>
      </c>
      <c r="C752" t="s">
        <v>43</v>
      </c>
      <c r="D752" t="s">
        <v>611</v>
      </c>
      <c r="F752" s="21"/>
      <c r="G752" s="16" t="str">
        <f>HYPERLINK("http://maps.google.com/maps?f=q&amp;hl=en&amp;geocode=&amp;q=34.6411,-87.06991")</f>
        <v>http://maps.google.com/maps?f=q&amp;hl=en&amp;geocode=&amp;q=34.6411,-87.06991</v>
      </c>
    </row>
    <row r="753" spans="1:7" ht="15" x14ac:dyDescent="0.3">
      <c r="A753">
        <v>48.802200317382798</v>
      </c>
      <c r="B753">
        <v>0.104719996452332</v>
      </c>
      <c r="C753" t="s">
        <v>43</v>
      </c>
      <c r="D753" t="s">
        <v>103</v>
      </c>
      <c r="F753" s="21"/>
      <c r="G753" s="16" t="str">
        <f>HYPERLINK("http://maps.google.com/maps?f=q&amp;hl=en&amp;geocode=&amp;q=48.8022003173828,0.104719996452332")</f>
        <v>http://maps.google.com/maps?f=q&amp;hl=en&amp;geocode=&amp;q=48.8022003173828,0.104719996452332</v>
      </c>
    </row>
    <row r="754" spans="1:7" ht="15" x14ac:dyDescent="0.3">
      <c r="A754">
        <v>43.049912435756902</v>
      </c>
      <c r="B754">
        <v>-83.719523963798693</v>
      </c>
      <c r="C754" t="s">
        <v>41</v>
      </c>
      <c r="D754" t="s">
        <v>578</v>
      </c>
      <c r="F754" s="21"/>
      <c r="G754" s="16" t="str">
        <f>HYPERLINK("http://maps.google.com/maps?f=q&amp;hl=en&amp;geocode=&amp;q=43.0499124357569,-83.7195239637987")</f>
        <v>http://maps.google.com/maps?f=q&amp;hl=en&amp;geocode=&amp;q=43.0499124357569,-83.7195239637987</v>
      </c>
    </row>
    <row r="755" spans="1:7" ht="15" x14ac:dyDescent="0.3">
      <c r="A755">
        <v>33.440258042388798</v>
      </c>
      <c r="B755">
        <v>-87.974531774769702</v>
      </c>
      <c r="C755" t="s">
        <v>41</v>
      </c>
      <c r="D755" t="s">
        <v>612</v>
      </c>
      <c r="F755" s="21"/>
      <c r="G755" s="16" t="str">
        <f>HYPERLINK("http://maps.google.com/maps?f=q&amp;hl=en&amp;geocode=&amp;q=33.4402580423888,-87.9745317747697")</f>
        <v>http://maps.google.com/maps?f=q&amp;hl=en&amp;geocode=&amp;q=33.4402580423888,-87.9745317747697</v>
      </c>
    </row>
    <row r="756" spans="1:7" ht="15" x14ac:dyDescent="0.3">
      <c r="A756" t="s">
        <v>44</v>
      </c>
      <c r="B756" t="s">
        <v>44</v>
      </c>
      <c r="C756" t="s">
        <v>44</v>
      </c>
      <c r="D756" t="s">
        <v>613</v>
      </c>
      <c r="F756" s="21"/>
      <c r="G756" s="16"/>
    </row>
    <row r="757" spans="1:7" ht="15" x14ac:dyDescent="0.3">
      <c r="A757">
        <v>-34.095230000000001</v>
      </c>
      <c r="B757">
        <v>150.80122</v>
      </c>
      <c r="C757" t="s">
        <v>41</v>
      </c>
      <c r="D757" t="s">
        <v>614</v>
      </c>
      <c r="F757" s="21"/>
      <c r="G757" s="16" t="str">
        <f>HYPERLINK("http://maps.google.com/maps?f=q&amp;hl=en&amp;geocode=&amp;q=-34.09523,150.80122")</f>
        <v>http://maps.google.com/maps?f=q&amp;hl=en&amp;geocode=&amp;q=-34.09523,150.80122</v>
      </c>
    </row>
    <row r="758" spans="1:7" ht="15" x14ac:dyDescent="0.3">
      <c r="A758">
        <v>39.911706093644703</v>
      </c>
      <c r="B758">
        <v>-75.239026495784202</v>
      </c>
      <c r="C758" t="s">
        <v>43</v>
      </c>
      <c r="D758" t="s">
        <v>561</v>
      </c>
      <c r="F758" s="21"/>
      <c r="G758" s="16" t="str">
        <f>HYPERLINK("http://maps.google.com/maps?f=q&amp;hl=en&amp;geocode=&amp;q=39.9117060936447,-75.2390264957842")</f>
        <v>http://maps.google.com/maps?f=q&amp;hl=en&amp;geocode=&amp;q=39.9117060936447,-75.2390264957842</v>
      </c>
    </row>
    <row r="759" spans="1:7" ht="15" x14ac:dyDescent="0.3">
      <c r="A759">
        <v>42.076310421042201</v>
      </c>
      <c r="B759">
        <v>-80.145380278468707</v>
      </c>
      <c r="C759" t="s">
        <v>41</v>
      </c>
      <c r="D759" t="s">
        <v>615</v>
      </c>
      <c r="F759" s="21"/>
      <c r="G759" s="16" t="str">
        <f>HYPERLINK("http://maps.google.com/maps?f=q&amp;hl=en&amp;geocode=&amp;q=42.0763104210422,-80.1453802784687")</f>
        <v>http://maps.google.com/maps?f=q&amp;hl=en&amp;geocode=&amp;q=42.0763104210422,-80.1453802784687</v>
      </c>
    </row>
    <row r="760" spans="1:7" ht="15" x14ac:dyDescent="0.3">
      <c r="A760">
        <v>39.919103242239501</v>
      </c>
      <c r="B760">
        <v>-75.231589990755793</v>
      </c>
      <c r="C760" t="s">
        <v>43</v>
      </c>
      <c r="D760" t="s">
        <v>605</v>
      </c>
      <c r="F760" s="21"/>
      <c r="G760" s="16" t="str">
        <f>HYPERLINK("http://maps.google.com/maps?f=q&amp;hl=en&amp;geocode=&amp;q=39.9191032422395,-75.2315899907558")</f>
        <v>http://maps.google.com/maps?f=q&amp;hl=en&amp;geocode=&amp;q=39.9191032422395,-75.2315899907558</v>
      </c>
    </row>
    <row r="761" spans="1:7" ht="15" x14ac:dyDescent="0.3">
      <c r="A761">
        <v>40.078769999999999</v>
      </c>
      <c r="B761">
        <v>-75.085579999999993</v>
      </c>
      <c r="C761" t="s">
        <v>41</v>
      </c>
      <c r="D761" t="s">
        <v>616</v>
      </c>
      <c r="F761" s="21"/>
      <c r="G761" s="16" t="str">
        <f>HYPERLINK("http://maps.google.com/maps?f=q&amp;hl=en&amp;geocode=&amp;q=40.07877,-75.08558")</f>
        <v>http://maps.google.com/maps?f=q&amp;hl=en&amp;geocode=&amp;q=40.07877,-75.08558</v>
      </c>
    </row>
    <row r="762" spans="1:7" ht="15" x14ac:dyDescent="0.3">
      <c r="A762">
        <v>52.940731048583999</v>
      </c>
      <c r="B762">
        <v>-7.9985499382018999</v>
      </c>
      <c r="C762" t="s">
        <v>41</v>
      </c>
      <c r="D762" t="s">
        <v>617</v>
      </c>
      <c r="F762" s="21"/>
      <c r="G762" s="16" t="str">
        <f>HYPERLINK("http://maps.google.com/maps?f=q&amp;hl=en&amp;geocode=&amp;q=52.940731048584,-7.9985499382019")</f>
        <v>http://maps.google.com/maps?f=q&amp;hl=en&amp;geocode=&amp;q=52.940731048584,-7.9985499382019</v>
      </c>
    </row>
    <row r="763" spans="1:7" ht="15" x14ac:dyDescent="0.3">
      <c r="A763">
        <v>43.232969433991499</v>
      </c>
      <c r="B763">
        <v>-77.0961924327367</v>
      </c>
      <c r="C763" t="s">
        <v>43</v>
      </c>
      <c r="D763" t="s">
        <v>618</v>
      </c>
      <c r="F763" s="21"/>
      <c r="G763" s="16" t="str">
        <f>HYPERLINK("http://maps.google.com/maps?f=q&amp;hl=en&amp;geocode=&amp;q=43.2329694339915,-77.0961924327367")</f>
        <v>http://maps.google.com/maps?f=q&amp;hl=en&amp;geocode=&amp;q=43.2329694339915,-77.0961924327367</v>
      </c>
    </row>
    <row r="764" spans="1:7" ht="15" x14ac:dyDescent="0.3">
      <c r="A764">
        <v>39.942485837579603</v>
      </c>
      <c r="B764">
        <v>-75.231505977853203</v>
      </c>
      <c r="C764" t="s">
        <v>41</v>
      </c>
      <c r="D764" t="s">
        <v>619</v>
      </c>
      <c r="F764" s="21"/>
      <c r="G764" s="16" t="str">
        <f>HYPERLINK("http://maps.google.com/maps?f=q&amp;hl=en&amp;geocode=&amp;q=39.9424858375796,-75.2315059778532")</f>
        <v>http://maps.google.com/maps?f=q&amp;hl=en&amp;geocode=&amp;q=39.9424858375796,-75.2315059778532</v>
      </c>
    </row>
    <row r="765" spans="1:7" ht="15" x14ac:dyDescent="0.3">
      <c r="A765" t="s">
        <v>44</v>
      </c>
      <c r="B765" t="s">
        <v>44</v>
      </c>
      <c r="C765" t="s">
        <v>44</v>
      </c>
      <c r="D765" t="s">
        <v>620</v>
      </c>
      <c r="F765" s="21"/>
      <c r="G765" s="16"/>
    </row>
    <row r="766" spans="1:7" ht="15" x14ac:dyDescent="0.3">
      <c r="A766" t="s">
        <v>44</v>
      </c>
      <c r="B766" t="s">
        <v>44</v>
      </c>
      <c r="C766" t="s">
        <v>44</v>
      </c>
      <c r="D766" t="s">
        <v>620</v>
      </c>
      <c r="F766" s="21"/>
      <c r="G766" s="16"/>
    </row>
    <row r="767" spans="1:7" ht="15" x14ac:dyDescent="0.3">
      <c r="A767" t="s">
        <v>44</v>
      </c>
      <c r="B767" t="s">
        <v>44</v>
      </c>
      <c r="C767" t="s">
        <v>44</v>
      </c>
      <c r="D767" t="s">
        <v>620</v>
      </c>
      <c r="F767" s="21"/>
      <c r="G767" s="16"/>
    </row>
    <row r="768" spans="1:7" ht="15" x14ac:dyDescent="0.3">
      <c r="A768" t="s">
        <v>44</v>
      </c>
      <c r="B768" t="s">
        <v>44</v>
      </c>
      <c r="C768" t="s">
        <v>44</v>
      </c>
      <c r="D768" t="s">
        <v>620</v>
      </c>
      <c r="F768" s="21"/>
      <c r="G768" s="16"/>
    </row>
    <row r="769" spans="1:7" ht="15" x14ac:dyDescent="0.3">
      <c r="A769" t="s">
        <v>44</v>
      </c>
      <c r="B769" t="s">
        <v>44</v>
      </c>
      <c r="C769" t="s">
        <v>44</v>
      </c>
      <c r="D769" t="s">
        <v>620</v>
      </c>
      <c r="F769" s="21"/>
      <c r="G769" s="16"/>
    </row>
    <row r="770" spans="1:7" ht="15" x14ac:dyDescent="0.3">
      <c r="A770">
        <v>-31.943359999999998</v>
      </c>
      <c r="B770">
        <v>115.86732000000001</v>
      </c>
      <c r="C770" t="s">
        <v>41</v>
      </c>
      <c r="D770" t="s">
        <v>621</v>
      </c>
      <c r="F770" s="21"/>
      <c r="G770" s="16" t="str">
        <f>HYPERLINK("http://maps.google.com/maps?f=q&amp;hl=en&amp;geocode=&amp;q=-31.94336,115.86732")</f>
        <v>http://maps.google.com/maps?f=q&amp;hl=en&amp;geocode=&amp;q=-31.94336,115.86732</v>
      </c>
    </row>
    <row r="771" spans="1:7" ht="15" x14ac:dyDescent="0.3">
      <c r="A771">
        <v>-31.943359999999998</v>
      </c>
      <c r="B771">
        <v>115.86732000000001</v>
      </c>
      <c r="C771" t="s">
        <v>41</v>
      </c>
      <c r="D771" t="s">
        <v>621</v>
      </c>
      <c r="F771" s="21"/>
      <c r="G771" s="16" t="str">
        <f>HYPERLINK("http://maps.google.com/maps?f=q&amp;hl=en&amp;geocode=&amp;q=-31.94336,115.86732")</f>
        <v>http://maps.google.com/maps?f=q&amp;hl=en&amp;geocode=&amp;q=-31.94336,115.86732</v>
      </c>
    </row>
    <row r="772" spans="1:7" ht="15" x14ac:dyDescent="0.3">
      <c r="A772">
        <v>-31.943359999999998</v>
      </c>
      <c r="B772">
        <v>115.86732000000001</v>
      </c>
      <c r="C772" t="s">
        <v>41</v>
      </c>
      <c r="D772" t="s">
        <v>621</v>
      </c>
      <c r="F772" s="21"/>
      <c r="G772" s="16" t="str">
        <f>HYPERLINK("http://maps.google.com/maps?f=q&amp;hl=en&amp;geocode=&amp;q=-31.94336,115.86732")</f>
        <v>http://maps.google.com/maps?f=q&amp;hl=en&amp;geocode=&amp;q=-31.94336,115.86732</v>
      </c>
    </row>
    <row r="773" spans="1:7" ht="15" x14ac:dyDescent="0.3">
      <c r="A773">
        <v>43.795056347359598</v>
      </c>
      <c r="B773">
        <v>-91.228189412136899</v>
      </c>
      <c r="C773" t="s">
        <v>41</v>
      </c>
      <c r="D773" t="s">
        <v>622</v>
      </c>
      <c r="F773" s="21"/>
      <c r="G773" s="16" t="str">
        <f>HYPERLINK("http://maps.google.com/maps?f=q&amp;hl=en&amp;geocode=&amp;q=43.7950563473596,-91.2281894121369")</f>
        <v>http://maps.google.com/maps?f=q&amp;hl=en&amp;geocode=&amp;q=43.7950563473596,-91.2281894121369</v>
      </c>
    </row>
    <row r="774" spans="1:7" ht="15" x14ac:dyDescent="0.3">
      <c r="A774">
        <v>43.795056347359598</v>
      </c>
      <c r="B774">
        <v>-91.228189412136899</v>
      </c>
      <c r="C774" t="s">
        <v>41</v>
      </c>
      <c r="D774" t="s">
        <v>622</v>
      </c>
      <c r="F774" s="21"/>
      <c r="G774" s="16" t="str">
        <f>HYPERLINK("http://maps.google.com/maps?f=q&amp;hl=en&amp;geocode=&amp;q=43.7950563473596,-91.2281894121369")</f>
        <v>http://maps.google.com/maps?f=q&amp;hl=en&amp;geocode=&amp;q=43.7950563473596,-91.2281894121369</v>
      </c>
    </row>
    <row r="775" spans="1:7" ht="15" x14ac:dyDescent="0.3">
      <c r="A775">
        <v>39.932180000000002</v>
      </c>
      <c r="B775">
        <v>-75.227059999999994</v>
      </c>
      <c r="C775" t="s">
        <v>41</v>
      </c>
      <c r="D775" t="s">
        <v>623</v>
      </c>
      <c r="F775" s="21"/>
      <c r="G775" s="16" t="str">
        <f>HYPERLINK("http://maps.google.com/maps?f=q&amp;hl=en&amp;geocode=&amp;q=39.93218,-75.22706")</f>
        <v>http://maps.google.com/maps?f=q&amp;hl=en&amp;geocode=&amp;q=39.93218,-75.22706</v>
      </c>
    </row>
    <row r="776" spans="1:7" ht="15" x14ac:dyDescent="0.3">
      <c r="A776">
        <v>39.932180000000002</v>
      </c>
      <c r="B776">
        <v>-75.227059999999994</v>
      </c>
      <c r="C776" t="s">
        <v>41</v>
      </c>
      <c r="D776" t="s">
        <v>623</v>
      </c>
      <c r="F776" s="21"/>
      <c r="G776" s="16" t="str">
        <f>HYPERLINK("http://maps.google.com/maps?f=q&amp;hl=en&amp;geocode=&amp;q=39.93218,-75.22706")</f>
        <v>http://maps.google.com/maps?f=q&amp;hl=en&amp;geocode=&amp;q=39.93218,-75.22706</v>
      </c>
    </row>
    <row r="777" spans="1:7" ht="15" x14ac:dyDescent="0.3">
      <c r="A777">
        <v>39.932180000000002</v>
      </c>
      <c r="B777">
        <v>-75.227059999999994</v>
      </c>
      <c r="C777" t="s">
        <v>41</v>
      </c>
      <c r="D777" t="s">
        <v>623</v>
      </c>
      <c r="F777" s="21"/>
      <c r="G777" s="16" t="str">
        <f>HYPERLINK("http://maps.google.com/maps?f=q&amp;hl=en&amp;geocode=&amp;q=39.93218,-75.22706")</f>
        <v>http://maps.google.com/maps?f=q&amp;hl=en&amp;geocode=&amp;q=39.93218,-75.22706</v>
      </c>
    </row>
    <row r="778" spans="1:7" ht="15" x14ac:dyDescent="0.3">
      <c r="A778">
        <v>30.292725767039201</v>
      </c>
      <c r="B778">
        <v>-95.456302076589296</v>
      </c>
      <c r="C778" t="s">
        <v>41</v>
      </c>
      <c r="D778" t="s">
        <v>624</v>
      </c>
      <c r="F778" s="21"/>
      <c r="G778" s="16" t="str">
        <f>HYPERLINK("http://maps.google.com/maps?f=q&amp;hl=en&amp;geocode=&amp;q=30.2927257670392,-95.4563020765893")</f>
        <v>http://maps.google.com/maps?f=q&amp;hl=en&amp;geocode=&amp;q=30.2927257670392,-95.4563020765893</v>
      </c>
    </row>
    <row r="779" spans="1:7" ht="15" x14ac:dyDescent="0.3">
      <c r="A779">
        <v>40.311428077567797</v>
      </c>
      <c r="B779">
        <v>-78.325178859768997</v>
      </c>
      <c r="C779" t="s">
        <v>41</v>
      </c>
      <c r="D779" t="s">
        <v>625</v>
      </c>
      <c r="F779" s="21"/>
      <c r="G779" s="16" t="str">
        <f>HYPERLINK("http://maps.google.com/maps?f=q&amp;hl=en&amp;geocode=&amp;q=40.3114280775678,-78.325178859769")</f>
        <v>http://maps.google.com/maps?f=q&amp;hl=en&amp;geocode=&amp;q=40.3114280775678,-78.325178859769</v>
      </c>
    </row>
    <row r="780" spans="1:7" ht="15" x14ac:dyDescent="0.3">
      <c r="A780">
        <v>41.481159808642403</v>
      </c>
      <c r="B780">
        <v>-71.315214566462402</v>
      </c>
      <c r="C780" t="s">
        <v>41</v>
      </c>
      <c r="D780" t="s">
        <v>626</v>
      </c>
      <c r="F780" s="21"/>
      <c r="G780" s="16" t="str">
        <f>HYPERLINK("http://maps.google.com/maps?f=q&amp;hl=en&amp;geocode=&amp;q=41.4811598086424,-71.3152145664624")</f>
        <v>http://maps.google.com/maps?f=q&amp;hl=en&amp;geocode=&amp;q=41.4811598086424,-71.3152145664624</v>
      </c>
    </row>
    <row r="781" spans="1:7" ht="15" x14ac:dyDescent="0.3">
      <c r="A781">
        <v>40.896511077880902</v>
      </c>
      <c r="B781">
        <v>-77.838752746582003</v>
      </c>
      <c r="C781" t="s">
        <v>41</v>
      </c>
      <c r="D781" t="s">
        <v>627</v>
      </c>
      <c r="F781" s="21"/>
      <c r="G781" s="16" t="str">
        <f>HYPERLINK("http://maps.google.com/maps?f=q&amp;hl=en&amp;geocode=&amp;q=40.8965110778809,-77.838752746582")</f>
        <v>http://maps.google.com/maps?f=q&amp;hl=en&amp;geocode=&amp;q=40.8965110778809,-77.838752746582</v>
      </c>
    </row>
    <row r="782" spans="1:7" ht="15" x14ac:dyDescent="0.3">
      <c r="A782">
        <v>40.896511077880902</v>
      </c>
      <c r="B782">
        <v>-77.838752746582003</v>
      </c>
      <c r="C782" t="s">
        <v>41</v>
      </c>
      <c r="D782" t="s">
        <v>627</v>
      </c>
      <c r="F782" s="21"/>
      <c r="G782" s="16" t="str">
        <f>HYPERLINK("http://maps.google.com/maps?f=q&amp;hl=en&amp;geocode=&amp;q=40.8965110778809,-77.838752746582")</f>
        <v>http://maps.google.com/maps?f=q&amp;hl=en&amp;geocode=&amp;q=40.8965110778809,-77.838752746582</v>
      </c>
    </row>
    <row r="783" spans="1:7" ht="15" x14ac:dyDescent="0.3">
      <c r="A783">
        <v>38.798560000000002</v>
      </c>
      <c r="B783">
        <v>-90.20908</v>
      </c>
      <c r="C783" t="s">
        <v>43</v>
      </c>
      <c r="D783" t="s">
        <v>413</v>
      </c>
      <c r="F783" s="21"/>
      <c r="G783" s="16" t="str">
        <f>HYPERLINK("http://maps.google.com/maps?f=q&amp;hl=en&amp;geocode=&amp;q=38.79856,-90.20908")</f>
        <v>http://maps.google.com/maps?f=q&amp;hl=en&amp;geocode=&amp;q=38.79856,-90.20908</v>
      </c>
    </row>
    <row r="784" spans="1:7" ht="15" x14ac:dyDescent="0.3">
      <c r="A784">
        <v>40.116239326139898</v>
      </c>
      <c r="B784">
        <v>-75.035864573483494</v>
      </c>
      <c r="C784" t="s">
        <v>43</v>
      </c>
      <c r="D784" t="s">
        <v>628</v>
      </c>
      <c r="F784" s="21"/>
      <c r="G784" s="16" t="str">
        <f>HYPERLINK("http://maps.google.com/maps?f=q&amp;hl=en&amp;geocode=&amp;q=40.1162393261399,-75.0358645734835")</f>
        <v>http://maps.google.com/maps?f=q&amp;hl=en&amp;geocode=&amp;q=40.1162393261399,-75.0358645734835</v>
      </c>
    </row>
    <row r="785" spans="1:7" ht="15" x14ac:dyDescent="0.3">
      <c r="A785">
        <v>36.180398246908197</v>
      </c>
      <c r="B785">
        <v>-75.867921165676606</v>
      </c>
      <c r="C785" t="s">
        <v>43</v>
      </c>
      <c r="D785" t="s">
        <v>629</v>
      </c>
      <c r="F785" s="21"/>
      <c r="G785" s="16" t="str">
        <f>HYPERLINK("http://maps.google.com/maps?f=q&amp;hl=en&amp;geocode=&amp;q=36.1803982469082,-75.8679211656766")</f>
        <v>http://maps.google.com/maps?f=q&amp;hl=en&amp;geocode=&amp;q=36.1803982469082,-75.8679211656766</v>
      </c>
    </row>
    <row r="786" spans="1:7" ht="15" x14ac:dyDescent="0.3">
      <c r="A786">
        <v>41.079008650062399</v>
      </c>
      <c r="B786">
        <v>-80.721013110627894</v>
      </c>
      <c r="C786" t="s">
        <v>41</v>
      </c>
      <c r="D786" t="s">
        <v>630</v>
      </c>
      <c r="F786" s="21"/>
      <c r="G786" s="16" t="str">
        <f>HYPERLINK("http://maps.google.com/maps?f=q&amp;hl=en&amp;geocode=&amp;q=41.0790086500624,-80.7210131106279")</f>
        <v>http://maps.google.com/maps?f=q&amp;hl=en&amp;geocode=&amp;q=41.0790086500624,-80.7210131106279</v>
      </c>
    </row>
    <row r="787" spans="1:7" ht="15" x14ac:dyDescent="0.3">
      <c r="A787">
        <v>41.079008650062399</v>
      </c>
      <c r="B787">
        <v>-80.721013110627894</v>
      </c>
      <c r="C787" t="s">
        <v>41</v>
      </c>
      <c r="D787" t="s">
        <v>630</v>
      </c>
      <c r="F787" s="21"/>
      <c r="G787" s="16" t="str">
        <f>HYPERLINK("http://maps.google.com/maps?f=q&amp;hl=en&amp;geocode=&amp;q=41.0790086500624,-80.7210131106279")</f>
        <v>http://maps.google.com/maps?f=q&amp;hl=en&amp;geocode=&amp;q=41.0790086500624,-80.7210131106279</v>
      </c>
    </row>
    <row r="788" spans="1:7" ht="15" x14ac:dyDescent="0.3">
      <c r="A788">
        <v>30.013470000000002</v>
      </c>
      <c r="B788">
        <v>-90.176649999999995</v>
      </c>
      <c r="C788" t="s">
        <v>41</v>
      </c>
      <c r="D788" t="s">
        <v>390</v>
      </c>
      <c r="F788" s="21"/>
      <c r="G788" s="16" t="str">
        <f>HYPERLINK("http://maps.google.com/maps?f=q&amp;hl=en&amp;geocode=&amp;q=30.01347,-90.17665")</f>
        <v>http://maps.google.com/maps?f=q&amp;hl=en&amp;geocode=&amp;q=30.01347,-90.17665</v>
      </c>
    </row>
    <row r="789" spans="1:7" ht="15" x14ac:dyDescent="0.3">
      <c r="A789">
        <v>40.008240000000001</v>
      </c>
      <c r="B789">
        <v>-75.09666</v>
      </c>
      <c r="C789" t="s">
        <v>43</v>
      </c>
      <c r="D789" t="s">
        <v>631</v>
      </c>
      <c r="F789" s="21"/>
      <c r="G789" s="16" t="str">
        <f>HYPERLINK("http://maps.google.com/maps?f=q&amp;hl=en&amp;geocode=&amp;q=40.00824,-75.09666")</f>
        <v>http://maps.google.com/maps?f=q&amp;hl=en&amp;geocode=&amp;q=40.00824,-75.09666</v>
      </c>
    </row>
    <row r="790" spans="1:7" ht="15" x14ac:dyDescent="0.3">
      <c r="A790">
        <v>42.547740936279297</v>
      </c>
      <c r="B790">
        <v>-70.878982543945298</v>
      </c>
      <c r="C790" t="s">
        <v>43</v>
      </c>
      <c r="D790" t="s">
        <v>632</v>
      </c>
      <c r="F790" s="21"/>
      <c r="G790" s="16" t="str">
        <f>HYPERLINK("http://maps.google.com/maps?f=q&amp;hl=en&amp;geocode=&amp;q=42.5477409362793,-70.8789825439453")</f>
        <v>http://maps.google.com/maps?f=q&amp;hl=en&amp;geocode=&amp;q=42.5477409362793,-70.8789825439453</v>
      </c>
    </row>
    <row r="791" spans="1:7" ht="15" x14ac:dyDescent="0.3">
      <c r="A791">
        <v>-30.1679077148438</v>
      </c>
      <c r="B791">
        <v>142.48066711425801</v>
      </c>
      <c r="C791" t="s">
        <v>43</v>
      </c>
      <c r="D791" t="s">
        <v>633</v>
      </c>
      <c r="F791" s="21"/>
      <c r="G791" s="16" t="str">
        <f>HYPERLINK("http://maps.google.com/maps?f=q&amp;hl=en&amp;geocode=&amp;q=-30.1679077148438,142.480667114258")</f>
        <v>http://maps.google.com/maps?f=q&amp;hl=en&amp;geocode=&amp;q=-30.1679077148438,142.480667114258</v>
      </c>
    </row>
    <row r="792" spans="1:7" ht="15" x14ac:dyDescent="0.3">
      <c r="A792">
        <v>-30.1679077148438</v>
      </c>
      <c r="B792">
        <v>142.48066711425801</v>
      </c>
      <c r="C792" t="s">
        <v>43</v>
      </c>
      <c r="D792" t="s">
        <v>633</v>
      </c>
      <c r="F792" s="21"/>
      <c r="G792" s="16" t="str">
        <f>HYPERLINK("http://maps.google.com/maps?f=q&amp;hl=en&amp;geocode=&amp;q=-30.1679077148438,142.480667114258")</f>
        <v>http://maps.google.com/maps?f=q&amp;hl=en&amp;geocode=&amp;q=-30.1679077148438,142.480667114258</v>
      </c>
    </row>
    <row r="793" spans="1:7" ht="15" x14ac:dyDescent="0.3">
      <c r="A793">
        <v>40.572113037109403</v>
      </c>
      <c r="B793">
        <v>-4.9450531005859402</v>
      </c>
      <c r="C793" t="s">
        <v>43</v>
      </c>
      <c r="D793" t="s">
        <v>634</v>
      </c>
      <c r="F793" s="21"/>
      <c r="G793" s="16" t="str">
        <f>HYPERLINK("http://maps.google.com/maps?f=q&amp;hl=en&amp;geocode=&amp;q=40.5721130371094,-4.94505310058594")</f>
        <v>http://maps.google.com/maps?f=q&amp;hl=en&amp;geocode=&amp;q=40.5721130371094,-4.94505310058594</v>
      </c>
    </row>
    <row r="794" spans="1:7" ht="15" x14ac:dyDescent="0.3">
      <c r="A794">
        <v>-30.1679077148438</v>
      </c>
      <c r="B794">
        <v>142.48066711425801</v>
      </c>
      <c r="C794" t="s">
        <v>43</v>
      </c>
      <c r="D794" t="s">
        <v>635</v>
      </c>
      <c r="F794" s="21"/>
      <c r="G794" s="16" t="str">
        <f>HYPERLINK("http://maps.google.com/maps?f=q&amp;hl=en&amp;geocode=&amp;q=-30.1679077148438,142.480667114258")</f>
        <v>http://maps.google.com/maps?f=q&amp;hl=en&amp;geocode=&amp;q=-30.1679077148438,142.480667114258</v>
      </c>
    </row>
    <row r="795" spans="1:7" ht="15" x14ac:dyDescent="0.3">
      <c r="A795">
        <v>39.917789999999997</v>
      </c>
      <c r="B795">
        <v>-75.230040000000002</v>
      </c>
      <c r="C795" t="s">
        <v>41</v>
      </c>
      <c r="D795" t="s">
        <v>636</v>
      </c>
      <c r="F795" s="21"/>
      <c r="G795" s="16" t="str">
        <f>HYPERLINK("http://maps.google.com/maps?f=q&amp;hl=en&amp;geocode=&amp;q=39.91779,-75.23004")</f>
        <v>http://maps.google.com/maps?f=q&amp;hl=en&amp;geocode=&amp;q=39.91779,-75.23004</v>
      </c>
    </row>
    <row r="796" spans="1:7" ht="15" x14ac:dyDescent="0.3">
      <c r="A796">
        <v>39.917580000000001</v>
      </c>
      <c r="B796">
        <v>-75.230350000000001</v>
      </c>
      <c r="C796" t="s">
        <v>41</v>
      </c>
      <c r="D796" t="s">
        <v>637</v>
      </c>
      <c r="F796" s="21"/>
      <c r="G796" s="16" t="str">
        <f>HYPERLINK("http://maps.google.com/maps?f=q&amp;hl=en&amp;geocode=&amp;q=39.91758,-75.23035")</f>
        <v>http://maps.google.com/maps?f=q&amp;hl=en&amp;geocode=&amp;q=39.91758,-75.23035</v>
      </c>
    </row>
    <row r="797" spans="1:7" ht="15" x14ac:dyDescent="0.3">
      <c r="A797">
        <v>39.917789999999997</v>
      </c>
      <c r="B797">
        <v>-75.230040000000002</v>
      </c>
      <c r="C797" t="s">
        <v>41</v>
      </c>
      <c r="D797" t="s">
        <v>636</v>
      </c>
      <c r="F797" s="21"/>
      <c r="G797" s="16" t="str">
        <f>HYPERLINK("http://maps.google.com/maps?f=q&amp;hl=en&amp;geocode=&amp;q=39.91779,-75.23004")</f>
        <v>http://maps.google.com/maps?f=q&amp;hl=en&amp;geocode=&amp;q=39.91779,-75.23004</v>
      </c>
    </row>
    <row r="798" spans="1:7" ht="15" x14ac:dyDescent="0.3">
      <c r="A798">
        <v>39.916710000000002</v>
      </c>
      <c r="B798">
        <v>-75.231610000000003</v>
      </c>
      <c r="C798" t="s">
        <v>41</v>
      </c>
      <c r="D798" t="s">
        <v>638</v>
      </c>
      <c r="F798" s="21"/>
      <c r="G798" s="16" t="str">
        <f>HYPERLINK("http://maps.google.com/maps?f=q&amp;hl=en&amp;geocode=&amp;q=39.91671,-75.23161")</f>
        <v>http://maps.google.com/maps?f=q&amp;hl=en&amp;geocode=&amp;q=39.91671,-75.23161</v>
      </c>
    </row>
    <row r="799" spans="1:7" ht="15" x14ac:dyDescent="0.3">
      <c r="A799">
        <v>39.592835034485702</v>
      </c>
      <c r="B799">
        <v>-104.988796719455</v>
      </c>
      <c r="C799" t="s">
        <v>43</v>
      </c>
      <c r="D799" t="s">
        <v>639</v>
      </c>
      <c r="F799" s="21"/>
      <c r="G799" s="16" t="str">
        <f>HYPERLINK("http://maps.google.com/maps?f=q&amp;hl=en&amp;geocode=&amp;q=39.5928350344857,-104.988796719455")</f>
        <v>http://maps.google.com/maps?f=q&amp;hl=en&amp;geocode=&amp;q=39.5928350344857,-104.988796719455</v>
      </c>
    </row>
    <row r="800" spans="1:7" ht="15" x14ac:dyDescent="0.3">
      <c r="A800">
        <v>37.193010000000001</v>
      </c>
      <c r="B800">
        <v>-79.925550000000001</v>
      </c>
      <c r="C800" t="s">
        <v>42</v>
      </c>
      <c r="D800" t="s">
        <v>640</v>
      </c>
      <c r="F800" s="21"/>
      <c r="G800" s="16" t="str">
        <f>HYPERLINK("http://maps.google.com/maps?f=q&amp;hl=en&amp;geocode=&amp;q=37.19301,-79.92555")</f>
        <v>http://maps.google.com/maps?f=q&amp;hl=en&amp;geocode=&amp;q=37.19301,-79.92555</v>
      </c>
    </row>
    <row r="801" spans="1:7" ht="15" x14ac:dyDescent="0.3">
      <c r="A801">
        <v>37.193010000000001</v>
      </c>
      <c r="B801">
        <v>-79.925550000000001</v>
      </c>
      <c r="C801" t="s">
        <v>42</v>
      </c>
      <c r="D801" t="s">
        <v>640</v>
      </c>
      <c r="F801" s="21"/>
      <c r="G801" s="16" t="str">
        <f>HYPERLINK("http://maps.google.com/maps?f=q&amp;hl=en&amp;geocode=&amp;q=37.19301,-79.92555")</f>
        <v>http://maps.google.com/maps?f=q&amp;hl=en&amp;geocode=&amp;q=37.19301,-79.92555</v>
      </c>
    </row>
    <row r="802" spans="1:7" ht="15" x14ac:dyDescent="0.3">
      <c r="A802">
        <v>37.753675034144997</v>
      </c>
      <c r="B802">
        <v>-121.439205006127</v>
      </c>
      <c r="C802" t="s">
        <v>41</v>
      </c>
      <c r="D802" t="s">
        <v>641</v>
      </c>
      <c r="F802" s="21"/>
      <c r="G802" s="16" t="str">
        <f>HYPERLINK("http://maps.google.com/maps?f=q&amp;hl=en&amp;geocode=&amp;q=37.753675034145,-121.439205006127")</f>
        <v>http://maps.google.com/maps?f=q&amp;hl=en&amp;geocode=&amp;q=37.753675034145,-121.439205006127</v>
      </c>
    </row>
    <row r="803" spans="1:7" ht="15" x14ac:dyDescent="0.3">
      <c r="A803">
        <v>40.113312853590898</v>
      </c>
      <c r="B803">
        <v>-85.603791203329095</v>
      </c>
      <c r="C803" t="s">
        <v>41</v>
      </c>
      <c r="D803" t="s">
        <v>642</v>
      </c>
      <c r="F803" s="21"/>
      <c r="G803" s="16" t="str">
        <f>HYPERLINK("http://maps.google.com/maps?f=q&amp;hl=en&amp;geocode=&amp;q=40.1133128535909,-85.6037912033291")</f>
        <v>http://maps.google.com/maps?f=q&amp;hl=en&amp;geocode=&amp;q=40.1133128535909,-85.6037912033291</v>
      </c>
    </row>
    <row r="804" spans="1:7" ht="15" x14ac:dyDescent="0.3">
      <c r="A804">
        <v>40.113312853590898</v>
      </c>
      <c r="B804">
        <v>-85.603791203329095</v>
      </c>
      <c r="C804" t="s">
        <v>41</v>
      </c>
      <c r="D804" t="s">
        <v>642</v>
      </c>
      <c r="F804" s="21"/>
      <c r="G804" s="16" t="str">
        <f>HYPERLINK("http://maps.google.com/maps?f=q&amp;hl=en&amp;geocode=&amp;q=40.1133128535909,-85.6037912033291")</f>
        <v>http://maps.google.com/maps?f=q&amp;hl=en&amp;geocode=&amp;q=40.1133128535909,-85.6037912033291</v>
      </c>
    </row>
    <row r="805" spans="1:7" ht="15" x14ac:dyDescent="0.3">
      <c r="A805">
        <v>39.226995674928901</v>
      </c>
      <c r="B805">
        <v>-76.790061500592401</v>
      </c>
      <c r="C805" t="s">
        <v>41</v>
      </c>
      <c r="D805" t="s">
        <v>643</v>
      </c>
      <c r="F805" s="21"/>
      <c r="G805" s="16" t="str">
        <f>HYPERLINK("http://maps.google.com/maps?f=q&amp;hl=en&amp;geocode=&amp;q=39.2269956749289,-76.7900615005924")</f>
        <v>http://maps.google.com/maps?f=q&amp;hl=en&amp;geocode=&amp;q=39.2269956749289,-76.7900615005924</v>
      </c>
    </row>
    <row r="806" spans="1:7" ht="15" x14ac:dyDescent="0.3">
      <c r="A806" t="s">
        <v>44</v>
      </c>
      <c r="B806" t="s">
        <v>44</v>
      </c>
      <c r="C806" t="s">
        <v>44</v>
      </c>
      <c r="D806" t="s">
        <v>644</v>
      </c>
      <c r="F806" s="21"/>
      <c r="G806" s="16"/>
    </row>
    <row r="807" spans="1:7" ht="15" x14ac:dyDescent="0.3">
      <c r="A807">
        <v>39.954770000000003</v>
      </c>
      <c r="B807">
        <v>-75.230860000000007</v>
      </c>
      <c r="C807" t="s">
        <v>43</v>
      </c>
      <c r="D807" t="s">
        <v>645</v>
      </c>
      <c r="F807" s="21"/>
      <c r="G807" s="16" t="str">
        <f>HYPERLINK("http://maps.google.com/maps?f=q&amp;hl=en&amp;geocode=&amp;q=39.95477,-75.23086")</f>
        <v>http://maps.google.com/maps?f=q&amp;hl=en&amp;geocode=&amp;q=39.95477,-75.23086</v>
      </c>
    </row>
    <row r="808" spans="1:7" ht="15" x14ac:dyDescent="0.3">
      <c r="A808" t="s">
        <v>44</v>
      </c>
      <c r="B808" t="s">
        <v>44</v>
      </c>
      <c r="C808" t="s">
        <v>44</v>
      </c>
      <c r="D808" t="s">
        <v>646</v>
      </c>
      <c r="F808" s="21"/>
      <c r="G808" s="16"/>
    </row>
    <row r="809" spans="1:7" ht="15" x14ac:dyDescent="0.3">
      <c r="A809">
        <v>28.579934189069299</v>
      </c>
      <c r="B809">
        <v>-99.424019409802597</v>
      </c>
      <c r="C809" t="s">
        <v>41</v>
      </c>
      <c r="D809" t="s">
        <v>647</v>
      </c>
      <c r="F809" s="21"/>
      <c r="G809" s="16" t="str">
        <f>HYPERLINK("http://maps.google.com/maps?f=q&amp;hl=en&amp;geocode=&amp;q=28.5799341890693,-99.4240194098026")</f>
        <v>http://maps.google.com/maps?f=q&amp;hl=en&amp;geocode=&amp;q=28.5799341890693,-99.4240194098026</v>
      </c>
    </row>
    <row r="810" spans="1:7" ht="15" x14ac:dyDescent="0.3">
      <c r="A810">
        <v>27.675759586870999</v>
      </c>
      <c r="B810">
        <v>-97.401260683575401</v>
      </c>
      <c r="C810" t="s">
        <v>41</v>
      </c>
      <c r="D810" t="s">
        <v>172</v>
      </c>
      <c r="F810" s="21"/>
      <c r="G810" s="16" t="str">
        <f>HYPERLINK("http://maps.google.com/maps?f=q&amp;hl=en&amp;geocode=&amp;q=27.675759586871,-97.4012606835754")</f>
        <v>http://maps.google.com/maps?f=q&amp;hl=en&amp;geocode=&amp;q=27.675759586871,-97.4012606835754</v>
      </c>
    </row>
    <row r="811" spans="1:7" ht="15" x14ac:dyDescent="0.3">
      <c r="A811">
        <v>34.592453496148202</v>
      </c>
      <c r="B811">
        <v>-112.444073489299</v>
      </c>
      <c r="C811" t="s">
        <v>41</v>
      </c>
      <c r="D811" t="s">
        <v>648</v>
      </c>
      <c r="F811" s="21"/>
      <c r="G811" s="16" t="str">
        <f>HYPERLINK("http://maps.google.com/maps?f=q&amp;hl=en&amp;geocode=&amp;q=34.5924534961482,-112.444073489299")</f>
        <v>http://maps.google.com/maps?f=q&amp;hl=en&amp;geocode=&amp;q=34.5924534961482,-112.444073489299</v>
      </c>
    </row>
    <row r="812" spans="1:7" ht="15" x14ac:dyDescent="0.3">
      <c r="A812">
        <v>34.592453496148202</v>
      </c>
      <c r="B812">
        <v>-112.444073489299</v>
      </c>
      <c r="C812" t="s">
        <v>41</v>
      </c>
      <c r="D812" t="s">
        <v>648</v>
      </c>
      <c r="F812" s="21"/>
      <c r="G812" s="16" t="str">
        <f>HYPERLINK("http://maps.google.com/maps?f=q&amp;hl=en&amp;geocode=&amp;q=34.5924534961482,-112.444073489299")</f>
        <v>http://maps.google.com/maps?f=q&amp;hl=en&amp;geocode=&amp;q=34.5924534961482,-112.444073489299</v>
      </c>
    </row>
    <row r="813" spans="1:7" ht="15" x14ac:dyDescent="0.3">
      <c r="A813">
        <v>37.753675034144997</v>
      </c>
      <c r="B813">
        <v>-121.439205006127</v>
      </c>
      <c r="C813" t="s">
        <v>41</v>
      </c>
      <c r="D813" t="s">
        <v>641</v>
      </c>
      <c r="F813" s="21"/>
      <c r="G813" s="16" t="str">
        <f>HYPERLINK("http://maps.google.com/maps?f=q&amp;hl=en&amp;geocode=&amp;q=37.753675034145,-121.439205006127")</f>
        <v>http://maps.google.com/maps?f=q&amp;hl=en&amp;geocode=&amp;q=37.753675034145,-121.439205006127</v>
      </c>
    </row>
    <row r="814" spans="1:7" ht="15" x14ac:dyDescent="0.3">
      <c r="A814">
        <v>37.753675034144997</v>
      </c>
      <c r="B814">
        <v>-121.439205006127</v>
      </c>
      <c r="C814" t="s">
        <v>41</v>
      </c>
      <c r="D814" t="s">
        <v>641</v>
      </c>
      <c r="F814" s="21"/>
      <c r="G814" s="16" t="str">
        <f>HYPERLINK("http://maps.google.com/maps?f=q&amp;hl=en&amp;geocode=&amp;q=37.753675034145,-121.439205006127")</f>
        <v>http://maps.google.com/maps?f=q&amp;hl=en&amp;geocode=&amp;q=37.753675034145,-121.439205006127</v>
      </c>
    </row>
    <row r="815" spans="1:7" ht="15" x14ac:dyDescent="0.3">
      <c r="A815">
        <v>39.327840000000002</v>
      </c>
      <c r="B815">
        <v>-76.530510000000007</v>
      </c>
      <c r="C815" t="s">
        <v>41</v>
      </c>
      <c r="D815" t="s">
        <v>649</v>
      </c>
      <c r="F815" s="21"/>
      <c r="G815" s="16" t="str">
        <f>HYPERLINK("http://maps.google.com/maps?f=q&amp;hl=en&amp;geocode=&amp;q=39.32784,-76.53051")</f>
        <v>http://maps.google.com/maps?f=q&amp;hl=en&amp;geocode=&amp;q=39.32784,-76.53051</v>
      </c>
    </row>
    <row r="816" spans="1:7" ht="15" x14ac:dyDescent="0.3">
      <c r="A816">
        <v>54.781295776367202</v>
      </c>
      <c r="B816">
        <v>11.962433815002401</v>
      </c>
      <c r="C816" t="s">
        <v>41</v>
      </c>
      <c r="D816" t="s">
        <v>650</v>
      </c>
      <c r="F816" s="21"/>
      <c r="G816" s="16" t="str">
        <f>HYPERLINK("http://maps.google.com/maps?f=q&amp;hl=en&amp;geocode=&amp;q=54.7812957763672,11.9624338150024")</f>
        <v>http://maps.google.com/maps?f=q&amp;hl=en&amp;geocode=&amp;q=54.7812957763672,11.9624338150024</v>
      </c>
    </row>
    <row r="817" spans="1:7" ht="15" x14ac:dyDescent="0.3">
      <c r="A817">
        <v>27.9890278303487</v>
      </c>
      <c r="B817">
        <v>-82.482618495912803</v>
      </c>
      <c r="C817" t="s">
        <v>41</v>
      </c>
      <c r="D817" t="s">
        <v>651</v>
      </c>
      <c r="F817" s="21"/>
      <c r="G817" s="16" t="str">
        <f>HYPERLINK("http://maps.google.com/maps?f=q&amp;hl=en&amp;geocode=&amp;q=27.9890278303487,-82.4826184959128")</f>
        <v>http://maps.google.com/maps?f=q&amp;hl=en&amp;geocode=&amp;q=27.9890278303487,-82.4826184959128</v>
      </c>
    </row>
    <row r="818" spans="1:7" ht="15" x14ac:dyDescent="0.3">
      <c r="A818">
        <v>36.119354248046903</v>
      </c>
      <c r="B818">
        <v>-91.047416687011705</v>
      </c>
      <c r="C818" t="s">
        <v>41</v>
      </c>
      <c r="D818" t="s">
        <v>652</v>
      </c>
      <c r="F818" s="21"/>
      <c r="G818" s="16" t="str">
        <f>HYPERLINK("http://maps.google.com/maps?f=q&amp;hl=en&amp;geocode=&amp;q=36.1193542480469,-91.0474166870117")</f>
        <v>http://maps.google.com/maps?f=q&amp;hl=en&amp;geocode=&amp;q=36.1193542480469,-91.0474166870117</v>
      </c>
    </row>
    <row r="819" spans="1:7" ht="15" x14ac:dyDescent="0.3">
      <c r="A819">
        <v>36.383634418760103</v>
      </c>
      <c r="B819">
        <v>-78.635280298519305</v>
      </c>
      <c r="C819" t="s">
        <v>41</v>
      </c>
      <c r="D819" t="s">
        <v>51</v>
      </c>
      <c r="F819" s="21"/>
      <c r="G819" s="16" t="str">
        <f>HYPERLINK("http://maps.google.com/maps?f=q&amp;hl=en&amp;geocode=&amp;q=36.3836344187601,-78.6352802985193")</f>
        <v>http://maps.google.com/maps?f=q&amp;hl=en&amp;geocode=&amp;q=36.3836344187601,-78.6352802985193</v>
      </c>
    </row>
    <row r="820" spans="1:7" ht="15" x14ac:dyDescent="0.3">
      <c r="A820">
        <v>33.935735072875602</v>
      </c>
      <c r="B820">
        <v>-84.531999342838702</v>
      </c>
      <c r="C820" t="s">
        <v>43</v>
      </c>
      <c r="D820" t="s">
        <v>653</v>
      </c>
      <c r="F820" s="21"/>
      <c r="G820" s="16" t="str">
        <f>HYPERLINK("http://maps.google.com/maps?f=q&amp;hl=en&amp;geocode=&amp;q=33.9357350728756,-84.5319993428387")</f>
        <v>http://maps.google.com/maps?f=q&amp;hl=en&amp;geocode=&amp;q=33.9357350728756,-84.5319993428387</v>
      </c>
    </row>
    <row r="821" spans="1:7" ht="15" x14ac:dyDescent="0.3">
      <c r="A821">
        <v>43.321670532226598</v>
      </c>
      <c r="B821">
        <v>-92.866836547851605</v>
      </c>
      <c r="C821" t="s">
        <v>43</v>
      </c>
      <c r="D821" t="s">
        <v>654</v>
      </c>
      <c r="F821" s="21"/>
      <c r="G821" s="16" t="str">
        <f>HYPERLINK("http://maps.google.com/maps?f=q&amp;hl=en&amp;geocode=&amp;q=43.3216705322266,-92.8668365478516")</f>
        <v>http://maps.google.com/maps?f=q&amp;hl=en&amp;geocode=&amp;q=43.3216705322266,-92.8668365478516</v>
      </c>
    </row>
    <row r="822" spans="1:7" ht="15" x14ac:dyDescent="0.3">
      <c r="A822">
        <v>34.8241996765137</v>
      </c>
      <c r="B822">
        <v>-97.112663269042997</v>
      </c>
      <c r="C822" t="s">
        <v>43</v>
      </c>
      <c r="D822" t="s">
        <v>425</v>
      </c>
      <c r="F822" s="21"/>
      <c r="G822" s="16" t="str">
        <f>HYPERLINK("http://maps.google.com/maps?f=q&amp;hl=en&amp;geocode=&amp;q=34.8241996765137,-97.112663269043")</f>
        <v>http://maps.google.com/maps?f=q&amp;hl=en&amp;geocode=&amp;q=34.8241996765137,-97.112663269043</v>
      </c>
    </row>
    <row r="823" spans="1:7" ht="15" x14ac:dyDescent="0.3">
      <c r="A823" t="s">
        <v>44</v>
      </c>
      <c r="B823" t="s">
        <v>44</v>
      </c>
      <c r="C823" t="s">
        <v>44</v>
      </c>
      <c r="D823" t="s">
        <v>655</v>
      </c>
      <c r="F823" s="21"/>
      <c r="G823" s="16"/>
    </row>
    <row r="824" spans="1:7" ht="15" x14ac:dyDescent="0.3">
      <c r="A824">
        <v>35.260009765625</v>
      </c>
      <c r="B824">
        <v>-80.425880432128906</v>
      </c>
      <c r="C824" t="s">
        <v>43</v>
      </c>
      <c r="D824" t="s">
        <v>656</v>
      </c>
      <c r="F824" s="21"/>
      <c r="G824" s="16" t="str">
        <f>HYPERLINK("http://maps.google.com/maps?f=q&amp;hl=en&amp;geocode=&amp;q=35.260009765625,-80.4258804321289")</f>
        <v>http://maps.google.com/maps?f=q&amp;hl=en&amp;geocode=&amp;q=35.260009765625,-80.4258804321289</v>
      </c>
    </row>
    <row r="825" spans="1:7" ht="15" x14ac:dyDescent="0.3">
      <c r="A825">
        <v>41.0912475585938</v>
      </c>
      <c r="B825">
        <v>-73.9227294921875</v>
      </c>
      <c r="C825" t="s">
        <v>41</v>
      </c>
      <c r="D825" t="s">
        <v>657</v>
      </c>
      <c r="F825" s="21"/>
      <c r="G825" s="16" t="str">
        <f>HYPERLINK("http://maps.google.com/maps?f=q&amp;hl=en&amp;geocode=&amp;q=41.0912475585938,-73.9227294921875")</f>
        <v>http://maps.google.com/maps?f=q&amp;hl=en&amp;geocode=&amp;q=41.0912475585938,-73.9227294921875</v>
      </c>
    </row>
    <row r="826" spans="1:7" ht="15" x14ac:dyDescent="0.3">
      <c r="A826">
        <v>52.367049999999999</v>
      </c>
      <c r="B826">
        <v>-2.69699</v>
      </c>
      <c r="C826" t="s">
        <v>43</v>
      </c>
      <c r="D826" t="s">
        <v>658</v>
      </c>
      <c r="F826" s="21"/>
      <c r="G826" s="16" t="str">
        <f>HYPERLINK("http://maps.google.com/maps?f=q&amp;hl=en&amp;geocode=&amp;q=52.36705,-2.69699")</f>
        <v>http://maps.google.com/maps?f=q&amp;hl=en&amp;geocode=&amp;q=52.36705,-2.69699</v>
      </c>
    </row>
    <row r="827" spans="1:7" ht="15" x14ac:dyDescent="0.3">
      <c r="A827">
        <v>41.686759948730497</v>
      </c>
      <c r="B827">
        <v>-85.975669860839801</v>
      </c>
      <c r="C827" t="s">
        <v>41</v>
      </c>
      <c r="D827" t="s">
        <v>659</v>
      </c>
      <c r="F827" s="21"/>
      <c r="G827" s="16" t="str">
        <f>HYPERLINK("http://maps.google.com/maps?f=q&amp;hl=en&amp;geocode=&amp;q=41.6867599487305,-85.9756698608398")</f>
        <v>http://maps.google.com/maps?f=q&amp;hl=en&amp;geocode=&amp;q=41.6867599487305,-85.9756698608398</v>
      </c>
    </row>
    <row r="828" spans="1:7" ht="15" x14ac:dyDescent="0.3">
      <c r="A828">
        <v>39.684371948242202</v>
      </c>
      <c r="B828">
        <v>21.8974094390869</v>
      </c>
      <c r="C828" t="s">
        <v>41</v>
      </c>
      <c r="D828" t="s">
        <v>660</v>
      </c>
      <c r="F828" s="21"/>
      <c r="G828" s="16" t="str">
        <f>HYPERLINK("http://maps.google.com/maps?f=q&amp;hl=en&amp;geocode=&amp;q=39.6843719482422,21.8974094390869")</f>
        <v>http://maps.google.com/maps?f=q&amp;hl=en&amp;geocode=&amp;q=39.6843719482422,21.8974094390869</v>
      </c>
    </row>
    <row r="829" spans="1:7" ht="15" x14ac:dyDescent="0.3">
      <c r="A829" t="s">
        <v>44</v>
      </c>
      <c r="B829" t="s">
        <v>44</v>
      </c>
      <c r="C829" t="s">
        <v>44</v>
      </c>
      <c r="D829" t="s">
        <v>661</v>
      </c>
      <c r="F829" s="21"/>
      <c r="G829" s="16"/>
    </row>
    <row r="830" spans="1:7" ht="15" x14ac:dyDescent="0.3">
      <c r="A830">
        <v>37.050380706787102</v>
      </c>
      <c r="B830">
        <v>-122.07330322265599</v>
      </c>
      <c r="C830" t="s">
        <v>43</v>
      </c>
      <c r="D830" t="s">
        <v>662</v>
      </c>
      <c r="F830" s="21"/>
      <c r="G830" s="16" t="str">
        <f>HYPERLINK("http://maps.google.com/maps?f=q&amp;hl=en&amp;geocode=&amp;q=37.0503807067871,-122.073303222656")</f>
        <v>http://maps.google.com/maps?f=q&amp;hl=en&amp;geocode=&amp;q=37.0503807067871,-122.073303222656</v>
      </c>
    </row>
    <row r="831" spans="1:7" ht="15" x14ac:dyDescent="0.3">
      <c r="A831">
        <v>43.4533081054688</v>
      </c>
      <c r="B831">
        <v>-96.429718017578097</v>
      </c>
      <c r="C831" t="s">
        <v>43</v>
      </c>
      <c r="D831" t="s">
        <v>663</v>
      </c>
      <c r="F831" s="21"/>
      <c r="G831" s="16" t="str">
        <f>HYPERLINK("http://maps.google.com/maps?f=q&amp;hl=en&amp;geocode=&amp;q=43.4533081054688,-96.4297180175781")</f>
        <v>http://maps.google.com/maps?f=q&amp;hl=en&amp;geocode=&amp;q=43.4533081054688,-96.4297180175781</v>
      </c>
    </row>
    <row r="832" spans="1:7" ht="15" x14ac:dyDescent="0.3">
      <c r="A832" t="s">
        <v>44</v>
      </c>
      <c r="B832" t="s">
        <v>44</v>
      </c>
      <c r="C832" t="s">
        <v>44</v>
      </c>
      <c r="D832" t="s">
        <v>664</v>
      </c>
      <c r="F832" s="21"/>
      <c r="G832" s="16"/>
    </row>
    <row r="833" spans="1:7" ht="15" x14ac:dyDescent="0.3">
      <c r="A833">
        <v>39.950969999999998</v>
      </c>
      <c r="B833">
        <v>-75.222560000000001</v>
      </c>
      <c r="C833" t="s">
        <v>41</v>
      </c>
      <c r="D833" t="s">
        <v>665</v>
      </c>
      <c r="F833" s="21"/>
      <c r="G833" s="16" t="str">
        <f>HYPERLINK("http://maps.google.com/maps?f=q&amp;hl=en&amp;geocode=&amp;q=39.95097,-75.22256")</f>
        <v>http://maps.google.com/maps?f=q&amp;hl=en&amp;geocode=&amp;q=39.95097,-75.22256</v>
      </c>
    </row>
    <row r="834" spans="1:7" ht="15" x14ac:dyDescent="0.3">
      <c r="A834">
        <v>-35.397269999999999</v>
      </c>
      <c r="B834">
        <v>149.08238</v>
      </c>
      <c r="C834" t="s">
        <v>41</v>
      </c>
      <c r="D834" t="s">
        <v>666</v>
      </c>
      <c r="F834" s="21"/>
      <c r="G834" s="16" t="str">
        <f>HYPERLINK("http://maps.google.com/maps?f=q&amp;hl=en&amp;geocode=&amp;q=-35.39727,149.08238")</f>
        <v>http://maps.google.com/maps?f=q&amp;hl=en&amp;geocode=&amp;q=-35.39727,149.08238</v>
      </c>
    </row>
    <row r="835" spans="1:7" ht="15" x14ac:dyDescent="0.3">
      <c r="A835">
        <v>37.193010000000001</v>
      </c>
      <c r="B835">
        <v>-79.925550000000001</v>
      </c>
      <c r="C835" t="s">
        <v>43</v>
      </c>
      <c r="D835" t="s">
        <v>667</v>
      </c>
      <c r="F835" s="21"/>
      <c r="G835" s="16" t="str">
        <f>HYPERLINK("http://maps.google.com/maps?f=q&amp;hl=en&amp;geocode=&amp;q=37.19301,-79.92555")</f>
        <v>http://maps.google.com/maps?f=q&amp;hl=en&amp;geocode=&amp;q=37.19301,-79.92555</v>
      </c>
    </row>
    <row r="836" spans="1:7" ht="15" x14ac:dyDescent="0.3">
      <c r="A836">
        <v>37.193010000000001</v>
      </c>
      <c r="B836">
        <v>-79.925550000000001</v>
      </c>
      <c r="C836" t="s">
        <v>42</v>
      </c>
      <c r="D836" t="s">
        <v>668</v>
      </c>
      <c r="F836" s="21"/>
      <c r="G836" s="16" t="str">
        <f>HYPERLINK("http://maps.google.com/maps?f=q&amp;hl=en&amp;geocode=&amp;q=37.19301,-79.92555")</f>
        <v>http://maps.google.com/maps?f=q&amp;hl=en&amp;geocode=&amp;q=37.19301,-79.92555</v>
      </c>
    </row>
    <row r="837" spans="1:7" ht="15" x14ac:dyDescent="0.3">
      <c r="F837" s="21"/>
      <c r="G837" s="16"/>
    </row>
    <row r="838" spans="1:7" ht="15" x14ac:dyDescent="0.3">
      <c r="A838">
        <v>37.193010000000001</v>
      </c>
      <c r="B838">
        <v>-79.925550000000001</v>
      </c>
      <c r="C838" t="s">
        <v>42</v>
      </c>
      <c r="D838" t="s">
        <v>668</v>
      </c>
      <c r="F838" s="21"/>
      <c r="G838" s="16" t="str">
        <f>HYPERLINK("http://maps.google.com/maps?f=q&amp;hl=en&amp;geocode=&amp;q=37.19301,-79.92555")</f>
        <v>http://maps.google.com/maps?f=q&amp;hl=en&amp;geocode=&amp;q=37.19301,-79.92555</v>
      </c>
    </row>
    <row r="839" spans="1:7" ht="15" x14ac:dyDescent="0.3">
      <c r="A839">
        <v>37.193010000000001</v>
      </c>
      <c r="B839">
        <v>-79.925550000000001</v>
      </c>
      <c r="C839" t="s">
        <v>42</v>
      </c>
      <c r="D839" t="s">
        <v>668</v>
      </c>
      <c r="F839" s="21"/>
      <c r="G839" s="16" t="str">
        <f>HYPERLINK("http://maps.google.com/maps?f=q&amp;hl=en&amp;geocode=&amp;q=37.19301,-79.92555")</f>
        <v>http://maps.google.com/maps?f=q&amp;hl=en&amp;geocode=&amp;q=37.19301,-79.92555</v>
      </c>
    </row>
    <row r="840" spans="1:7" ht="15" x14ac:dyDescent="0.3">
      <c r="A840">
        <v>39.938315157235998</v>
      </c>
      <c r="B840">
        <v>-75.231854458761106</v>
      </c>
      <c r="C840" t="s">
        <v>41</v>
      </c>
      <c r="D840" t="s">
        <v>238</v>
      </c>
      <c r="F840" s="21"/>
      <c r="G840" s="16" t="str">
        <f>HYPERLINK("http://maps.google.com/maps?f=q&amp;hl=en&amp;geocode=&amp;q=39.938315157236,-75.2318544587611")</f>
        <v>http://maps.google.com/maps?f=q&amp;hl=en&amp;geocode=&amp;q=39.938315157236,-75.2318544587611</v>
      </c>
    </row>
    <row r="841" spans="1:7" ht="15" x14ac:dyDescent="0.3">
      <c r="A841">
        <v>40.701023894089403</v>
      </c>
      <c r="B841">
        <v>-112.01109660709299</v>
      </c>
      <c r="C841" t="s">
        <v>43</v>
      </c>
      <c r="D841" t="s">
        <v>669</v>
      </c>
      <c r="F841" s="21"/>
      <c r="G841" s="16" t="str">
        <f>HYPERLINK("http://maps.google.com/maps?f=q&amp;hl=en&amp;geocode=&amp;q=40.7010238940894,-112.011096607093")</f>
        <v>http://maps.google.com/maps?f=q&amp;hl=en&amp;geocode=&amp;q=40.7010238940894,-112.011096607093</v>
      </c>
    </row>
    <row r="842" spans="1:7" ht="15" x14ac:dyDescent="0.3">
      <c r="A842">
        <v>-30.1679077148438</v>
      </c>
      <c r="B842">
        <v>142.48066711425801</v>
      </c>
      <c r="C842" t="s">
        <v>43</v>
      </c>
      <c r="D842" t="s">
        <v>633</v>
      </c>
      <c r="F842" s="21"/>
      <c r="G842" s="16" t="str">
        <f>HYPERLINK("http://maps.google.com/maps?f=q&amp;hl=en&amp;geocode=&amp;q=-30.1679077148438,142.480667114258")</f>
        <v>http://maps.google.com/maps?f=q&amp;hl=en&amp;geocode=&amp;q=-30.1679077148438,142.480667114258</v>
      </c>
    </row>
    <row r="843" spans="1:7" ht="15" x14ac:dyDescent="0.3">
      <c r="A843">
        <v>36.937579105392103</v>
      </c>
      <c r="B843">
        <v>-76.262951272217194</v>
      </c>
      <c r="C843" t="s">
        <v>41</v>
      </c>
      <c r="D843" t="s">
        <v>670</v>
      </c>
      <c r="F843" s="21"/>
      <c r="G843" s="16" t="str">
        <f>HYPERLINK("http://maps.google.com/maps?f=q&amp;hl=en&amp;geocode=&amp;q=36.9375791053921,-76.2629512722172")</f>
        <v>http://maps.google.com/maps?f=q&amp;hl=en&amp;geocode=&amp;q=36.9375791053921,-76.2629512722172</v>
      </c>
    </row>
    <row r="844" spans="1:7" ht="15" x14ac:dyDescent="0.3">
      <c r="A844">
        <v>34.0799749664966</v>
      </c>
      <c r="B844">
        <v>-117.68501441572801</v>
      </c>
      <c r="C844" t="s">
        <v>41</v>
      </c>
      <c r="D844" t="s">
        <v>671</v>
      </c>
      <c r="F844" s="21"/>
      <c r="G844" s="16" t="str">
        <f>HYPERLINK("http://maps.google.com/maps?f=q&amp;hl=en&amp;geocode=&amp;q=34.0799749664966,-117.685014415728")</f>
        <v>http://maps.google.com/maps?f=q&amp;hl=en&amp;geocode=&amp;q=34.0799749664966,-117.685014415728</v>
      </c>
    </row>
    <row r="845" spans="1:7" ht="15" x14ac:dyDescent="0.3">
      <c r="A845">
        <v>46.166499890603397</v>
      </c>
      <c r="B845">
        <v>-110.435167947933</v>
      </c>
      <c r="C845" t="s">
        <v>43</v>
      </c>
      <c r="D845" t="s">
        <v>672</v>
      </c>
      <c r="F845" s="21"/>
      <c r="G845" s="16" t="str">
        <f>HYPERLINK("http://maps.google.com/maps?f=q&amp;hl=en&amp;geocode=&amp;q=46.1664998906034,-110.435167947933")</f>
        <v>http://maps.google.com/maps?f=q&amp;hl=en&amp;geocode=&amp;q=46.1664998906034,-110.435167947933</v>
      </c>
    </row>
    <row r="846" spans="1:7" ht="15" x14ac:dyDescent="0.3">
      <c r="A846">
        <v>41.544019912028801</v>
      </c>
      <c r="B846">
        <v>-83.8584133633818</v>
      </c>
      <c r="C846" t="s">
        <v>41</v>
      </c>
      <c r="D846" t="s">
        <v>673</v>
      </c>
      <c r="F846" s="21"/>
      <c r="G846" s="16" t="str">
        <f>HYPERLINK("http://maps.google.com/maps?f=q&amp;hl=en&amp;geocode=&amp;q=41.5440199120288,-83.8584133633818")</f>
        <v>http://maps.google.com/maps?f=q&amp;hl=en&amp;geocode=&amp;q=41.5440199120288,-83.8584133633818</v>
      </c>
    </row>
    <row r="847" spans="1:7" ht="15" x14ac:dyDescent="0.3">
      <c r="A847">
        <v>40.309427654542702</v>
      </c>
      <c r="B847">
        <v>-78.318889223535194</v>
      </c>
      <c r="C847" t="s">
        <v>41</v>
      </c>
      <c r="D847" t="s">
        <v>674</v>
      </c>
      <c r="F847" s="21"/>
      <c r="G847" s="16" t="str">
        <f>HYPERLINK("http://maps.google.com/maps?f=q&amp;hl=en&amp;geocode=&amp;q=40.3094276545427,-78.3188892235352")</f>
        <v>http://maps.google.com/maps?f=q&amp;hl=en&amp;geocode=&amp;q=40.3094276545427,-78.3188892235352</v>
      </c>
    </row>
    <row r="848" spans="1:7" ht="15" x14ac:dyDescent="0.3">
      <c r="A848">
        <v>40.078620000000001</v>
      </c>
      <c r="B848">
        <v>-75.086420000000004</v>
      </c>
      <c r="C848" t="s">
        <v>41</v>
      </c>
      <c r="D848" t="s">
        <v>247</v>
      </c>
      <c r="F848" s="21"/>
      <c r="G848" s="16" t="str">
        <f>HYPERLINK("http://maps.google.com/maps?f=q&amp;hl=en&amp;geocode=&amp;q=40.07862,-75.08642")</f>
        <v>http://maps.google.com/maps?f=q&amp;hl=en&amp;geocode=&amp;q=40.07862,-75.08642</v>
      </c>
    </row>
    <row r="849" spans="1:7" ht="15" x14ac:dyDescent="0.3">
      <c r="A849">
        <v>38.025058746337898</v>
      </c>
      <c r="B849">
        <v>-80.276618957519503</v>
      </c>
      <c r="C849" t="s">
        <v>43</v>
      </c>
      <c r="D849" t="s">
        <v>675</v>
      </c>
      <c r="F849" s="21"/>
      <c r="G849" s="16" t="str">
        <f>HYPERLINK("http://maps.google.com/maps?f=q&amp;hl=en&amp;geocode=&amp;q=38.0250587463379,-80.2766189575195")</f>
        <v>http://maps.google.com/maps?f=q&amp;hl=en&amp;geocode=&amp;q=38.0250587463379,-80.2766189575195</v>
      </c>
    </row>
    <row r="850" spans="1:7" ht="15" x14ac:dyDescent="0.3">
      <c r="A850">
        <v>36.300089321117497</v>
      </c>
      <c r="B850">
        <v>-76.224695513804704</v>
      </c>
      <c r="C850" t="s">
        <v>41</v>
      </c>
      <c r="D850" t="s">
        <v>676</v>
      </c>
      <c r="F850" s="21"/>
      <c r="G850" s="16" t="str">
        <f>HYPERLINK("http://maps.google.com/maps?f=q&amp;hl=en&amp;geocode=&amp;q=36.3000893211175,-76.2246955138047")</f>
        <v>http://maps.google.com/maps?f=q&amp;hl=en&amp;geocode=&amp;q=36.3000893211175,-76.2246955138047</v>
      </c>
    </row>
    <row r="851" spans="1:7" ht="15" x14ac:dyDescent="0.3">
      <c r="A851">
        <v>33.507581497955897</v>
      </c>
      <c r="B851">
        <v>-81.722275061550306</v>
      </c>
      <c r="C851" t="s">
        <v>43</v>
      </c>
      <c r="D851" t="s">
        <v>677</v>
      </c>
      <c r="F851" s="21"/>
      <c r="G851" s="16" t="str">
        <f>HYPERLINK("http://maps.google.com/maps?f=q&amp;hl=en&amp;geocode=&amp;q=33.5075814979559,-81.7222750615503")</f>
        <v>http://maps.google.com/maps?f=q&amp;hl=en&amp;geocode=&amp;q=33.5075814979559,-81.7222750615503</v>
      </c>
    </row>
    <row r="852" spans="1:7" ht="15" x14ac:dyDescent="0.3">
      <c r="A852">
        <v>34.597130089819302</v>
      </c>
      <c r="B852">
        <v>-83.449278012360907</v>
      </c>
      <c r="C852" t="s">
        <v>41</v>
      </c>
      <c r="D852" t="s">
        <v>678</v>
      </c>
      <c r="F852" s="21"/>
      <c r="G852" s="16" t="str">
        <f>HYPERLINK("http://maps.google.com/maps?f=q&amp;hl=en&amp;geocode=&amp;q=34.5971300898193,-83.4492780123609")</f>
        <v>http://maps.google.com/maps?f=q&amp;hl=en&amp;geocode=&amp;q=34.5971300898193,-83.4492780123609</v>
      </c>
    </row>
    <row r="853" spans="1:7" ht="15" x14ac:dyDescent="0.3">
      <c r="A853">
        <v>34.597098029634303</v>
      </c>
      <c r="B853">
        <v>-83.449294598034598</v>
      </c>
      <c r="C853" t="s">
        <v>41</v>
      </c>
      <c r="D853" t="s">
        <v>679</v>
      </c>
      <c r="F853" s="21"/>
      <c r="G853" s="16" t="str">
        <f>HYPERLINK("http://maps.google.com/maps?f=q&amp;hl=en&amp;geocode=&amp;q=34.5970980296343,-83.4492945980346")</f>
        <v>http://maps.google.com/maps?f=q&amp;hl=en&amp;geocode=&amp;q=34.5970980296343,-83.4492945980346</v>
      </c>
    </row>
    <row r="854" spans="1:7" ht="15" x14ac:dyDescent="0.3">
      <c r="A854">
        <v>33.936018308014397</v>
      </c>
      <c r="B854">
        <v>-84.533137842325502</v>
      </c>
      <c r="C854" t="s">
        <v>43</v>
      </c>
      <c r="D854" t="s">
        <v>410</v>
      </c>
      <c r="F854" s="21"/>
      <c r="G854" s="16" t="str">
        <f>HYPERLINK("http://maps.google.com/maps?f=q&amp;hl=en&amp;geocode=&amp;q=33.9360183080144,-84.5331378423255")</f>
        <v>http://maps.google.com/maps?f=q&amp;hl=en&amp;geocode=&amp;q=33.9360183080144,-84.5331378423255</v>
      </c>
    </row>
    <row r="855" spans="1:7" ht="15" x14ac:dyDescent="0.3">
      <c r="A855">
        <v>39.964019999999998</v>
      </c>
      <c r="B855">
        <v>-75.244370000000004</v>
      </c>
      <c r="C855" t="s">
        <v>42</v>
      </c>
      <c r="D855" t="s">
        <v>680</v>
      </c>
      <c r="F855" s="21"/>
      <c r="G855" s="16" t="str">
        <f>HYPERLINK("http://maps.google.com/maps?f=q&amp;hl=en&amp;geocode=&amp;q=39.96402,-75.24437")</f>
        <v>http://maps.google.com/maps?f=q&amp;hl=en&amp;geocode=&amp;q=39.96402,-75.24437</v>
      </c>
    </row>
    <row r="856" spans="1:7" ht="15" x14ac:dyDescent="0.3">
      <c r="A856">
        <v>48.008468627929702</v>
      </c>
      <c r="B856">
        <v>12.169349670410201</v>
      </c>
      <c r="C856" t="s">
        <v>43</v>
      </c>
      <c r="D856" t="s">
        <v>606</v>
      </c>
      <c r="F856" s="21"/>
      <c r="G856" s="16" t="str">
        <f>HYPERLINK("http://maps.google.com/maps?f=q&amp;hl=en&amp;geocode=&amp;q=48.0084686279297,12.1693496704102")</f>
        <v>http://maps.google.com/maps?f=q&amp;hl=en&amp;geocode=&amp;q=48.0084686279297,12.1693496704102</v>
      </c>
    </row>
    <row r="857" spans="1:7" ht="15" x14ac:dyDescent="0.3">
      <c r="A857">
        <v>43.0121087614706</v>
      </c>
      <c r="B857">
        <v>-83.688716245187805</v>
      </c>
      <c r="C857" t="s">
        <v>41</v>
      </c>
      <c r="D857" t="s">
        <v>681</v>
      </c>
      <c r="F857" s="21"/>
      <c r="G857" s="16" t="str">
        <f>HYPERLINK("http://maps.google.com/maps?f=q&amp;hl=en&amp;geocode=&amp;q=43.0121087614706,-83.6887162451878")</f>
        <v>http://maps.google.com/maps?f=q&amp;hl=en&amp;geocode=&amp;q=43.0121087614706,-83.6887162451878</v>
      </c>
    </row>
    <row r="858" spans="1:7" ht="15" x14ac:dyDescent="0.3">
      <c r="A858">
        <v>39.924660000000003</v>
      </c>
      <c r="B858">
        <v>-75.228250000000003</v>
      </c>
      <c r="C858" t="s">
        <v>41</v>
      </c>
      <c r="D858" t="s">
        <v>682</v>
      </c>
      <c r="F858" s="21"/>
      <c r="G858" s="16" t="str">
        <f>HYPERLINK("http://maps.google.com/maps?f=q&amp;hl=en&amp;geocode=&amp;q=39.92466,-75.22825")</f>
        <v>http://maps.google.com/maps?f=q&amp;hl=en&amp;geocode=&amp;q=39.92466,-75.22825</v>
      </c>
    </row>
    <row r="859" spans="1:7" ht="15" x14ac:dyDescent="0.3">
      <c r="A859">
        <v>33.810540000000003</v>
      </c>
      <c r="B859">
        <v>-118.03908</v>
      </c>
      <c r="C859" t="s">
        <v>42</v>
      </c>
      <c r="D859" t="s">
        <v>549</v>
      </c>
      <c r="F859" s="21"/>
      <c r="G859" s="16" t="str">
        <f>HYPERLINK("http://maps.google.com/maps?f=q&amp;hl=en&amp;geocode=&amp;q=33.81054,-118.03908")</f>
        <v>http://maps.google.com/maps?f=q&amp;hl=en&amp;geocode=&amp;q=33.81054,-118.03908</v>
      </c>
    </row>
    <row r="860" spans="1:7" ht="15" x14ac:dyDescent="0.3">
      <c r="A860">
        <v>38.139530000000001</v>
      </c>
      <c r="B860">
        <v>-85.887450000000001</v>
      </c>
      <c r="C860" t="s">
        <v>42</v>
      </c>
      <c r="D860" t="s">
        <v>683</v>
      </c>
      <c r="F860" s="21"/>
      <c r="G860" s="16" t="str">
        <f>HYPERLINK("http://maps.google.com/maps?f=q&amp;hl=en&amp;geocode=&amp;q=38.13953,-85.88745")</f>
        <v>http://maps.google.com/maps?f=q&amp;hl=en&amp;geocode=&amp;q=38.13953,-85.88745</v>
      </c>
    </row>
    <row r="861" spans="1:7" ht="15" x14ac:dyDescent="0.3">
      <c r="A861">
        <v>43.4533081054688</v>
      </c>
      <c r="B861">
        <v>-96.429718017578097</v>
      </c>
      <c r="C861" t="s">
        <v>43</v>
      </c>
      <c r="D861" t="s">
        <v>684</v>
      </c>
      <c r="F861" s="21"/>
      <c r="G861" s="16" t="str">
        <f>HYPERLINK("http://maps.google.com/maps?f=q&amp;hl=en&amp;geocode=&amp;q=43.4533081054688,-96.4297180175781")</f>
        <v>http://maps.google.com/maps?f=q&amp;hl=en&amp;geocode=&amp;q=43.4533081054688,-96.4297180175781</v>
      </c>
    </row>
    <row r="862" spans="1:7" ht="15" x14ac:dyDescent="0.3">
      <c r="A862">
        <v>42.599250793457003</v>
      </c>
      <c r="B862">
        <v>-97.252342224121094</v>
      </c>
      <c r="C862" t="s">
        <v>43</v>
      </c>
      <c r="D862" t="s">
        <v>685</v>
      </c>
      <c r="F862" s="21"/>
      <c r="G862" s="16" t="str">
        <f>HYPERLINK("http://maps.google.com/maps?f=q&amp;hl=en&amp;geocode=&amp;q=42.599250793457,-97.2523422241211")</f>
        <v>http://maps.google.com/maps?f=q&amp;hl=en&amp;geocode=&amp;q=42.599250793457,-97.2523422241211</v>
      </c>
    </row>
    <row r="863" spans="1:7" ht="15" x14ac:dyDescent="0.3">
      <c r="A863">
        <v>39.917619999999999</v>
      </c>
      <c r="B863">
        <v>-75.229600000000005</v>
      </c>
      <c r="C863" t="s">
        <v>43</v>
      </c>
      <c r="D863" t="s">
        <v>686</v>
      </c>
      <c r="F863" s="21"/>
      <c r="G863" s="16" t="str">
        <f>HYPERLINK("http://maps.google.com/maps?f=q&amp;hl=en&amp;geocode=&amp;q=39.91762,-75.2296")</f>
        <v>http://maps.google.com/maps?f=q&amp;hl=en&amp;geocode=&amp;q=39.91762,-75.2296</v>
      </c>
    </row>
    <row r="864" spans="1:7" ht="15" x14ac:dyDescent="0.3">
      <c r="A864">
        <v>39.918550000000003</v>
      </c>
      <c r="B864">
        <v>-75.228269999999995</v>
      </c>
      <c r="C864" t="s">
        <v>43</v>
      </c>
      <c r="D864" t="s">
        <v>687</v>
      </c>
      <c r="F864" s="21"/>
      <c r="G864" s="16" t="str">
        <f>HYPERLINK("http://maps.google.com/maps?f=q&amp;hl=en&amp;geocode=&amp;q=39.91855,-75.22827")</f>
        <v>http://maps.google.com/maps?f=q&amp;hl=en&amp;geocode=&amp;q=39.91855,-75.22827</v>
      </c>
    </row>
    <row r="865" spans="1:7" ht="15" x14ac:dyDescent="0.3">
      <c r="A865">
        <v>50.718368530273402</v>
      </c>
      <c r="B865">
        <v>4.5731830596923801</v>
      </c>
      <c r="C865" t="s">
        <v>43</v>
      </c>
      <c r="D865" t="s">
        <v>688</v>
      </c>
      <c r="F865" s="21"/>
      <c r="G865" s="16" t="str">
        <f>HYPERLINK("http://maps.google.com/maps?f=q&amp;hl=en&amp;geocode=&amp;q=50.7183685302734,4.57318305969238")</f>
        <v>http://maps.google.com/maps?f=q&amp;hl=en&amp;geocode=&amp;q=50.7183685302734,4.57318305969238</v>
      </c>
    </row>
    <row r="866" spans="1:7" ht="15" x14ac:dyDescent="0.3">
      <c r="A866">
        <v>50.723228454589801</v>
      </c>
      <c r="B866">
        <v>4.6152939796447798</v>
      </c>
      <c r="C866" t="s">
        <v>43</v>
      </c>
      <c r="D866" t="s">
        <v>689</v>
      </c>
      <c r="F866" s="21"/>
      <c r="G866" s="16" t="str">
        <f>HYPERLINK("http://maps.google.com/maps?f=q&amp;hl=en&amp;geocode=&amp;q=50.7232284545898,4.61529397964478")</f>
        <v>http://maps.google.com/maps?f=q&amp;hl=en&amp;geocode=&amp;q=50.7232284545898,4.61529397964478</v>
      </c>
    </row>
    <row r="867" spans="1:7" ht="15" x14ac:dyDescent="0.3">
      <c r="A867">
        <v>38.772280000000002</v>
      </c>
      <c r="B867">
        <v>-112.08293</v>
      </c>
      <c r="C867" t="s">
        <v>43</v>
      </c>
      <c r="D867" t="s">
        <v>690</v>
      </c>
      <c r="F867" s="21"/>
      <c r="G867" s="16" t="str">
        <f>HYPERLINK("http://maps.google.com/maps?f=q&amp;hl=en&amp;geocode=&amp;q=38.77228,-112.08293")</f>
        <v>http://maps.google.com/maps?f=q&amp;hl=en&amp;geocode=&amp;q=38.77228,-112.08293</v>
      </c>
    </row>
    <row r="868" spans="1:7" ht="15" x14ac:dyDescent="0.3">
      <c r="A868">
        <v>-39.520760000000003</v>
      </c>
      <c r="B868">
        <v>176.88449</v>
      </c>
      <c r="C868" t="s">
        <v>41</v>
      </c>
      <c r="D868" t="s">
        <v>691</v>
      </c>
      <c r="F868" s="21"/>
      <c r="G868" s="16" t="str">
        <f>HYPERLINK("http://maps.google.com/maps?f=q&amp;hl=en&amp;geocode=&amp;q=-39.52076,176.88449")</f>
        <v>http://maps.google.com/maps?f=q&amp;hl=en&amp;geocode=&amp;q=-39.52076,176.88449</v>
      </c>
    </row>
    <row r="869" spans="1:7" ht="15" x14ac:dyDescent="0.3">
      <c r="A869">
        <v>39.327840000000002</v>
      </c>
      <c r="B869">
        <v>-76.530510000000007</v>
      </c>
      <c r="C869" t="s">
        <v>41</v>
      </c>
      <c r="D869" t="s">
        <v>649</v>
      </c>
      <c r="F869" s="21"/>
      <c r="G869" s="16" t="str">
        <f>HYPERLINK("http://maps.google.com/maps?f=q&amp;hl=en&amp;geocode=&amp;q=39.32784,-76.53051")</f>
        <v>http://maps.google.com/maps?f=q&amp;hl=en&amp;geocode=&amp;q=39.32784,-76.53051</v>
      </c>
    </row>
    <row r="870" spans="1:7" ht="15" x14ac:dyDescent="0.3">
      <c r="A870">
        <v>39.016660000000002</v>
      </c>
      <c r="B870">
        <v>-84.654750000000007</v>
      </c>
      <c r="C870" t="s">
        <v>41</v>
      </c>
      <c r="D870" t="s">
        <v>692</v>
      </c>
      <c r="F870" s="21"/>
      <c r="G870" s="16" t="str">
        <f>HYPERLINK("http://maps.google.com/maps?f=q&amp;hl=en&amp;geocode=&amp;q=39.01666,-84.65475")</f>
        <v>http://maps.google.com/maps?f=q&amp;hl=en&amp;geocode=&amp;q=39.01666,-84.65475</v>
      </c>
    </row>
    <row r="871" spans="1:7" ht="15" x14ac:dyDescent="0.3">
      <c r="A871">
        <v>48.267347063651897</v>
      </c>
      <c r="B871">
        <v>-97.470142070667507</v>
      </c>
      <c r="C871" t="s">
        <v>41</v>
      </c>
      <c r="D871" t="s">
        <v>693</v>
      </c>
      <c r="F871" s="21"/>
      <c r="G871" s="16" t="str">
        <f>HYPERLINK("http://maps.google.com/maps?f=q&amp;hl=en&amp;geocode=&amp;q=48.2673470636519,-97.4701420706675")</f>
        <v>http://maps.google.com/maps?f=q&amp;hl=en&amp;geocode=&amp;q=48.2673470636519,-97.4701420706675</v>
      </c>
    </row>
    <row r="872" spans="1:7" ht="15" x14ac:dyDescent="0.3">
      <c r="A872">
        <v>-27.669080000000001</v>
      </c>
      <c r="B872">
        <v>152.92021</v>
      </c>
      <c r="C872" t="s">
        <v>41</v>
      </c>
      <c r="D872" t="s">
        <v>694</v>
      </c>
      <c r="F872" s="21"/>
      <c r="G872" s="16" t="str">
        <f>HYPERLINK("http://maps.google.com/maps?f=q&amp;hl=en&amp;geocode=&amp;q=-27.66908,152.92021")</f>
        <v>http://maps.google.com/maps?f=q&amp;hl=en&amp;geocode=&amp;q=-27.66908,152.92021</v>
      </c>
    </row>
    <row r="873" spans="1:7" ht="15" x14ac:dyDescent="0.3">
      <c r="A873">
        <v>35.405657298466302</v>
      </c>
      <c r="B873">
        <v>-89.387782935739807</v>
      </c>
      <c r="C873" t="s">
        <v>41</v>
      </c>
      <c r="D873" t="s">
        <v>695</v>
      </c>
      <c r="F873" s="21"/>
      <c r="G873" s="16" t="str">
        <f>HYPERLINK("http://maps.google.com/maps?f=q&amp;hl=en&amp;geocode=&amp;q=35.4056572984663,-89.3877829357398")</f>
        <v>http://maps.google.com/maps?f=q&amp;hl=en&amp;geocode=&amp;q=35.4056572984663,-89.3877829357398</v>
      </c>
    </row>
    <row r="874" spans="1:7" ht="15" x14ac:dyDescent="0.3">
      <c r="A874">
        <v>33.810540000000003</v>
      </c>
      <c r="B874">
        <v>-118.03908</v>
      </c>
      <c r="C874" t="s">
        <v>42</v>
      </c>
      <c r="D874" t="s">
        <v>549</v>
      </c>
      <c r="F874" s="21"/>
      <c r="G874" s="16" t="str">
        <f>HYPERLINK("http://maps.google.com/maps?f=q&amp;hl=en&amp;geocode=&amp;q=33.81054,-118.03908")</f>
        <v>http://maps.google.com/maps?f=q&amp;hl=en&amp;geocode=&amp;q=33.81054,-118.03908</v>
      </c>
    </row>
    <row r="875" spans="1:7" ht="15" x14ac:dyDescent="0.3">
      <c r="A875">
        <v>39.911706093644703</v>
      </c>
      <c r="B875">
        <v>-75.239026495784202</v>
      </c>
      <c r="C875" t="s">
        <v>43</v>
      </c>
      <c r="D875" t="s">
        <v>561</v>
      </c>
      <c r="F875" s="21"/>
      <c r="G875" s="16" t="str">
        <f>HYPERLINK("http://maps.google.com/maps?f=q&amp;hl=en&amp;geocode=&amp;q=39.9117060936447,-75.2390264957842")</f>
        <v>http://maps.google.com/maps?f=q&amp;hl=en&amp;geocode=&amp;q=39.9117060936447,-75.2390264957842</v>
      </c>
    </row>
    <row r="876" spans="1:7" ht="15" x14ac:dyDescent="0.3">
      <c r="A876">
        <v>42.284374984463298</v>
      </c>
      <c r="B876">
        <v>-112.61639908038801</v>
      </c>
      <c r="C876" t="s">
        <v>43</v>
      </c>
      <c r="D876" t="s">
        <v>696</v>
      </c>
      <c r="F876" s="21"/>
      <c r="G876" s="16" t="str">
        <f>HYPERLINK("http://maps.google.com/maps?f=q&amp;hl=en&amp;geocode=&amp;q=42.2843749844633,-112.616399080388")</f>
        <v>http://maps.google.com/maps?f=q&amp;hl=en&amp;geocode=&amp;q=42.2843749844633,-112.616399080388</v>
      </c>
    </row>
    <row r="877" spans="1:7" ht="15" x14ac:dyDescent="0.3">
      <c r="A877" t="s">
        <v>44</v>
      </c>
      <c r="B877" t="s">
        <v>44</v>
      </c>
      <c r="C877" t="s">
        <v>44</v>
      </c>
      <c r="D877" t="s">
        <v>697</v>
      </c>
      <c r="F877" s="21"/>
      <c r="G877" s="16"/>
    </row>
    <row r="878" spans="1:7" ht="15" x14ac:dyDescent="0.3">
      <c r="A878">
        <v>39.91657</v>
      </c>
      <c r="B878">
        <v>-75.23115</v>
      </c>
      <c r="C878" t="s">
        <v>43</v>
      </c>
      <c r="D878" t="s">
        <v>698</v>
      </c>
      <c r="F878" s="21"/>
      <c r="G878" s="16" t="str">
        <f>HYPERLINK("http://maps.google.com/maps?f=q&amp;hl=en&amp;geocode=&amp;q=39.91657,-75.23115")</f>
        <v>http://maps.google.com/maps?f=q&amp;hl=en&amp;geocode=&amp;q=39.91657,-75.23115</v>
      </c>
    </row>
    <row r="879" spans="1:7" ht="15" x14ac:dyDescent="0.3">
      <c r="A879">
        <v>27.508464966161</v>
      </c>
      <c r="B879">
        <v>-99.483305371816698</v>
      </c>
      <c r="C879" t="s">
        <v>43</v>
      </c>
      <c r="D879" t="s">
        <v>699</v>
      </c>
      <c r="F879" s="21"/>
      <c r="G879" s="16" t="str">
        <f>HYPERLINK("http://maps.google.com/maps?f=q&amp;hl=en&amp;geocode=&amp;q=27.508464966161,-99.4833053718167")</f>
        <v>http://maps.google.com/maps?f=q&amp;hl=en&amp;geocode=&amp;q=27.508464966161,-99.4833053718167</v>
      </c>
    </row>
    <row r="880" spans="1:7" ht="15" x14ac:dyDescent="0.3">
      <c r="A880">
        <v>27.508464966161</v>
      </c>
      <c r="B880">
        <v>-99.483305371816698</v>
      </c>
      <c r="C880" t="s">
        <v>43</v>
      </c>
      <c r="D880" t="s">
        <v>699</v>
      </c>
      <c r="F880" s="21"/>
      <c r="G880" s="16" t="str">
        <f>HYPERLINK("http://maps.google.com/maps?f=q&amp;hl=en&amp;geocode=&amp;q=27.508464966161,-99.4833053718167")</f>
        <v>http://maps.google.com/maps?f=q&amp;hl=en&amp;geocode=&amp;q=27.508464966161,-99.4833053718167</v>
      </c>
    </row>
    <row r="881" spans="1:7" ht="15" x14ac:dyDescent="0.3">
      <c r="A881">
        <v>27.508464966161</v>
      </c>
      <c r="B881">
        <v>-99.483305371816698</v>
      </c>
      <c r="C881" t="s">
        <v>43</v>
      </c>
      <c r="D881" t="s">
        <v>699</v>
      </c>
      <c r="F881" s="21"/>
      <c r="G881" s="16" t="str">
        <f>HYPERLINK("http://maps.google.com/maps?f=q&amp;hl=en&amp;geocode=&amp;q=27.508464966161,-99.4833053718167")</f>
        <v>http://maps.google.com/maps?f=q&amp;hl=en&amp;geocode=&amp;q=27.508464966161,-99.4833053718167</v>
      </c>
    </row>
    <row r="882" spans="1:7" ht="15" x14ac:dyDescent="0.3">
      <c r="A882">
        <v>34.134368896484403</v>
      </c>
      <c r="B882">
        <v>-79.756843566894503</v>
      </c>
      <c r="C882" t="s">
        <v>43</v>
      </c>
      <c r="D882" t="s">
        <v>700</v>
      </c>
      <c r="F882" s="21"/>
      <c r="G882" s="16" t="str">
        <f>HYPERLINK("http://maps.google.com/maps?f=q&amp;hl=en&amp;geocode=&amp;q=34.1343688964844,-79.7568435668945")</f>
        <v>http://maps.google.com/maps?f=q&amp;hl=en&amp;geocode=&amp;q=34.1343688964844,-79.7568435668945</v>
      </c>
    </row>
    <row r="883" spans="1:7" ht="15" x14ac:dyDescent="0.3">
      <c r="F883" s="21"/>
      <c r="G883" s="16"/>
    </row>
    <row r="884" spans="1:7" ht="15" x14ac:dyDescent="0.3">
      <c r="A884">
        <v>40.676839999999999</v>
      </c>
      <c r="B884">
        <v>-73.928150000000002</v>
      </c>
      <c r="C884" t="s">
        <v>41</v>
      </c>
      <c r="D884" t="s">
        <v>701</v>
      </c>
      <c r="F884" s="21"/>
      <c r="G884" s="16" t="str">
        <f>HYPERLINK("http://maps.google.com/maps?f=q&amp;hl=en&amp;geocode=&amp;q=40.67684,-73.92815")</f>
        <v>http://maps.google.com/maps?f=q&amp;hl=en&amp;geocode=&amp;q=40.67684,-73.92815</v>
      </c>
    </row>
    <row r="885" spans="1:7" ht="15" x14ac:dyDescent="0.3">
      <c r="A885">
        <v>40.676839999999999</v>
      </c>
      <c r="B885">
        <v>-73.928150000000002</v>
      </c>
      <c r="C885" t="s">
        <v>41</v>
      </c>
      <c r="D885" t="s">
        <v>701</v>
      </c>
      <c r="F885" s="21"/>
      <c r="G885" s="16" t="str">
        <f>HYPERLINK("http://maps.google.com/maps?f=q&amp;hl=en&amp;geocode=&amp;q=40.67684,-73.92815")</f>
        <v>http://maps.google.com/maps?f=q&amp;hl=en&amp;geocode=&amp;q=40.67684,-73.92815</v>
      </c>
    </row>
    <row r="886" spans="1:7" ht="15" x14ac:dyDescent="0.3">
      <c r="A886">
        <v>39.925130000000003</v>
      </c>
      <c r="B886">
        <v>-75.227010000000007</v>
      </c>
      <c r="C886" t="s">
        <v>43</v>
      </c>
      <c r="D886" t="s">
        <v>702</v>
      </c>
      <c r="F886" s="21"/>
      <c r="G886" s="16" t="str">
        <f>HYPERLINK("http://maps.google.com/maps?f=q&amp;hl=en&amp;geocode=&amp;q=39.92513,-75.22701")</f>
        <v>http://maps.google.com/maps?f=q&amp;hl=en&amp;geocode=&amp;q=39.92513,-75.22701</v>
      </c>
    </row>
    <row r="887" spans="1:7" ht="15" x14ac:dyDescent="0.3">
      <c r="A887" t="s">
        <v>44</v>
      </c>
      <c r="B887" t="s">
        <v>44</v>
      </c>
      <c r="C887" t="s">
        <v>44</v>
      </c>
      <c r="D887" t="s">
        <v>703</v>
      </c>
      <c r="F887" s="21"/>
      <c r="G887" s="16"/>
    </row>
    <row r="888" spans="1:7" ht="15" x14ac:dyDescent="0.3">
      <c r="A888">
        <v>33.485509999999998</v>
      </c>
      <c r="B888">
        <v>-86.879819999999995</v>
      </c>
      <c r="C888" t="s">
        <v>42</v>
      </c>
      <c r="D888" t="s">
        <v>704</v>
      </c>
      <c r="F888" s="21"/>
      <c r="G888" s="16" t="str">
        <f>HYPERLINK("http://maps.google.com/maps?f=q&amp;hl=en&amp;geocode=&amp;q=33.48551,-86.87982")</f>
        <v>http://maps.google.com/maps?f=q&amp;hl=en&amp;geocode=&amp;q=33.48551,-86.87982</v>
      </c>
    </row>
    <row r="889" spans="1:7" ht="15" x14ac:dyDescent="0.3">
      <c r="A889" t="s">
        <v>44</v>
      </c>
      <c r="B889" t="s">
        <v>44</v>
      </c>
      <c r="C889" t="s">
        <v>44</v>
      </c>
      <c r="D889" t="s">
        <v>705</v>
      </c>
      <c r="F889" s="21"/>
      <c r="G889" s="16"/>
    </row>
    <row r="890" spans="1:7" ht="15" x14ac:dyDescent="0.3">
      <c r="A890">
        <v>38.772280000000002</v>
      </c>
      <c r="B890">
        <v>-112.08293</v>
      </c>
      <c r="C890" t="s">
        <v>43</v>
      </c>
      <c r="D890" t="s">
        <v>690</v>
      </c>
      <c r="F890" s="21"/>
      <c r="G890" s="16" t="str">
        <f>HYPERLINK("http://maps.google.com/maps?f=q&amp;hl=en&amp;geocode=&amp;q=38.77228,-112.08293")</f>
        <v>http://maps.google.com/maps?f=q&amp;hl=en&amp;geocode=&amp;q=38.77228,-112.08293</v>
      </c>
    </row>
    <row r="891" spans="1:7" ht="15" x14ac:dyDescent="0.3">
      <c r="A891">
        <v>-26.034427642822301</v>
      </c>
      <c r="B891">
        <v>28.5431098937988</v>
      </c>
      <c r="C891" t="s">
        <v>43</v>
      </c>
      <c r="D891" t="s">
        <v>706</v>
      </c>
      <c r="F891" s="21"/>
      <c r="G891" s="16" t="str">
        <f>HYPERLINK("http://maps.google.com/maps?f=q&amp;hl=en&amp;geocode=&amp;q=-26.0344276428223,28.5431098937988")</f>
        <v>http://maps.google.com/maps?f=q&amp;hl=en&amp;geocode=&amp;q=-26.0344276428223,28.5431098937988</v>
      </c>
    </row>
    <row r="892" spans="1:7" ht="15" x14ac:dyDescent="0.3">
      <c r="A892">
        <v>-34.003799438476598</v>
      </c>
      <c r="B892">
        <v>151.08038330078099</v>
      </c>
      <c r="C892" t="s">
        <v>41</v>
      </c>
      <c r="D892" t="s">
        <v>707</v>
      </c>
      <c r="F892" s="21"/>
      <c r="G892" s="16" t="str">
        <f>HYPERLINK("http://maps.google.com/maps?f=q&amp;hl=en&amp;geocode=&amp;q=-34.0037994384766,151.080383300781")</f>
        <v>http://maps.google.com/maps?f=q&amp;hl=en&amp;geocode=&amp;q=-34.0037994384766,151.080383300781</v>
      </c>
    </row>
    <row r="893" spans="1:7" ht="15" x14ac:dyDescent="0.3">
      <c r="A893">
        <v>-34.042049407958999</v>
      </c>
      <c r="B893">
        <v>151.08605957031301</v>
      </c>
      <c r="C893" t="s">
        <v>41</v>
      </c>
      <c r="D893" t="s">
        <v>708</v>
      </c>
      <c r="F893" s="21"/>
      <c r="G893" s="16" t="str">
        <f>HYPERLINK("http://maps.google.com/maps?f=q&amp;hl=en&amp;geocode=&amp;q=-34.042049407959,151.086059570313")</f>
        <v>http://maps.google.com/maps?f=q&amp;hl=en&amp;geocode=&amp;q=-34.042049407959,151.086059570313</v>
      </c>
    </row>
    <row r="894" spans="1:7" ht="15" x14ac:dyDescent="0.3">
      <c r="A894">
        <v>-34.010696411132798</v>
      </c>
      <c r="B894">
        <v>151.06253051757801</v>
      </c>
      <c r="C894" t="s">
        <v>41</v>
      </c>
      <c r="D894" t="s">
        <v>709</v>
      </c>
      <c r="F894" s="21"/>
      <c r="G894" s="16" t="str">
        <f>HYPERLINK("http://maps.google.com/maps?f=q&amp;hl=en&amp;geocode=&amp;q=-34.0106964111328,151.062530517578")</f>
        <v>http://maps.google.com/maps?f=q&amp;hl=en&amp;geocode=&amp;q=-34.0106964111328,151.062530517578</v>
      </c>
    </row>
    <row r="895" spans="1:7" ht="15" x14ac:dyDescent="0.3">
      <c r="A895">
        <v>36.150106838253002</v>
      </c>
      <c r="B895">
        <v>-83.169812968353298</v>
      </c>
      <c r="C895" t="s">
        <v>41</v>
      </c>
      <c r="D895" t="s">
        <v>710</v>
      </c>
      <c r="F895" s="21"/>
      <c r="G895" s="16" t="str">
        <f>HYPERLINK("http://maps.google.com/maps?f=q&amp;hl=en&amp;geocode=&amp;q=36.150106838253,-83.1698129683533")</f>
        <v>http://maps.google.com/maps?f=q&amp;hl=en&amp;geocode=&amp;q=36.150106838253,-83.1698129683533</v>
      </c>
    </row>
    <row r="896" spans="1:7" ht="15" x14ac:dyDescent="0.3">
      <c r="A896" t="s">
        <v>44</v>
      </c>
      <c r="B896" t="s">
        <v>44</v>
      </c>
      <c r="C896" t="s">
        <v>44</v>
      </c>
      <c r="D896" t="s">
        <v>711</v>
      </c>
      <c r="F896" s="21"/>
      <c r="G896" s="16"/>
    </row>
    <row r="897" spans="1:7" ht="15" x14ac:dyDescent="0.3">
      <c r="A897">
        <v>40.095120000000001</v>
      </c>
      <c r="B897">
        <v>-75.02664</v>
      </c>
      <c r="C897" t="s">
        <v>41</v>
      </c>
      <c r="D897" t="s">
        <v>712</v>
      </c>
      <c r="F897" s="21"/>
      <c r="G897" s="16" t="str">
        <f>HYPERLINK("http://maps.google.com/maps?f=q&amp;hl=en&amp;geocode=&amp;q=40.09512,-75.02664")</f>
        <v>http://maps.google.com/maps?f=q&amp;hl=en&amp;geocode=&amp;q=40.09512,-75.02664</v>
      </c>
    </row>
    <row r="898" spans="1:7" ht="15" x14ac:dyDescent="0.3">
      <c r="A898" t="s">
        <v>44</v>
      </c>
      <c r="B898" t="s">
        <v>44</v>
      </c>
      <c r="C898" t="s">
        <v>44</v>
      </c>
      <c r="D898" t="s">
        <v>713</v>
      </c>
      <c r="F898" s="21"/>
      <c r="G898" s="16"/>
    </row>
    <row r="899" spans="1:7" ht="15" x14ac:dyDescent="0.3">
      <c r="A899">
        <v>46.510826110839801</v>
      </c>
      <c r="B899">
        <v>6.6345300674438503</v>
      </c>
      <c r="C899" t="s">
        <v>43</v>
      </c>
      <c r="D899" t="s">
        <v>714</v>
      </c>
      <c r="F899" s="21"/>
      <c r="G899" s="16" t="str">
        <f>HYPERLINK("http://maps.google.com/maps?f=q&amp;hl=en&amp;geocode=&amp;q=46.5108261108398,6.63453006744385")</f>
        <v>http://maps.google.com/maps?f=q&amp;hl=en&amp;geocode=&amp;q=46.5108261108398,6.63453006744385</v>
      </c>
    </row>
    <row r="900" spans="1:7" ht="15" x14ac:dyDescent="0.3">
      <c r="A900">
        <v>38.639511108398402</v>
      </c>
      <c r="B900">
        <v>-106.36630249023401</v>
      </c>
      <c r="C900" t="s">
        <v>43</v>
      </c>
      <c r="D900" t="s">
        <v>715</v>
      </c>
      <c r="F900" s="21"/>
      <c r="G900" s="16" t="str">
        <f>HYPERLINK("http://maps.google.com/maps?f=q&amp;hl=en&amp;geocode=&amp;q=38.6395111083984,-106.366302490234")</f>
        <v>http://maps.google.com/maps?f=q&amp;hl=en&amp;geocode=&amp;q=38.6395111083984,-106.366302490234</v>
      </c>
    </row>
    <row r="901" spans="1:7" ht="15" x14ac:dyDescent="0.3">
      <c r="A901">
        <v>38.639511108398402</v>
      </c>
      <c r="B901">
        <v>-106.36630249023401</v>
      </c>
      <c r="C901" t="s">
        <v>43</v>
      </c>
      <c r="D901" t="s">
        <v>715</v>
      </c>
      <c r="F901" s="21"/>
      <c r="G901" s="16" t="str">
        <f>HYPERLINK("http://maps.google.com/maps?f=q&amp;hl=en&amp;geocode=&amp;q=38.6395111083984,-106.366302490234")</f>
        <v>http://maps.google.com/maps?f=q&amp;hl=en&amp;geocode=&amp;q=38.6395111083984,-106.366302490234</v>
      </c>
    </row>
    <row r="902" spans="1:7" ht="15" x14ac:dyDescent="0.3">
      <c r="A902">
        <v>39.992179999999998</v>
      </c>
      <c r="B902">
        <v>-75.100999999999999</v>
      </c>
      <c r="C902" t="s">
        <v>41</v>
      </c>
      <c r="D902" t="s">
        <v>716</v>
      </c>
      <c r="F902" s="21"/>
      <c r="G902" s="16" t="str">
        <f>HYPERLINK("http://maps.google.com/maps?f=q&amp;hl=en&amp;geocode=&amp;q=39.99218,-75.101")</f>
        <v>http://maps.google.com/maps?f=q&amp;hl=en&amp;geocode=&amp;q=39.99218,-75.101</v>
      </c>
    </row>
    <row r="903" spans="1:7" ht="15" x14ac:dyDescent="0.3">
      <c r="A903">
        <v>37.016419999999997</v>
      </c>
      <c r="B903">
        <v>-97.041730000000001</v>
      </c>
      <c r="C903" t="s">
        <v>42</v>
      </c>
      <c r="D903" t="s">
        <v>717</v>
      </c>
      <c r="F903" s="21"/>
      <c r="G903" s="16" t="str">
        <f>HYPERLINK("http://maps.google.com/maps?f=q&amp;hl=en&amp;geocode=&amp;q=37.01642,-97.04173")</f>
        <v>http://maps.google.com/maps?f=q&amp;hl=en&amp;geocode=&amp;q=37.01642,-97.04173</v>
      </c>
    </row>
    <row r="904" spans="1:7" ht="15" x14ac:dyDescent="0.3">
      <c r="A904">
        <v>36.153765632784101</v>
      </c>
      <c r="B904">
        <v>-86.794563609150401</v>
      </c>
      <c r="C904" t="s">
        <v>41</v>
      </c>
      <c r="D904" t="s">
        <v>718</v>
      </c>
      <c r="F904" s="21"/>
      <c r="G904" s="16" t="str">
        <f>HYPERLINK("http://maps.google.com/maps?f=q&amp;hl=en&amp;geocode=&amp;q=36.1537656327841,-86.7945636091504")</f>
        <v>http://maps.google.com/maps?f=q&amp;hl=en&amp;geocode=&amp;q=36.1537656327841,-86.7945636091504</v>
      </c>
    </row>
    <row r="905" spans="1:7" ht="15" x14ac:dyDescent="0.3">
      <c r="A905">
        <v>44.495087146376903</v>
      </c>
      <c r="B905">
        <v>-111.335546961494</v>
      </c>
      <c r="C905" t="s">
        <v>41</v>
      </c>
      <c r="D905" t="s">
        <v>719</v>
      </c>
      <c r="F905" s="21"/>
      <c r="G905" s="16" t="str">
        <f>HYPERLINK("http://maps.google.com/maps?f=q&amp;hl=en&amp;geocode=&amp;q=44.4950871463769,-111.335546961494")</f>
        <v>http://maps.google.com/maps?f=q&amp;hl=en&amp;geocode=&amp;q=44.4950871463769,-111.335546961494</v>
      </c>
    </row>
    <row r="906" spans="1:7" ht="15" x14ac:dyDescent="0.3">
      <c r="A906">
        <v>39.919103242239501</v>
      </c>
      <c r="B906">
        <v>-75.231589990755793</v>
      </c>
      <c r="C906" t="s">
        <v>43</v>
      </c>
      <c r="D906" t="s">
        <v>605</v>
      </c>
      <c r="F906" s="21"/>
      <c r="G906" s="16" t="str">
        <f>HYPERLINK("http://maps.google.com/maps?f=q&amp;hl=en&amp;geocode=&amp;q=39.9191032422395,-75.2315899907558")</f>
        <v>http://maps.google.com/maps?f=q&amp;hl=en&amp;geocode=&amp;q=39.9191032422395,-75.2315899907558</v>
      </c>
    </row>
    <row r="907" spans="1:7" ht="15" x14ac:dyDescent="0.3">
      <c r="A907">
        <v>40.468830108642599</v>
      </c>
      <c r="B907">
        <v>-79.981201171875</v>
      </c>
      <c r="C907" t="s">
        <v>43</v>
      </c>
      <c r="D907" t="s">
        <v>720</v>
      </c>
      <c r="F907" s="21"/>
      <c r="G907" s="16" t="str">
        <f>HYPERLINK("http://maps.google.com/maps?f=q&amp;hl=en&amp;geocode=&amp;q=40.4688301086426,-79.981201171875")</f>
        <v>http://maps.google.com/maps?f=q&amp;hl=en&amp;geocode=&amp;q=40.4688301086426,-79.981201171875</v>
      </c>
    </row>
    <row r="908" spans="1:7" ht="15" x14ac:dyDescent="0.3">
      <c r="A908" t="s">
        <v>44</v>
      </c>
      <c r="B908" t="s">
        <v>44</v>
      </c>
      <c r="C908" t="s">
        <v>44</v>
      </c>
      <c r="D908" t="s">
        <v>721</v>
      </c>
      <c r="F908" s="21"/>
      <c r="G908" s="16"/>
    </row>
    <row r="909" spans="1:7" ht="15" x14ac:dyDescent="0.3">
      <c r="A909">
        <v>41.02552</v>
      </c>
      <c r="B909">
        <v>-81.567899999999995</v>
      </c>
      <c r="C909" t="s">
        <v>41</v>
      </c>
      <c r="D909" t="s">
        <v>722</v>
      </c>
      <c r="F909" s="21"/>
      <c r="G909" s="16" t="str">
        <f>HYPERLINK("http://maps.google.com/maps?f=q&amp;hl=en&amp;geocode=&amp;q=41.02552,-81.5679")</f>
        <v>http://maps.google.com/maps?f=q&amp;hl=en&amp;geocode=&amp;q=41.02552,-81.5679</v>
      </c>
    </row>
    <row r="910" spans="1:7" ht="15" x14ac:dyDescent="0.3">
      <c r="A910">
        <v>37.281880000000001</v>
      </c>
      <c r="B910">
        <v>-95.55547</v>
      </c>
      <c r="C910" t="s">
        <v>43</v>
      </c>
      <c r="D910" t="s">
        <v>723</v>
      </c>
      <c r="F910" s="21"/>
      <c r="G910" s="16" t="str">
        <f>HYPERLINK("http://maps.google.com/maps?f=q&amp;hl=en&amp;geocode=&amp;q=37.28188,-95.55547")</f>
        <v>http://maps.google.com/maps?f=q&amp;hl=en&amp;geocode=&amp;q=37.28188,-95.55547</v>
      </c>
    </row>
    <row r="911" spans="1:7" ht="15" x14ac:dyDescent="0.3">
      <c r="A911">
        <v>37.281880000000001</v>
      </c>
      <c r="B911">
        <v>-95.55547</v>
      </c>
      <c r="C911" t="s">
        <v>43</v>
      </c>
      <c r="D911" t="s">
        <v>723</v>
      </c>
      <c r="F911" s="21"/>
      <c r="G911" s="16" t="str">
        <f>HYPERLINK("http://maps.google.com/maps?f=q&amp;hl=en&amp;geocode=&amp;q=37.28188,-95.55547")</f>
        <v>http://maps.google.com/maps?f=q&amp;hl=en&amp;geocode=&amp;q=37.28188,-95.55547</v>
      </c>
    </row>
    <row r="912" spans="1:7" ht="15" x14ac:dyDescent="0.3">
      <c r="A912">
        <v>39.954037576622397</v>
      </c>
      <c r="B912">
        <v>-75.226335996261298</v>
      </c>
      <c r="C912" t="s">
        <v>41</v>
      </c>
      <c r="D912" t="s">
        <v>397</v>
      </c>
      <c r="F912" s="21"/>
      <c r="G912" s="16" t="str">
        <f>HYPERLINK("http://maps.google.com/maps?f=q&amp;hl=en&amp;geocode=&amp;q=39.9540375766224,-75.2263359962613")</f>
        <v>http://maps.google.com/maps?f=q&amp;hl=en&amp;geocode=&amp;q=39.9540375766224,-75.2263359962613</v>
      </c>
    </row>
    <row r="913" spans="1:7" ht="15" x14ac:dyDescent="0.3">
      <c r="A913">
        <v>33.852749999988198</v>
      </c>
      <c r="B913">
        <v>-117.93093585484699</v>
      </c>
      <c r="C913" t="s">
        <v>41</v>
      </c>
      <c r="D913" t="s">
        <v>724</v>
      </c>
      <c r="F913" s="21"/>
      <c r="G913" s="16" t="str">
        <f>HYPERLINK("http://maps.google.com/maps?f=q&amp;hl=en&amp;geocode=&amp;q=33.8527499999882,-117.930935854847")</f>
        <v>http://maps.google.com/maps?f=q&amp;hl=en&amp;geocode=&amp;q=33.8527499999882,-117.930935854847</v>
      </c>
    </row>
    <row r="914" spans="1:7" ht="15" x14ac:dyDescent="0.3">
      <c r="A914">
        <v>-23.5252494812012</v>
      </c>
      <c r="B914">
        <v>148.15791320800801</v>
      </c>
      <c r="C914" t="s">
        <v>43</v>
      </c>
      <c r="D914" t="s">
        <v>725</v>
      </c>
      <c r="F914" s="21"/>
      <c r="G914" s="16" t="str">
        <f>HYPERLINK("http://maps.google.com/maps?f=q&amp;hl=en&amp;geocode=&amp;q=-23.5252494812012,148.157913208008")</f>
        <v>http://maps.google.com/maps?f=q&amp;hl=en&amp;geocode=&amp;q=-23.5252494812012,148.157913208008</v>
      </c>
    </row>
    <row r="915" spans="1:7" ht="15" x14ac:dyDescent="0.3">
      <c r="A915">
        <v>29.7070607654728</v>
      </c>
      <c r="B915">
        <v>-95.465556323660806</v>
      </c>
      <c r="C915" t="s">
        <v>43</v>
      </c>
      <c r="D915" t="s">
        <v>726</v>
      </c>
      <c r="F915" s="21"/>
      <c r="G915" s="16" t="str">
        <f>HYPERLINK("http://maps.google.com/maps?f=q&amp;hl=en&amp;geocode=&amp;q=29.7070607654728,-95.4655563236608")</f>
        <v>http://maps.google.com/maps?f=q&amp;hl=en&amp;geocode=&amp;q=29.7070607654728,-95.4655563236608</v>
      </c>
    </row>
    <row r="916" spans="1:7" ht="15" x14ac:dyDescent="0.3">
      <c r="A916">
        <v>13.3421745300293</v>
      </c>
      <c r="B916">
        <v>121.187538146973</v>
      </c>
      <c r="C916" t="s">
        <v>43</v>
      </c>
      <c r="D916" t="s">
        <v>727</v>
      </c>
      <c r="F916" s="21"/>
      <c r="G916" s="16" t="str">
        <f>HYPERLINK("http://maps.google.com/maps?f=q&amp;hl=en&amp;geocode=&amp;q=13.3421745300293,121.187538146973")</f>
        <v>http://maps.google.com/maps?f=q&amp;hl=en&amp;geocode=&amp;q=13.3421745300293,121.187538146973</v>
      </c>
    </row>
    <row r="917" spans="1:7" ht="15" x14ac:dyDescent="0.3">
      <c r="A917">
        <v>-31.950477600097699</v>
      </c>
      <c r="B917">
        <v>115.86053466796901</v>
      </c>
      <c r="C917" t="s">
        <v>43</v>
      </c>
      <c r="D917" t="s">
        <v>433</v>
      </c>
      <c r="F917" s="21"/>
      <c r="G917" s="16" t="str">
        <f>HYPERLINK("http://maps.google.com/maps?f=q&amp;hl=en&amp;geocode=&amp;q=-31.9504776000977,115.860534667969")</f>
        <v>http://maps.google.com/maps?f=q&amp;hl=en&amp;geocode=&amp;q=-31.9504776000977,115.860534667969</v>
      </c>
    </row>
    <row r="918" spans="1:7" ht="15" x14ac:dyDescent="0.3">
      <c r="A918">
        <v>39.023820000000001</v>
      </c>
      <c r="B918">
        <v>-94.582080000000005</v>
      </c>
      <c r="C918" t="s">
        <v>42</v>
      </c>
      <c r="D918" t="s">
        <v>728</v>
      </c>
      <c r="F918" s="21"/>
      <c r="G918" s="16" t="str">
        <f>HYPERLINK("http://maps.google.com/maps?f=q&amp;hl=en&amp;geocode=&amp;q=39.02382,-94.58208")</f>
        <v>http://maps.google.com/maps?f=q&amp;hl=en&amp;geocode=&amp;q=39.02382,-94.58208</v>
      </c>
    </row>
    <row r="919" spans="1:7" ht="15" x14ac:dyDescent="0.3">
      <c r="A919">
        <v>39.912550000000003</v>
      </c>
      <c r="B919">
        <v>-75.237489999999994</v>
      </c>
      <c r="C919" t="s">
        <v>41</v>
      </c>
      <c r="D919" t="s">
        <v>481</v>
      </c>
      <c r="F919" s="21"/>
      <c r="G919" s="16" t="str">
        <f>HYPERLINK("http://maps.google.com/maps?f=q&amp;hl=en&amp;geocode=&amp;q=39.91255,-75.23749")</f>
        <v>http://maps.google.com/maps?f=q&amp;hl=en&amp;geocode=&amp;q=39.91255,-75.23749</v>
      </c>
    </row>
    <row r="920" spans="1:7" ht="15" x14ac:dyDescent="0.3">
      <c r="A920">
        <v>39.999870000000001</v>
      </c>
      <c r="B920">
        <v>-75.116299999999995</v>
      </c>
      <c r="C920" t="s">
        <v>41</v>
      </c>
      <c r="D920" t="s">
        <v>729</v>
      </c>
      <c r="F920" s="21"/>
      <c r="G920" s="16" t="str">
        <f>HYPERLINK("http://maps.google.com/maps?f=q&amp;hl=en&amp;geocode=&amp;q=39.99987,-75.1163")</f>
        <v>http://maps.google.com/maps?f=q&amp;hl=en&amp;geocode=&amp;q=39.99987,-75.1163</v>
      </c>
    </row>
    <row r="921" spans="1:7" ht="15" x14ac:dyDescent="0.3">
      <c r="A921">
        <v>38.639511108398402</v>
      </c>
      <c r="B921">
        <v>-106.36630249023401</v>
      </c>
      <c r="C921" t="s">
        <v>43</v>
      </c>
      <c r="D921" t="s">
        <v>715</v>
      </c>
      <c r="F921" s="21"/>
      <c r="G921" s="16" t="str">
        <f>HYPERLINK("http://maps.google.com/maps?f=q&amp;hl=en&amp;geocode=&amp;q=38.6395111083984,-106.366302490234")</f>
        <v>http://maps.google.com/maps?f=q&amp;hl=en&amp;geocode=&amp;q=38.6395111083984,-106.366302490234</v>
      </c>
    </row>
    <row r="922" spans="1:7" ht="15" x14ac:dyDescent="0.3">
      <c r="A922">
        <v>42.748857593913002</v>
      </c>
      <c r="B922">
        <v>-76.526675756589199</v>
      </c>
      <c r="C922" t="s">
        <v>41</v>
      </c>
      <c r="D922" t="s">
        <v>730</v>
      </c>
      <c r="F922" s="21"/>
      <c r="G922" s="16" t="str">
        <f>HYPERLINK("http://maps.google.com/maps?f=q&amp;hl=en&amp;geocode=&amp;q=42.748857593913,-76.5266757565892")</f>
        <v>http://maps.google.com/maps?f=q&amp;hl=en&amp;geocode=&amp;q=42.748857593913,-76.5266757565892</v>
      </c>
    </row>
    <row r="923" spans="1:7" ht="15" x14ac:dyDescent="0.3">
      <c r="A923">
        <v>38.868989999999997</v>
      </c>
      <c r="B923">
        <v>-77.368319999999997</v>
      </c>
      <c r="C923" t="s">
        <v>41</v>
      </c>
      <c r="D923" t="s">
        <v>731</v>
      </c>
      <c r="F923" s="21"/>
      <c r="G923" s="16" t="str">
        <f>HYPERLINK("http://maps.google.com/maps?f=q&amp;hl=en&amp;geocode=&amp;q=38.86899,-77.36832")</f>
        <v>http://maps.google.com/maps?f=q&amp;hl=en&amp;geocode=&amp;q=38.86899,-77.36832</v>
      </c>
    </row>
    <row r="924" spans="1:7" ht="15" x14ac:dyDescent="0.3">
      <c r="A924">
        <v>38.973060607910199</v>
      </c>
      <c r="B924">
        <v>-95.236526489257798</v>
      </c>
      <c r="C924" t="s">
        <v>43</v>
      </c>
      <c r="D924" t="s">
        <v>732</v>
      </c>
      <c r="F924" s="21"/>
      <c r="G924" s="16" t="str">
        <f>HYPERLINK("http://maps.google.com/maps?f=q&amp;hl=en&amp;geocode=&amp;q=38.9730606079102,-95.2365264892578")</f>
        <v>http://maps.google.com/maps?f=q&amp;hl=en&amp;geocode=&amp;q=38.9730606079102,-95.2365264892578</v>
      </c>
    </row>
    <row r="925" spans="1:7" ht="15" x14ac:dyDescent="0.3">
      <c r="A925">
        <v>41.488712310791001</v>
      </c>
      <c r="B925">
        <v>-71.454322814941406</v>
      </c>
      <c r="C925" t="s">
        <v>41</v>
      </c>
      <c r="D925" t="s">
        <v>733</v>
      </c>
      <c r="F925" s="21"/>
      <c r="G925" s="16" t="str">
        <f>HYPERLINK("http://maps.google.com/maps?f=q&amp;hl=en&amp;geocode=&amp;q=41.488712310791,-71.4543228149414")</f>
        <v>http://maps.google.com/maps?f=q&amp;hl=en&amp;geocode=&amp;q=41.488712310791,-71.4543228149414</v>
      </c>
    </row>
    <row r="926" spans="1:7" ht="15" x14ac:dyDescent="0.3">
      <c r="A926">
        <v>50.427330017089801</v>
      </c>
      <c r="B926">
        <v>4.9008412361145002</v>
      </c>
      <c r="C926" t="s">
        <v>43</v>
      </c>
      <c r="D926" t="s">
        <v>734</v>
      </c>
      <c r="F926" s="21"/>
      <c r="G926" s="16" t="str">
        <f>HYPERLINK("http://maps.google.com/maps?f=q&amp;hl=en&amp;geocode=&amp;q=50.4273300170898,4.9008412361145")</f>
        <v>http://maps.google.com/maps?f=q&amp;hl=en&amp;geocode=&amp;q=50.4273300170898,4.9008412361145</v>
      </c>
    </row>
    <row r="927" spans="1:7" ht="15" x14ac:dyDescent="0.3">
      <c r="A927">
        <v>39.996689924217897</v>
      </c>
      <c r="B927">
        <v>-79.584076851216395</v>
      </c>
      <c r="C927" t="s">
        <v>41</v>
      </c>
      <c r="D927" t="s">
        <v>735</v>
      </c>
      <c r="F927" s="21"/>
      <c r="G927" s="16" t="str">
        <f>HYPERLINK("http://maps.google.com/maps?f=q&amp;hl=en&amp;geocode=&amp;q=39.9966899242179,-79.5840768512164")</f>
        <v>http://maps.google.com/maps?f=q&amp;hl=en&amp;geocode=&amp;q=39.9966899242179,-79.5840768512164</v>
      </c>
    </row>
    <row r="928" spans="1:7" ht="15" x14ac:dyDescent="0.3">
      <c r="A928">
        <v>40.310450703028501</v>
      </c>
      <c r="B928">
        <v>-78.322363777872894</v>
      </c>
      <c r="C928" t="s">
        <v>41</v>
      </c>
      <c r="D928" t="s">
        <v>524</v>
      </c>
      <c r="F928" s="21"/>
      <c r="G928" s="16" t="str">
        <f>HYPERLINK("http://maps.google.com/maps?f=q&amp;hl=en&amp;geocode=&amp;q=40.3104507030285,-78.3223637778729")</f>
        <v>http://maps.google.com/maps?f=q&amp;hl=en&amp;geocode=&amp;q=40.3104507030285,-78.3223637778729</v>
      </c>
    </row>
    <row r="929" spans="1:7" ht="15" x14ac:dyDescent="0.3">
      <c r="A929">
        <v>39.918709999999997</v>
      </c>
      <c r="B929">
        <v>-75.228719999999996</v>
      </c>
      <c r="C929" t="s">
        <v>41</v>
      </c>
      <c r="D929" t="s">
        <v>381</v>
      </c>
      <c r="F929" s="21"/>
      <c r="G929" s="16" t="str">
        <f>HYPERLINK("http://maps.google.com/maps?f=q&amp;hl=en&amp;geocode=&amp;q=39.91871,-75.22872")</f>
        <v>http://maps.google.com/maps?f=q&amp;hl=en&amp;geocode=&amp;q=39.91871,-75.22872</v>
      </c>
    </row>
    <row r="930" spans="1:7" ht="15" x14ac:dyDescent="0.3">
      <c r="A930">
        <v>45.782908524613298</v>
      </c>
      <c r="B930">
        <v>-89.103689747069694</v>
      </c>
      <c r="C930" t="s">
        <v>41</v>
      </c>
      <c r="D930" t="s">
        <v>736</v>
      </c>
      <c r="F930" s="21"/>
      <c r="G930" s="16" t="str">
        <f>HYPERLINK("http://maps.google.com/maps?f=q&amp;hl=en&amp;geocode=&amp;q=45.7829085246133,-89.1036897470697")</f>
        <v>http://maps.google.com/maps?f=q&amp;hl=en&amp;geocode=&amp;q=45.7829085246133,-89.1036897470697</v>
      </c>
    </row>
    <row r="931" spans="1:7" ht="15" x14ac:dyDescent="0.3">
      <c r="A931">
        <v>43.328453589074002</v>
      </c>
      <c r="B931">
        <v>-78.751294686180898</v>
      </c>
      <c r="C931" t="s">
        <v>41</v>
      </c>
      <c r="D931" t="s">
        <v>737</v>
      </c>
      <c r="F931" s="21"/>
      <c r="G931" s="16" t="str">
        <f>HYPERLINK("http://maps.google.com/maps?f=q&amp;hl=en&amp;geocode=&amp;q=43.328453589074,-78.7512946861809")</f>
        <v>http://maps.google.com/maps?f=q&amp;hl=en&amp;geocode=&amp;q=43.328453589074,-78.7512946861809</v>
      </c>
    </row>
    <row r="932" spans="1:7" ht="15" x14ac:dyDescent="0.3">
      <c r="A932">
        <v>55.887496948242202</v>
      </c>
      <c r="B932">
        <v>11.6570587158203</v>
      </c>
      <c r="C932" t="s">
        <v>41</v>
      </c>
      <c r="D932" t="s">
        <v>738</v>
      </c>
      <c r="F932" s="21"/>
      <c r="G932" s="16" t="str">
        <f>HYPERLINK("http://maps.google.com/maps?f=q&amp;hl=en&amp;geocode=&amp;q=55.8874969482422,11.6570587158203")</f>
        <v>http://maps.google.com/maps?f=q&amp;hl=en&amp;geocode=&amp;q=55.8874969482422,11.6570587158203</v>
      </c>
    </row>
    <row r="933" spans="1:7" ht="15" x14ac:dyDescent="0.3">
      <c r="A933">
        <v>38.205649999999999</v>
      </c>
      <c r="B933">
        <v>-104.26692</v>
      </c>
      <c r="C933" t="s">
        <v>42</v>
      </c>
      <c r="D933" t="s">
        <v>739</v>
      </c>
      <c r="F933" s="21"/>
      <c r="G933" s="16" t="str">
        <f>HYPERLINK("http://maps.google.com/maps?f=q&amp;hl=en&amp;geocode=&amp;q=38.20565,-104.26692")</f>
        <v>http://maps.google.com/maps?f=q&amp;hl=en&amp;geocode=&amp;q=38.20565,-104.26692</v>
      </c>
    </row>
    <row r="934" spans="1:7" ht="15" x14ac:dyDescent="0.3">
      <c r="A934" t="s">
        <v>44</v>
      </c>
      <c r="B934" t="s">
        <v>44</v>
      </c>
      <c r="C934" t="s">
        <v>44</v>
      </c>
      <c r="D934" t="s">
        <v>664</v>
      </c>
      <c r="F934" s="21"/>
      <c r="G934" s="16"/>
    </row>
    <row r="935" spans="1:7" ht="15" x14ac:dyDescent="0.3">
      <c r="A935">
        <v>39.953850000000003</v>
      </c>
      <c r="B935">
        <v>-75.246650000000002</v>
      </c>
      <c r="C935" t="s">
        <v>41</v>
      </c>
      <c r="D935" t="s">
        <v>740</v>
      </c>
      <c r="F935" s="21"/>
      <c r="G935" s="16" t="str">
        <f>HYPERLINK("http://maps.google.com/maps?f=q&amp;hl=en&amp;geocode=&amp;q=39.95385,-75.24665")</f>
        <v>http://maps.google.com/maps?f=q&amp;hl=en&amp;geocode=&amp;q=39.95385,-75.24665</v>
      </c>
    </row>
    <row r="936" spans="1:7" ht="15" x14ac:dyDescent="0.3">
      <c r="A936">
        <v>38.492788265557103</v>
      </c>
      <c r="B936">
        <v>-81.350390153398806</v>
      </c>
      <c r="C936" t="s">
        <v>42</v>
      </c>
      <c r="D936" t="s">
        <v>741</v>
      </c>
      <c r="F936" s="21"/>
      <c r="G936" s="16" t="str">
        <f>HYPERLINK("http://maps.google.com/maps?f=q&amp;hl=en&amp;geocode=&amp;q=38.4927882655571,-81.3503901533988")</f>
        <v>http://maps.google.com/maps?f=q&amp;hl=en&amp;geocode=&amp;q=38.4927882655571,-81.3503901533988</v>
      </c>
    </row>
    <row r="937" spans="1:7" ht="15" x14ac:dyDescent="0.3">
      <c r="A937">
        <v>40.468830108642599</v>
      </c>
      <c r="B937">
        <v>-79.981201171875</v>
      </c>
      <c r="C937" t="s">
        <v>43</v>
      </c>
      <c r="D937" t="s">
        <v>742</v>
      </c>
      <c r="F937" s="21"/>
      <c r="G937" s="16" t="str">
        <f>HYPERLINK("http://maps.google.com/maps?f=q&amp;hl=en&amp;geocode=&amp;q=40.4688301086426,-79.981201171875")</f>
        <v>http://maps.google.com/maps?f=q&amp;hl=en&amp;geocode=&amp;q=40.4688301086426,-79.981201171875</v>
      </c>
    </row>
    <row r="938" spans="1:7" ht="15" x14ac:dyDescent="0.3">
      <c r="A938">
        <v>33.507581497955897</v>
      </c>
      <c r="B938">
        <v>-81.722275061550306</v>
      </c>
      <c r="C938" t="s">
        <v>41</v>
      </c>
      <c r="D938" t="s">
        <v>743</v>
      </c>
      <c r="F938" s="21"/>
      <c r="G938" s="16" t="str">
        <f>HYPERLINK("http://maps.google.com/maps?f=q&amp;hl=en&amp;geocode=&amp;q=33.5075814979559,-81.7222750615503")</f>
        <v>http://maps.google.com/maps?f=q&amp;hl=en&amp;geocode=&amp;q=33.5075814979559,-81.7222750615503</v>
      </c>
    </row>
    <row r="939" spans="1:7" ht="15" x14ac:dyDescent="0.3">
      <c r="A939">
        <v>6.7093100547790501</v>
      </c>
      <c r="B939">
        <v>80.452972412109403</v>
      </c>
      <c r="C939" t="s">
        <v>43</v>
      </c>
      <c r="D939" t="s">
        <v>744</v>
      </c>
      <c r="F939" s="21"/>
      <c r="G939" s="16" t="str">
        <f>HYPERLINK("http://maps.google.com/maps?f=q&amp;hl=en&amp;geocode=&amp;q=6.70931005477905,80.4529724121094")</f>
        <v>http://maps.google.com/maps?f=q&amp;hl=en&amp;geocode=&amp;q=6.70931005477905,80.4529724121094</v>
      </c>
    </row>
    <row r="940" spans="1:7" ht="15" x14ac:dyDescent="0.3">
      <c r="A940">
        <v>50.397903442382798</v>
      </c>
      <c r="B940">
        <v>4.5238752365112296</v>
      </c>
      <c r="C940" t="s">
        <v>43</v>
      </c>
      <c r="D940" t="s">
        <v>745</v>
      </c>
      <c r="F940" s="21"/>
      <c r="G940" s="16" t="str">
        <f>HYPERLINK("http://maps.google.com/maps?f=q&amp;hl=en&amp;geocode=&amp;q=50.3979034423828,4.52387523651123")</f>
        <v>http://maps.google.com/maps?f=q&amp;hl=en&amp;geocode=&amp;q=50.3979034423828,4.52387523651123</v>
      </c>
    </row>
    <row r="941" spans="1:7" ht="15" x14ac:dyDescent="0.3">
      <c r="A941">
        <v>37.834124558639402</v>
      </c>
      <c r="B941">
        <v>-94.883701401642398</v>
      </c>
      <c r="C941" t="s">
        <v>41</v>
      </c>
      <c r="D941" t="s">
        <v>746</v>
      </c>
      <c r="F941" s="21"/>
      <c r="G941" s="16" t="str">
        <f>HYPERLINK("http://maps.google.com/maps?f=q&amp;hl=en&amp;geocode=&amp;q=37.8341245586394,-94.8837014016424")</f>
        <v>http://maps.google.com/maps?f=q&amp;hl=en&amp;geocode=&amp;q=37.8341245586394,-94.8837014016424</v>
      </c>
    </row>
    <row r="942" spans="1:7" ht="15" x14ac:dyDescent="0.3">
      <c r="A942">
        <v>33.088999999999999</v>
      </c>
      <c r="B942">
        <v>-83.794600000000003</v>
      </c>
      <c r="C942" t="s">
        <v>42</v>
      </c>
      <c r="D942" t="s">
        <v>747</v>
      </c>
      <c r="F942" s="21"/>
      <c r="G942" s="16" t="str">
        <f>HYPERLINK("http://maps.google.com/maps?f=q&amp;hl=en&amp;geocode=&amp;q=33.089,-83.7946")</f>
        <v>http://maps.google.com/maps?f=q&amp;hl=en&amp;geocode=&amp;q=33.089,-83.7946</v>
      </c>
    </row>
    <row r="943" spans="1:7" ht="15" x14ac:dyDescent="0.3">
      <c r="A943">
        <v>45.915798187255902</v>
      </c>
      <c r="B943">
        <v>-67.056892395019503</v>
      </c>
      <c r="C943" t="s">
        <v>41</v>
      </c>
      <c r="D943" t="s">
        <v>748</v>
      </c>
      <c r="F943" s="21"/>
      <c r="G943" s="16" t="str">
        <f>HYPERLINK("http://maps.google.com/maps?f=q&amp;hl=en&amp;geocode=&amp;q=45.9157981872559,-67.0568923950195")</f>
        <v>http://maps.google.com/maps?f=q&amp;hl=en&amp;geocode=&amp;q=45.9157981872559,-67.0568923950195</v>
      </c>
    </row>
    <row r="944" spans="1:7" ht="15" x14ac:dyDescent="0.3">
      <c r="A944">
        <v>7.2021198272705096</v>
      </c>
      <c r="B944">
        <v>126.53334808349599</v>
      </c>
      <c r="C944" t="s">
        <v>41</v>
      </c>
      <c r="D944" t="s">
        <v>749</v>
      </c>
      <c r="F944" s="21"/>
      <c r="G944" s="16" t="str">
        <f>HYPERLINK("http://maps.google.com/maps?f=q&amp;hl=en&amp;geocode=&amp;q=7.20211982727051,126.533348083496")</f>
        <v>http://maps.google.com/maps?f=q&amp;hl=en&amp;geocode=&amp;q=7.20211982727051,126.533348083496</v>
      </c>
    </row>
    <row r="945" spans="1:7" ht="15" x14ac:dyDescent="0.3">
      <c r="A945">
        <v>33.432704967208402</v>
      </c>
      <c r="B945">
        <v>-111.706025661515</v>
      </c>
      <c r="C945" t="s">
        <v>41</v>
      </c>
      <c r="D945" t="s">
        <v>750</v>
      </c>
      <c r="F945" s="21"/>
      <c r="G945" s="16" t="str">
        <f>HYPERLINK("http://maps.google.com/maps?f=q&amp;hl=en&amp;geocode=&amp;q=33.4327049672084,-111.706025661515")</f>
        <v>http://maps.google.com/maps?f=q&amp;hl=en&amp;geocode=&amp;q=33.4327049672084,-111.706025661515</v>
      </c>
    </row>
    <row r="946" spans="1:7" ht="15" x14ac:dyDescent="0.3">
      <c r="A946">
        <v>39.933900000000001</v>
      </c>
      <c r="B946">
        <v>-75.222470000000001</v>
      </c>
      <c r="C946" t="s">
        <v>43</v>
      </c>
      <c r="D946" t="s">
        <v>751</v>
      </c>
      <c r="F946" s="21"/>
      <c r="G946" s="16" t="str">
        <f>HYPERLINK("http://maps.google.com/maps?f=q&amp;hl=en&amp;geocode=&amp;q=39.9339,-75.22247")</f>
        <v>http://maps.google.com/maps?f=q&amp;hl=en&amp;geocode=&amp;q=39.9339,-75.22247</v>
      </c>
    </row>
    <row r="947" spans="1:7" ht="15" x14ac:dyDescent="0.3">
      <c r="A947">
        <v>34.320070000000001</v>
      </c>
      <c r="B947">
        <v>-78.705969999999994</v>
      </c>
      <c r="C947" t="s">
        <v>43</v>
      </c>
      <c r="D947" t="s">
        <v>752</v>
      </c>
      <c r="F947" s="21"/>
      <c r="G947" s="16" t="str">
        <f>HYPERLINK("http://maps.google.com/maps?f=q&amp;hl=en&amp;geocode=&amp;q=34.32007,-78.70597")</f>
        <v>http://maps.google.com/maps?f=q&amp;hl=en&amp;geocode=&amp;q=34.32007,-78.70597</v>
      </c>
    </row>
    <row r="948" spans="1:7" ht="15" x14ac:dyDescent="0.3">
      <c r="A948">
        <v>55.960311889648402</v>
      </c>
      <c r="B948">
        <v>-2.6058900356292698</v>
      </c>
      <c r="C948" t="s">
        <v>41</v>
      </c>
      <c r="D948" t="s">
        <v>753</v>
      </c>
      <c r="F948" s="21"/>
      <c r="G948" s="16" t="str">
        <f>HYPERLINK("http://maps.google.com/maps?f=q&amp;hl=en&amp;geocode=&amp;q=55.9603118896484,-2.60589003562927")</f>
        <v>http://maps.google.com/maps?f=q&amp;hl=en&amp;geocode=&amp;q=55.9603118896484,-2.60589003562927</v>
      </c>
    </row>
    <row r="949" spans="1:7" ht="15" x14ac:dyDescent="0.3">
      <c r="A949">
        <v>45.648745043489598</v>
      </c>
      <c r="B949">
        <v>-84.504105519923101</v>
      </c>
      <c r="C949" t="s">
        <v>41</v>
      </c>
      <c r="D949" t="s">
        <v>754</v>
      </c>
      <c r="F949" s="21"/>
      <c r="G949" s="16" t="str">
        <f>HYPERLINK("http://maps.google.com/maps?f=q&amp;hl=en&amp;geocode=&amp;q=45.6487450434896,-84.5041055199231")</f>
        <v>http://maps.google.com/maps?f=q&amp;hl=en&amp;geocode=&amp;q=45.6487450434896,-84.5041055199231</v>
      </c>
    </row>
    <row r="950" spans="1:7" ht="15" x14ac:dyDescent="0.3">
      <c r="A950">
        <v>39.924963148174498</v>
      </c>
      <c r="B950">
        <v>-75.236109772819404</v>
      </c>
      <c r="C950" t="s">
        <v>41</v>
      </c>
      <c r="D950" t="s">
        <v>755</v>
      </c>
      <c r="F950" s="21"/>
      <c r="G950" s="16" t="str">
        <f>HYPERLINK("http://maps.google.com/maps?f=q&amp;hl=en&amp;geocode=&amp;q=39.9249631481745,-75.2361097728194")</f>
        <v>http://maps.google.com/maps?f=q&amp;hl=en&amp;geocode=&amp;q=39.9249631481745,-75.2361097728194</v>
      </c>
    </row>
    <row r="951" spans="1:7" ht="15" x14ac:dyDescent="0.3">
      <c r="A951" t="s">
        <v>44</v>
      </c>
      <c r="B951" t="s">
        <v>44</v>
      </c>
      <c r="C951" t="s">
        <v>44</v>
      </c>
      <c r="D951" t="s">
        <v>756</v>
      </c>
      <c r="F951" s="21"/>
      <c r="G951" s="16"/>
    </row>
    <row r="952" spans="1:7" ht="15" x14ac:dyDescent="0.3">
      <c r="A952">
        <v>55.459780000000002</v>
      </c>
      <c r="B952">
        <v>11.20115</v>
      </c>
      <c r="C952" t="s">
        <v>41</v>
      </c>
      <c r="D952" t="s">
        <v>757</v>
      </c>
      <c r="F952" s="21"/>
      <c r="G952" s="16" t="str">
        <f>HYPERLINK("http://maps.google.com/maps?f=q&amp;hl=en&amp;geocode=&amp;q=55.45978,11.20115")</f>
        <v>http://maps.google.com/maps?f=q&amp;hl=en&amp;geocode=&amp;q=55.45978,11.20115</v>
      </c>
    </row>
    <row r="953" spans="1:7" ht="15" x14ac:dyDescent="0.3">
      <c r="A953">
        <v>41.527271270752003</v>
      </c>
      <c r="B953">
        <v>-99.811103820800795</v>
      </c>
      <c r="C953" t="s">
        <v>41</v>
      </c>
      <c r="D953" t="s">
        <v>758</v>
      </c>
      <c r="F953" s="21"/>
      <c r="G953" s="16" t="str">
        <f>HYPERLINK("http://maps.google.com/maps?f=q&amp;hl=en&amp;geocode=&amp;q=41.527271270752,-99.8111038208008")</f>
        <v>http://maps.google.com/maps?f=q&amp;hl=en&amp;geocode=&amp;q=41.527271270752,-99.8111038208008</v>
      </c>
    </row>
    <row r="954" spans="1:7" ht="15" x14ac:dyDescent="0.3">
      <c r="A954">
        <v>39.997172134354301</v>
      </c>
      <c r="B954">
        <v>-75.073444248352601</v>
      </c>
      <c r="C954" t="s">
        <v>41</v>
      </c>
      <c r="D954" t="s">
        <v>759</v>
      </c>
      <c r="F954" s="21"/>
      <c r="G954" s="16" t="str">
        <f>HYPERLINK("http://maps.google.com/maps?f=q&amp;hl=en&amp;geocode=&amp;q=39.9971721343543,-75.0734442483526")</f>
        <v>http://maps.google.com/maps?f=q&amp;hl=en&amp;geocode=&amp;q=39.9971721343543,-75.0734442483526</v>
      </c>
    </row>
    <row r="955" spans="1:7" ht="15" x14ac:dyDescent="0.3">
      <c r="A955">
        <v>40.035719999999998</v>
      </c>
      <c r="B955">
        <v>-75.070629999999994</v>
      </c>
      <c r="C955" t="s">
        <v>41</v>
      </c>
      <c r="D955" t="s">
        <v>760</v>
      </c>
      <c r="F955" s="21"/>
      <c r="G955" s="16" t="str">
        <f>HYPERLINK("http://maps.google.com/maps?f=q&amp;hl=en&amp;geocode=&amp;q=40.03572,-75.07063")</f>
        <v>http://maps.google.com/maps?f=q&amp;hl=en&amp;geocode=&amp;q=40.03572,-75.07063</v>
      </c>
    </row>
    <row r="956" spans="1:7" ht="15" x14ac:dyDescent="0.3">
      <c r="A956">
        <v>40.118505861080699</v>
      </c>
      <c r="B956">
        <v>-76.478226618641997</v>
      </c>
      <c r="C956" t="s">
        <v>41</v>
      </c>
      <c r="D956" t="s">
        <v>761</v>
      </c>
      <c r="F956" s="21"/>
      <c r="G956" s="16" t="str">
        <f>HYPERLINK("http://maps.google.com/maps?f=q&amp;hl=en&amp;geocode=&amp;q=40.1185058610807,-76.478226618642")</f>
        <v>http://maps.google.com/maps?f=q&amp;hl=en&amp;geocode=&amp;q=40.1185058610807,-76.478226618642</v>
      </c>
    </row>
    <row r="957" spans="1:7" ht="15" x14ac:dyDescent="0.3">
      <c r="A957">
        <v>14.5838928222656</v>
      </c>
      <c r="B957">
        <v>121.07668304443401</v>
      </c>
      <c r="C957" t="s">
        <v>43</v>
      </c>
      <c r="D957" t="s">
        <v>762</v>
      </c>
      <c r="F957" s="21"/>
      <c r="G957" s="16" t="str">
        <f>HYPERLINK("http://maps.google.com/maps?f=q&amp;hl=en&amp;geocode=&amp;q=14.5838928222656,121.076683044434")</f>
        <v>http://maps.google.com/maps?f=q&amp;hl=en&amp;geocode=&amp;q=14.5838928222656,121.076683044434</v>
      </c>
    </row>
    <row r="958" spans="1:7" ht="15" x14ac:dyDescent="0.3">
      <c r="A958">
        <v>39.906570378985798</v>
      </c>
      <c r="B958">
        <v>-75.164144827499499</v>
      </c>
      <c r="C958" t="s">
        <v>41</v>
      </c>
      <c r="D958" t="s">
        <v>763</v>
      </c>
      <c r="F958" s="21"/>
      <c r="G958" s="16" t="str">
        <f>HYPERLINK("http://maps.google.com/maps?f=q&amp;hl=en&amp;geocode=&amp;q=39.9065703789858,-75.1641448274995")</f>
        <v>http://maps.google.com/maps?f=q&amp;hl=en&amp;geocode=&amp;q=39.9065703789858,-75.1641448274995</v>
      </c>
    </row>
    <row r="959" spans="1:7" ht="15" x14ac:dyDescent="0.3">
      <c r="A959">
        <v>29.688408817600401</v>
      </c>
      <c r="B959">
        <v>-90.578004208839701</v>
      </c>
      <c r="C959" t="s">
        <v>41</v>
      </c>
      <c r="D959" t="s">
        <v>764</v>
      </c>
      <c r="F959" s="21"/>
      <c r="G959" s="16" t="str">
        <f>HYPERLINK("http://maps.google.com/maps?f=q&amp;hl=en&amp;geocode=&amp;q=29.6884088176004,-90.5780042088397")</f>
        <v>http://maps.google.com/maps?f=q&amp;hl=en&amp;geocode=&amp;q=29.6884088176004,-90.5780042088397</v>
      </c>
    </row>
    <row r="960" spans="1:7" ht="15" x14ac:dyDescent="0.3">
      <c r="A960">
        <v>39.996954737656701</v>
      </c>
      <c r="B960">
        <v>-75.117221959843704</v>
      </c>
      <c r="C960" t="s">
        <v>41</v>
      </c>
      <c r="D960" t="s">
        <v>521</v>
      </c>
      <c r="F960" s="21"/>
      <c r="G960" s="16" t="str">
        <f>HYPERLINK("http://maps.google.com/maps?f=q&amp;hl=en&amp;geocode=&amp;q=39.9969547376567,-75.1172219598437")</f>
        <v>http://maps.google.com/maps?f=q&amp;hl=en&amp;geocode=&amp;q=39.9969547376567,-75.1172219598437</v>
      </c>
    </row>
    <row r="961" spans="1:7" ht="15" x14ac:dyDescent="0.3">
      <c r="A961">
        <v>41.511369999999999</v>
      </c>
      <c r="B961">
        <v>-78.228059999999999</v>
      </c>
      <c r="C961" t="s">
        <v>41</v>
      </c>
      <c r="D961" t="s">
        <v>765</v>
      </c>
      <c r="F961" s="21"/>
      <c r="G961" s="16" t="str">
        <f>HYPERLINK("http://maps.google.com/maps?f=q&amp;hl=en&amp;geocode=&amp;q=41.51137,-78.22806")</f>
        <v>http://maps.google.com/maps?f=q&amp;hl=en&amp;geocode=&amp;q=41.51137,-78.22806</v>
      </c>
    </row>
    <row r="962" spans="1:7" ht="15" x14ac:dyDescent="0.3">
      <c r="A962">
        <v>40.3096000034909</v>
      </c>
      <c r="B962">
        <v>-78.319260729959595</v>
      </c>
      <c r="C962" t="s">
        <v>41</v>
      </c>
      <c r="D962" t="s">
        <v>766</v>
      </c>
      <c r="F962" s="21"/>
      <c r="G962" s="16" t="str">
        <f>HYPERLINK("http://maps.google.com/maps?f=q&amp;hl=en&amp;geocode=&amp;q=40.3096000034909,-78.3192607299596")</f>
        <v>http://maps.google.com/maps?f=q&amp;hl=en&amp;geocode=&amp;q=40.3096000034909,-78.3192607299596</v>
      </c>
    </row>
    <row r="963" spans="1:7" ht="15" x14ac:dyDescent="0.3">
      <c r="A963">
        <v>40.3096000034909</v>
      </c>
      <c r="B963">
        <v>-78.319260729959595</v>
      </c>
      <c r="C963" t="s">
        <v>41</v>
      </c>
      <c r="D963" t="s">
        <v>766</v>
      </c>
      <c r="F963" s="21"/>
      <c r="G963" s="16" t="str">
        <f>HYPERLINK("http://maps.google.com/maps?f=q&amp;hl=en&amp;geocode=&amp;q=40.3096000034909,-78.3192607299596")</f>
        <v>http://maps.google.com/maps?f=q&amp;hl=en&amp;geocode=&amp;q=40.3096000034909,-78.3192607299596</v>
      </c>
    </row>
    <row r="964" spans="1:7" ht="15" x14ac:dyDescent="0.3">
      <c r="A964">
        <v>40.986289978027301</v>
      </c>
      <c r="B964">
        <v>-78.311256408691406</v>
      </c>
      <c r="C964" t="s">
        <v>43</v>
      </c>
      <c r="D964" t="s">
        <v>767</v>
      </c>
      <c r="F964" s="21"/>
      <c r="G964" s="16" t="str">
        <f>HYPERLINK("http://maps.google.com/maps?f=q&amp;hl=en&amp;geocode=&amp;q=40.9862899780273,-78.3112564086914")</f>
        <v>http://maps.google.com/maps?f=q&amp;hl=en&amp;geocode=&amp;q=40.9862899780273,-78.3112564086914</v>
      </c>
    </row>
    <row r="965" spans="1:7" ht="15" x14ac:dyDescent="0.3">
      <c r="A965">
        <v>39.919103242239501</v>
      </c>
      <c r="B965">
        <v>-75.231589990755793</v>
      </c>
      <c r="C965" t="s">
        <v>43</v>
      </c>
      <c r="D965" t="s">
        <v>605</v>
      </c>
      <c r="F965" s="21"/>
      <c r="G965" s="16" t="str">
        <f>HYPERLINK("http://maps.google.com/maps?f=q&amp;hl=en&amp;geocode=&amp;q=39.9191032422395,-75.2315899907558")</f>
        <v>http://maps.google.com/maps?f=q&amp;hl=en&amp;geocode=&amp;q=39.9191032422395,-75.2315899907558</v>
      </c>
    </row>
    <row r="966" spans="1:7" ht="15" x14ac:dyDescent="0.3">
      <c r="A966">
        <v>39.919103242239501</v>
      </c>
      <c r="B966">
        <v>-75.231589990755793</v>
      </c>
      <c r="C966" t="s">
        <v>43</v>
      </c>
      <c r="D966" t="s">
        <v>605</v>
      </c>
      <c r="F966" s="21"/>
      <c r="G966" s="16" t="str">
        <f>HYPERLINK("http://maps.google.com/maps?f=q&amp;hl=en&amp;geocode=&amp;q=39.9191032422395,-75.2315899907558")</f>
        <v>http://maps.google.com/maps?f=q&amp;hl=en&amp;geocode=&amp;q=39.9191032422395,-75.2315899907558</v>
      </c>
    </row>
    <row r="967" spans="1:7" ht="15" x14ac:dyDescent="0.3">
      <c r="A967">
        <v>29.7082328796387</v>
      </c>
      <c r="B967">
        <v>-90.006401062011705</v>
      </c>
      <c r="C967" t="s">
        <v>43</v>
      </c>
      <c r="D967" t="s">
        <v>98</v>
      </c>
      <c r="F967" s="21"/>
      <c r="G967" s="16" t="str">
        <f>HYPERLINK("http://maps.google.com/maps?f=q&amp;hl=en&amp;geocode=&amp;q=29.7082328796387,-90.0064010620117")</f>
        <v>http://maps.google.com/maps?f=q&amp;hl=en&amp;geocode=&amp;q=29.7082328796387,-90.0064010620117</v>
      </c>
    </row>
    <row r="968" spans="1:7" ht="15" x14ac:dyDescent="0.3">
      <c r="A968">
        <v>6.7093100547790501</v>
      </c>
      <c r="B968">
        <v>80.452972412109403</v>
      </c>
      <c r="C968" t="s">
        <v>43</v>
      </c>
      <c r="D968" t="s">
        <v>768</v>
      </c>
      <c r="F968" s="21"/>
      <c r="G968" s="16" t="str">
        <f>HYPERLINK("http://maps.google.com/maps?f=q&amp;hl=en&amp;geocode=&amp;q=6.70931005477905,80.4529724121094")</f>
        <v>http://maps.google.com/maps?f=q&amp;hl=en&amp;geocode=&amp;q=6.70931005477905,80.4529724121094</v>
      </c>
    </row>
    <row r="969" spans="1:7" ht="15" x14ac:dyDescent="0.3">
      <c r="A969">
        <v>35.907490000000003</v>
      </c>
      <c r="B969">
        <v>-78.483360000000005</v>
      </c>
      <c r="C969" t="s">
        <v>42</v>
      </c>
      <c r="D969" t="s">
        <v>769</v>
      </c>
      <c r="F969" s="21"/>
      <c r="G969" s="16" t="str">
        <f>HYPERLINK("http://maps.google.com/maps?f=q&amp;hl=en&amp;geocode=&amp;q=35.90749,-78.48336")</f>
        <v>http://maps.google.com/maps?f=q&amp;hl=en&amp;geocode=&amp;q=35.90749,-78.48336</v>
      </c>
    </row>
    <row r="970" spans="1:7" ht="15" x14ac:dyDescent="0.3">
      <c r="A970">
        <v>35.550861358642599</v>
      </c>
      <c r="B970">
        <v>-121.072059631348</v>
      </c>
      <c r="C970" t="s">
        <v>43</v>
      </c>
      <c r="D970" t="s">
        <v>770</v>
      </c>
      <c r="F970" s="21"/>
      <c r="G970" s="16" t="str">
        <f>HYPERLINK("http://maps.google.com/maps?f=q&amp;hl=en&amp;geocode=&amp;q=35.5508613586426,-121.072059631348")</f>
        <v>http://maps.google.com/maps?f=q&amp;hl=en&amp;geocode=&amp;q=35.5508613586426,-121.072059631348</v>
      </c>
    </row>
    <row r="971" spans="1:7" ht="15" x14ac:dyDescent="0.3">
      <c r="A971">
        <v>39.950969999999998</v>
      </c>
      <c r="B971">
        <v>-75.222560000000001</v>
      </c>
      <c r="C971" t="s">
        <v>41</v>
      </c>
      <c r="D971" t="s">
        <v>665</v>
      </c>
      <c r="F971" s="21"/>
      <c r="G971" s="16" t="str">
        <f>HYPERLINK("http://maps.google.com/maps?f=q&amp;hl=en&amp;geocode=&amp;q=39.95097,-75.22256")</f>
        <v>http://maps.google.com/maps?f=q&amp;hl=en&amp;geocode=&amp;q=39.95097,-75.22256</v>
      </c>
    </row>
    <row r="972" spans="1:7" ht="15" x14ac:dyDescent="0.3">
      <c r="A972">
        <v>41.0912475585938</v>
      </c>
      <c r="B972">
        <v>-73.9227294921875</v>
      </c>
      <c r="C972" t="s">
        <v>41</v>
      </c>
      <c r="D972" t="s">
        <v>657</v>
      </c>
      <c r="F972" s="21"/>
      <c r="G972" s="16" t="str">
        <f>HYPERLINK("http://maps.google.com/maps?f=q&amp;hl=en&amp;geocode=&amp;q=41.0912475585938,-73.9227294921875")</f>
        <v>http://maps.google.com/maps?f=q&amp;hl=en&amp;geocode=&amp;q=41.0912475585938,-73.9227294921875</v>
      </c>
    </row>
    <row r="973" spans="1:7" ht="15" x14ac:dyDescent="0.3">
      <c r="A973">
        <v>33.936018308014397</v>
      </c>
      <c r="B973">
        <v>-84.533137842325502</v>
      </c>
      <c r="C973" t="s">
        <v>42</v>
      </c>
      <c r="D973" t="s">
        <v>771</v>
      </c>
      <c r="F973" s="21"/>
      <c r="G973" s="16" t="str">
        <f>HYPERLINK("http://maps.google.com/maps?f=q&amp;hl=en&amp;geocode=&amp;q=33.9360183080144,-84.5331378423255")</f>
        <v>http://maps.google.com/maps?f=q&amp;hl=en&amp;geocode=&amp;q=33.9360183080144,-84.5331378423255</v>
      </c>
    </row>
    <row r="974" spans="1:7" ht="15" x14ac:dyDescent="0.3">
      <c r="A974">
        <v>29.94772</v>
      </c>
      <c r="B974">
        <v>-93.937799999999996</v>
      </c>
      <c r="C974" t="s">
        <v>41</v>
      </c>
      <c r="D974" t="s">
        <v>772</v>
      </c>
      <c r="F974" s="21"/>
      <c r="G974" s="16" t="str">
        <f>HYPERLINK("http://maps.google.com/maps?f=q&amp;hl=en&amp;geocode=&amp;q=29.94772,-93.9378")</f>
        <v>http://maps.google.com/maps?f=q&amp;hl=en&amp;geocode=&amp;q=29.94772,-93.9378</v>
      </c>
    </row>
    <row r="975" spans="1:7" ht="15" x14ac:dyDescent="0.3">
      <c r="A975">
        <v>29.94772</v>
      </c>
      <c r="B975">
        <v>-93.937799999999996</v>
      </c>
      <c r="C975" t="s">
        <v>41</v>
      </c>
      <c r="D975" t="s">
        <v>772</v>
      </c>
      <c r="F975" s="21"/>
      <c r="G975" s="16" t="str">
        <f>HYPERLINK("http://maps.google.com/maps?f=q&amp;hl=en&amp;geocode=&amp;q=29.94772,-93.9378")</f>
        <v>http://maps.google.com/maps?f=q&amp;hl=en&amp;geocode=&amp;q=29.94772,-93.9378</v>
      </c>
    </row>
    <row r="976" spans="1:7" ht="15" x14ac:dyDescent="0.3">
      <c r="A976">
        <v>39.4432563781738</v>
      </c>
      <c r="B976">
        <v>-98.957336425781307</v>
      </c>
      <c r="C976" t="s">
        <v>43</v>
      </c>
      <c r="D976" t="s">
        <v>773</v>
      </c>
      <c r="F976" s="21"/>
      <c r="G976" s="16" t="str">
        <f>HYPERLINK("http://maps.google.com/maps?f=q&amp;hl=en&amp;geocode=&amp;q=39.4432563781738,-98.9573364257813")</f>
        <v>http://maps.google.com/maps?f=q&amp;hl=en&amp;geocode=&amp;q=39.4432563781738,-98.9573364257813</v>
      </c>
    </row>
    <row r="977" spans="1:7" ht="15" x14ac:dyDescent="0.3">
      <c r="A977">
        <v>33.348657504925399</v>
      </c>
      <c r="B977">
        <v>-98.606133829563106</v>
      </c>
      <c r="C977" t="s">
        <v>41</v>
      </c>
      <c r="D977" t="s">
        <v>774</v>
      </c>
      <c r="F977" s="21"/>
      <c r="G977" s="16" t="str">
        <f>HYPERLINK("http://maps.google.com/maps?f=q&amp;hl=en&amp;geocode=&amp;q=33.3486575049254,-98.6061338295631")</f>
        <v>http://maps.google.com/maps?f=q&amp;hl=en&amp;geocode=&amp;q=33.3486575049254,-98.6061338295631</v>
      </c>
    </row>
    <row r="978" spans="1:7" ht="15" x14ac:dyDescent="0.3">
      <c r="A978">
        <v>40.007989999999999</v>
      </c>
      <c r="B978">
        <v>-75.107669999999999</v>
      </c>
      <c r="C978" t="s">
        <v>41</v>
      </c>
      <c r="D978" t="s">
        <v>775</v>
      </c>
      <c r="F978" s="21"/>
      <c r="G978" s="16" t="str">
        <f>HYPERLINK("http://maps.google.com/maps?f=q&amp;hl=en&amp;geocode=&amp;q=40.00799,-75.10767")</f>
        <v>http://maps.google.com/maps?f=q&amp;hl=en&amp;geocode=&amp;q=40.00799,-75.10767</v>
      </c>
    </row>
    <row r="979" spans="1:7" ht="15" x14ac:dyDescent="0.3">
      <c r="A979">
        <v>40.007930000000002</v>
      </c>
      <c r="B979">
        <v>-75.107320000000001</v>
      </c>
      <c r="C979" t="s">
        <v>41</v>
      </c>
      <c r="D979" t="s">
        <v>776</v>
      </c>
      <c r="F979" s="21"/>
      <c r="G979" s="16" t="str">
        <f>HYPERLINK("http://maps.google.com/maps?f=q&amp;hl=en&amp;geocode=&amp;q=40.00793,-75.10732")</f>
        <v>http://maps.google.com/maps?f=q&amp;hl=en&amp;geocode=&amp;q=40.00793,-75.10732</v>
      </c>
    </row>
    <row r="980" spans="1:7" ht="15" x14ac:dyDescent="0.3">
      <c r="A980">
        <v>40.040390000000002</v>
      </c>
      <c r="B980">
        <v>-75.109629999999996</v>
      </c>
      <c r="C980" t="s">
        <v>43</v>
      </c>
      <c r="D980" t="s">
        <v>777</v>
      </c>
      <c r="F980" s="21"/>
      <c r="G980" s="16" t="str">
        <f>HYPERLINK("http://maps.google.com/maps?f=q&amp;hl=en&amp;geocode=&amp;q=40.04039,-75.10963")</f>
        <v>http://maps.google.com/maps?f=q&amp;hl=en&amp;geocode=&amp;q=40.04039,-75.10963</v>
      </c>
    </row>
    <row r="981" spans="1:7" ht="15" x14ac:dyDescent="0.3">
      <c r="A981">
        <v>40.10877</v>
      </c>
      <c r="B981">
        <v>-75.026759999999996</v>
      </c>
      <c r="C981" t="s">
        <v>41</v>
      </c>
      <c r="D981" t="s">
        <v>778</v>
      </c>
      <c r="F981" s="21"/>
      <c r="G981" s="16" t="str">
        <f>HYPERLINK("http://maps.google.com/maps?f=q&amp;hl=en&amp;geocode=&amp;q=40.10877,-75.02676")</f>
        <v>http://maps.google.com/maps?f=q&amp;hl=en&amp;geocode=&amp;q=40.10877,-75.02676</v>
      </c>
    </row>
    <row r="982" spans="1:7" ht="15" x14ac:dyDescent="0.3">
      <c r="A982">
        <v>38.766411589082097</v>
      </c>
      <c r="B982">
        <v>-90.591846957956406</v>
      </c>
      <c r="C982" t="s">
        <v>43</v>
      </c>
      <c r="D982" t="s">
        <v>779</v>
      </c>
      <c r="F982" s="21"/>
      <c r="G982" s="16" t="str">
        <f>HYPERLINK("http://maps.google.com/maps?f=q&amp;hl=en&amp;geocode=&amp;q=38.7664115890821,-90.5918469579564")</f>
        <v>http://maps.google.com/maps?f=q&amp;hl=en&amp;geocode=&amp;q=38.7664115890821,-90.5918469579564</v>
      </c>
    </row>
    <row r="983" spans="1:7" ht="15" x14ac:dyDescent="0.3">
      <c r="A983">
        <v>39.917789999999997</v>
      </c>
      <c r="B983">
        <v>-75.230040000000002</v>
      </c>
      <c r="C983" t="s">
        <v>41</v>
      </c>
      <c r="D983" t="s">
        <v>636</v>
      </c>
      <c r="F983" s="21"/>
      <c r="G983" s="16" t="str">
        <f>HYPERLINK("http://maps.google.com/maps?f=q&amp;hl=en&amp;geocode=&amp;q=39.91779,-75.23004")</f>
        <v>http://maps.google.com/maps?f=q&amp;hl=en&amp;geocode=&amp;q=39.91779,-75.23004</v>
      </c>
    </row>
    <row r="984" spans="1:7" ht="15" x14ac:dyDescent="0.3">
      <c r="A984" t="s">
        <v>44</v>
      </c>
      <c r="B984" t="s">
        <v>44</v>
      </c>
      <c r="C984" t="s">
        <v>44</v>
      </c>
      <c r="D984" t="s">
        <v>136</v>
      </c>
      <c r="F984" s="21"/>
      <c r="G984" s="16"/>
    </row>
    <row r="985" spans="1:7" ht="15" x14ac:dyDescent="0.3">
      <c r="A985">
        <v>29.7082328796387</v>
      </c>
      <c r="B985">
        <v>-90.006401062011705</v>
      </c>
      <c r="C985" t="s">
        <v>43</v>
      </c>
      <c r="D985" t="s">
        <v>98</v>
      </c>
      <c r="F985" s="21"/>
      <c r="G985" s="16" t="str">
        <f>HYPERLINK("http://maps.google.com/maps?f=q&amp;hl=en&amp;geocode=&amp;q=29.7082328796387,-90.0064010620117")</f>
        <v>http://maps.google.com/maps?f=q&amp;hl=en&amp;geocode=&amp;q=29.7082328796387,-90.0064010620117</v>
      </c>
    </row>
    <row r="986" spans="1:7" ht="15" x14ac:dyDescent="0.3">
      <c r="A986">
        <v>37.0063803937621</v>
      </c>
      <c r="B986">
        <v>-89.183859742388407</v>
      </c>
      <c r="C986" t="s">
        <v>41</v>
      </c>
      <c r="D986" t="s">
        <v>780</v>
      </c>
      <c r="F986" s="21"/>
      <c r="G986" s="16" t="str">
        <f>HYPERLINK("http://maps.google.com/maps?f=q&amp;hl=en&amp;geocode=&amp;q=37.0063803937621,-89.1838597423884")</f>
        <v>http://maps.google.com/maps?f=q&amp;hl=en&amp;geocode=&amp;q=37.0063803937621,-89.1838597423884</v>
      </c>
    </row>
    <row r="987" spans="1:7" ht="15" x14ac:dyDescent="0.3">
      <c r="A987">
        <v>29.7082328796387</v>
      </c>
      <c r="B987">
        <v>-90.006401062011705</v>
      </c>
      <c r="C987" t="s">
        <v>43</v>
      </c>
      <c r="D987" t="s">
        <v>98</v>
      </c>
      <c r="F987" s="21"/>
      <c r="G987" s="16" t="str">
        <f>HYPERLINK("http://maps.google.com/maps?f=q&amp;hl=en&amp;geocode=&amp;q=29.7082328796387,-90.0064010620117")</f>
        <v>http://maps.google.com/maps?f=q&amp;hl=en&amp;geocode=&amp;q=29.7082328796387,-90.0064010620117</v>
      </c>
    </row>
    <row r="988" spans="1:7" ht="15" x14ac:dyDescent="0.3">
      <c r="A988">
        <v>29.7082328796387</v>
      </c>
      <c r="B988">
        <v>-90.006401062011705</v>
      </c>
      <c r="C988" t="s">
        <v>43</v>
      </c>
      <c r="D988" t="s">
        <v>98</v>
      </c>
      <c r="F988" s="21"/>
      <c r="G988" s="16" t="str">
        <f>HYPERLINK("http://maps.google.com/maps?f=q&amp;hl=en&amp;geocode=&amp;q=29.7082328796387,-90.0064010620117")</f>
        <v>http://maps.google.com/maps?f=q&amp;hl=en&amp;geocode=&amp;q=29.7082328796387,-90.0064010620117</v>
      </c>
    </row>
    <row r="989" spans="1:7" ht="15" x14ac:dyDescent="0.3">
      <c r="A989">
        <v>29.7082328796387</v>
      </c>
      <c r="B989">
        <v>-90.006401062011705</v>
      </c>
      <c r="C989" t="s">
        <v>43</v>
      </c>
      <c r="D989" t="s">
        <v>98</v>
      </c>
      <c r="F989" s="21"/>
      <c r="G989" s="16" t="str">
        <f>HYPERLINK("http://maps.google.com/maps?f=q&amp;hl=en&amp;geocode=&amp;q=29.7082328796387,-90.0064010620117")</f>
        <v>http://maps.google.com/maps?f=q&amp;hl=en&amp;geocode=&amp;q=29.7082328796387,-90.0064010620117</v>
      </c>
    </row>
    <row r="990" spans="1:7" ht="15" x14ac:dyDescent="0.3">
      <c r="A990">
        <v>29.7082328796387</v>
      </c>
      <c r="B990">
        <v>-90.006401062011705</v>
      </c>
      <c r="C990" t="s">
        <v>43</v>
      </c>
      <c r="D990" t="s">
        <v>98</v>
      </c>
      <c r="F990" s="21"/>
      <c r="G990" s="16" t="str">
        <f>HYPERLINK("http://maps.google.com/maps?f=q&amp;hl=en&amp;geocode=&amp;q=29.7082328796387,-90.0064010620117")</f>
        <v>http://maps.google.com/maps?f=q&amp;hl=en&amp;geocode=&amp;q=29.7082328796387,-90.0064010620117</v>
      </c>
    </row>
    <row r="991" spans="1:7" ht="15" x14ac:dyDescent="0.3">
      <c r="A991">
        <v>32.3061440219007</v>
      </c>
      <c r="B991">
        <v>-84.787083742856595</v>
      </c>
      <c r="C991" t="s">
        <v>41</v>
      </c>
      <c r="D991" t="s">
        <v>343</v>
      </c>
      <c r="F991" s="21"/>
      <c r="G991" s="16" t="str">
        <f>HYPERLINK("http://maps.google.com/maps?f=q&amp;hl=en&amp;geocode=&amp;q=32.3061440219007,-84.7870837428566")</f>
        <v>http://maps.google.com/maps?f=q&amp;hl=en&amp;geocode=&amp;q=32.3061440219007,-84.7870837428566</v>
      </c>
    </row>
    <row r="992" spans="1:7" ht="15" x14ac:dyDescent="0.3">
      <c r="A992">
        <v>33.3581109291028</v>
      </c>
      <c r="B992">
        <v>-111.902057543352</v>
      </c>
      <c r="C992" t="s">
        <v>41</v>
      </c>
      <c r="D992" t="s">
        <v>781</v>
      </c>
      <c r="F992" s="21"/>
      <c r="G992" s="16" t="str">
        <f>HYPERLINK("http://maps.google.com/maps?f=q&amp;hl=en&amp;geocode=&amp;q=33.3581109291028,-111.902057543352")</f>
        <v>http://maps.google.com/maps?f=q&amp;hl=en&amp;geocode=&amp;q=33.3581109291028,-111.902057543352</v>
      </c>
    </row>
    <row r="993" spans="1:7" ht="15" x14ac:dyDescent="0.3">
      <c r="A993">
        <v>41.149993206539698</v>
      </c>
      <c r="B993">
        <v>-111.913570873949</v>
      </c>
      <c r="C993" t="s">
        <v>41</v>
      </c>
      <c r="D993" t="s">
        <v>782</v>
      </c>
      <c r="F993" s="21"/>
      <c r="G993" s="16" t="str">
        <f>HYPERLINK("http://maps.google.com/maps?f=q&amp;hl=en&amp;geocode=&amp;q=41.1499932065397,-111.913570873949")</f>
        <v>http://maps.google.com/maps?f=q&amp;hl=en&amp;geocode=&amp;q=41.1499932065397,-111.913570873949</v>
      </c>
    </row>
    <row r="994" spans="1:7" ht="15" x14ac:dyDescent="0.3">
      <c r="A994">
        <v>39.943453919693603</v>
      </c>
      <c r="B994">
        <v>-75.230131626987401</v>
      </c>
      <c r="C994" t="s">
        <v>41</v>
      </c>
      <c r="D994" t="s">
        <v>58</v>
      </c>
      <c r="F994" s="21"/>
      <c r="G994" s="16" t="str">
        <f>HYPERLINK("http://maps.google.com/maps?f=q&amp;hl=en&amp;geocode=&amp;q=39.9434539196936,-75.2301316269874")</f>
        <v>http://maps.google.com/maps?f=q&amp;hl=en&amp;geocode=&amp;q=39.9434539196936,-75.2301316269874</v>
      </c>
    </row>
    <row r="995" spans="1:7" ht="15" x14ac:dyDescent="0.3">
      <c r="A995">
        <v>41.512739022350701</v>
      </c>
      <c r="B995">
        <v>-78.231405185736804</v>
      </c>
      <c r="C995" t="s">
        <v>41</v>
      </c>
      <c r="D995" t="s">
        <v>783</v>
      </c>
      <c r="F995" s="21"/>
      <c r="G995" s="16" t="str">
        <f>HYPERLINK("http://maps.google.com/maps?f=q&amp;hl=en&amp;geocode=&amp;q=41.5127390223507,-78.2314051857368")</f>
        <v>http://maps.google.com/maps?f=q&amp;hl=en&amp;geocode=&amp;q=41.5127390223507,-78.2314051857368</v>
      </c>
    </row>
    <row r="996" spans="1:7" ht="15" x14ac:dyDescent="0.3">
      <c r="A996">
        <v>40.309269608683202</v>
      </c>
      <c r="B996">
        <v>-78.318082809230006</v>
      </c>
      <c r="C996" t="s">
        <v>41</v>
      </c>
      <c r="D996" t="s">
        <v>784</v>
      </c>
      <c r="F996" s="21"/>
      <c r="G996" s="16" t="str">
        <f>HYPERLINK("http://maps.google.com/maps?f=q&amp;hl=en&amp;geocode=&amp;q=40.3092696086832,-78.31808280923")</f>
        <v>http://maps.google.com/maps?f=q&amp;hl=en&amp;geocode=&amp;q=40.3092696086832,-78.31808280923</v>
      </c>
    </row>
    <row r="997" spans="1:7" ht="15" x14ac:dyDescent="0.3">
      <c r="A997">
        <v>38.707741855237799</v>
      </c>
      <c r="B997">
        <v>-90.271877813569702</v>
      </c>
      <c r="C997" t="s">
        <v>41</v>
      </c>
      <c r="D997" t="s">
        <v>785</v>
      </c>
      <c r="F997" s="21"/>
      <c r="G997" s="16" t="str">
        <f>HYPERLINK("http://maps.google.com/maps?f=q&amp;hl=en&amp;geocode=&amp;q=38.7077418552378,-90.2718778135697")</f>
        <v>http://maps.google.com/maps?f=q&amp;hl=en&amp;geocode=&amp;q=38.7077418552378,-90.2718778135697</v>
      </c>
    </row>
    <row r="998" spans="1:7" ht="15" x14ac:dyDescent="0.3">
      <c r="A998">
        <v>39.970078479663201</v>
      </c>
      <c r="B998">
        <v>-75.219388248918804</v>
      </c>
      <c r="C998" t="s">
        <v>41</v>
      </c>
      <c r="D998" t="s">
        <v>786</v>
      </c>
      <c r="F998" s="21"/>
      <c r="G998" s="16" t="str">
        <f>HYPERLINK("http://maps.google.com/maps?f=q&amp;hl=en&amp;geocode=&amp;q=39.9700784796632,-75.2193882489188")</f>
        <v>http://maps.google.com/maps?f=q&amp;hl=en&amp;geocode=&amp;q=39.9700784796632,-75.2193882489188</v>
      </c>
    </row>
    <row r="999" spans="1:7" ht="15" x14ac:dyDescent="0.3">
      <c r="A999" t="s">
        <v>44</v>
      </c>
      <c r="B999" t="s">
        <v>44</v>
      </c>
      <c r="C999" t="s">
        <v>44</v>
      </c>
      <c r="D999" t="s">
        <v>787</v>
      </c>
      <c r="F999" s="21"/>
      <c r="G999" s="16"/>
    </row>
    <row r="1000" spans="1:7" ht="15" x14ac:dyDescent="0.3">
      <c r="A1000">
        <v>34.008524699067301</v>
      </c>
      <c r="B1000">
        <v>-81.835302902292199</v>
      </c>
      <c r="C1000" t="s">
        <v>43</v>
      </c>
      <c r="D1000" t="s">
        <v>788</v>
      </c>
      <c r="F1000" s="21"/>
      <c r="G1000" s="16" t="str">
        <f>HYPERLINK("http://maps.google.com/maps?f=q&amp;hl=en&amp;geocode=&amp;q=34.0085246990673,-81.8353029022922")</f>
        <v>http://maps.google.com/maps?f=q&amp;hl=en&amp;geocode=&amp;q=34.0085246990673,-81.8353029022922</v>
      </c>
    </row>
    <row r="1001" spans="1:7" ht="15" x14ac:dyDescent="0.3">
      <c r="A1001">
        <v>45.837741851806598</v>
      </c>
      <c r="B1001">
        <v>25.005935668945298</v>
      </c>
      <c r="C1001" t="s">
        <v>41</v>
      </c>
      <c r="D1001" t="s">
        <v>789</v>
      </c>
      <c r="F1001" s="21"/>
      <c r="G1001" s="16" t="str">
        <f>HYPERLINK("http://maps.google.com/maps?f=q&amp;hl=en&amp;geocode=&amp;q=45.8377418518066,25.0059356689453")</f>
        <v>http://maps.google.com/maps?f=q&amp;hl=en&amp;geocode=&amp;q=45.8377418518066,25.0059356689453</v>
      </c>
    </row>
    <row r="1002" spans="1:7" ht="15" x14ac:dyDescent="0.3">
      <c r="A1002">
        <v>35.428339999999999</v>
      </c>
      <c r="B1002">
        <v>-97.133660000000006</v>
      </c>
      <c r="C1002" t="s">
        <v>43</v>
      </c>
      <c r="D1002" t="s">
        <v>790</v>
      </c>
      <c r="F1002" s="21"/>
      <c r="G1002" s="16" t="str">
        <f>HYPERLINK("http://maps.google.com/maps?f=q&amp;hl=en&amp;geocode=&amp;q=35.42834,-97.13366")</f>
        <v>http://maps.google.com/maps?f=q&amp;hl=en&amp;geocode=&amp;q=35.42834,-97.13366</v>
      </c>
    </row>
    <row r="1003" spans="1:7" ht="15" x14ac:dyDescent="0.3">
      <c r="A1003">
        <v>39.97898</v>
      </c>
      <c r="B1003">
        <v>-75.246229999999997</v>
      </c>
      <c r="C1003" t="s">
        <v>41</v>
      </c>
      <c r="D1003" t="s">
        <v>791</v>
      </c>
      <c r="F1003" s="21"/>
      <c r="G1003" s="16" t="str">
        <f>HYPERLINK("http://maps.google.com/maps?f=q&amp;hl=en&amp;geocode=&amp;q=39.97898,-75.24623")</f>
        <v>http://maps.google.com/maps?f=q&amp;hl=en&amp;geocode=&amp;q=39.97898,-75.24623</v>
      </c>
    </row>
    <row r="1004" spans="1:7" ht="15" x14ac:dyDescent="0.3">
      <c r="A1004">
        <v>39.9180449215484</v>
      </c>
      <c r="B1004">
        <v>-75.233103899088604</v>
      </c>
      <c r="C1004" t="s">
        <v>43</v>
      </c>
      <c r="D1004" t="s">
        <v>792</v>
      </c>
      <c r="F1004" s="21"/>
      <c r="G1004" s="16" t="str">
        <f>HYPERLINK("http://maps.google.com/maps?f=q&amp;hl=en&amp;geocode=&amp;q=39.9180449215484,-75.2331038990886")</f>
        <v>http://maps.google.com/maps?f=q&amp;hl=en&amp;geocode=&amp;q=39.9180449215484,-75.2331038990886</v>
      </c>
    </row>
    <row r="1005" spans="1:7" ht="15" x14ac:dyDescent="0.3">
      <c r="A1005">
        <v>40.042490000000001</v>
      </c>
      <c r="B1005">
        <v>-75.145960000000002</v>
      </c>
      <c r="C1005" t="s">
        <v>43</v>
      </c>
      <c r="D1005" t="s">
        <v>793</v>
      </c>
      <c r="F1005" s="21"/>
      <c r="G1005" s="16" t="str">
        <f>HYPERLINK("http://maps.google.com/maps?f=q&amp;hl=en&amp;geocode=&amp;q=40.04249,-75.14596")</f>
        <v>http://maps.google.com/maps?f=q&amp;hl=en&amp;geocode=&amp;q=40.04249,-75.14596</v>
      </c>
    </row>
    <row r="1006" spans="1:7" ht="15" x14ac:dyDescent="0.3">
      <c r="A1006">
        <v>38.683161595002503</v>
      </c>
      <c r="B1006">
        <v>-121.5947037453</v>
      </c>
      <c r="C1006" t="s">
        <v>41</v>
      </c>
      <c r="D1006" t="s">
        <v>794</v>
      </c>
      <c r="F1006" s="21"/>
      <c r="G1006" s="16" t="str">
        <f>HYPERLINK("http://maps.google.com/maps?f=q&amp;hl=en&amp;geocode=&amp;q=38.6831615950025,-121.5947037453")</f>
        <v>http://maps.google.com/maps?f=q&amp;hl=en&amp;geocode=&amp;q=38.6831615950025,-121.5947037453</v>
      </c>
    </row>
    <row r="1007" spans="1:7" ht="15" x14ac:dyDescent="0.3">
      <c r="A1007">
        <v>39.916490000000003</v>
      </c>
      <c r="B1007">
        <v>-75.231049999999996</v>
      </c>
      <c r="C1007" t="s">
        <v>42</v>
      </c>
      <c r="D1007" t="s">
        <v>169</v>
      </c>
      <c r="F1007" s="21"/>
      <c r="G1007" s="16" t="str">
        <f>HYPERLINK("http://maps.google.com/maps?f=q&amp;hl=en&amp;geocode=&amp;q=39.91649,-75.23105")</f>
        <v>http://maps.google.com/maps?f=q&amp;hl=en&amp;geocode=&amp;q=39.91649,-75.23105</v>
      </c>
    </row>
    <row r="1008" spans="1:7" ht="15" x14ac:dyDescent="0.3">
      <c r="A1008">
        <v>39.916490000000003</v>
      </c>
      <c r="B1008">
        <v>-75.231049999999996</v>
      </c>
      <c r="C1008" t="s">
        <v>42</v>
      </c>
      <c r="D1008" t="s">
        <v>169</v>
      </c>
      <c r="F1008" s="21"/>
      <c r="G1008" s="16" t="str">
        <f>HYPERLINK("http://maps.google.com/maps?f=q&amp;hl=en&amp;geocode=&amp;q=39.91649,-75.23105")</f>
        <v>http://maps.google.com/maps?f=q&amp;hl=en&amp;geocode=&amp;q=39.91649,-75.23105</v>
      </c>
    </row>
    <row r="1009" spans="1:7" ht="15" x14ac:dyDescent="0.3">
      <c r="A1009">
        <v>39.916490000000003</v>
      </c>
      <c r="B1009">
        <v>-75.231049999999996</v>
      </c>
      <c r="C1009" t="s">
        <v>42</v>
      </c>
      <c r="D1009" t="s">
        <v>169</v>
      </c>
      <c r="F1009" s="21"/>
      <c r="G1009" s="16" t="str">
        <f>HYPERLINK("http://maps.google.com/maps?f=q&amp;hl=en&amp;geocode=&amp;q=39.91649,-75.23105")</f>
        <v>http://maps.google.com/maps?f=q&amp;hl=en&amp;geocode=&amp;q=39.91649,-75.23105</v>
      </c>
    </row>
    <row r="1010" spans="1:7" ht="15" x14ac:dyDescent="0.3">
      <c r="A1010">
        <v>39.917619999999999</v>
      </c>
      <c r="B1010">
        <v>-75.229600000000005</v>
      </c>
      <c r="C1010" t="s">
        <v>42</v>
      </c>
      <c r="D1010" t="s">
        <v>795</v>
      </c>
      <c r="F1010" s="21"/>
      <c r="G1010" s="16" t="str">
        <f>HYPERLINK("http://maps.google.com/maps?f=q&amp;hl=en&amp;geocode=&amp;q=39.91762,-75.2296")</f>
        <v>http://maps.google.com/maps?f=q&amp;hl=en&amp;geocode=&amp;q=39.91762,-75.2296</v>
      </c>
    </row>
    <row r="1011" spans="1:7" ht="15" x14ac:dyDescent="0.3">
      <c r="A1011">
        <v>61.908298492431598</v>
      </c>
      <c r="B1011">
        <v>8.0022401809692401</v>
      </c>
      <c r="C1011" t="s">
        <v>41</v>
      </c>
      <c r="D1011" t="s">
        <v>796</v>
      </c>
      <c r="F1011" s="21"/>
      <c r="G1011" s="16" t="str">
        <f>HYPERLINK("http://maps.google.com/maps?f=q&amp;hl=en&amp;geocode=&amp;q=61.9082984924316,8.00224018096924")</f>
        <v>http://maps.google.com/maps?f=q&amp;hl=en&amp;geocode=&amp;q=61.9082984924316,8.00224018096924</v>
      </c>
    </row>
    <row r="1012" spans="1:7" ht="15" x14ac:dyDescent="0.3">
      <c r="A1012">
        <v>35.401279449462898</v>
      </c>
      <c r="B1012">
        <v>-100.269729614258</v>
      </c>
      <c r="C1012" t="s">
        <v>43</v>
      </c>
      <c r="D1012" t="s">
        <v>797</v>
      </c>
      <c r="F1012" s="21"/>
      <c r="G1012" s="16" t="str">
        <f>HYPERLINK("http://maps.google.com/maps?f=q&amp;hl=en&amp;geocode=&amp;q=35.4012794494629,-100.269729614258")</f>
        <v>http://maps.google.com/maps?f=q&amp;hl=en&amp;geocode=&amp;q=35.4012794494629,-100.269729614258</v>
      </c>
    </row>
    <row r="1013" spans="1:7" ht="15" x14ac:dyDescent="0.3">
      <c r="A1013">
        <v>35.401279449462898</v>
      </c>
      <c r="B1013">
        <v>-100.269729614258</v>
      </c>
      <c r="C1013" t="s">
        <v>43</v>
      </c>
      <c r="D1013" t="s">
        <v>797</v>
      </c>
      <c r="F1013" s="21"/>
      <c r="G1013" s="16" t="str">
        <f>HYPERLINK("http://maps.google.com/maps?f=q&amp;hl=en&amp;geocode=&amp;q=35.4012794494629,-100.269729614258")</f>
        <v>http://maps.google.com/maps?f=q&amp;hl=en&amp;geocode=&amp;q=35.4012794494629,-100.269729614258</v>
      </c>
    </row>
    <row r="1014" spans="1:7" ht="15" x14ac:dyDescent="0.3">
      <c r="A1014">
        <v>47.155059814453097</v>
      </c>
      <c r="B1014">
        <v>8.5326128005981392</v>
      </c>
      <c r="C1014" t="s">
        <v>43</v>
      </c>
      <c r="D1014" t="s">
        <v>798</v>
      </c>
      <c r="F1014" s="21"/>
      <c r="G1014" s="16" t="str">
        <f>HYPERLINK("http://maps.google.com/maps?f=q&amp;hl=en&amp;geocode=&amp;q=47.1550598144531,8.53261280059814")</f>
        <v>http://maps.google.com/maps?f=q&amp;hl=en&amp;geocode=&amp;q=47.1550598144531,8.53261280059814</v>
      </c>
    </row>
    <row r="1015" spans="1:7" ht="15" x14ac:dyDescent="0.3">
      <c r="A1015">
        <v>39.973350000000003</v>
      </c>
      <c r="B1015">
        <v>-75.269720000000007</v>
      </c>
      <c r="C1015" t="s">
        <v>41</v>
      </c>
      <c r="D1015" t="s">
        <v>799</v>
      </c>
      <c r="F1015" s="21"/>
      <c r="G1015" s="16" t="str">
        <f>HYPERLINK("http://maps.google.com/maps?f=q&amp;hl=en&amp;geocode=&amp;q=39.97335,-75.26972")</f>
        <v>http://maps.google.com/maps?f=q&amp;hl=en&amp;geocode=&amp;q=39.97335,-75.26972</v>
      </c>
    </row>
    <row r="1016" spans="1:7" ht="15" x14ac:dyDescent="0.3">
      <c r="F1016" s="21"/>
      <c r="G1016" s="16"/>
    </row>
    <row r="1017" spans="1:7" ht="15" x14ac:dyDescent="0.3">
      <c r="A1017">
        <v>30.652480000000001</v>
      </c>
      <c r="B1017">
        <v>-87.045649999999995</v>
      </c>
      <c r="C1017" t="s">
        <v>42</v>
      </c>
      <c r="D1017" t="s">
        <v>800</v>
      </c>
      <c r="F1017" s="21"/>
      <c r="G1017" s="16" t="str">
        <f>HYPERLINK("http://maps.google.com/maps?f=q&amp;hl=en&amp;geocode=&amp;q=30.65248,-87.04565")</f>
        <v>http://maps.google.com/maps?f=q&amp;hl=en&amp;geocode=&amp;q=30.65248,-87.04565</v>
      </c>
    </row>
    <row r="1018" spans="1:7" ht="15" x14ac:dyDescent="0.3">
      <c r="A1018">
        <v>36.848750000000003</v>
      </c>
      <c r="B1018">
        <v>-76.269769999999994</v>
      </c>
      <c r="C1018" t="s">
        <v>41</v>
      </c>
      <c r="D1018" t="s">
        <v>801</v>
      </c>
      <c r="F1018" s="21"/>
      <c r="G1018" s="16" t="str">
        <f>HYPERLINK("http://maps.google.com/maps?f=q&amp;hl=en&amp;geocode=&amp;q=36.84875,-76.26977")</f>
        <v>http://maps.google.com/maps?f=q&amp;hl=en&amp;geocode=&amp;q=36.84875,-76.26977</v>
      </c>
    </row>
    <row r="1019" spans="1:7" ht="15" x14ac:dyDescent="0.3">
      <c r="A1019">
        <v>39.916480042826798</v>
      </c>
      <c r="B1019">
        <v>-75.232415955746006</v>
      </c>
      <c r="C1019" t="s">
        <v>43</v>
      </c>
      <c r="D1019" t="s">
        <v>802</v>
      </c>
      <c r="F1019" s="21"/>
      <c r="G1019" s="16" t="str">
        <f>HYPERLINK("http://maps.google.com/maps?f=q&amp;hl=en&amp;geocode=&amp;q=39.9164800428268,-75.232415955746")</f>
        <v>http://maps.google.com/maps?f=q&amp;hl=en&amp;geocode=&amp;q=39.9164800428268,-75.232415955746</v>
      </c>
    </row>
    <row r="1020" spans="1:7" ht="15" x14ac:dyDescent="0.3">
      <c r="A1020">
        <v>39.911706093644703</v>
      </c>
      <c r="B1020">
        <v>-75.239026495784202</v>
      </c>
      <c r="C1020" t="s">
        <v>43</v>
      </c>
      <c r="D1020" t="s">
        <v>561</v>
      </c>
      <c r="F1020" s="21"/>
      <c r="G1020" s="16" t="str">
        <f>HYPERLINK("http://maps.google.com/maps?f=q&amp;hl=en&amp;geocode=&amp;q=39.9117060936447,-75.2390264957842")</f>
        <v>http://maps.google.com/maps?f=q&amp;hl=en&amp;geocode=&amp;q=39.9117060936447,-75.2390264957842</v>
      </c>
    </row>
    <row r="1021" spans="1:7" ht="15" x14ac:dyDescent="0.3">
      <c r="A1021">
        <v>39.912550000000003</v>
      </c>
      <c r="B1021">
        <v>-75.237489999999994</v>
      </c>
      <c r="C1021" t="s">
        <v>41</v>
      </c>
      <c r="D1021" t="s">
        <v>481</v>
      </c>
      <c r="F1021" s="21"/>
      <c r="G1021" s="16" t="str">
        <f>HYPERLINK("http://maps.google.com/maps?f=q&amp;hl=en&amp;geocode=&amp;q=39.91255,-75.23749")</f>
        <v>http://maps.google.com/maps?f=q&amp;hl=en&amp;geocode=&amp;q=39.91255,-75.23749</v>
      </c>
    </row>
    <row r="1022" spans="1:7" ht="15" x14ac:dyDescent="0.3">
      <c r="A1022">
        <v>39.925139999999999</v>
      </c>
      <c r="B1022">
        <v>-75.235380000000006</v>
      </c>
      <c r="C1022" t="s">
        <v>41</v>
      </c>
      <c r="D1022" t="s">
        <v>54</v>
      </c>
      <c r="F1022" s="21"/>
      <c r="G1022" s="16" t="str">
        <f>HYPERLINK("http://maps.google.com/maps?f=q&amp;hl=en&amp;geocode=&amp;q=39.92514,-75.23538")</f>
        <v>http://maps.google.com/maps?f=q&amp;hl=en&amp;geocode=&amp;q=39.92514,-75.23538</v>
      </c>
    </row>
    <row r="1023" spans="1:7" ht="15" x14ac:dyDescent="0.3">
      <c r="A1023">
        <v>48.7971801757813</v>
      </c>
      <c r="B1023">
        <v>1.49357998371124</v>
      </c>
      <c r="C1023" t="s">
        <v>43</v>
      </c>
      <c r="D1023" t="s">
        <v>803</v>
      </c>
      <c r="F1023" s="21"/>
      <c r="G1023" s="16" t="str">
        <f>HYPERLINK("http://maps.google.com/maps?f=q&amp;hl=en&amp;geocode=&amp;q=48.7971801757813,1.49357998371124")</f>
        <v>http://maps.google.com/maps?f=q&amp;hl=en&amp;geocode=&amp;q=48.7971801757813,1.49357998371124</v>
      </c>
    </row>
    <row r="1024" spans="1:7" ht="15" x14ac:dyDescent="0.3">
      <c r="A1024">
        <v>47.128330230712898</v>
      </c>
      <c r="B1024">
        <v>4.2197799682617196</v>
      </c>
      <c r="C1024" t="s">
        <v>41</v>
      </c>
      <c r="D1024" t="s">
        <v>804</v>
      </c>
      <c r="F1024" s="21"/>
      <c r="G1024" s="16" t="str">
        <f>HYPERLINK("http://maps.google.com/maps?f=q&amp;hl=en&amp;geocode=&amp;q=47.1283302307129,4.21977996826172")</f>
        <v>http://maps.google.com/maps?f=q&amp;hl=en&amp;geocode=&amp;q=47.1283302307129,4.21977996826172</v>
      </c>
    </row>
    <row r="1025" spans="1:7" ht="15" x14ac:dyDescent="0.3">
      <c r="A1025">
        <v>41.153622051066698</v>
      </c>
      <c r="B1025">
        <v>-111.911943634571</v>
      </c>
      <c r="C1025" t="s">
        <v>41</v>
      </c>
      <c r="D1025" t="s">
        <v>592</v>
      </c>
      <c r="F1025" s="21"/>
      <c r="G1025" s="16" t="str">
        <f>HYPERLINK("http://maps.google.com/maps?f=q&amp;hl=en&amp;geocode=&amp;q=41.1536220510667,-111.911943634571")</f>
        <v>http://maps.google.com/maps?f=q&amp;hl=en&amp;geocode=&amp;q=41.1536220510667,-111.911943634571</v>
      </c>
    </row>
    <row r="1026" spans="1:7" ht="15" x14ac:dyDescent="0.3">
      <c r="A1026">
        <v>39.701462120784399</v>
      </c>
      <c r="B1026">
        <v>-91.382764544958803</v>
      </c>
      <c r="C1026" t="s">
        <v>43</v>
      </c>
      <c r="D1026" t="s">
        <v>155</v>
      </c>
      <c r="F1026" s="21"/>
      <c r="G1026" s="16" t="str">
        <f>HYPERLINK("http://maps.google.com/maps?f=q&amp;hl=en&amp;geocode=&amp;q=39.7014621207844,-91.3827645449588")</f>
        <v>http://maps.google.com/maps?f=q&amp;hl=en&amp;geocode=&amp;q=39.7014621207844,-91.3827645449588</v>
      </c>
    </row>
    <row r="1027" spans="1:7" ht="15" x14ac:dyDescent="0.3">
      <c r="A1027" t="s">
        <v>44</v>
      </c>
      <c r="B1027" t="s">
        <v>44</v>
      </c>
      <c r="C1027" t="s">
        <v>44</v>
      </c>
      <c r="D1027" t="s">
        <v>805</v>
      </c>
      <c r="F1027" s="21"/>
      <c r="G1027" s="16"/>
    </row>
    <row r="1028" spans="1:7" ht="15" x14ac:dyDescent="0.3">
      <c r="A1028">
        <v>30.013470000000002</v>
      </c>
      <c r="B1028">
        <v>-90.176649999999995</v>
      </c>
      <c r="C1028" t="s">
        <v>41</v>
      </c>
      <c r="D1028" t="s">
        <v>390</v>
      </c>
      <c r="F1028" s="21"/>
      <c r="G1028" s="16" t="str">
        <f>HYPERLINK("http://maps.google.com/maps?f=q&amp;hl=en&amp;geocode=&amp;q=30.01347,-90.17665")</f>
        <v>http://maps.google.com/maps?f=q&amp;hl=en&amp;geocode=&amp;q=30.01347,-90.17665</v>
      </c>
    </row>
    <row r="1029" spans="1:7" ht="15" x14ac:dyDescent="0.3">
      <c r="A1029">
        <v>41.073617878881599</v>
      </c>
      <c r="B1029">
        <v>-81.248220167043002</v>
      </c>
      <c r="C1029" t="s">
        <v>41</v>
      </c>
      <c r="D1029" t="s">
        <v>404</v>
      </c>
      <c r="F1029" s="21"/>
      <c r="G1029" s="16" t="str">
        <f>HYPERLINK("http://maps.google.com/maps?f=q&amp;hl=en&amp;geocode=&amp;q=41.0736178788816,-81.248220167043")</f>
        <v>http://maps.google.com/maps?f=q&amp;hl=en&amp;geocode=&amp;q=41.0736178788816,-81.248220167043</v>
      </c>
    </row>
    <row r="1030" spans="1:7" ht="15" x14ac:dyDescent="0.3">
      <c r="A1030">
        <v>41.073617878881599</v>
      </c>
      <c r="B1030">
        <v>-81.248220167043002</v>
      </c>
      <c r="C1030" t="s">
        <v>41</v>
      </c>
      <c r="D1030" t="s">
        <v>404</v>
      </c>
      <c r="F1030" s="21"/>
      <c r="G1030" s="16" t="str">
        <f>HYPERLINK("http://maps.google.com/maps?f=q&amp;hl=en&amp;geocode=&amp;q=41.0736178788816,-81.248220167043")</f>
        <v>http://maps.google.com/maps?f=q&amp;hl=en&amp;geocode=&amp;q=41.0736178788816,-81.248220167043</v>
      </c>
    </row>
    <row r="1031" spans="1:7" ht="15" x14ac:dyDescent="0.3">
      <c r="A1031">
        <v>54.901432037353501</v>
      </c>
      <c r="B1031">
        <v>10.7508296966553</v>
      </c>
      <c r="C1031" t="s">
        <v>43</v>
      </c>
      <c r="D1031" t="s">
        <v>806</v>
      </c>
      <c r="F1031" s="21"/>
      <c r="G1031" s="16" t="str">
        <f>HYPERLINK("http://maps.google.com/maps?f=q&amp;hl=en&amp;geocode=&amp;q=54.9014320373535,10.7508296966553")</f>
        <v>http://maps.google.com/maps?f=q&amp;hl=en&amp;geocode=&amp;q=54.9014320373535,10.7508296966553</v>
      </c>
    </row>
    <row r="1032" spans="1:7" ht="15" x14ac:dyDescent="0.3">
      <c r="A1032">
        <v>29.601152445726601</v>
      </c>
      <c r="B1032">
        <v>-94.992831963527394</v>
      </c>
      <c r="C1032" t="s">
        <v>41</v>
      </c>
      <c r="D1032" t="s">
        <v>807</v>
      </c>
      <c r="F1032" s="21"/>
      <c r="G1032" s="16" t="str">
        <f>HYPERLINK("http://maps.google.com/maps?f=q&amp;hl=en&amp;geocode=&amp;q=29.6011524457266,-94.9928319635274")</f>
        <v>http://maps.google.com/maps?f=q&amp;hl=en&amp;geocode=&amp;q=29.6011524457266,-94.9928319635274</v>
      </c>
    </row>
    <row r="1033" spans="1:7" ht="15" x14ac:dyDescent="0.3">
      <c r="A1033">
        <v>29.6022262140511</v>
      </c>
      <c r="B1033">
        <v>-94.992009698315698</v>
      </c>
      <c r="C1033" t="s">
        <v>41</v>
      </c>
      <c r="D1033" t="s">
        <v>808</v>
      </c>
      <c r="F1033" s="21"/>
      <c r="G1033" s="16" t="str">
        <f>HYPERLINK("http://maps.google.com/maps?f=q&amp;hl=en&amp;geocode=&amp;q=29.6022262140511,-94.9920096983157")</f>
        <v>http://maps.google.com/maps?f=q&amp;hl=en&amp;geocode=&amp;q=29.6022262140511,-94.9920096983157</v>
      </c>
    </row>
    <row r="1034" spans="1:7" ht="15" x14ac:dyDescent="0.3">
      <c r="A1034">
        <v>39.684371948242202</v>
      </c>
      <c r="B1034">
        <v>21.8974094390869</v>
      </c>
      <c r="C1034" t="s">
        <v>41</v>
      </c>
      <c r="D1034" t="s">
        <v>809</v>
      </c>
      <c r="F1034" s="21"/>
      <c r="G1034" s="16" t="str">
        <f>HYPERLINK("http://maps.google.com/maps?f=q&amp;hl=en&amp;geocode=&amp;q=39.6843719482422,21.8974094390869")</f>
        <v>http://maps.google.com/maps?f=q&amp;hl=en&amp;geocode=&amp;q=39.6843719482422,21.8974094390869</v>
      </c>
    </row>
    <row r="1035" spans="1:7" ht="15" x14ac:dyDescent="0.3">
      <c r="A1035">
        <v>39.684371948242202</v>
      </c>
      <c r="B1035">
        <v>21.8974094390869</v>
      </c>
      <c r="C1035" t="s">
        <v>41</v>
      </c>
      <c r="D1035" t="s">
        <v>810</v>
      </c>
      <c r="F1035" s="21"/>
      <c r="G1035" s="16" t="str">
        <f>HYPERLINK("http://maps.google.com/maps?f=q&amp;hl=en&amp;geocode=&amp;q=39.6843719482422,21.8974094390869")</f>
        <v>http://maps.google.com/maps?f=q&amp;hl=en&amp;geocode=&amp;q=39.6843719482422,21.8974094390869</v>
      </c>
    </row>
    <row r="1036" spans="1:7" ht="15" x14ac:dyDescent="0.3">
      <c r="A1036">
        <v>39.955309999999997</v>
      </c>
      <c r="B1036">
        <v>-75.221800000000002</v>
      </c>
      <c r="C1036" t="s">
        <v>42</v>
      </c>
      <c r="D1036" t="s">
        <v>811</v>
      </c>
      <c r="F1036" s="21"/>
      <c r="G1036" s="16" t="str">
        <f>HYPERLINK("http://maps.google.com/maps?f=q&amp;hl=en&amp;geocode=&amp;q=39.95531,-75.2218")</f>
        <v>http://maps.google.com/maps?f=q&amp;hl=en&amp;geocode=&amp;q=39.95531,-75.2218</v>
      </c>
    </row>
    <row r="1037" spans="1:7" ht="15" x14ac:dyDescent="0.3">
      <c r="A1037">
        <v>37.625049591064503</v>
      </c>
      <c r="B1037">
        <v>-75.851211547851605</v>
      </c>
      <c r="C1037" t="s">
        <v>41</v>
      </c>
      <c r="D1037" t="s">
        <v>812</v>
      </c>
      <c r="F1037" s="21"/>
      <c r="G1037" s="16" t="str">
        <f>HYPERLINK("http://maps.google.com/maps?f=q&amp;hl=en&amp;geocode=&amp;q=37.6250495910645,-75.8512115478516")</f>
        <v>http://maps.google.com/maps?f=q&amp;hl=en&amp;geocode=&amp;q=37.6250495910645,-75.8512115478516</v>
      </c>
    </row>
    <row r="1038" spans="1:7" ht="15" x14ac:dyDescent="0.3">
      <c r="A1038" t="s">
        <v>44</v>
      </c>
      <c r="B1038" t="s">
        <v>44</v>
      </c>
      <c r="C1038" t="s">
        <v>44</v>
      </c>
      <c r="D1038" t="s">
        <v>813</v>
      </c>
      <c r="F1038" s="21"/>
      <c r="G1038" s="16"/>
    </row>
    <row r="1039" spans="1:7" ht="15" x14ac:dyDescent="0.3">
      <c r="A1039" t="s">
        <v>44</v>
      </c>
      <c r="B1039" t="s">
        <v>44</v>
      </c>
      <c r="C1039" t="s">
        <v>44</v>
      </c>
      <c r="D1039" t="s">
        <v>814</v>
      </c>
      <c r="F1039" s="21"/>
      <c r="G1039" s="16"/>
    </row>
    <row r="1040" spans="1:7" ht="15" x14ac:dyDescent="0.3">
      <c r="A1040">
        <v>29.533359527587901</v>
      </c>
      <c r="B1040">
        <v>-95.119140625</v>
      </c>
      <c r="C1040" t="s">
        <v>43</v>
      </c>
      <c r="D1040" t="s">
        <v>222</v>
      </c>
      <c r="F1040" s="21"/>
      <c r="G1040" s="16" t="str">
        <f>HYPERLINK("http://maps.google.com/maps?f=q&amp;hl=en&amp;geocode=&amp;q=29.5333595275879,-95.119140625")</f>
        <v>http://maps.google.com/maps?f=q&amp;hl=en&amp;geocode=&amp;q=29.5333595275879,-95.119140625</v>
      </c>
    </row>
    <row r="1041" spans="1:7" ht="15" x14ac:dyDescent="0.3">
      <c r="A1041">
        <v>39.919328066192698</v>
      </c>
      <c r="B1041">
        <v>-75.228351132444402</v>
      </c>
      <c r="C1041" t="s">
        <v>43</v>
      </c>
      <c r="D1041" t="s">
        <v>815</v>
      </c>
      <c r="F1041" s="21"/>
      <c r="G1041" s="16" t="str">
        <f>HYPERLINK("http://maps.google.com/maps?f=q&amp;hl=en&amp;geocode=&amp;q=39.9193280661927,-75.2283511324444")</f>
        <v>http://maps.google.com/maps?f=q&amp;hl=en&amp;geocode=&amp;q=39.9193280661927,-75.2283511324444</v>
      </c>
    </row>
    <row r="1042" spans="1:7" ht="15" x14ac:dyDescent="0.3">
      <c r="A1042">
        <v>47.430976867675803</v>
      </c>
      <c r="B1042">
        <v>8.1706743240356392</v>
      </c>
      <c r="C1042" t="s">
        <v>41</v>
      </c>
      <c r="D1042" t="s">
        <v>816</v>
      </c>
      <c r="F1042" s="21"/>
      <c r="G1042" s="16" t="str">
        <f>HYPERLINK("http://maps.google.com/maps?f=q&amp;hl=en&amp;geocode=&amp;q=47.4309768676758,8.17067432403564")</f>
        <v>http://maps.google.com/maps?f=q&amp;hl=en&amp;geocode=&amp;q=47.4309768676758,8.17067432403564</v>
      </c>
    </row>
    <row r="1043" spans="1:7" ht="15" x14ac:dyDescent="0.3">
      <c r="A1043">
        <v>39.973149999999997</v>
      </c>
      <c r="B1043">
        <v>-75.23621</v>
      </c>
      <c r="C1043" t="s">
        <v>43</v>
      </c>
      <c r="D1043" t="s">
        <v>817</v>
      </c>
      <c r="F1043" s="21"/>
      <c r="G1043" s="16" t="str">
        <f>HYPERLINK("http://maps.google.com/maps?f=q&amp;hl=en&amp;geocode=&amp;q=39.97315,-75.23621")</f>
        <v>http://maps.google.com/maps?f=q&amp;hl=en&amp;geocode=&amp;q=39.97315,-75.23621</v>
      </c>
    </row>
    <row r="1044" spans="1:7" ht="15" x14ac:dyDescent="0.3">
      <c r="A1044">
        <v>40.0948827308071</v>
      </c>
      <c r="B1044">
        <v>-75.028420442286006</v>
      </c>
      <c r="C1044" t="s">
        <v>41</v>
      </c>
      <c r="D1044" t="s">
        <v>818</v>
      </c>
      <c r="F1044" s="21"/>
      <c r="G1044" s="16" t="str">
        <f>HYPERLINK("http://maps.google.com/maps?f=q&amp;hl=en&amp;geocode=&amp;q=40.0948827308071,-75.028420442286")</f>
        <v>http://maps.google.com/maps?f=q&amp;hl=en&amp;geocode=&amp;q=40.0948827308071,-75.028420442286</v>
      </c>
    </row>
    <row r="1045" spans="1:7" ht="15" x14ac:dyDescent="0.3">
      <c r="A1045">
        <v>47.753849029541001</v>
      </c>
      <c r="B1045">
        <v>27.864404678344702</v>
      </c>
      <c r="C1045" t="s">
        <v>43</v>
      </c>
      <c r="D1045" t="s">
        <v>819</v>
      </c>
      <c r="F1045" s="21"/>
      <c r="G1045" s="16" t="str">
        <f>HYPERLINK("http://maps.google.com/maps?f=q&amp;hl=en&amp;geocode=&amp;q=47.753849029541,27.8644046783447")</f>
        <v>http://maps.google.com/maps?f=q&amp;hl=en&amp;geocode=&amp;q=47.753849029541,27.8644046783447</v>
      </c>
    </row>
    <row r="1046" spans="1:7" ht="15" x14ac:dyDescent="0.3">
      <c r="A1046">
        <v>29.7082328796387</v>
      </c>
      <c r="B1046">
        <v>-90.006401062011705</v>
      </c>
      <c r="C1046" t="s">
        <v>43</v>
      </c>
      <c r="D1046" t="s">
        <v>98</v>
      </c>
      <c r="F1046" s="21"/>
      <c r="G1046" s="16" t="str">
        <f>HYPERLINK("http://maps.google.com/maps?f=q&amp;hl=en&amp;geocode=&amp;q=29.7082328796387,-90.0064010620117")</f>
        <v>http://maps.google.com/maps?f=q&amp;hl=en&amp;geocode=&amp;q=29.7082328796387,-90.0064010620117</v>
      </c>
    </row>
    <row r="1047" spans="1:7" ht="15" x14ac:dyDescent="0.3">
      <c r="A1047">
        <v>49.510299682617202</v>
      </c>
      <c r="B1047">
        <v>6.10628318786621</v>
      </c>
      <c r="C1047" t="s">
        <v>41</v>
      </c>
      <c r="D1047" t="s">
        <v>820</v>
      </c>
      <c r="F1047" s="21"/>
      <c r="G1047" s="16" t="str">
        <f>HYPERLINK("http://maps.google.com/maps?f=q&amp;hl=en&amp;geocode=&amp;q=49.5102996826172,6.10628318786621")</f>
        <v>http://maps.google.com/maps?f=q&amp;hl=en&amp;geocode=&amp;q=49.5102996826172,6.10628318786621</v>
      </c>
    </row>
    <row r="1048" spans="1:7" ht="15" x14ac:dyDescent="0.3">
      <c r="A1048">
        <v>40.309269608683202</v>
      </c>
      <c r="B1048">
        <v>-78.318082809230006</v>
      </c>
      <c r="C1048" t="s">
        <v>41</v>
      </c>
      <c r="D1048" t="s">
        <v>784</v>
      </c>
      <c r="F1048" s="21"/>
      <c r="G1048" s="16" t="str">
        <f>HYPERLINK("http://maps.google.com/maps?f=q&amp;hl=en&amp;geocode=&amp;q=40.3092696086832,-78.31808280923")</f>
        <v>http://maps.google.com/maps?f=q&amp;hl=en&amp;geocode=&amp;q=40.3092696086832,-78.31808280923</v>
      </c>
    </row>
    <row r="1049" spans="1:7" ht="15" x14ac:dyDescent="0.3">
      <c r="A1049">
        <v>40.309582655688899</v>
      </c>
      <c r="B1049">
        <v>-78.3191913388887</v>
      </c>
      <c r="C1049" t="s">
        <v>41</v>
      </c>
      <c r="D1049" t="s">
        <v>821</v>
      </c>
      <c r="F1049" s="21"/>
      <c r="G1049" s="16" t="str">
        <f>HYPERLINK("http://maps.google.com/maps?f=q&amp;hl=en&amp;geocode=&amp;q=40.3095826556889,-78.3191913388887")</f>
        <v>http://maps.google.com/maps?f=q&amp;hl=en&amp;geocode=&amp;q=40.3095826556889,-78.3191913388887</v>
      </c>
    </row>
    <row r="1050" spans="1:7" ht="15" x14ac:dyDescent="0.3">
      <c r="A1050">
        <v>33.348548644520498</v>
      </c>
      <c r="B1050">
        <v>-98.606133829495803</v>
      </c>
      <c r="C1050" t="s">
        <v>41</v>
      </c>
      <c r="D1050" t="s">
        <v>822</v>
      </c>
      <c r="F1050" s="21"/>
      <c r="G1050" s="16" t="str">
        <f>HYPERLINK("http://maps.google.com/maps?f=q&amp;hl=en&amp;geocode=&amp;q=33.3485486445205,-98.6061338294958")</f>
        <v>http://maps.google.com/maps?f=q&amp;hl=en&amp;geocode=&amp;q=33.3485486445205,-98.6061338294958</v>
      </c>
    </row>
    <row r="1051" spans="1:7" ht="15" x14ac:dyDescent="0.3">
      <c r="A1051">
        <v>33.348657504925399</v>
      </c>
      <c r="B1051">
        <v>-98.606133829563106</v>
      </c>
      <c r="C1051" t="s">
        <v>41</v>
      </c>
      <c r="D1051" t="s">
        <v>774</v>
      </c>
      <c r="F1051" s="21"/>
      <c r="G1051" s="16" t="str">
        <f>HYPERLINK("http://maps.google.com/maps?f=q&amp;hl=en&amp;geocode=&amp;q=33.3486575049254,-98.6061338295631")</f>
        <v>http://maps.google.com/maps?f=q&amp;hl=en&amp;geocode=&amp;q=33.3486575049254,-98.6061338295631</v>
      </c>
    </row>
    <row r="1052" spans="1:7" ht="15" x14ac:dyDescent="0.3">
      <c r="A1052">
        <v>44.2920950428678</v>
      </c>
      <c r="B1052">
        <v>-83.481263771316407</v>
      </c>
      <c r="C1052" t="s">
        <v>41</v>
      </c>
      <c r="D1052" t="s">
        <v>823</v>
      </c>
      <c r="F1052" s="21"/>
      <c r="G1052" s="16" t="str">
        <f>HYPERLINK("http://maps.google.com/maps?f=q&amp;hl=en&amp;geocode=&amp;q=44.2920950428678,-83.4812637713164")</f>
        <v>http://maps.google.com/maps?f=q&amp;hl=en&amp;geocode=&amp;q=44.2920950428678,-83.4812637713164</v>
      </c>
    </row>
    <row r="1053" spans="1:7" ht="15" x14ac:dyDescent="0.3">
      <c r="A1053" t="s">
        <v>44</v>
      </c>
      <c r="B1053" t="s">
        <v>44</v>
      </c>
      <c r="C1053" t="s">
        <v>44</v>
      </c>
      <c r="D1053" t="s">
        <v>824</v>
      </c>
      <c r="F1053" s="21"/>
      <c r="G1053" s="16"/>
    </row>
    <row r="1054" spans="1:7" ht="15" x14ac:dyDescent="0.3">
      <c r="A1054">
        <v>39.947907920740697</v>
      </c>
      <c r="B1054">
        <v>-75.239816049633902</v>
      </c>
      <c r="C1054" t="s">
        <v>41</v>
      </c>
      <c r="D1054" t="s">
        <v>825</v>
      </c>
      <c r="F1054" s="21"/>
      <c r="G1054" s="16" t="str">
        <f>HYPERLINK("http://maps.google.com/maps?f=q&amp;hl=en&amp;geocode=&amp;q=39.9479079207407,-75.2398160496339")</f>
        <v>http://maps.google.com/maps?f=q&amp;hl=en&amp;geocode=&amp;q=39.9479079207407,-75.2398160496339</v>
      </c>
    </row>
    <row r="1055" spans="1:7" ht="15" x14ac:dyDescent="0.3">
      <c r="A1055">
        <v>27.55977</v>
      </c>
      <c r="B1055">
        <v>-82.462969999999999</v>
      </c>
      <c r="C1055" t="s">
        <v>42</v>
      </c>
      <c r="D1055" t="s">
        <v>826</v>
      </c>
      <c r="F1055" s="21"/>
      <c r="G1055" s="16" t="str">
        <f>HYPERLINK("http://maps.google.com/maps?f=q&amp;hl=en&amp;geocode=&amp;q=27.55977,-82.46297")</f>
        <v>http://maps.google.com/maps?f=q&amp;hl=en&amp;geocode=&amp;q=27.55977,-82.46297</v>
      </c>
    </row>
    <row r="1056" spans="1:7" ht="15" x14ac:dyDescent="0.3">
      <c r="A1056">
        <v>7.3835182189941397</v>
      </c>
      <c r="B1056">
        <v>-12.2588081359863</v>
      </c>
      <c r="C1056" t="s">
        <v>41</v>
      </c>
      <c r="D1056" t="s">
        <v>202</v>
      </c>
      <c r="F1056" s="21"/>
      <c r="G1056" s="16" t="str">
        <f>HYPERLINK("http://maps.google.com/maps?f=q&amp;hl=en&amp;geocode=&amp;q=7.38351821899414,-12.2588081359863")</f>
        <v>http://maps.google.com/maps?f=q&amp;hl=en&amp;geocode=&amp;q=7.38351821899414,-12.2588081359863</v>
      </c>
    </row>
    <row r="1057" spans="1:7" ht="15" x14ac:dyDescent="0.3">
      <c r="A1057" t="s">
        <v>44</v>
      </c>
      <c r="B1057" t="s">
        <v>44</v>
      </c>
      <c r="C1057" t="s">
        <v>44</v>
      </c>
      <c r="D1057" t="s">
        <v>101</v>
      </c>
      <c r="F1057" s="21"/>
      <c r="G1057" s="16"/>
    </row>
    <row r="1058" spans="1:7" ht="15" x14ac:dyDescent="0.3">
      <c r="A1058">
        <v>44.2920950428678</v>
      </c>
      <c r="B1058">
        <v>-83.481263771316407</v>
      </c>
      <c r="C1058" t="s">
        <v>41</v>
      </c>
      <c r="D1058" t="s">
        <v>823</v>
      </c>
      <c r="F1058" s="21"/>
      <c r="G1058" s="16" t="str">
        <f>HYPERLINK("http://maps.google.com/maps?f=q&amp;hl=en&amp;geocode=&amp;q=44.2920950428678,-83.4812637713164")</f>
        <v>http://maps.google.com/maps?f=q&amp;hl=en&amp;geocode=&amp;q=44.2920950428678,-83.4812637713164</v>
      </c>
    </row>
    <row r="1059" spans="1:7" ht="15" x14ac:dyDescent="0.3">
      <c r="A1059">
        <v>39.964120000000001</v>
      </c>
      <c r="B1059">
        <v>-75.2303</v>
      </c>
      <c r="C1059" t="s">
        <v>41</v>
      </c>
      <c r="D1059" t="s">
        <v>827</v>
      </c>
      <c r="F1059" s="21"/>
      <c r="G1059" s="16" t="str">
        <f>HYPERLINK("http://maps.google.com/maps?f=q&amp;hl=en&amp;geocode=&amp;q=39.96412,-75.2303")</f>
        <v>http://maps.google.com/maps?f=q&amp;hl=en&amp;geocode=&amp;q=39.96412,-75.2303</v>
      </c>
    </row>
    <row r="1060" spans="1:7" ht="15" x14ac:dyDescent="0.3">
      <c r="A1060">
        <v>41.868020000000001</v>
      </c>
      <c r="B1060">
        <v>-91.57611</v>
      </c>
      <c r="C1060" t="s">
        <v>41</v>
      </c>
      <c r="D1060" t="s">
        <v>243</v>
      </c>
      <c r="F1060" s="21"/>
      <c r="G1060" s="16" t="str">
        <f>HYPERLINK("http://maps.google.com/maps?f=q&amp;hl=en&amp;geocode=&amp;q=41.86802,-91.57611")</f>
        <v>http://maps.google.com/maps?f=q&amp;hl=en&amp;geocode=&amp;q=41.86802,-91.57611</v>
      </c>
    </row>
    <row r="1061" spans="1:7" ht="15" x14ac:dyDescent="0.3">
      <c r="A1061">
        <v>37.6307527593533</v>
      </c>
      <c r="B1061">
        <v>-80.985487552934401</v>
      </c>
      <c r="C1061" t="s">
        <v>41</v>
      </c>
      <c r="D1061" t="s">
        <v>84</v>
      </c>
      <c r="F1061" s="21"/>
      <c r="G1061" s="16" t="str">
        <f>HYPERLINK("http://maps.google.com/maps?f=q&amp;hl=en&amp;geocode=&amp;q=37.6307527593533,-80.9854875529344")</f>
        <v>http://maps.google.com/maps?f=q&amp;hl=en&amp;geocode=&amp;q=37.6307527593533,-80.9854875529344</v>
      </c>
    </row>
    <row r="1062" spans="1:7" ht="15" x14ac:dyDescent="0.3">
      <c r="A1062">
        <v>37.496899999999997</v>
      </c>
      <c r="B1062">
        <v>-77.200370000000007</v>
      </c>
      <c r="C1062" t="s">
        <v>42</v>
      </c>
      <c r="D1062" t="s">
        <v>828</v>
      </c>
      <c r="F1062" s="21"/>
      <c r="G1062" s="16" t="str">
        <f>HYPERLINK("http://maps.google.com/maps?f=q&amp;hl=en&amp;geocode=&amp;q=37.4969,-77.20037")</f>
        <v>http://maps.google.com/maps?f=q&amp;hl=en&amp;geocode=&amp;q=37.4969,-77.20037</v>
      </c>
    </row>
    <row r="1063" spans="1:7" ht="15" x14ac:dyDescent="0.3">
      <c r="A1063">
        <v>35.988323217617001</v>
      </c>
      <c r="B1063">
        <v>-79.994521365098507</v>
      </c>
      <c r="C1063" t="s">
        <v>41</v>
      </c>
      <c r="D1063" t="s">
        <v>829</v>
      </c>
      <c r="F1063" s="21"/>
      <c r="G1063" s="16" t="str">
        <f>HYPERLINK("http://maps.google.com/maps?f=q&amp;hl=en&amp;geocode=&amp;q=35.988323217617,-79.9945213650985")</f>
        <v>http://maps.google.com/maps?f=q&amp;hl=en&amp;geocode=&amp;q=35.988323217617,-79.9945213650985</v>
      </c>
    </row>
    <row r="1064" spans="1:7" ht="15" x14ac:dyDescent="0.3">
      <c r="A1064">
        <v>42.257129999999997</v>
      </c>
      <c r="B1064">
        <v>-88.819670000000002</v>
      </c>
      <c r="C1064" t="s">
        <v>41</v>
      </c>
      <c r="D1064" t="s">
        <v>830</v>
      </c>
      <c r="F1064" s="21"/>
      <c r="G1064" s="16" t="str">
        <f>HYPERLINK("http://maps.google.com/maps?f=q&amp;hl=en&amp;geocode=&amp;q=42.25713,-88.81967")</f>
        <v>http://maps.google.com/maps?f=q&amp;hl=en&amp;geocode=&amp;q=42.25713,-88.81967</v>
      </c>
    </row>
    <row r="1065" spans="1:7" ht="15" x14ac:dyDescent="0.3">
      <c r="A1065">
        <v>40.016758861309803</v>
      </c>
      <c r="B1065">
        <v>-75.210418099833007</v>
      </c>
      <c r="C1065" t="s">
        <v>41</v>
      </c>
      <c r="D1065" t="s">
        <v>831</v>
      </c>
      <c r="F1065" s="21"/>
      <c r="G1065" s="16" t="str">
        <f>HYPERLINK("http://maps.google.com/maps?f=q&amp;hl=en&amp;geocode=&amp;q=40.0167588613098,-75.210418099833")</f>
        <v>http://maps.google.com/maps?f=q&amp;hl=en&amp;geocode=&amp;q=40.0167588613098,-75.210418099833</v>
      </c>
    </row>
    <row r="1066" spans="1:7" ht="15" x14ac:dyDescent="0.3">
      <c r="A1066">
        <v>40.016758861309803</v>
      </c>
      <c r="B1066">
        <v>-75.210418099833007</v>
      </c>
      <c r="C1066" t="s">
        <v>41</v>
      </c>
      <c r="D1066" t="s">
        <v>831</v>
      </c>
      <c r="F1066" s="21"/>
      <c r="G1066" s="16" t="str">
        <f>HYPERLINK("http://maps.google.com/maps?f=q&amp;hl=en&amp;geocode=&amp;q=40.0167588613098,-75.210418099833")</f>
        <v>http://maps.google.com/maps?f=q&amp;hl=en&amp;geocode=&amp;q=40.0167588613098,-75.210418099833</v>
      </c>
    </row>
    <row r="1067" spans="1:7" ht="15" x14ac:dyDescent="0.3">
      <c r="A1067">
        <v>39.973199999999999</v>
      </c>
      <c r="B1067">
        <v>-75.209680000000006</v>
      </c>
      <c r="C1067" t="s">
        <v>41</v>
      </c>
      <c r="D1067" t="s">
        <v>832</v>
      </c>
      <c r="F1067" s="21"/>
      <c r="G1067" s="16" t="str">
        <f>HYPERLINK("http://maps.google.com/maps?f=q&amp;hl=en&amp;geocode=&amp;q=39.9732,-75.20968")</f>
        <v>http://maps.google.com/maps?f=q&amp;hl=en&amp;geocode=&amp;q=39.9732,-75.20968</v>
      </c>
    </row>
    <row r="1068" spans="1:7" ht="15" x14ac:dyDescent="0.3">
      <c r="A1068">
        <v>39.94417</v>
      </c>
      <c r="B1068">
        <v>-75.212119999999999</v>
      </c>
      <c r="C1068" t="s">
        <v>41</v>
      </c>
      <c r="D1068" t="s">
        <v>833</v>
      </c>
      <c r="F1068" s="21"/>
      <c r="G1068" s="16" t="str">
        <f>HYPERLINK("http://maps.google.com/maps?f=q&amp;hl=en&amp;geocode=&amp;q=39.94417,-75.21212")</f>
        <v>http://maps.google.com/maps?f=q&amp;hl=en&amp;geocode=&amp;q=39.94417,-75.21212</v>
      </c>
    </row>
    <row r="1069" spans="1:7" ht="15" x14ac:dyDescent="0.3">
      <c r="A1069" t="s">
        <v>44</v>
      </c>
      <c r="B1069" t="s">
        <v>44</v>
      </c>
      <c r="C1069" t="s">
        <v>44</v>
      </c>
      <c r="D1069" t="s">
        <v>834</v>
      </c>
      <c r="F1069" s="21"/>
      <c r="G1069" s="16"/>
    </row>
    <row r="1070" spans="1:7" ht="15" x14ac:dyDescent="0.3">
      <c r="A1070">
        <v>39.920110000000001</v>
      </c>
      <c r="B1070">
        <v>-75.225800000000007</v>
      </c>
      <c r="C1070" t="s">
        <v>41</v>
      </c>
      <c r="D1070" t="s">
        <v>835</v>
      </c>
      <c r="F1070" s="21"/>
      <c r="G1070" s="16" t="str">
        <f>HYPERLINK("http://maps.google.com/maps?f=q&amp;hl=en&amp;geocode=&amp;q=39.92011,-75.2258")</f>
        <v>http://maps.google.com/maps?f=q&amp;hl=en&amp;geocode=&amp;q=39.92011,-75.2258</v>
      </c>
    </row>
    <row r="1071" spans="1:7" ht="15" x14ac:dyDescent="0.3">
      <c r="A1071" t="s">
        <v>44</v>
      </c>
      <c r="B1071" t="s">
        <v>44</v>
      </c>
      <c r="C1071" t="s">
        <v>44</v>
      </c>
      <c r="D1071" t="s">
        <v>836</v>
      </c>
      <c r="F1071" s="21"/>
      <c r="G1071" s="16"/>
    </row>
    <row r="1072" spans="1:7" ht="15" x14ac:dyDescent="0.3">
      <c r="A1072">
        <v>38.772280000000002</v>
      </c>
      <c r="B1072">
        <v>-112.08293</v>
      </c>
      <c r="C1072" t="s">
        <v>43</v>
      </c>
      <c r="D1072" t="s">
        <v>690</v>
      </c>
      <c r="F1072" s="21"/>
      <c r="G1072" s="16" t="str">
        <f>HYPERLINK("http://maps.google.com/maps?f=q&amp;hl=en&amp;geocode=&amp;q=38.77228,-112.08293")</f>
        <v>http://maps.google.com/maps?f=q&amp;hl=en&amp;geocode=&amp;q=38.77228,-112.08293</v>
      </c>
    </row>
    <row r="1073" spans="1:7" ht="15" x14ac:dyDescent="0.3">
      <c r="A1073">
        <v>37.496899999999997</v>
      </c>
      <c r="B1073">
        <v>-77.200370000000007</v>
      </c>
      <c r="C1073" t="s">
        <v>42</v>
      </c>
      <c r="D1073" t="s">
        <v>828</v>
      </c>
      <c r="F1073" s="21"/>
      <c r="G1073" s="16" t="str">
        <f>HYPERLINK("http://maps.google.com/maps?f=q&amp;hl=en&amp;geocode=&amp;q=37.4969,-77.20037")</f>
        <v>http://maps.google.com/maps?f=q&amp;hl=en&amp;geocode=&amp;q=37.4969,-77.20037</v>
      </c>
    </row>
    <row r="1074" spans="1:7" ht="15" x14ac:dyDescent="0.3">
      <c r="A1074">
        <v>40.748140855546701</v>
      </c>
      <c r="B1074">
        <v>-73.9195424514987</v>
      </c>
      <c r="C1074" t="s">
        <v>41</v>
      </c>
      <c r="D1074" t="s">
        <v>837</v>
      </c>
      <c r="F1074" s="21"/>
      <c r="G1074" s="16" t="str">
        <f>HYPERLINK("http://maps.google.com/maps?f=q&amp;hl=en&amp;geocode=&amp;q=40.7481408555467,-73.9195424514987")</f>
        <v>http://maps.google.com/maps?f=q&amp;hl=en&amp;geocode=&amp;q=40.7481408555467,-73.9195424514987</v>
      </c>
    </row>
    <row r="1075" spans="1:7" ht="15" x14ac:dyDescent="0.3">
      <c r="A1075">
        <v>42.4211838777669</v>
      </c>
      <c r="B1075">
        <v>-76.492153618799193</v>
      </c>
      <c r="C1075" t="s">
        <v>41</v>
      </c>
      <c r="D1075" t="s">
        <v>146</v>
      </c>
      <c r="F1075" s="21"/>
      <c r="G1075" s="16" t="str">
        <f>HYPERLINK("http://maps.google.com/maps?f=q&amp;hl=en&amp;geocode=&amp;q=42.4211838777669,-76.4921536187992")</f>
        <v>http://maps.google.com/maps?f=q&amp;hl=en&amp;geocode=&amp;q=42.4211838777669,-76.4921536187992</v>
      </c>
    </row>
    <row r="1076" spans="1:7" ht="15" x14ac:dyDescent="0.3">
      <c r="A1076">
        <v>42.4211838777669</v>
      </c>
      <c r="B1076">
        <v>-76.492153618799193</v>
      </c>
      <c r="C1076" t="s">
        <v>41</v>
      </c>
      <c r="D1076" t="s">
        <v>146</v>
      </c>
      <c r="F1076" s="21"/>
      <c r="G1076" s="16" t="str">
        <f>HYPERLINK("http://maps.google.com/maps?f=q&amp;hl=en&amp;geocode=&amp;q=42.4211838777669,-76.4921536187992")</f>
        <v>http://maps.google.com/maps?f=q&amp;hl=en&amp;geocode=&amp;q=42.4211838777669,-76.4921536187992</v>
      </c>
    </row>
    <row r="1077" spans="1:7" ht="15" x14ac:dyDescent="0.3">
      <c r="A1077">
        <v>42.4211838777669</v>
      </c>
      <c r="B1077">
        <v>-76.492153618799193</v>
      </c>
      <c r="C1077" t="s">
        <v>41</v>
      </c>
      <c r="D1077" t="s">
        <v>146</v>
      </c>
      <c r="F1077" s="21"/>
      <c r="G1077" s="16" t="str">
        <f>HYPERLINK("http://maps.google.com/maps?f=q&amp;hl=en&amp;geocode=&amp;q=42.4211838777669,-76.4921536187992")</f>
        <v>http://maps.google.com/maps?f=q&amp;hl=en&amp;geocode=&amp;q=42.4211838777669,-76.4921536187992</v>
      </c>
    </row>
    <row r="1078" spans="1:7" ht="15" x14ac:dyDescent="0.3">
      <c r="A1078">
        <v>35.158396757966997</v>
      </c>
      <c r="B1078">
        <v>-90.045376222310097</v>
      </c>
      <c r="C1078" t="s">
        <v>41</v>
      </c>
      <c r="D1078" t="s">
        <v>154</v>
      </c>
      <c r="F1078" s="21"/>
      <c r="G1078" s="16" t="str">
        <f>HYPERLINK("http://maps.google.com/maps?f=q&amp;hl=en&amp;geocode=&amp;q=35.158396757967,-90.0453762223101")</f>
        <v>http://maps.google.com/maps?f=q&amp;hl=en&amp;geocode=&amp;q=35.158396757967,-90.0453762223101</v>
      </c>
    </row>
    <row r="1079" spans="1:7" ht="15" x14ac:dyDescent="0.3">
      <c r="A1079">
        <v>40.020488446909397</v>
      </c>
      <c r="B1079">
        <v>-75.207376093174105</v>
      </c>
      <c r="C1079" t="s">
        <v>41</v>
      </c>
      <c r="D1079" t="s">
        <v>838</v>
      </c>
      <c r="F1079" s="21"/>
      <c r="G1079" s="16" t="str">
        <f>HYPERLINK("http://maps.google.com/maps?f=q&amp;hl=en&amp;geocode=&amp;q=40.0204884469094,-75.2073760931741")</f>
        <v>http://maps.google.com/maps?f=q&amp;hl=en&amp;geocode=&amp;q=40.0204884469094,-75.2073760931741</v>
      </c>
    </row>
    <row r="1080" spans="1:7" ht="15" x14ac:dyDescent="0.3">
      <c r="A1080">
        <v>35.694267272949197</v>
      </c>
      <c r="B1080">
        <v>139.41233825683599</v>
      </c>
      <c r="C1080" t="s">
        <v>43</v>
      </c>
      <c r="D1080" t="s">
        <v>839</v>
      </c>
      <c r="F1080" s="21"/>
      <c r="G1080" s="16" t="str">
        <f>HYPERLINK("http://maps.google.com/maps?f=q&amp;hl=en&amp;geocode=&amp;q=35.6942672729492,139.412338256836")</f>
        <v>http://maps.google.com/maps?f=q&amp;hl=en&amp;geocode=&amp;q=35.6942672729492,139.412338256836</v>
      </c>
    </row>
    <row r="1081" spans="1:7" ht="15" x14ac:dyDescent="0.3">
      <c r="A1081">
        <v>32.373307537499201</v>
      </c>
      <c r="B1081">
        <v>-90.141887097204105</v>
      </c>
      <c r="C1081" t="s">
        <v>41</v>
      </c>
      <c r="D1081" t="s">
        <v>113</v>
      </c>
      <c r="F1081" s="21"/>
      <c r="G1081" s="16" t="str">
        <f>HYPERLINK("http://maps.google.com/maps?f=q&amp;hl=en&amp;geocode=&amp;q=32.3733075374992,-90.1418870972041")</f>
        <v>http://maps.google.com/maps?f=q&amp;hl=en&amp;geocode=&amp;q=32.3733075374992,-90.1418870972041</v>
      </c>
    </row>
    <row r="1082" spans="1:7" ht="15" x14ac:dyDescent="0.3">
      <c r="A1082">
        <v>43.6038208007813</v>
      </c>
      <c r="B1082">
        <v>-110.735870361328</v>
      </c>
      <c r="C1082" t="s">
        <v>41</v>
      </c>
      <c r="D1082" t="s">
        <v>840</v>
      </c>
      <c r="F1082" s="21"/>
      <c r="G1082" s="16" t="str">
        <f>HYPERLINK("http://maps.google.com/maps?f=q&amp;hl=en&amp;geocode=&amp;q=43.6038208007813,-110.735870361328")</f>
        <v>http://maps.google.com/maps?f=q&amp;hl=en&amp;geocode=&amp;q=43.6038208007813,-110.735870361328</v>
      </c>
    </row>
    <row r="1083" spans="1:7" ht="15" x14ac:dyDescent="0.3">
      <c r="A1083" t="s">
        <v>44</v>
      </c>
      <c r="B1083" t="s">
        <v>44</v>
      </c>
      <c r="C1083" t="s">
        <v>44</v>
      </c>
      <c r="D1083" t="s">
        <v>841</v>
      </c>
      <c r="F1083" s="21"/>
      <c r="G1083" s="16"/>
    </row>
    <row r="1084" spans="1:7" ht="15" x14ac:dyDescent="0.3">
      <c r="A1084">
        <v>7.2021198272705096</v>
      </c>
      <c r="B1084">
        <v>126.53334808349599</v>
      </c>
      <c r="C1084" t="s">
        <v>41</v>
      </c>
      <c r="D1084" t="s">
        <v>842</v>
      </c>
      <c r="F1084" s="21"/>
      <c r="G1084" s="16" t="str">
        <f>HYPERLINK("http://maps.google.com/maps?f=q&amp;hl=en&amp;geocode=&amp;q=7.20211982727051,126.533348083496")</f>
        <v>http://maps.google.com/maps?f=q&amp;hl=en&amp;geocode=&amp;q=7.20211982727051,126.533348083496</v>
      </c>
    </row>
    <row r="1085" spans="1:7" ht="15" x14ac:dyDescent="0.3">
      <c r="A1085">
        <v>-35.419754028320298</v>
      </c>
      <c r="B1085">
        <v>140.07737731933599</v>
      </c>
      <c r="C1085" t="s">
        <v>41</v>
      </c>
      <c r="D1085" t="s">
        <v>843</v>
      </c>
      <c r="F1085" s="21"/>
      <c r="G1085" s="16" t="str">
        <f>HYPERLINK("http://maps.google.com/maps?f=q&amp;hl=en&amp;geocode=&amp;q=-35.4197540283203,140.077377319336")</f>
        <v>http://maps.google.com/maps?f=q&amp;hl=en&amp;geocode=&amp;q=-35.4197540283203,140.077377319336</v>
      </c>
    </row>
    <row r="1086" spans="1:7" ht="15" x14ac:dyDescent="0.3">
      <c r="A1086">
        <v>40.309345611728098</v>
      </c>
      <c r="B1086">
        <v>-78.3180015519536</v>
      </c>
      <c r="C1086" t="s">
        <v>41</v>
      </c>
      <c r="D1086" t="s">
        <v>844</v>
      </c>
      <c r="F1086" s="21"/>
      <c r="G1086" s="16" t="str">
        <f>HYPERLINK("http://maps.google.com/maps?f=q&amp;hl=en&amp;geocode=&amp;q=40.3093456117281,-78.3180015519536")</f>
        <v>http://maps.google.com/maps?f=q&amp;hl=en&amp;geocode=&amp;q=40.3093456117281,-78.3180015519536</v>
      </c>
    </row>
    <row r="1087" spans="1:7" ht="15" x14ac:dyDescent="0.3">
      <c r="A1087">
        <v>39.996949999999998</v>
      </c>
      <c r="B1087">
        <v>-75.115110000000001</v>
      </c>
      <c r="C1087" t="s">
        <v>41</v>
      </c>
      <c r="D1087" t="s">
        <v>845</v>
      </c>
      <c r="F1087" s="21"/>
      <c r="G1087" s="16" t="str">
        <f>HYPERLINK("http://maps.google.com/maps?f=q&amp;hl=en&amp;geocode=&amp;q=39.99695,-75.11511")</f>
        <v>http://maps.google.com/maps?f=q&amp;hl=en&amp;geocode=&amp;q=39.99695,-75.11511</v>
      </c>
    </row>
    <row r="1088" spans="1:7" ht="15" x14ac:dyDescent="0.3">
      <c r="A1088">
        <v>32.726750000000003</v>
      </c>
      <c r="B1088">
        <v>-97.411789999999996</v>
      </c>
      <c r="C1088" t="s">
        <v>41</v>
      </c>
      <c r="D1088" t="s">
        <v>846</v>
      </c>
      <c r="F1088" s="21"/>
      <c r="G1088" s="16" t="str">
        <f>HYPERLINK("http://maps.google.com/maps?f=q&amp;hl=en&amp;geocode=&amp;q=32.72675,-97.41179")</f>
        <v>http://maps.google.com/maps?f=q&amp;hl=en&amp;geocode=&amp;q=32.72675,-97.41179</v>
      </c>
    </row>
    <row r="1089" spans="1:7" ht="15" x14ac:dyDescent="0.3">
      <c r="A1089">
        <v>39.916379999999997</v>
      </c>
      <c r="B1089">
        <v>-75.231129999999993</v>
      </c>
      <c r="C1089" t="s">
        <v>41</v>
      </c>
      <c r="D1089" t="s">
        <v>847</v>
      </c>
      <c r="F1089" s="21"/>
      <c r="G1089" s="16" t="str">
        <f>HYPERLINK("http://maps.google.com/maps?f=q&amp;hl=en&amp;geocode=&amp;q=39.91638,-75.23113")</f>
        <v>http://maps.google.com/maps?f=q&amp;hl=en&amp;geocode=&amp;q=39.91638,-75.23113</v>
      </c>
    </row>
    <row r="1090" spans="1:7" ht="15" x14ac:dyDescent="0.3">
      <c r="A1090">
        <v>28.518065686104499</v>
      </c>
      <c r="B1090">
        <v>-81.337403673902401</v>
      </c>
      <c r="C1090" t="s">
        <v>43</v>
      </c>
      <c r="D1090" t="s">
        <v>848</v>
      </c>
      <c r="F1090" s="21"/>
      <c r="G1090" s="16" t="str">
        <f>HYPERLINK("http://maps.google.com/maps?f=q&amp;hl=en&amp;geocode=&amp;q=28.5180656861045,-81.3374036739024")</f>
        <v>http://maps.google.com/maps?f=q&amp;hl=en&amp;geocode=&amp;q=28.5180656861045,-81.3374036739024</v>
      </c>
    </row>
    <row r="1091" spans="1:7" ht="15" x14ac:dyDescent="0.3">
      <c r="A1091">
        <v>42.338218688964801</v>
      </c>
      <c r="B1091">
        <v>-112.60504150390599</v>
      </c>
      <c r="C1091" t="s">
        <v>43</v>
      </c>
      <c r="D1091" t="s">
        <v>849</v>
      </c>
      <c r="F1091" s="21"/>
      <c r="G1091" s="16" t="str">
        <f>HYPERLINK("http://maps.google.com/maps?f=q&amp;hl=en&amp;geocode=&amp;q=42.3382186889648,-112.605041503906")</f>
        <v>http://maps.google.com/maps?f=q&amp;hl=en&amp;geocode=&amp;q=42.3382186889648,-112.605041503906</v>
      </c>
    </row>
    <row r="1092" spans="1:7" ht="15" x14ac:dyDescent="0.3">
      <c r="A1092">
        <v>33.348548644520498</v>
      </c>
      <c r="B1092">
        <v>-98.606133829495803</v>
      </c>
      <c r="C1092" t="s">
        <v>41</v>
      </c>
      <c r="D1092" t="s">
        <v>822</v>
      </c>
      <c r="F1092" s="21"/>
      <c r="G1092" s="16" t="str">
        <f>HYPERLINK("http://maps.google.com/maps?f=q&amp;hl=en&amp;geocode=&amp;q=33.3485486445205,-98.6061338294958")</f>
        <v>http://maps.google.com/maps?f=q&amp;hl=en&amp;geocode=&amp;q=33.3485486445205,-98.6061338294958</v>
      </c>
    </row>
    <row r="1093" spans="1:7" ht="15" x14ac:dyDescent="0.3">
      <c r="A1093">
        <v>43.239310000000003</v>
      </c>
      <c r="B1093">
        <v>-78.656620000000004</v>
      </c>
      <c r="C1093" t="s">
        <v>41</v>
      </c>
      <c r="D1093" t="s">
        <v>850</v>
      </c>
      <c r="F1093" s="21"/>
      <c r="G1093" s="16" t="str">
        <f>HYPERLINK("http://maps.google.com/maps?f=q&amp;hl=en&amp;geocode=&amp;q=43.23931,-78.65662")</f>
        <v>http://maps.google.com/maps?f=q&amp;hl=en&amp;geocode=&amp;q=43.23931,-78.65662</v>
      </c>
    </row>
    <row r="1094" spans="1:7" ht="15" x14ac:dyDescent="0.3">
      <c r="A1094">
        <v>55.316757202148402</v>
      </c>
      <c r="B1094">
        <v>10.7729501724243</v>
      </c>
      <c r="C1094" t="s">
        <v>43</v>
      </c>
      <c r="D1094" t="s">
        <v>851</v>
      </c>
      <c r="F1094" s="21"/>
      <c r="G1094" s="16" t="str">
        <f>HYPERLINK("http://maps.google.com/maps?f=q&amp;hl=en&amp;geocode=&amp;q=55.3167572021484,10.7729501724243")</f>
        <v>http://maps.google.com/maps?f=q&amp;hl=en&amp;geocode=&amp;q=55.3167572021484,10.7729501724243</v>
      </c>
    </row>
    <row r="1095" spans="1:7" ht="15" x14ac:dyDescent="0.3">
      <c r="A1095">
        <v>38.866889953613303</v>
      </c>
      <c r="B1095">
        <v>-84.611846923828097</v>
      </c>
      <c r="C1095" t="s">
        <v>43</v>
      </c>
      <c r="D1095" t="s">
        <v>852</v>
      </c>
      <c r="F1095" s="21"/>
      <c r="G1095" s="16" t="str">
        <f>HYPERLINK("http://maps.google.com/maps?f=q&amp;hl=en&amp;geocode=&amp;q=38.8668899536133,-84.6118469238281")</f>
        <v>http://maps.google.com/maps?f=q&amp;hl=en&amp;geocode=&amp;q=38.8668899536133,-84.6118469238281</v>
      </c>
    </row>
    <row r="1096" spans="1:7" ht="15" x14ac:dyDescent="0.3">
      <c r="A1096" t="s">
        <v>44</v>
      </c>
      <c r="B1096" t="s">
        <v>44</v>
      </c>
      <c r="C1096" t="s">
        <v>44</v>
      </c>
      <c r="D1096" t="s">
        <v>853</v>
      </c>
      <c r="F1096" s="21"/>
      <c r="G1096" s="16"/>
    </row>
    <row r="1097" spans="1:7" ht="15" x14ac:dyDescent="0.3">
      <c r="A1097">
        <v>30.013597252129799</v>
      </c>
      <c r="B1097">
        <v>-90.178112333309699</v>
      </c>
      <c r="C1097" t="s">
        <v>41</v>
      </c>
      <c r="D1097" t="s">
        <v>176</v>
      </c>
      <c r="F1097" s="21"/>
      <c r="G1097" s="16" t="str">
        <f>HYPERLINK("http://maps.google.com/maps?f=q&amp;hl=en&amp;geocode=&amp;q=30.0135972521298,-90.1781123333097")</f>
        <v>http://maps.google.com/maps?f=q&amp;hl=en&amp;geocode=&amp;q=30.0135972521298,-90.1781123333097</v>
      </c>
    </row>
    <row r="1098" spans="1:7" ht="15" x14ac:dyDescent="0.3">
      <c r="A1098">
        <v>39.698140000000002</v>
      </c>
      <c r="B1098">
        <v>-84.17492</v>
      </c>
      <c r="C1098" t="s">
        <v>41</v>
      </c>
      <c r="D1098" t="s">
        <v>854</v>
      </c>
      <c r="F1098" s="21"/>
      <c r="G1098" s="16" t="str">
        <f>HYPERLINK("http://maps.google.com/maps?f=q&amp;hl=en&amp;geocode=&amp;q=39.69814,-84.17492")</f>
        <v>http://maps.google.com/maps?f=q&amp;hl=en&amp;geocode=&amp;q=39.69814,-84.17492</v>
      </c>
    </row>
    <row r="1099" spans="1:7" ht="15" x14ac:dyDescent="0.3">
      <c r="A1099">
        <v>31.693166610636599</v>
      </c>
      <c r="B1099">
        <v>-83.645837412754204</v>
      </c>
      <c r="C1099" t="s">
        <v>41</v>
      </c>
      <c r="D1099" t="s">
        <v>352</v>
      </c>
      <c r="F1099" s="21"/>
      <c r="G1099" s="16" t="str">
        <f>HYPERLINK("http://maps.google.com/maps?f=q&amp;hl=en&amp;geocode=&amp;q=31.6931666106366,-83.6458374127542")</f>
        <v>http://maps.google.com/maps?f=q&amp;hl=en&amp;geocode=&amp;q=31.6931666106366,-83.6458374127542</v>
      </c>
    </row>
    <row r="1100" spans="1:7" ht="15" x14ac:dyDescent="0.3">
      <c r="A1100">
        <v>32.799199999999999</v>
      </c>
      <c r="B1100">
        <v>-109.76349</v>
      </c>
      <c r="C1100" t="s">
        <v>43</v>
      </c>
      <c r="D1100" t="s">
        <v>855</v>
      </c>
      <c r="F1100" s="21"/>
      <c r="G1100" s="16" t="str">
        <f>HYPERLINK("http://maps.google.com/maps?f=q&amp;hl=en&amp;geocode=&amp;q=32.7992,-109.76349")</f>
        <v>http://maps.google.com/maps?f=q&amp;hl=en&amp;geocode=&amp;q=32.7992,-109.76349</v>
      </c>
    </row>
    <row r="1101" spans="1:7" ht="15" x14ac:dyDescent="0.3">
      <c r="A1101">
        <v>39.95543</v>
      </c>
      <c r="B1101">
        <v>-75.227860000000007</v>
      </c>
      <c r="C1101" t="s">
        <v>43</v>
      </c>
      <c r="D1101" t="s">
        <v>856</v>
      </c>
      <c r="F1101" s="21"/>
      <c r="G1101" s="16" t="str">
        <f>HYPERLINK("http://maps.google.com/maps?f=q&amp;hl=en&amp;geocode=&amp;q=39.95543,-75.22786")</f>
        <v>http://maps.google.com/maps?f=q&amp;hl=en&amp;geocode=&amp;q=39.95543,-75.22786</v>
      </c>
    </row>
    <row r="1102" spans="1:7" ht="15" x14ac:dyDescent="0.3">
      <c r="A1102">
        <v>32.305967913452903</v>
      </c>
      <c r="B1102">
        <v>-84.788835655220595</v>
      </c>
      <c r="C1102" t="s">
        <v>41</v>
      </c>
      <c r="D1102" t="s">
        <v>857</v>
      </c>
      <c r="F1102" s="21"/>
      <c r="G1102" s="16" t="str">
        <f>HYPERLINK("http://maps.google.com/maps?f=q&amp;hl=en&amp;geocode=&amp;q=32.3059679134529,-84.7888356552206")</f>
        <v>http://maps.google.com/maps?f=q&amp;hl=en&amp;geocode=&amp;q=32.3059679134529,-84.7888356552206</v>
      </c>
    </row>
    <row r="1103" spans="1:7" ht="15" x14ac:dyDescent="0.3">
      <c r="A1103" t="s">
        <v>44</v>
      </c>
      <c r="B1103" t="s">
        <v>44</v>
      </c>
      <c r="C1103" t="s">
        <v>44</v>
      </c>
      <c r="D1103" t="s">
        <v>858</v>
      </c>
      <c r="F1103" s="21"/>
      <c r="G1103" s="16"/>
    </row>
    <row r="1104" spans="1:7" ht="15" x14ac:dyDescent="0.3">
      <c r="A1104">
        <v>36.041500666062397</v>
      </c>
      <c r="B1104">
        <v>-83.816593212861804</v>
      </c>
      <c r="C1104" t="s">
        <v>41</v>
      </c>
      <c r="D1104" t="s">
        <v>859</v>
      </c>
      <c r="F1104" s="21"/>
      <c r="G1104" s="16" t="str">
        <f>HYPERLINK("http://maps.google.com/maps?f=q&amp;hl=en&amp;geocode=&amp;q=36.0415006660624,-83.8165932128618")</f>
        <v>http://maps.google.com/maps?f=q&amp;hl=en&amp;geocode=&amp;q=36.0415006660624,-83.8165932128618</v>
      </c>
    </row>
    <row r="1105" spans="1:7" ht="15" x14ac:dyDescent="0.3">
      <c r="A1105">
        <v>35.550861358642599</v>
      </c>
      <c r="B1105">
        <v>-121.072059631348</v>
      </c>
      <c r="C1105" t="s">
        <v>43</v>
      </c>
      <c r="D1105" t="s">
        <v>860</v>
      </c>
      <c r="F1105" s="21"/>
      <c r="G1105" s="16" t="str">
        <f>HYPERLINK("http://maps.google.com/maps?f=q&amp;hl=en&amp;geocode=&amp;q=35.5508613586426,-121.072059631348")</f>
        <v>http://maps.google.com/maps?f=q&amp;hl=en&amp;geocode=&amp;q=35.5508613586426,-121.072059631348</v>
      </c>
    </row>
    <row r="1106" spans="1:7" ht="15" x14ac:dyDescent="0.3">
      <c r="A1106">
        <v>39.970078479663201</v>
      </c>
      <c r="B1106">
        <v>-75.219388248918804</v>
      </c>
      <c r="C1106" t="s">
        <v>41</v>
      </c>
      <c r="D1106" t="s">
        <v>786</v>
      </c>
      <c r="F1106" s="21"/>
      <c r="G1106" s="16" t="str">
        <f>HYPERLINK("http://maps.google.com/maps?f=q&amp;hl=en&amp;geocode=&amp;q=39.9700784796632,-75.2193882489188")</f>
        <v>http://maps.google.com/maps?f=q&amp;hl=en&amp;geocode=&amp;q=39.9700784796632,-75.2193882489188</v>
      </c>
    </row>
    <row r="1107" spans="1:7" ht="15" x14ac:dyDescent="0.3">
      <c r="A1107">
        <v>41.022918701171903</v>
      </c>
      <c r="B1107">
        <v>-78.438087463378906</v>
      </c>
      <c r="C1107" t="s">
        <v>41</v>
      </c>
      <c r="D1107" t="s">
        <v>861</v>
      </c>
      <c r="F1107" s="21"/>
      <c r="G1107" s="16" t="str">
        <f>HYPERLINK("http://maps.google.com/maps?f=q&amp;hl=en&amp;geocode=&amp;q=41.0229187011719,-78.4380874633789")</f>
        <v>http://maps.google.com/maps?f=q&amp;hl=en&amp;geocode=&amp;q=41.0229187011719,-78.4380874633789</v>
      </c>
    </row>
    <row r="1108" spans="1:7" ht="15" x14ac:dyDescent="0.3">
      <c r="A1108">
        <v>38.772280000000002</v>
      </c>
      <c r="B1108">
        <v>-112.08293</v>
      </c>
      <c r="C1108" t="s">
        <v>43</v>
      </c>
      <c r="D1108" t="s">
        <v>690</v>
      </c>
      <c r="F1108" s="21"/>
      <c r="G1108" s="16" t="str">
        <f>HYPERLINK("http://maps.google.com/maps?f=q&amp;hl=en&amp;geocode=&amp;q=38.77228,-112.08293")</f>
        <v>http://maps.google.com/maps?f=q&amp;hl=en&amp;geocode=&amp;q=38.77228,-112.08293</v>
      </c>
    </row>
    <row r="1109" spans="1:7" ht="15" x14ac:dyDescent="0.3">
      <c r="A1109">
        <v>33.797699854393997</v>
      </c>
      <c r="B1109">
        <v>-118.260771334699</v>
      </c>
      <c r="C1109" t="s">
        <v>43</v>
      </c>
      <c r="D1109" t="s">
        <v>862</v>
      </c>
      <c r="F1109" s="21"/>
      <c r="G1109" s="16" t="str">
        <f>HYPERLINK("http://maps.google.com/maps?f=q&amp;hl=en&amp;geocode=&amp;q=33.797699854394,-118.260771334699")</f>
        <v>http://maps.google.com/maps?f=q&amp;hl=en&amp;geocode=&amp;q=33.797699854394,-118.260771334699</v>
      </c>
    </row>
    <row r="1110" spans="1:7" ht="15" x14ac:dyDescent="0.3">
      <c r="A1110">
        <v>-34.450752258300803</v>
      </c>
      <c r="B1110">
        <v>138.66142272949199</v>
      </c>
      <c r="C1110" t="s">
        <v>41</v>
      </c>
      <c r="D1110" t="s">
        <v>863</v>
      </c>
      <c r="F1110" s="21"/>
      <c r="G1110" s="16" t="str">
        <f>HYPERLINK("http://maps.google.com/maps?f=q&amp;hl=en&amp;geocode=&amp;q=-34.4507522583008,138.661422729492")</f>
        <v>http://maps.google.com/maps?f=q&amp;hl=en&amp;geocode=&amp;q=-34.4507522583008,138.661422729492</v>
      </c>
    </row>
    <row r="1111" spans="1:7" ht="15" x14ac:dyDescent="0.3">
      <c r="A1111">
        <v>26.803524017333999</v>
      </c>
      <c r="B1111">
        <v>-81.685234069824205</v>
      </c>
      <c r="C1111" t="s">
        <v>43</v>
      </c>
      <c r="D1111" t="s">
        <v>864</v>
      </c>
      <c r="F1111" s="21"/>
      <c r="G1111" s="16" t="str">
        <f>HYPERLINK("http://maps.google.com/maps?f=q&amp;hl=en&amp;geocode=&amp;q=26.803524017334,-81.6852340698242")</f>
        <v>http://maps.google.com/maps?f=q&amp;hl=en&amp;geocode=&amp;q=26.803524017334,-81.6852340698242</v>
      </c>
    </row>
    <row r="1112" spans="1:7" ht="15" x14ac:dyDescent="0.3">
      <c r="A1112" t="s">
        <v>44</v>
      </c>
      <c r="B1112" t="s">
        <v>44</v>
      </c>
      <c r="C1112" t="s">
        <v>44</v>
      </c>
      <c r="D1112" t="s">
        <v>865</v>
      </c>
      <c r="F1112" s="21"/>
      <c r="G1112" s="16"/>
    </row>
    <row r="1113" spans="1:7" ht="15" x14ac:dyDescent="0.3">
      <c r="A1113">
        <v>39.324630598059699</v>
      </c>
      <c r="B1113">
        <v>-76.469169209032103</v>
      </c>
      <c r="C1113" t="s">
        <v>41</v>
      </c>
      <c r="D1113" t="s">
        <v>866</v>
      </c>
      <c r="F1113" s="21"/>
      <c r="G1113" s="16" t="str">
        <f>HYPERLINK("http://maps.google.com/maps?f=q&amp;hl=en&amp;geocode=&amp;q=39.3246305980597,-76.4691692090321")</f>
        <v>http://maps.google.com/maps?f=q&amp;hl=en&amp;geocode=&amp;q=39.3246305980597,-76.4691692090321</v>
      </c>
    </row>
    <row r="1114" spans="1:7" ht="15" x14ac:dyDescent="0.3">
      <c r="A1114" t="s">
        <v>44</v>
      </c>
      <c r="B1114" t="s">
        <v>44</v>
      </c>
      <c r="C1114" t="s">
        <v>44</v>
      </c>
      <c r="D1114" t="s">
        <v>867</v>
      </c>
      <c r="F1114" s="21"/>
      <c r="G1114" s="16"/>
    </row>
    <row r="1115" spans="1:7" ht="15" x14ac:dyDescent="0.3">
      <c r="A1115" t="s">
        <v>44</v>
      </c>
      <c r="B1115" t="s">
        <v>44</v>
      </c>
      <c r="C1115" t="s">
        <v>44</v>
      </c>
      <c r="D1115" t="s">
        <v>868</v>
      </c>
      <c r="F1115" s="21"/>
      <c r="G1115" s="16"/>
    </row>
    <row r="1116" spans="1:7" ht="15" x14ac:dyDescent="0.3">
      <c r="A1116" t="s">
        <v>44</v>
      </c>
      <c r="B1116" t="s">
        <v>44</v>
      </c>
      <c r="C1116" t="s">
        <v>44</v>
      </c>
      <c r="D1116" t="s">
        <v>858</v>
      </c>
      <c r="F1116" s="21"/>
      <c r="G1116" s="16"/>
    </row>
    <row r="1117" spans="1:7" ht="15" x14ac:dyDescent="0.3">
      <c r="A1117">
        <v>39.151271820068402</v>
      </c>
      <c r="B1117">
        <v>-76.764373779296903</v>
      </c>
      <c r="C1117" t="s">
        <v>43</v>
      </c>
      <c r="D1117" t="s">
        <v>869</v>
      </c>
      <c r="F1117" s="21"/>
      <c r="G1117" s="16" t="str">
        <f>HYPERLINK("http://maps.google.com/maps?f=q&amp;hl=en&amp;geocode=&amp;q=39.1512718200684,-76.7643737792969")</f>
        <v>http://maps.google.com/maps?f=q&amp;hl=en&amp;geocode=&amp;q=39.1512718200684,-76.7643737792969</v>
      </c>
    </row>
    <row r="1118" spans="1:7" ht="15" x14ac:dyDescent="0.3">
      <c r="A1118" t="s">
        <v>44</v>
      </c>
      <c r="B1118" t="s">
        <v>44</v>
      </c>
      <c r="C1118" t="s">
        <v>44</v>
      </c>
      <c r="D1118" t="s">
        <v>870</v>
      </c>
      <c r="F1118" s="21"/>
      <c r="G1118" s="16"/>
    </row>
    <row r="1119" spans="1:7" ht="15" x14ac:dyDescent="0.3">
      <c r="A1119">
        <v>43.332384500870802</v>
      </c>
      <c r="B1119">
        <v>-78.753091422731799</v>
      </c>
      <c r="C1119" t="s">
        <v>41</v>
      </c>
      <c r="D1119" t="s">
        <v>871</v>
      </c>
      <c r="F1119" s="21"/>
      <c r="G1119" s="16" t="str">
        <f>HYPERLINK("http://maps.google.com/maps?f=q&amp;hl=en&amp;geocode=&amp;q=43.3323845008708,-78.7530914227318")</f>
        <v>http://maps.google.com/maps?f=q&amp;hl=en&amp;geocode=&amp;q=43.3323845008708,-78.7530914227318</v>
      </c>
    </row>
    <row r="1120" spans="1:7" ht="15" x14ac:dyDescent="0.3">
      <c r="A1120">
        <v>41.601711273193402</v>
      </c>
      <c r="B1120">
        <v>-93.647491455078097</v>
      </c>
      <c r="C1120" t="s">
        <v>43</v>
      </c>
      <c r="D1120" t="s">
        <v>872</v>
      </c>
      <c r="F1120" s="21"/>
      <c r="G1120" s="16" t="str">
        <f>HYPERLINK("http://maps.google.com/maps?f=q&amp;hl=en&amp;geocode=&amp;q=41.6017112731934,-93.6474914550781")</f>
        <v>http://maps.google.com/maps?f=q&amp;hl=en&amp;geocode=&amp;q=41.6017112731934,-93.6474914550781</v>
      </c>
    </row>
    <row r="1121" spans="1:7" ht="15" x14ac:dyDescent="0.3">
      <c r="A1121" t="s">
        <v>44</v>
      </c>
      <c r="B1121" t="s">
        <v>44</v>
      </c>
      <c r="C1121" t="s">
        <v>44</v>
      </c>
      <c r="D1121" t="s">
        <v>813</v>
      </c>
      <c r="F1121" s="21"/>
      <c r="G1121" s="16"/>
    </row>
    <row r="1122" spans="1:7" ht="15" x14ac:dyDescent="0.3">
      <c r="A1122">
        <v>37.6307527593533</v>
      </c>
      <c r="B1122">
        <v>-80.985487552934401</v>
      </c>
      <c r="C1122" t="s">
        <v>41</v>
      </c>
      <c r="D1122" t="s">
        <v>84</v>
      </c>
      <c r="F1122" s="21"/>
      <c r="G1122" s="16" t="str">
        <f>HYPERLINK("http://maps.google.com/maps?f=q&amp;hl=en&amp;geocode=&amp;q=37.6307527593533,-80.9854875529344")</f>
        <v>http://maps.google.com/maps?f=q&amp;hl=en&amp;geocode=&amp;q=37.6307527593533,-80.9854875529344</v>
      </c>
    </row>
    <row r="1123" spans="1:7" ht="15" x14ac:dyDescent="0.3">
      <c r="A1123">
        <v>49.626350402832003</v>
      </c>
      <c r="B1123">
        <v>6.12915086746216</v>
      </c>
      <c r="C1123" t="s">
        <v>41</v>
      </c>
      <c r="D1123" t="s">
        <v>873</v>
      </c>
      <c r="F1123" s="21"/>
      <c r="G1123" s="16" t="str">
        <f>HYPERLINK("http://maps.google.com/maps?f=q&amp;hl=en&amp;geocode=&amp;q=49.626350402832,6.12915086746216")</f>
        <v>http://maps.google.com/maps?f=q&amp;hl=en&amp;geocode=&amp;q=49.626350402832,6.12915086746216</v>
      </c>
    </row>
    <row r="1124" spans="1:7" ht="15" x14ac:dyDescent="0.3">
      <c r="A1124" t="s">
        <v>44</v>
      </c>
      <c r="B1124" t="s">
        <v>44</v>
      </c>
      <c r="C1124" t="s">
        <v>44</v>
      </c>
      <c r="D1124" t="s">
        <v>874</v>
      </c>
      <c r="F1124" s="21"/>
      <c r="G1124" s="16"/>
    </row>
    <row r="1125" spans="1:7" ht="15" x14ac:dyDescent="0.3">
      <c r="A1125">
        <v>39.996490000000001</v>
      </c>
      <c r="B1125">
        <v>-75.115369999999999</v>
      </c>
      <c r="C1125" t="s">
        <v>41</v>
      </c>
      <c r="D1125" t="s">
        <v>875</v>
      </c>
      <c r="F1125" s="21"/>
      <c r="G1125" s="16" t="str">
        <f>HYPERLINK("http://maps.google.com/maps?f=q&amp;hl=en&amp;geocode=&amp;q=39.99649,-75.11537")</f>
        <v>http://maps.google.com/maps?f=q&amp;hl=en&amp;geocode=&amp;q=39.99649,-75.11537</v>
      </c>
    </row>
    <row r="1126" spans="1:7" ht="15" x14ac:dyDescent="0.3">
      <c r="A1126">
        <v>39.997190000000003</v>
      </c>
      <c r="B1126">
        <v>-75.117050000000006</v>
      </c>
      <c r="C1126" t="s">
        <v>41</v>
      </c>
      <c r="D1126" t="s">
        <v>876</v>
      </c>
      <c r="F1126" s="21"/>
      <c r="G1126" s="16" t="str">
        <f>HYPERLINK("http://maps.google.com/maps?f=q&amp;hl=en&amp;geocode=&amp;q=39.99719,-75.11705")</f>
        <v>http://maps.google.com/maps?f=q&amp;hl=en&amp;geocode=&amp;q=39.99719,-75.11705</v>
      </c>
    </row>
    <row r="1127" spans="1:7" ht="15" x14ac:dyDescent="0.3">
      <c r="A1127">
        <v>38.907958984375</v>
      </c>
      <c r="B1127">
        <v>-77.018859863281307</v>
      </c>
      <c r="C1127" t="s">
        <v>43</v>
      </c>
      <c r="D1127" t="s">
        <v>877</v>
      </c>
      <c r="F1127" s="21"/>
      <c r="G1127" s="16" t="str">
        <f>HYPERLINK("http://maps.google.com/maps?f=q&amp;hl=en&amp;geocode=&amp;q=38.907958984375,-77.0188598632813")</f>
        <v>http://maps.google.com/maps?f=q&amp;hl=en&amp;geocode=&amp;q=38.907958984375,-77.0188598632813</v>
      </c>
    </row>
    <row r="1128" spans="1:7" ht="15" x14ac:dyDescent="0.3">
      <c r="A1128">
        <v>39.284869999999998</v>
      </c>
      <c r="B1128">
        <v>-76.528459999999995</v>
      </c>
      <c r="C1128" t="s">
        <v>43</v>
      </c>
      <c r="D1128" t="s">
        <v>878</v>
      </c>
      <c r="F1128" s="21"/>
      <c r="G1128" s="16" t="str">
        <f>HYPERLINK("http://maps.google.com/maps?f=q&amp;hl=en&amp;geocode=&amp;q=39.28487,-76.52846")</f>
        <v>http://maps.google.com/maps?f=q&amp;hl=en&amp;geocode=&amp;q=39.28487,-76.52846</v>
      </c>
    </row>
    <row r="1129" spans="1:7" ht="15" x14ac:dyDescent="0.3">
      <c r="A1129">
        <v>40.239060000000002</v>
      </c>
      <c r="B1129">
        <v>-76.787999999999997</v>
      </c>
      <c r="C1129" t="s">
        <v>42</v>
      </c>
      <c r="D1129" t="s">
        <v>879</v>
      </c>
      <c r="F1129" s="21"/>
      <c r="G1129" s="16" t="str">
        <f>HYPERLINK("http://maps.google.com/maps?f=q&amp;hl=en&amp;geocode=&amp;q=40.23906,-76.788")</f>
        <v>http://maps.google.com/maps?f=q&amp;hl=en&amp;geocode=&amp;q=40.23906,-76.788</v>
      </c>
    </row>
    <row r="1130" spans="1:7" ht="15" x14ac:dyDescent="0.3">
      <c r="A1130">
        <v>40.505915000000002</v>
      </c>
      <c r="B1130">
        <v>-79.973719000000003</v>
      </c>
      <c r="C1130" t="s">
        <v>42</v>
      </c>
      <c r="D1130" t="s">
        <v>880</v>
      </c>
      <c r="F1130" s="21"/>
      <c r="G1130" s="16" t="str">
        <f>HYPERLINK("http://maps.google.com/maps?f=q&amp;hl=en&amp;geocode=&amp;q=40.505915,-79.973719")</f>
        <v>http://maps.google.com/maps?f=q&amp;hl=en&amp;geocode=&amp;q=40.505915,-79.973719</v>
      </c>
    </row>
    <row r="1131" spans="1:7" ht="15" x14ac:dyDescent="0.3">
      <c r="A1131">
        <v>37.2208061218262</v>
      </c>
      <c r="B1131">
        <v>-8.4330301284790004</v>
      </c>
      <c r="C1131" t="s">
        <v>43</v>
      </c>
      <c r="D1131" t="s">
        <v>881</v>
      </c>
      <c r="F1131" s="21"/>
      <c r="G1131" s="16" t="str">
        <f>HYPERLINK("http://maps.google.com/maps?f=q&amp;hl=en&amp;geocode=&amp;q=37.2208061218262,-8.433030128479")</f>
        <v>http://maps.google.com/maps?f=q&amp;hl=en&amp;geocode=&amp;q=37.2208061218262,-8.433030128479</v>
      </c>
    </row>
    <row r="1132" spans="1:7" ht="15" x14ac:dyDescent="0.3">
      <c r="A1132">
        <v>37.2208061218262</v>
      </c>
      <c r="B1132">
        <v>-8.4330301284790004</v>
      </c>
      <c r="C1132" t="s">
        <v>43</v>
      </c>
      <c r="D1132" t="s">
        <v>881</v>
      </c>
      <c r="F1132" s="21"/>
      <c r="G1132" s="16" t="str">
        <f>HYPERLINK("http://maps.google.com/maps?f=q&amp;hl=en&amp;geocode=&amp;q=37.2208061218262,-8.433030128479")</f>
        <v>http://maps.google.com/maps?f=q&amp;hl=en&amp;geocode=&amp;q=37.2208061218262,-8.433030128479</v>
      </c>
    </row>
    <row r="1133" spans="1:7" ht="15" x14ac:dyDescent="0.3">
      <c r="A1133">
        <v>33.348548644520498</v>
      </c>
      <c r="B1133">
        <v>-98.606133829495803</v>
      </c>
      <c r="C1133" t="s">
        <v>41</v>
      </c>
      <c r="D1133" t="s">
        <v>822</v>
      </c>
      <c r="F1133" s="21"/>
      <c r="G1133" s="16" t="str">
        <f>HYPERLINK("http://maps.google.com/maps?f=q&amp;hl=en&amp;geocode=&amp;q=33.3485486445205,-98.6061338294958")</f>
        <v>http://maps.google.com/maps?f=q&amp;hl=en&amp;geocode=&amp;q=33.3485486445205,-98.6061338294958</v>
      </c>
    </row>
    <row r="1134" spans="1:7" ht="15" x14ac:dyDescent="0.3">
      <c r="A1134">
        <v>43.224240000000002</v>
      </c>
      <c r="B1134">
        <v>-77.799750000000003</v>
      </c>
      <c r="C1134" t="s">
        <v>43</v>
      </c>
      <c r="D1134" t="s">
        <v>882</v>
      </c>
      <c r="F1134" s="21"/>
      <c r="G1134" s="16" t="str">
        <f>HYPERLINK("http://maps.google.com/maps?f=q&amp;hl=en&amp;geocode=&amp;q=43.22424,-77.79975")</f>
        <v>http://maps.google.com/maps?f=q&amp;hl=en&amp;geocode=&amp;q=43.22424,-77.79975</v>
      </c>
    </row>
    <row r="1135" spans="1:7" ht="15" x14ac:dyDescent="0.3">
      <c r="A1135">
        <v>29.7082328796387</v>
      </c>
      <c r="B1135">
        <v>-90.006401062011705</v>
      </c>
      <c r="C1135" t="s">
        <v>43</v>
      </c>
      <c r="D1135" t="s">
        <v>98</v>
      </c>
      <c r="F1135" s="21"/>
      <c r="G1135" s="16" t="str">
        <f>HYPERLINK("http://maps.google.com/maps?f=q&amp;hl=en&amp;geocode=&amp;q=29.7082328796387,-90.0064010620117")</f>
        <v>http://maps.google.com/maps?f=q&amp;hl=en&amp;geocode=&amp;q=29.7082328796387,-90.0064010620117</v>
      </c>
    </row>
    <row r="1136" spans="1:7" ht="15" x14ac:dyDescent="0.3">
      <c r="A1136">
        <v>40.016758861309803</v>
      </c>
      <c r="B1136">
        <v>-75.210418099833007</v>
      </c>
      <c r="C1136" t="s">
        <v>41</v>
      </c>
      <c r="D1136" t="s">
        <v>831</v>
      </c>
      <c r="F1136" s="21"/>
      <c r="G1136" s="16" t="str">
        <f>HYPERLINK("http://maps.google.com/maps?f=q&amp;hl=en&amp;geocode=&amp;q=40.0167588613098,-75.210418099833")</f>
        <v>http://maps.google.com/maps?f=q&amp;hl=en&amp;geocode=&amp;q=40.0167588613098,-75.210418099833</v>
      </c>
    </row>
    <row r="1137" spans="1:7" ht="15" x14ac:dyDescent="0.3">
      <c r="A1137">
        <v>39.410293075474399</v>
      </c>
      <c r="B1137">
        <v>-77.127704709763094</v>
      </c>
      <c r="C1137" t="s">
        <v>43</v>
      </c>
      <c r="D1137" t="s">
        <v>883</v>
      </c>
      <c r="F1137" s="21"/>
      <c r="G1137" s="16" t="str">
        <f>HYPERLINK("http://maps.google.com/maps?f=q&amp;hl=en&amp;geocode=&amp;q=39.4102930754744,-77.1277047097631")</f>
        <v>http://maps.google.com/maps?f=q&amp;hl=en&amp;geocode=&amp;q=39.4102930754744,-77.1277047097631</v>
      </c>
    </row>
    <row r="1138" spans="1:7" ht="15" x14ac:dyDescent="0.3">
      <c r="A1138">
        <v>43.332384500870802</v>
      </c>
      <c r="B1138">
        <v>-78.753091422731799</v>
      </c>
      <c r="C1138" t="s">
        <v>41</v>
      </c>
      <c r="D1138" t="s">
        <v>871</v>
      </c>
      <c r="F1138" s="21"/>
      <c r="G1138" s="16" t="str">
        <f>HYPERLINK("http://maps.google.com/maps?f=q&amp;hl=en&amp;geocode=&amp;q=43.3323845008708,-78.7530914227318")</f>
        <v>http://maps.google.com/maps?f=q&amp;hl=en&amp;geocode=&amp;q=43.3323845008708,-78.7530914227318</v>
      </c>
    </row>
    <row r="1139" spans="1:7" ht="15" x14ac:dyDescent="0.3">
      <c r="A1139">
        <v>43.332384500870802</v>
      </c>
      <c r="B1139">
        <v>-78.753091422731799</v>
      </c>
      <c r="C1139" t="s">
        <v>41</v>
      </c>
      <c r="D1139" t="s">
        <v>871</v>
      </c>
      <c r="F1139" s="21"/>
      <c r="G1139" s="16" t="str">
        <f>HYPERLINK("http://maps.google.com/maps?f=q&amp;hl=en&amp;geocode=&amp;q=43.3323845008708,-78.7530914227318")</f>
        <v>http://maps.google.com/maps?f=q&amp;hl=en&amp;geocode=&amp;q=43.3323845008708,-78.7530914227318</v>
      </c>
    </row>
    <row r="1140" spans="1:7" ht="15" x14ac:dyDescent="0.3">
      <c r="A1140">
        <v>43.332384500870802</v>
      </c>
      <c r="B1140">
        <v>-78.753091422731799</v>
      </c>
      <c r="C1140" t="s">
        <v>41</v>
      </c>
      <c r="D1140" t="s">
        <v>871</v>
      </c>
      <c r="F1140" s="21"/>
      <c r="G1140" s="16" t="str">
        <f>HYPERLINK("http://maps.google.com/maps?f=q&amp;hl=en&amp;geocode=&amp;q=43.3323845008708,-78.7530914227318")</f>
        <v>http://maps.google.com/maps?f=q&amp;hl=en&amp;geocode=&amp;q=43.3323845008708,-78.7530914227318</v>
      </c>
    </row>
    <row r="1141" spans="1:7" ht="15" x14ac:dyDescent="0.3">
      <c r="A1141">
        <v>39.083309999999997</v>
      </c>
      <c r="B1141">
        <v>-94.710989999999995</v>
      </c>
      <c r="C1141" t="s">
        <v>42</v>
      </c>
      <c r="D1141" t="s">
        <v>884</v>
      </c>
      <c r="F1141" s="21"/>
      <c r="G1141" s="16" t="str">
        <f>HYPERLINK("http://maps.google.com/maps?f=q&amp;hl=en&amp;geocode=&amp;q=39.08331,-94.71099")</f>
        <v>http://maps.google.com/maps?f=q&amp;hl=en&amp;geocode=&amp;q=39.08331,-94.71099</v>
      </c>
    </row>
    <row r="1142" spans="1:7" ht="15" x14ac:dyDescent="0.3">
      <c r="A1142">
        <v>27.964628208004001</v>
      </c>
      <c r="B1142">
        <v>-82.482867086707301</v>
      </c>
      <c r="C1142" t="s">
        <v>41</v>
      </c>
      <c r="D1142" t="s">
        <v>885</v>
      </c>
      <c r="F1142" s="21"/>
      <c r="G1142" s="16" t="str">
        <f>HYPERLINK("http://maps.google.com/maps?f=q&amp;hl=en&amp;geocode=&amp;q=27.964628208004,-82.4828670867073")</f>
        <v>http://maps.google.com/maps?f=q&amp;hl=en&amp;geocode=&amp;q=27.964628208004,-82.4828670867073</v>
      </c>
    </row>
    <row r="1143" spans="1:7" ht="15" x14ac:dyDescent="0.3">
      <c r="A1143">
        <v>-36.750904083252003</v>
      </c>
      <c r="B1143">
        <v>174.759689331055</v>
      </c>
      <c r="C1143" t="s">
        <v>43</v>
      </c>
      <c r="D1143" t="s">
        <v>886</v>
      </c>
      <c r="F1143" s="21"/>
      <c r="G1143" s="16" t="str">
        <f>HYPERLINK("http://maps.google.com/maps?f=q&amp;hl=en&amp;geocode=&amp;q=-36.750904083252,174.759689331055")</f>
        <v>http://maps.google.com/maps?f=q&amp;hl=en&amp;geocode=&amp;q=-36.750904083252,174.759689331055</v>
      </c>
    </row>
    <row r="1144" spans="1:7" ht="15" x14ac:dyDescent="0.3">
      <c r="A1144">
        <v>-38.013509900000003</v>
      </c>
      <c r="B1144">
        <v>145.28055000000001</v>
      </c>
      <c r="C1144" t="s">
        <v>41</v>
      </c>
      <c r="D1144" t="s">
        <v>887</v>
      </c>
      <c r="F1144" s="21"/>
      <c r="G1144" s="16" t="str">
        <f>HYPERLINK("http://maps.google.com/maps?f=q&amp;hl=en&amp;geocode=&amp;q=-38.0135099,145.28055")</f>
        <v>http://maps.google.com/maps?f=q&amp;hl=en&amp;geocode=&amp;q=-38.0135099,145.28055</v>
      </c>
    </row>
    <row r="1145" spans="1:7" ht="15" x14ac:dyDescent="0.3">
      <c r="F1145" s="21"/>
      <c r="G1145" s="16"/>
    </row>
    <row r="1146" spans="1:7" ht="15" x14ac:dyDescent="0.3">
      <c r="A1146">
        <v>40.025109999999998</v>
      </c>
      <c r="B1146">
        <v>-75.119600000000005</v>
      </c>
      <c r="C1146" t="s">
        <v>41</v>
      </c>
      <c r="D1146" t="s">
        <v>888</v>
      </c>
      <c r="F1146" s="21"/>
      <c r="G1146" s="16" t="str">
        <f>HYPERLINK("http://maps.google.com/maps?f=q&amp;hl=en&amp;geocode=&amp;q=40.02511,-75.1196")</f>
        <v>http://maps.google.com/maps?f=q&amp;hl=en&amp;geocode=&amp;q=40.02511,-75.1196</v>
      </c>
    </row>
    <row r="1147" spans="1:7" ht="15" x14ac:dyDescent="0.3">
      <c r="A1147" t="s">
        <v>44</v>
      </c>
      <c r="B1147" t="s">
        <v>44</v>
      </c>
      <c r="C1147" t="s">
        <v>44</v>
      </c>
      <c r="D1147" t="s">
        <v>889</v>
      </c>
      <c r="F1147" s="21"/>
      <c r="G1147" s="16"/>
    </row>
    <row r="1148" spans="1:7" ht="15" x14ac:dyDescent="0.3">
      <c r="A1148">
        <v>40.0251205836285</v>
      </c>
      <c r="B1148">
        <v>-75.121422913168203</v>
      </c>
      <c r="C1148" t="s">
        <v>43</v>
      </c>
      <c r="D1148" t="s">
        <v>890</v>
      </c>
      <c r="F1148" s="21"/>
      <c r="G1148" s="16" t="str">
        <f>HYPERLINK("http://maps.google.com/maps?f=q&amp;hl=en&amp;geocode=&amp;q=40.0251205836285,-75.1214229131682")</f>
        <v>http://maps.google.com/maps?f=q&amp;hl=en&amp;geocode=&amp;q=40.0251205836285,-75.1214229131682</v>
      </c>
    </row>
    <row r="1149" spans="1:7" ht="15" x14ac:dyDescent="0.3">
      <c r="A1149">
        <v>43.528829999999999</v>
      </c>
      <c r="B1149">
        <v>-116.5654</v>
      </c>
      <c r="C1149" t="s">
        <v>42</v>
      </c>
      <c r="D1149" t="s">
        <v>891</v>
      </c>
      <c r="F1149" s="21"/>
      <c r="G1149" s="16" t="str">
        <f>HYPERLINK("http://maps.google.com/maps?f=q&amp;hl=en&amp;geocode=&amp;q=43.52883,-116.5654")</f>
        <v>http://maps.google.com/maps?f=q&amp;hl=en&amp;geocode=&amp;q=43.52883,-116.5654</v>
      </c>
    </row>
    <row r="1150" spans="1:7" ht="15" x14ac:dyDescent="0.3">
      <c r="A1150">
        <v>41.611199999999997</v>
      </c>
      <c r="B1150">
        <v>-71.476339999999993</v>
      </c>
      <c r="C1150" t="s">
        <v>42</v>
      </c>
      <c r="D1150" t="s">
        <v>892</v>
      </c>
      <c r="F1150" s="21"/>
      <c r="G1150" s="16" t="str">
        <f>HYPERLINK("http://maps.google.com/maps?f=q&amp;hl=en&amp;geocode=&amp;q=41.6112,-71.47634")</f>
        <v>http://maps.google.com/maps?f=q&amp;hl=en&amp;geocode=&amp;q=41.6112,-71.47634</v>
      </c>
    </row>
    <row r="1151" spans="1:7" ht="15" x14ac:dyDescent="0.3">
      <c r="A1151">
        <v>16.729448318481399</v>
      </c>
      <c r="B1151">
        <v>-22.932157516479499</v>
      </c>
      <c r="C1151" t="s">
        <v>41</v>
      </c>
      <c r="D1151" t="s">
        <v>893</v>
      </c>
      <c r="F1151" s="21"/>
      <c r="G1151" s="16" t="str">
        <f>HYPERLINK("http://maps.google.com/maps?f=q&amp;hl=en&amp;geocode=&amp;q=16.7294483184814,-22.9321575164795")</f>
        <v>http://maps.google.com/maps?f=q&amp;hl=en&amp;geocode=&amp;q=16.7294483184814,-22.9321575164795</v>
      </c>
    </row>
    <row r="1152" spans="1:7" ht="15" x14ac:dyDescent="0.3">
      <c r="A1152">
        <v>43.284080505371101</v>
      </c>
      <c r="B1152">
        <v>-92.810310363769503</v>
      </c>
      <c r="C1152" t="s">
        <v>43</v>
      </c>
      <c r="D1152" t="s">
        <v>894</v>
      </c>
      <c r="F1152" s="21"/>
      <c r="G1152" s="16" t="str">
        <f>HYPERLINK("http://maps.google.com/maps?f=q&amp;hl=en&amp;geocode=&amp;q=43.2840805053711,-92.8103103637695")</f>
        <v>http://maps.google.com/maps?f=q&amp;hl=en&amp;geocode=&amp;q=43.2840805053711,-92.8103103637695</v>
      </c>
    </row>
    <row r="1153" spans="1:7" ht="15" x14ac:dyDescent="0.3">
      <c r="A1153">
        <v>40.779430389404297</v>
      </c>
      <c r="B1153">
        <v>-7.1032009124755904</v>
      </c>
      <c r="C1153" t="s">
        <v>43</v>
      </c>
      <c r="D1153" t="s">
        <v>174</v>
      </c>
      <c r="F1153" s="21"/>
      <c r="G1153" s="16" t="str">
        <f>HYPERLINK("http://maps.google.com/maps?f=q&amp;hl=en&amp;geocode=&amp;q=40.7794303894043,-7.10320091247559")</f>
        <v>http://maps.google.com/maps?f=q&amp;hl=en&amp;geocode=&amp;q=40.7794303894043,-7.10320091247559</v>
      </c>
    </row>
    <row r="1154" spans="1:7" ht="15" x14ac:dyDescent="0.3">
      <c r="A1154">
        <v>46.515046021963599</v>
      </c>
      <c r="B1154">
        <v>-99.120890241749095</v>
      </c>
      <c r="C1154" t="s">
        <v>41</v>
      </c>
      <c r="D1154" t="s">
        <v>895</v>
      </c>
      <c r="F1154" s="21"/>
      <c r="G1154" s="16" t="str">
        <f>HYPERLINK("http://maps.google.com/maps?f=q&amp;hl=en&amp;geocode=&amp;q=46.5150460219636,-99.1208902417491")</f>
        <v>http://maps.google.com/maps?f=q&amp;hl=en&amp;geocode=&amp;q=46.5150460219636,-99.1208902417491</v>
      </c>
    </row>
    <row r="1155" spans="1:7" ht="15" x14ac:dyDescent="0.3">
      <c r="A1155">
        <v>32.042482459640603</v>
      </c>
      <c r="B1155">
        <v>-102.161617477924</v>
      </c>
      <c r="C1155" t="s">
        <v>41</v>
      </c>
      <c r="D1155" t="s">
        <v>896</v>
      </c>
      <c r="F1155" s="21"/>
      <c r="G1155" s="16" t="str">
        <f>HYPERLINK("http://maps.google.com/maps?f=q&amp;hl=en&amp;geocode=&amp;q=32.0424824596406,-102.161617477924")</f>
        <v>http://maps.google.com/maps?f=q&amp;hl=en&amp;geocode=&amp;q=32.0424824596406,-102.161617477924</v>
      </c>
    </row>
    <row r="1156" spans="1:7" ht="15" x14ac:dyDescent="0.3">
      <c r="A1156">
        <v>40.309323563890302</v>
      </c>
      <c r="B1156">
        <v>-78.317842127288401</v>
      </c>
      <c r="C1156" t="s">
        <v>41</v>
      </c>
      <c r="D1156" t="s">
        <v>897</v>
      </c>
      <c r="F1156" s="21"/>
      <c r="G1156" s="16" t="str">
        <f>HYPERLINK("http://maps.google.com/maps?f=q&amp;hl=en&amp;geocode=&amp;q=40.3093235638903,-78.3178421272884")</f>
        <v>http://maps.google.com/maps?f=q&amp;hl=en&amp;geocode=&amp;q=40.3093235638903,-78.3178421272884</v>
      </c>
    </row>
    <row r="1157" spans="1:7" ht="15" x14ac:dyDescent="0.3">
      <c r="A1157">
        <v>39.996949999999998</v>
      </c>
      <c r="B1157">
        <v>-75.115110000000001</v>
      </c>
      <c r="C1157" t="s">
        <v>41</v>
      </c>
      <c r="D1157" t="s">
        <v>845</v>
      </c>
      <c r="F1157" s="21"/>
      <c r="G1157" s="16" t="str">
        <f>HYPERLINK("http://maps.google.com/maps?f=q&amp;hl=en&amp;geocode=&amp;q=39.99695,-75.11511")</f>
        <v>http://maps.google.com/maps?f=q&amp;hl=en&amp;geocode=&amp;q=39.99695,-75.11511</v>
      </c>
    </row>
    <row r="1158" spans="1:7" ht="15" x14ac:dyDescent="0.3">
      <c r="A1158">
        <v>44.909541676855603</v>
      </c>
      <c r="B1158">
        <v>-90.315819230539702</v>
      </c>
      <c r="C1158" t="s">
        <v>41</v>
      </c>
      <c r="D1158" t="s">
        <v>898</v>
      </c>
      <c r="F1158" s="21"/>
      <c r="G1158" s="16" t="str">
        <f>HYPERLINK("http://maps.google.com/maps?f=q&amp;hl=en&amp;geocode=&amp;q=44.9095416768556,-90.3158192305397")</f>
        <v>http://maps.google.com/maps?f=q&amp;hl=en&amp;geocode=&amp;q=44.9095416768556,-90.3158192305397</v>
      </c>
    </row>
    <row r="1159" spans="1:7" ht="15" x14ac:dyDescent="0.3">
      <c r="A1159">
        <v>45.455448150634801</v>
      </c>
      <c r="B1159">
        <v>9.1678771972656303</v>
      </c>
      <c r="C1159" t="s">
        <v>43</v>
      </c>
      <c r="D1159" t="s">
        <v>899</v>
      </c>
      <c r="F1159" s="21"/>
      <c r="G1159" s="16" t="str">
        <f>HYPERLINK("http://maps.google.com/maps?f=q&amp;hl=en&amp;geocode=&amp;q=45.4554481506348,9.16787719726563")</f>
        <v>http://maps.google.com/maps?f=q&amp;hl=en&amp;geocode=&amp;q=45.4554481506348,9.16787719726563</v>
      </c>
    </row>
    <row r="1160" spans="1:7" ht="15" x14ac:dyDescent="0.3">
      <c r="A1160">
        <v>52.370571136474602</v>
      </c>
      <c r="B1160">
        <v>-2.7190001010894802</v>
      </c>
      <c r="C1160" t="s">
        <v>41</v>
      </c>
      <c r="D1160" t="s">
        <v>900</v>
      </c>
      <c r="F1160" s="21"/>
      <c r="G1160" s="16" t="str">
        <f>HYPERLINK("http://maps.google.com/maps?f=q&amp;hl=en&amp;geocode=&amp;q=52.3705711364746,-2.71900010108948")</f>
        <v>http://maps.google.com/maps?f=q&amp;hl=en&amp;geocode=&amp;q=52.3705711364746,-2.71900010108948</v>
      </c>
    </row>
    <row r="1161" spans="1:7" ht="15" x14ac:dyDescent="0.3">
      <c r="A1161">
        <v>40.040390000000002</v>
      </c>
      <c r="B1161">
        <v>-75.109629999999996</v>
      </c>
      <c r="C1161" t="s">
        <v>43</v>
      </c>
      <c r="D1161" t="s">
        <v>777</v>
      </c>
      <c r="F1161" s="21"/>
      <c r="G1161" s="16" t="str">
        <f>HYPERLINK("http://maps.google.com/maps?f=q&amp;hl=en&amp;geocode=&amp;q=40.04039,-75.10963")</f>
        <v>http://maps.google.com/maps?f=q&amp;hl=en&amp;geocode=&amp;q=40.04039,-75.10963</v>
      </c>
    </row>
    <row r="1162" spans="1:7" ht="15" x14ac:dyDescent="0.3">
      <c r="A1162">
        <v>35.428350000000002</v>
      </c>
      <c r="B1162">
        <v>-97.134460000000004</v>
      </c>
      <c r="C1162" t="s">
        <v>42</v>
      </c>
      <c r="D1162" t="s">
        <v>412</v>
      </c>
      <c r="F1162" s="21"/>
      <c r="G1162" s="16" t="str">
        <f>HYPERLINK("http://maps.google.com/maps?f=q&amp;hl=en&amp;geocode=&amp;q=35.42835,-97.13446")</f>
        <v>http://maps.google.com/maps?f=q&amp;hl=en&amp;geocode=&amp;q=35.42835,-97.13446</v>
      </c>
    </row>
    <row r="1163" spans="1:7" ht="15" x14ac:dyDescent="0.3">
      <c r="A1163">
        <v>33.348222062209302</v>
      </c>
      <c r="B1163">
        <v>-98.606026170706201</v>
      </c>
      <c r="C1163" t="s">
        <v>41</v>
      </c>
      <c r="D1163" t="s">
        <v>901</v>
      </c>
      <c r="F1163" s="21"/>
      <c r="G1163" s="16" t="str">
        <f>HYPERLINK("http://maps.google.com/maps?f=q&amp;hl=en&amp;geocode=&amp;q=33.3482220622093,-98.6060261707062")</f>
        <v>http://maps.google.com/maps?f=q&amp;hl=en&amp;geocode=&amp;q=33.3482220622093,-98.6060261707062</v>
      </c>
    </row>
    <row r="1164" spans="1:7" ht="15" x14ac:dyDescent="0.3">
      <c r="A1164">
        <v>40.000112635220297</v>
      </c>
      <c r="B1164">
        <v>-75.127738786284695</v>
      </c>
      <c r="C1164" t="s">
        <v>41</v>
      </c>
      <c r="D1164" t="s">
        <v>902</v>
      </c>
      <c r="F1164" s="21"/>
      <c r="G1164" s="16" t="str">
        <f>HYPERLINK("http://maps.google.com/maps?f=q&amp;hl=en&amp;geocode=&amp;q=40.0001126352203,-75.1277387862847")</f>
        <v>http://maps.google.com/maps?f=q&amp;hl=en&amp;geocode=&amp;q=40.0001126352203,-75.1277387862847</v>
      </c>
    </row>
    <row r="1165" spans="1:7" ht="15" x14ac:dyDescent="0.3">
      <c r="A1165">
        <v>33.348657504925399</v>
      </c>
      <c r="B1165">
        <v>-98.606133829563106</v>
      </c>
      <c r="C1165" t="s">
        <v>41</v>
      </c>
      <c r="D1165" t="s">
        <v>774</v>
      </c>
      <c r="F1165" s="21"/>
      <c r="G1165" s="16" t="str">
        <f>HYPERLINK("http://maps.google.com/maps?f=q&amp;hl=en&amp;geocode=&amp;q=33.3486575049254,-98.6061338295631")</f>
        <v>http://maps.google.com/maps?f=q&amp;hl=en&amp;geocode=&amp;q=33.3486575049254,-98.6061338295631</v>
      </c>
    </row>
    <row r="1166" spans="1:7" ht="15" x14ac:dyDescent="0.3">
      <c r="A1166">
        <v>47.155059814453097</v>
      </c>
      <c r="B1166">
        <v>8.5326128005981392</v>
      </c>
      <c r="C1166" t="s">
        <v>43</v>
      </c>
      <c r="D1166" t="s">
        <v>903</v>
      </c>
      <c r="F1166" s="21"/>
      <c r="G1166" s="16" t="str">
        <f>HYPERLINK("http://maps.google.com/maps?f=q&amp;hl=en&amp;geocode=&amp;q=47.1550598144531,8.53261280059814")</f>
        <v>http://maps.google.com/maps?f=q&amp;hl=en&amp;geocode=&amp;q=47.1550598144531,8.53261280059814</v>
      </c>
    </row>
    <row r="1167" spans="1:7" ht="15" x14ac:dyDescent="0.3">
      <c r="A1167">
        <v>40.439590000000003</v>
      </c>
      <c r="B1167">
        <v>-111.77625</v>
      </c>
      <c r="C1167" t="s">
        <v>41</v>
      </c>
      <c r="D1167" t="s">
        <v>904</v>
      </c>
      <c r="F1167" s="21"/>
      <c r="G1167" s="16" t="str">
        <f>HYPERLINK("http://maps.google.com/maps?f=q&amp;hl=en&amp;geocode=&amp;q=40.43959,-111.77625")</f>
        <v>http://maps.google.com/maps?f=q&amp;hl=en&amp;geocode=&amp;q=40.43959,-111.77625</v>
      </c>
    </row>
    <row r="1168" spans="1:7" ht="15" x14ac:dyDescent="0.3">
      <c r="A1168">
        <v>40.439590000000003</v>
      </c>
      <c r="B1168">
        <v>-111.77625</v>
      </c>
      <c r="C1168" t="s">
        <v>41</v>
      </c>
      <c r="D1168" t="s">
        <v>904</v>
      </c>
      <c r="F1168" s="21"/>
      <c r="G1168" s="16" t="str">
        <f>HYPERLINK("http://maps.google.com/maps?f=q&amp;hl=en&amp;geocode=&amp;q=40.43959,-111.77625")</f>
        <v>http://maps.google.com/maps?f=q&amp;hl=en&amp;geocode=&amp;q=40.43959,-111.77625</v>
      </c>
    </row>
    <row r="1169" spans="1:7" ht="15" x14ac:dyDescent="0.3">
      <c r="A1169">
        <v>40.439590000000003</v>
      </c>
      <c r="B1169">
        <v>-111.77625</v>
      </c>
      <c r="C1169" t="s">
        <v>41</v>
      </c>
      <c r="D1169" t="s">
        <v>904</v>
      </c>
      <c r="F1169" s="21"/>
      <c r="G1169" s="16" t="str">
        <f>HYPERLINK("http://maps.google.com/maps?f=q&amp;hl=en&amp;geocode=&amp;q=40.43959,-111.77625")</f>
        <v>http://maps.google.com/maps?f=q&amp;hl=en&amp;geocode=&amp;q=40.43959,-111.77625</v>
      </c>
    </row>
    <row r="1170" spans="1:7" ht="15" x14ac:dyDescent="0.3">
      <c r="A1170">
        <v>42.156185150146499</v>
      </c>
      <c r="B1170">
        <v>-71.566192626953097</v>
      </c>
      <c r="C1170" t="s">
        <v>41</v>
      </c>
      <c r="D1170" t="s">
        <v>905</v>
      </c>
      <c r="F1170" s="21"/>
      <c r="G1170" s="16" t="str">
        <f>HYPERLINK("http://maps.google.com/maps?f=q&amp;hl=en&amp;geocode=&amp;q=42.1561851501465,-71.5661926269531")</f>
        <v>http://maps.google.com/maps?f=q&amp;hl=en&amp;geocode=&amp;q=42.1561851501465,-71.5661926269531</v>
      </c>
    </row>
    <row r="1171" spans="1:7" ht="15" x14ac:dyDescent="0.3">
      <c r="A1171">
        <v>50.4301147460938</v>
      </c>
      <c r="B1171">
        <v>3.7866749763488801</v>
      </c>
      <c r="C1171" t="s">
        <v>43</v>
      </c>
      <c r="D1171" t="s">
        <v>906</v>
      </c>
      <c r="F1171" s="21"/>
      <c r="G1171" s="16" t="str">
        <f>HYPERLINK("http://maps.google.com/maps?f=q&amp;hl=en&amp;geocode=&amp;q=50.4301147460938,3.78667497634888")</f>
        <v>http://maps.google.com/maps?f=q&amp;hl=en&amp;geocode=&amp;q=50.4301147460938,3.78667497634888</v>
      </c>
    </row>
    <row r="1172" spans="1:7" ht="15" x14ac:dyDescent="0.3">
      <c r="A1172">
        <v>39.919789999999999</v>
      </c>
      <c r="B1172">
        <v>-75.153959999999998</v>
      </c>
      <c r="C1172" t="s">
        <v>43</v>
      </c>
      <c r="D1172" t="s">
        <v>907</v>
      </c>
      <c r="F1172" s="21"/>
      <c r="G1172" s="16" t="str">
        <f>HYPERLINK("http://maps.google.com/maps?f=q&amp;hl=en&amp;geocode=&amp;q=39.91979,-75.15396")</f>
        <v>http://maps.google.com/maps?f=q&amp;hl=en&amp;geocode=&amp;q=39.91979,-75.15396</v>
      </c>
    </row>
    <row r="1173" spans="1:7" ht="15" x14ac:dyDescent="0.3">
      <c r="A1173">
        <v>36.248629999999999</v>
      </c>
      <c r="B1173">
        <v>-119.31603</v>
      </c>
      <c r="C1173" t="s">
        <v>41</v>
      </c>
      <c r="D1173" t="s">
        <v>469</v>
      </c>
      <c r="F1173" s="21"/>
      <c r="G1173" s="16" t="str">
        <f>HYPERLINK("http://maps.google.com/maps?f=q&amp;hl=en&amp;geocode=&amp;q=36.24863,-119.31603")</f>
        <v>http://maps.google.com/maps?f=q&amp;hl=en&amp;geocode=&amp;q=36.24863,-119.31603</v>
      </c>
    </row>
    <row r="1174" spans="1:7" ht="15" x14ac:dyDescent="0.3">
      <c r="A1174">
        <v>36.248629999999999</v>
      </c>
      <c r="B1174">
        <v>-119.31603</v>
      </c>
      <c r="C1174" t="s">
        <v>41</v>
      </c>
      <c r="D1174" t="s">
        <v>469</v>
      </c>
      <c r="F1174" s="21"/>
      <c r="G1174" s="16" t="str">
        <f>HYPERLINK("http://maps.google.com/maps?f=q&amp;hl=en&amp;geocode=&amp;q=36.24863,-119.31603")</f>
        <v>http://maps.google.com/maps?f=q&amp;hl=en&amp;geocode=&amp;q=36.24863,-119.31603</v>
      </c>
    </row>
    <row r="1175" spans="1:7" ht="15" x14ac:dyDescent="0.3">
      <c r="A1175">
        <v>35.076482063598398</v>
      </c>
      <c r="B1175">
        <v>-88.251108870814093</v>
      </c>
      <c r="C1175" t="s">
        <v>41</v>
      </c>
      <c r="D1175" t="s">
        <v>298</v>
      </c>
      <c r="F1175" s="21"/>
      <c r="G1175" s="16" t="str">
        <f>HYPERLINK("http://maps.google.com/maps?f=q&amp;hl=en&amp;geocode=&amp;q=35.0764820635984,-88.2511088708141")</f>
        <v>http://maps.google.com/maps?f=q&amp;hl=en&amp;geocode=&amp;q=35.0764820635984,-88.2511088708141</v>
      </c>
    </row>
    <row r="1176" spans="1:7" ht="15" x14ac:dyDescent="0.3">
      <c r="A1176">
        <v>42.156185150146499</v>
      </c>
      <c r="B1176">
        <v>-71.566192626953097</v>
      </c>
      <c r="C1176" t="s">
        <v>41</v>
      </c>
      <c r="D1176" t="s">
        <v>908</v>
      </c>
      <c r="F1176" s="21"/>
      <c r="G1176" s="16" t="str">
        <f>HYPERLINK("http://maps.google.com/maps?f=q&amp;hl=en&amp;geocode=&amp;q=42.1561851501465,-71.5661926269531")</f>
        <v>http://maps.google.com/maps?f=q&amp;hl=en&amp;geocode=&amp;q=42.1561851501465,-71.5661926269531</v>
      </c>
    </row>
    <row r="1177" spans="1:7" ht="15" x14ac:dyDescent="0.3">
      <c r="A1177">
        <v>35.076482063598398</v>
      </c>
      <c r="B1177">
        <v>-88.251108870814093</v>
      </c>
      <c r="C1177" t="s">
        <v>41</v>
      </c>
      <c r="D1177" t="s">
        <v>298</v>
      </c>
      <c r="F1177" s="21"/>
      <c r="G1177" s="16" t="str">
        <f>HYPERLINK("http://maps.google.com/maps?f=q&amp;hl=en&amp;geocode=&amp;q=35.0764820635984,-88.2511088708141")</f>
        <v>http://maps.google.com/maps?f=q&amp;hl=en&amp;geocode=&amp;q=35.0764820635984,-88.2511088708141</v>
      </c>
    </row>
    <row r="1178" spans="1:7" ht="15" x14ac:dyDescent="0.3">
      <c r="A1178">
        <v>38.947154998779297</v>
      </c>
      <c r="B1178">
        <v>-8.9184045791625994</v>
      </c>
      <c r="C1178" t="s">
        <v>41</v>
      </c>
      <c r="D1178" t="s">
        <v>446</v>
      </c>
      <c r="F1178" s="21"/>
      <c r="G1178" s="16" t="str">
        <f>HYPERLINK("http://maps.google.com/maps?f=q&amp;hl=en&amp;geocode=&amp;q=38.9471549987793,-8.9184045791626")</f>
        <v>http://maps.google.com/maps?f=q&amp;hl=en&amp;geocode=&amp;q=38.9471549987793,-8.9184045791626</v>
      </c>
    </row>
    <row r="1179" spans="1:7" ht="15" x14ac:dyDescent="0.3">
      <c r="A1179">
        <v>43.528829999999999</v>
      </c>
      <c r="B1179">
        <v>-116.5654</v>
      </c>
      <c r="C1179" t="s">
        <v>42</v>
      </c>
      <c r="D1179" t="s">
        <v>909</v>
      </c>
      <c r="F1179" s="21"/>
      <c r="G1179" s="16" t="str">
        <f>HYPERLINK("http://maps.google.com/maps?f=q&amp;hl=en&amp;geocode=&amp;q=43.52883,-116.5654")</f>
        <v>http://maps.google.com/maps?f=q&amp;hl=en&amp;geocode=&amp;q=43.52883,-116.5654</v>
      </c>
    </row>
    <row r="1180" spans="1:7" ht="15" x14ac:dyDescent="0.3">
      <c r="A1180" t="s">
        <v>44</v>
      </c>
      <c r="B1180" t="s">
        <v>44</v>
      </c>
      <c r="C1180" t="s">
        <v>44</v>
      </c>
      <c r="D1180" t="s">
        <v>910</v>
      </c>
      <c r="F1180" s="21"/>
      <c r="G1180" s="16"/>
    </row>
    <row r="1181" spans="1:7" ht="15" x14ac:dyDescent="0.3">
      <c r="A1181">
        <v>39.950628136933901</v>
      </c>
      <c r="B1181">
        <v>-75.233096100469496</v>
      </c>
      <c r="C1181" t="s">
        <v>41</v>
      </c>
      <c r="D1181" t="s">
        <v>911</v>
      </c>
      <c r="F1181" s="21"/>
      <c r="G1181" s="16" t="str">
        <f>HYPERLINK("http://maps.google.com/maps?f=q&amp;hl=en&amp;geocode=&amp;q=39.9506281369339,-75.2330961004695")</f>
        <v>http://maps.google.com/maps?f=q&amp;hl=en&amp;geocode=&amp;q=39.9506281369339,-75.2330961004695</v>
      </c>
    </row>
    <row r="1182" spans="1:7" ht="15" x14ac:dyDescent="0.3">
      <c r="A1182">
        <v>41.043218654933</v>
      </c>
      <c r="B1182">
        <v>-86.598993203051904</v>
      </c>
      <c r="C1182" t="s">
        <v>41</v>
      </c>
      <c r="D1182" t="s">
        <v>912</v>
      </c>
      <c r="F1182" s="21"/>
      <c r="G1182" s="16" t="str">
        <f>HYPERLINK("http://maps.google.com/maps?f=q&amp;hl=en&amp;geocode=&amp;q=41.043218654933,-86.5989932030519")</f>
        <v>http://maps.google.com/maps?f=q&amp;hl=en&amp;geocode=&amp;q=41.043218654933,-86.5989932030519</v>
      </c>
    </row>
    <row r="1183" spans="1:7" ht="15" x14ac:dyDescent="0.3">
      <c r="A1183">
        <v>52.370571136474602</v>
      </c>
      <c r="B1183">
        <v>-2.7190001010894802</v>
      </c>
      <c r="C1183" t="s">
        <v>41</v>
      </c>
      <c r="D1183" t="s">
        <v>900</v>
      </c>
      <c r="F1183" s="21"/>
      <c r="G1183" s="16" t="str">
        <f>HYPERLINK("http://maps.google.com/maps?f=q&amp;hl=en&amp;geocode=&amp;q=52.3705711364746,-2.71900010108948")</f>
        <v>http://maps.google.com/maps?f=q&amp;hl=en&amp;geocode=&amp;q=52.3705711364746,-2.71900010108948</v>
      </c>
    </row>
    <row r="1184" spans="1:7" ht="15" x14ac:dyDescent="0.3">
      <c r="A1184">
        <v>41.022918701171903</v>
      </c>
      <c r="B1184">
        <v>-78.438087463378906</v>
      </c>
      <c r="C1184" t="s">
        <v>41</v>
      </c>
      <c r="D1184" t="s">
        <v>426</v>
      </c>
      <c r="F1184" s="21"/>
      <c r="G1184" s="16" t="str">
        <f>HYPERLINK("http://maps.google.com/maps?f=q&amp;hl=en&amp;geocode=&amp;q=41.0229187011719,-78.4380874633789")</f>
        <v>http://maps.google.com/maps?f=q&amp;hl=en&amp;geocode=&amp;q=41.0229187011719,-78.4380874633789</v>
      </c>
    </row>
    <row r="1185" spans="1:7" ht="15" x14ac:dyDescent="0.3">
      <c r="A1185">
        <v>39.938315157235998</v>
      </c>
      <c r="B1185">
        <v>-75.231854458761106</v>
      </c>
      <c r="C1185" t="s">
        <v>41</v>
      </c>
      <c r="D1185" t="s">
        <v>238</v>
      </c>
      <c r="F1185" s="21"/>
      <c r="G1185" s="16" t="str">
        <f>HYPERLINK("http://maps.google.com/maps?f=q&amp;hl=en&amp;geocode=&amp;q=39.938315157236,-75.2318544587611")</f>
        <v>http://maps.google.com/maps?f=q&amp;hl=en&amp;geocode=&amp;q=39.938315157236,-75.2318544587611</v>
      </c>
    </row>
    <row r="1186" spans="1:7" ht="15" x14ac:dyDescent="0.3">
      <c r="A1186">
        <v>35.6588632925206</v>
      </c>
      <c r="B1186">
        <v>-81.171086249708907</v>
      </c>
      <c r="C1186" t="s">
        <v>43</v>
      </c>
      <c r="D1186" t="s">
        <v>913</v>
      </c>
      <c r="F1186" s="21"/>
      <c r="G1186" s="16" t="str">
        <f>HYPERLINK("http://maps.google.com/maps?f=q&amp;hl=en&amp;geocode=&amp;q=35.6588632925206,-81.1710862497089")</f>
        <v>http://maps.google.com/maps?f=q&amp;hl=en&amp;geocode=&amp;q=35.6588632925206,-81.1710862497089</v>
      </c>
    </row>
    <row r="1187" spans="1:7" ht="15" x14ac:dyDescent="0.3">
      <c r="A1187">
        <v>34.919040000000003</v>
      </c>
      <c r="B1187">
        <v>-81.151809999999998</v>
      </c>
      <c r="C1187" t="s">
        <v>43</v>
      </c>
      <c r="D1187" t="s">
        <v>914</v>
      </c>
      <c r="F1187" s="21"/>
      <c r="G1187" s="16" t="str">
        <f>HYPERLINK("http://maps.google.com/maps?f=q&amp;hl=en&amp;geocode=&amp;q=34.91904,-81.15181")</f>
        <v>http://maps.google.com/maps?f=q&amp;hl=en&amp;geocode=&amp;q=34.91904,-81.15181</v>
      </c>
    </row>
    <row r="1188" spans="1:7" ht="15" x14ac:dyDescent="0.3">
      <c r="A1188">
        <v>26.40052</v>
      </c>
      <c r="B1188">
        <v>-80.155389999999997</v>
      </c>
      <c r="C1188" t="s">
        <v>42</v>
      </c>
      <c r="D1188" t="s">
        <v>915</v>
      </c>
      <c r="F1188" s="21"/>
      <c r="G1188" s="16" t="str">
        <f>HYPERLINK("http://maps.google.com/maps?f=q&amp;hl=en&amp;geocode=&amp;q=26.40052,-80.15539")</f>
        <v>http://maps.google.com/maps?f=q&amp;hl=en&amp;geocode=&amp;q=26.40052,-80.15539</v>
      </c>
    </row>
    <row r="1189" spans="1:7" ht="15" x14ac:dyDescent="0.3">
      <c r="A1189">
        <v>32.813510894775398</v>
      </c>
      <c r="B1189">
        <v>-96.955497741699205</v>
      </c>
      <c r="C1189" t="s">
        <v>41</v>
      </c>
      <c r="D1189" t="s">
        <v>916</v>
      </c>
      <c r="F1189" s="21"/>
      <c r="G1189" s="16" t="str">
        <f>HYPERLINK("http://maps.google.com/maps?f=q&amp;hl=en&amp;geocode=&amp;q=32.8135108947754,-96.9554977416992")</f>
        <v>http://maps.google.com/maps?f=q&amp;hl=en&amp;geocode=&amp;q=32.8135108947754,-96.9554977416992</v>
      </c>
    </row>
    <row r="1190" spans="1:7" ht="15" x14ac:dyDescent="0.3">
      <c r="A1190">
        <v>40.028148651122997</v>
      </c>
      <c r="B1190">
        <v>-75.085319519042997</v>
      </c>
      <c r="C1190" t="s">
        <v>41</v>
      </c>
      <c r="D1190" t="s">
        <v>917</v>
      </c>
      <c r="F1190" s="21"/>
      <c r="G1190" s="16" t="str">
        <f>HYPERLINK("http://maps.google.com/maps?f=q&amp;hl=en&amp;geocode=&amp;q=40.028148651123,-75.085319519043")</f>
        <v>http://maps.google.com/maps?f=q&amp;hl=en&amp;geocode=&amp;q=40.028148651123,-75.085319519043</v>
      </c>
    </row>
    <row r="1191" spans="1:7" ht="15" x14ac:dyDescent="0.3">
      <c r="A1191">
        <v>46.637279510497997</v>
      </c>
      <c r="B1191">
        <v>2.3382620811462398</v>
      </c>
      <c r="C1191" t="s">
        <v>41</v>
      </c>
      <c r="D1191" t="s">
        <v>918</v>
      </c>
      <c r="F1191" s="21"/>
      <c r="G1191" s="16" t="str">
        <f>HYPERLINK("http://maps.google.com/maps?f=q&amp;hl=en&amp;geocode=&amp;q=46.637279510498,2.33826208114624")</f>
        <v>http://maps.google.com/maps?f=q&amp;hl=en&amp;geocode=&amp;q=46.637279510498,2.33826208114624</v>
      </c>
    </row>
    <row r="1192" spans="1:7" ht="15" x14ac:dyDescent="0.3">
      <c r="A1192">
        <v>37.806359999999998</v>
      </c>
      <c r="B1192">
        <v>-95.706729999999993</v>
      </c>
      <c r="C1192" t="s">
        <v>42</v>
      </c>
      <c r="D1192" t="s">
        <v>919</v>
      </c>
      <c r="F1192" s="21"/>
      <c r="G1192" s="16" t="str">
        <f>HYPERLINK("http://maps.google.com/maps?f=q&amp;hl=en&amp;geocode=&amp;q=37.80636,-95.70673")</f>
        <v>http://maps.google.com/maps?f=q&amp;hl=en&amp;geocode=&amp;q=37.80636,-95.70673</v>
      </c>
    </row>
    <row r="1193" spans="1:7" ht="15" x14ac:dyDescent="0.3">
      <c r="A1193">
        <v>40.016822814941399</v>
      </c>
      <c r="B1193">
        <v>-75.143669128417997</v>
      </c>
      <c r="C1193" t="s">
        <v>41</v>
      </c>
      <c r="D1193" t="s">
        <v>920</v>
      </c>
      <c r="F1193" s="21"/>
      <c r="G1193" s="16" t="str">
        <f>HYPERLINK("http://maps.google.com/maps?f=q&amp;hl=en&amp;geocode=&amp;q=40.0168228149414,-75.143669128418")</f>
        <v>http://maps.google.com/maps?f=q&amp;hl=en&amp;geocode=&amp;q=40.0168228149414,-75.143669128418</v>
      </c>
    </row>
    <row r="1194" spans="1:7" ht="15" x14ac:dyDescent="0.3">
      <c r="A1194" t="s">
        <v>44</v>
      </c>
      <c r="B1194" t="s">
        <v>44</v>
      </c>
      <c r="C1194" t="s">
        <v>44</v>
      </c>
      <c r="D1194" t="s">
        <v>921</v>
      </c>
      <c r="F1194" s="21"/>
      <c r="G1194" s="16"/>
    </row>
    <row r="1195" spans="1:7" ht="15" x14ac:dyDescent="0.3">
      <c r="A1195">
        <v>33.17886</v>
      </c>
      <c r="B1195">
        <v>-81.37133</v>
      </c>
      <c r="C1195" t="s">
        <v>42</v>
      </c>
      <c r="D1195" t="s">
        <v>922</v>
      </c>
      <c r="F1195" s="21"/>
      <c r="G1195" s="16" t="str">
        <f>HYPERLINK("http://maps.google.com/maps?f=q&amp;hl=en&amp;geocode=&amp;q=33.17886,-81.37133")</f>
        <v>http://maps.google.com/maps?f=q&amp;hl=en&amp;geocode=&amp;q=33.17886,-81.37133</v>
      </c>
    </row>
    <row r="1196" spans="1:7" ht="15" x14ac:dyDescent="0.3">
      <c r="A1196">
        <v>40.219416000000002</v>
      </c>
      <c r="B1196">
        <v>-75.369495999999998</v>
      </c>
      <c r="C1196" t="s">
        <v>41</v>
      </c>
      <c r="D1196" t="s">
        <v>923</v>
      </c>
      <c r="F1196" s="21"/>
      <c r="G1196" s="16" t="str">
        <f>HYPERLINK("http://maps.google.com/maps?f=q&amp;hl=en&amp;geocode=&amp;q=40.219416,-75.369496")</f>
        <v>http://maps.google.com/maps?f=q&amp;hl=en&amp;geocode=&amp;q=40.219416,-75.369496</v>
      </c>
    </row>
    <row r="1197" spans="1:7" ht="15" x14ac:dyDescent="0.3">
      <c r="A1197">
        <v>39.013829999999999</v>
      </c>
      <c r="B1197">
        <v>-84.658320000000003</v>
      </c>
      <c r="C1197" t="s">
        <v>41</v>
      </c>
      <c r="D1197" t="s">
        <v>924</v>
      </c>
      <c r="F1197" s="21"/>
      <c r="G1197" s="16" t="str">
        <f>HYPERLINK("http://maps.google.com/maps?f=q&amp;hl=en&amp;geocode=&amp;q=39.01383,-84.65832")</f>
        <v>http://maps.google.com/maps?f=q&amp;hl=en&amp;geocode=&amp;q=39.01383,-84.65832</v>
      </c>
    </row>
    <row r="1198" spans="1:7" ht="15" x14ac:dyDescent="0.3">
      <c r="A1198">
        <v>42.156185150146499</v>
      </c>
      <c r="B1198">
        <v>-71.566192626953097</v>
      </c>
      <c r="C1198" t="s">
        <v>41</v>
      </c>
      <c r="D1198" t="s">
        <v>925</v>
      </c>
      <c r="F1198" s="21"/>
      <c r="G1198" s="16" t="str">
        <f>HYPERLINK("http://maps.google.com/maps?f=q&amp;hl=en&amp;geocode=&amp;q=42.1561851501465,-71.5661926269531")</f>
        <v>http://maps.google.com/maps?f=q&amp;hl=en&amp;geocode=&amp;q=42.1561851501465,-71.5661926269531</v>
      </c>
    </row>
    <row r="1199" spans="1:7" ht="15" x14ac:dyDescent="0.3">
      <c r="A1199">
        <v>34.7532697706432</v>
      </c>
      <c r="B1199">
        <v>-106.755612537263</v>
      </c>
      <c r="C1199" t="s">
        <v>41</v>
      </c>
      <c r="D1199" t="s">
        <v>926</v>
      </c>
      <c r="F1199" s="21"/>
      <c r="G1199" s="16" t="str">
        <f>HYPERLINK("http://maps.google.com/maps?f=q&amp;hl=en&amp;geocode=&amp;q=34.7532697706432,-106.755612537263")</f>
        <v>http://maps.google.com/maps?f=q&amp;hl=en&amp;geocode=&amp;q=34.7532697706432,-106.755612537263</v>
      </c>
    </row>
    <row r="1200" spans="1:7" ht="15" x14ac:dyDescent="0.3">
      <c r="A1200">
        <v>50.2208442687988</v>
      </c>
      <c r="B1200">
        <v>4.2594909667968803</v>
      </c>
      <c r="C1200" t="s">
        <v>43</v>
      </c>
      <c r="D1200" t="s">
        <v>927</v>
      </c>
      <c r="F1200" s="21"/>
      <c r="G1200" s="16" t="str">
        <f>HYPERLINK("http://maps.google.com/maps?f=q&amp;hl=en&amp;geocode=&amp;q=50.2208442687988,4.25949096679688")</f>
        <v>http://maps.google.com/maps?f=q&amp;hl=en&amp;geocode=&amp;q=50.2208442687988,4.25949096679688</v>
      </c>
    </row>
    <row r="1201" spans="1:7" ht="15" x14ac:dyDescent="0.3">
      <c r="A1201">
        <v>39.916739999999997</v>
      </c>
      <c r="B1201">
        <v>-75.231570000000005</v>
      </c>
      <c r="C1201" t="s">
        <v>41</v>
      </c>
      <c r="D1201" t="s">
        <v>928</v>
      </c>
      <c r="F1201" s="21"/>
      <c r="G1201" s="16" t="str">
        <f>HYPERLINK("http://maps.google.com/maps?f=q&amp;hl=en&amp;geocode=&amp;q=39.91674,-75.23157")</f>
        <v>http://maps.google.com/maps?f=q&amp;hl=en&amp;geocode=&amp;q=39.91674,-75.23157</v>
      </c>
    </row>
    <row r="1202" spans="1:7" ht="15" x14ac:dyDescent="0.3">
      <c r="A1202">
        <v>39.682635556755898</v>
      </c>
      <c r="B1202">
        <v>-76.661188034475302</v>
      </c>
      <c r="C1202" t="s">
        <v>41</v>
      </c>
      <c r="D1202" t="s">
        <v>929</v>
      </c>
      <c r="F1202" s="21"/>
      <c r="G1202" s="16" t="str">
        <f>HYPERLINK("http://maps.google.com/maps?f=q&amp;hl=en&amp;geocode=&amp;q=39.6826355567559,-76.6611880344753")</f>
        <v>http://maps.google.com/maps?f=q&amp;hl=en&amp;geocode=&amp;q=39.6826355567559,-76.6611880344753</v>
      </c>
    </row>
    <row r="1203" spans="1:7" ht="15" x14ac:dyDescent="0.3">
      <c r="A1203">
        <v>42.156185150146499</v>
      </c>
      <c r="B1203">
        <v>-71.566192626953097</v>
      </c>
      <c r="C1203" t="s">
        <v>41</v>
      </c>
      <c r="D1203" t="s">
        <v>905</v>
      </c>
      <c r="F1203" s="21"/>
      <c r="G1203" s="16" t="str">
        <f>HYPERLINK("http://maps.google.com/maps?f=q&amp;hl=en&amp;geocode=&amp;q=42.1561851501465,-71.5661926269531")</f>
        <v>http://maps.google.com/maps?f=q&amp;hl=en&amp;geocode=&amp;q=42.1561851501465,-71.5661926269531</v>
      </c>
    </row>
    <row r="1204" spans="1:7" ht="15" x14ac:dyDescent="0.3">
      <c r="A1204">
        <v>39.963769999999997</v>
      </c>
      <c r="B1204">
        <v>-75.242400000000004</v>
      </c>
      <c r="C1204" t="s">
        <v>42</v>
      </c>
      <c r="D1204" t="s">
        <v>930</v>
      </c>
      <c r="F1204" s="21"/>
      <c r="G1204" s="16" t="str">
        <f>HYPERLINK("http://maps.google.com/maps?f=q&amp;hl=en&amp;geocode=&amp;q=39.96377,-75.2424")</f>
        <v>http://maps.google.com/maps?f=q&amp;hl=en&amp;geocode=&amp;q=39.96377,-75.2424</v>
      </c>
    </row>
    <row r="1205" spans="1:7" ht="15" x14ac:dyDescent="0.3">
      <c r="A1205">
        <v>33.360970000000002</v>
      </c>
      <c r="B1205">
        <v>-92.719920000000002</v>
      </c>
      <c r="C1205" t="s">
        <v>41</v>
      </c>
      <c r="D1205" t="s">
        <v>931</v>
      </c>
      <c r="F1205" s="21"/>
      <c r="G1205" s="16" t="str">
        <f>HYPERLINK("http://maps.google.com/maps?f=q&amp;hl=en&amp;geocode=&amp;q=33.36097,-92.71992")</f>
        <v>http://maps.google.com/maps?f=q&amp;hl=en&amp;geocode=&amp;q=33.36097,-92.71992</v>
      </c>
    </row>
    <row r="1206" spans="1:7" ht="15" x14ac:dyDescent="0.3">
      <c r="A1206">
        <v>49.648342132568402</v>
      </c>
      <c r="B1206">
        <v>5.9924058914184597</v>
      </c>
      <c r="C1206" t="s">
        <v>41</v>
      </c>
      <c r="D1206" t="s">
        <v>932</v>
      </c>
      <c r="F1206" s="21"/>
      <c r="G1206" s="16" t="str">
        <f>HYPERLINK("http://maps.google.com/maps?f=q&amp;hl=en&amp;geocode=&amp;q=49.6483421325684,5.99240589141846")</f>
        <v>http://maps.google.com/maps?f=q&amp;hl=en&amp;geocode=&amp;q=49.6483421325684,5.99240589141846</v>
      </c>
    </row>
    <row r="1207" spans="1:7" ht="15" x14ac:dyDescent="0.3">
      <c r="A1207">
        <v>33.348711567399498</v>
      </c>
      <c r="B1207">
        <v>-98.606133846766895</v>
      </c>
      <c r="C1207" t="s">
        <v>41</v>
      </c>
      <c r="D1207" t="s">
        <v>933</v>
      </c>
      <c r="F1207" s="21"/>
      <c r="G1207" s="16" t="str">
        <f>HYPERLINK("http://maps.google.com/maps?f=q&amp;hl=en&amp;geocode=&amp;q=33.3487115673995,-98.6061338467669")</f>
        <v>http://maps.google.com/maps?f=q&amp;hl=en&amp;geocode=&amp;q=33.3487115673995,-98.6061338467669</v>
      </c>
    </row>
    <row r="1208" spans="1:7" ht="15" x14ac:dyDescent="0.3">
      <c r="A1208">
        <v>38.929624263099797</v>
      </c>
      <c r="B1208">
        <v>-114.032342559692</v>
      </c>
      <c r="C1208" t="s">
        <v>42</v>
      </c>
      <c r="D1208" t="s">
        <v>934</v>
      </c>
      <c r="F1208" s="21"/>
      <c r="G1208" s="16" t="str">
        <f>HYPERLINK("http://maps.google.com/maps?f=q&amp;hl=en&amp;geocode=&amp;q=38.9296242630998,-114.032342559692")</f>
        <v>http://maps.google.com/maps?f=q&amp;hl=en&amp;geocode=&amp;q=38.9296242630998,-114.032342559692</v>
      </c>
    </row>
    <row r="1209" spans="1:7" ht="15" x14ac:dyDescent="0.3">
      <c r="A1209">
        <v>44.090356109660803</v>
      </c>
      <c r="B1209">
        <v>-92.5449277991288</v>
      </c>
      <c r="C1209" t="s">
        <v>41</v>
      </c>
      <c r="D1209" t="s">
        <v>935</v>
      </c>
      <c r="F1209" s="21"/>
      <c r="G1209" s="16" t="str">
        <f>HYPERLINK("http://maps.google.com/maps?f=q&amp;hl=en&amp;geocode=&amp;q=44.0903561096608,-92.5449277991288")</f>
        <v>http://maps.google.com/maps?f=q&amp;hl=en&amp;geocode=&amp;q=44.0903561096608,-92.5449277991288</v>
      </c>
    </row>
    <row r="1210" spans="1:7" ht="15" x14ac:dyDescent="0.3">
      <c r="A1210">
        <v>38.383310000000002</v>
      </c>
      <c r="B1210">
        <v>-96.150630000000007</v>
      </c>
      <c r="C1210" t="s">
        <v>42</v>
      </c>
      <c r="D1210" t="s">
        <v>936</v>
      </c>
      <c r="F1210" s="21"/>
      <c r="G1210" s="16" t="str">
        <f>HYPERLINK("http://maps.google.com/maps?f=q&amp;hl=en&amp;geocode=&amp;q=38.38331,-96.15063")</f>
        <v>http://maps.google.com/maps?f=q&amp;hl=en&amp;geocode=&amp;q=38.38331,-96.15063</v>
      </c>
    </row>
    <row r="1211" spans="1:7" ht="15" x14ac:dyDescent="0.3">
      <c r="A1211">
        <v>50.512950897216797</v>
      </c>
      <c r="B1211">
        <v>3.58831691741943</v>
      </c>
      <c r="C1211" t="s">
        <v>43</v>
      </c>
      <c r="D1211" t="s">
        <v>937</v>
      </c>
      <c r="F1211" s="21"/>
      <c r="G1211" s="16" t="str">
        <f>HYPERLINK("http://maps.google.com/maps?f=q&amp;hl=en&amp;geocode=&amp;q=50.5129508972168,3.58831691741943")</f>
        <v>http://maps.google.com/maps?f=q&amp;hl=en&amp;geocode=&amp;q=50.5129508972168,3.58831691741943</v>
      </c>
    </row>
    <row r="1212" spans="1:7" ht="15" x14ac:dyDescent="0.3">
      <c r="A1212">
        <v>50.512950897216797</v>
      </c>
      <c r="B1212">
        <v>3.58831691741943</v>
      </c>
      <c r="C1212" t="s">
        <v>43</v>
      </c>
      <c r="D1212" t="s">
        <v>937</v>
      </c>
      <c r="F1212" s="21"/>
      <c r="G1212" s="16" t="str">
        <f>HYPERLINK("http://maps.google.com/maps?f=q&amp;hl=en&amp;geocode=&amp;q=50.5129508972168,3.58831691741943")</f>
        <v>http://maps.google.com/maps?f=q&amp;hl=en&amp;geocode=&amp;q=50.5129508972168,3.58831691741943</v>
      </c>
    </row>
    <row r="1213" spans="1:7" ht="15" x14ac:dyDescent="0.3">
      <c r="A1213">
        <v>34.203040000000001</v>
      </c>
      <c r="B1213">
        <v>-118.49751000000001</v>
      </c>
      <c r="C1213" t="s">
        <v>41</v>
      </c>
      <c r="D1213" t="s">
        <v>938</v>
      </c>
      <c r="F1213" s="21"/>
      <c r="G1213" s="16" t="str">
        <f>HYPERLINK("http://maps.google.com/maps?f=q&amp;hl=en&amp;geocode=&amp;q=34.20304,-118.49751")</f>
        <v>http://maps.google.com/maps?f=q&amp;hl=en&amp;geocode=&amp;q=34.20304,-118.49751</v>
      </c>
    </row>
    <row r="1214" spans="1:7" ht="15" x14ac:dyDescent="0.3">
      <c r="A1214">
        <v>39.919339999999998</v>
      </c>
      <c r="B1214">
        <v>-75.160539999999997</v>
      </c>
      <c r="C1214" t="s">
        <v>43</v>
      </c>
      <c r="D1214" t="s">
        <v>939</v>
      </c>
      <c r="F1214" s="21"/>
      <c r="G1214" s="16" t="str">
        <f>HYPERLINK("http://maps.google.com/maps?f=q&amp;hl=en&amp;geocode=&amp;q=39.91934,-75.16054")</f>
        <v>http://maps.google.com/maps?f=q&amp;hl=en&amp;geocode=&amp;q=39.91934,-75.16054</v>
      </c>
    </row>
    <row r="1215" spans="1:7" ht="15" x14ac:dyDescent="0.3">
      <c r="A1215">
        <v>-33.00956</v>
      </c>
      <c r="B1215">
        <v>137.5308</v>
      </c>
      <c r="C1215" t="s">
        <v>43</v>
      </c>
      <c r="D1215" t="s">
        <v>940</v>
      </c>
      <c r="F1215" s="21"/>
      <c r="G1215" s="16" t="str">
        <f>HYPERLINK("http://maps.google.com/maps?f=q&amp;hl=en&amp;geocode=&amp;q=-33.00956,137.5308")</f>
        <v>http://maps.google.com/maps?f=q&amp;hl=en&amp;geocode=&amp;q=-33.00956,137.5308</v>
      </c>
    </row>
    <row r="1216" spans="1:7" ht="15" x14ac:dyDescent="0.3">
      <c r="A1216">
        <v>36.119354248046903</v>
      </c>
      <c r="B1216">
        <v>-91.047416687011705</v>
      </c>
      <c r="C1216" t="s">
        <v>41</v>
      </c>
      <c r="D1216" t="s">
        <v>443</v>
      </c>
      <c r="F1216" s="21"/>
      <c r="G1216" s="16" t="str">
        <f>HYPERLINK("http://maps.google.com/maps?f=q&amp;hl=en&amp;geocode=&amp;q=36.1193542480469,-91.0474166870117")</f>
        <v>http://maps.google.com/maps?f=q&amp;hl=en&amp;geocode=&amp;q=36.1193542480469,-91.0474166870117</v>
      </c>
    </row>
    <row r="1217" spans="1:7" ht="15" x14ac:dyDescent="0.3">
      <c r="A1217">
        <v>40.468830108642599</v>
      </c>
      <c r="B1217">
        <v>-79.981201171875</v>
      </c>
      <c r="C1217" t="s">
        <v>43</v>
      </c>
      <c r="D1217" t="s">
        <v>941</v>
      </c>
      <c r="F1217" s="21"/>
      <c r="G1217" s="16" t="str">
        <f>HYPERLINK("http://maps.google.com/maps?f=q&amp;hl=en&amp;geocode=&amp;q=40.4688301086426,-79.981201171875")</f>
        <v>http://maps.google.com/maps?f=q&amp;hl=en&amp;geocode=&amp;q=40.4688301086426,-79.981201171875</v>
      </c>
    </row>
    <row r="1218" spans="1:7" ht="15" x14ac:dyDescent="0.3">
      <c r="A1218" t="s">
        <v>44</v>
      </c>
      <c r="B1218" t="s">
        <v>44</v>
      </c>
      <c r="C1218" t="s">
        <v>44</v>
      </c>
      <c r="D1218" t="s">
        <v>942</v>
      </c>
      <c r="F1218" s="21"/>
      <c r="G1218" s="16"/>
    </row>
    <row r="1219" spans="1:7" ht="15" x14ac:dyDescent="0.3">
      <c r="A1219" t="s">
        <v>44</v>
      </c>
      <c r="B1219" t="s">
        <v>44</v>
      </c>
      <c r="C1219" t="s">
        <v>44</v>
      </c>
      <c r="D1219" t="s">
        <v>943</v>
      </c>
      <c r="F1219" s="21"/>
      <c r="G1219" s="16"/>
    </row>
    <row r="1220" spans="1:7" ht="15" x14ac:dyDescent="0.3">
      <c r="A1220">
        <v>43.301578521728501</v>
      </c>
      <c r="B1220">
        <v>-103.825149536133</v>
      </c>
      <c r="C1220" t="s">
        <v>41</v>
      </c>
      <c r="D1220" t="s">
        <v>944</v>
      </c>
      <c r="F1220" s="21"/>
      <c r="G1220" s="16" t="str">
        <f>HYPERLINK("http://maps.google.com/maps?f=q&amp;hl=en&amp;geocode=&amp;q=43.3015785217285,-103.825149536133")</f>
        <v>http://maps.google.com/maps?f=q&amp;hl=en&amp;geocode=&amp;q=43.3015785217285,-103.825149536133</v>
      </c>
    </row>
    <row r="1221" spans="1:7" ht="15" x14ac:dyDescent="0.3">
      <c r="A1221" t="s">
        <v>44</v>
      </c>
      <c r="B1221" t="s">
        <v>44</v>
      </c>
      <c r="C1221" t="s">
        <v>44</v>
      </c>
      <c r="D1221" t="s">
        <v>945</v>
      </c>
      <c r="F1221" s="21"/>
      <c r="G1221" s="16"/>
    </row>
    <row r="1222" spans="1:7" ht="15" x14ac:dyDescent="0.3">
      <c r="A1222" t="s">
        <v>44</v>
      </c>
      <c r="B1222" t="s">
        <v>44</v>
      </c>
      <c r="C1222" t="s">
        <v>44</v>
      </c>
      <c r="D1222" t="s">
        <v>945</v>
      </c>
      <c r="F1222" s="21"/>
      <c r="G1222" s="16"/>
    </row>
    <row r="1223" spans="1:7" ht="15" x14ac:dyDescent="0.3">
      <c r="A1223">
        <v>-22.897539138793899</v>
      </c>
      <c r="B1223">
        <v>-42.938098907470703</v>
      </c>
      <c r="C1223" t="s">
        <v>41</v>
      </c>
      <c r="D1223" t="s">
        <v>946</v>
      </c>
      <c r="F1223" s="21"/>
      <c r="G1223" s="16" t="str">
        <f>HYPERLINK("http://maps.google.com/maps?f=q&amp;hl=en&amp;geocode=&amp;q=-22.8975391387939,-42.9380989074707")</f>
        <v>http://maps.google.com/maps?f=q&amp;hl=en&amp;geocode=&amp;q=-22.8975391387939,-42.9380989074707</v>
      </c>
    </row>
    <row r="1224" spans="1:7" ht="15" x14ac:dyDescent="0.3">
      <c r="A1224">
        <v>40.045029999999997</v>
      </c>
      <c r="B1224">
        <v>-75.12218</v>
      </c>
      <c r="C1224" t="s">
        <v>41</v>
      </c>
      <c r="D1224" t="s">
        <v>947</v>
      </c>
      <c r="F1224" s="21"/>
      <c r="G1224" s="16" t="str">
        <f>HYPERLINK("http://maps.google.com/maps?f=q&amp;hl=en&amp;geocode=&amp;q=40.04503,-75.12218")</f>
        <v>http://maps.google.com/maps?f=q&amp;hl=en&amp;geocode=&amp;q=40.04503,-75.12218</v>
      </c>
    </row>
    <row r="1225" spans="1:7" ht="15" x14ac:dyDescent="0.3">
      <c r="A1225">
        <v>46.609444706295101</v>
      </c>
      <c r="B1225">
        <v>-116.847254408987</v>
      </c>
      <c r="C1225" t="s">
        <v>41</v>
      </c>
      <c r="D1225" t="s">
        <v>948</v>
      </c>
      <c r="F1225" s="21"/>
      <c r="G1225" s="16" t="str">
        <f>HYPERLINK("http://maps.google.com/maps?f=q&amp;hl=en&amp;geocode=&amp;q=46.6094447062951,-116.847254408987")</f>
        <v>http://maps.google.com/maps?f=q&amp;hl=en&amp;geocode=&amp;q=46.6094447062951,-116.847254408987</v>
      </c>
    </row>
    <row r="1226" spans="1:7" ht="15" x14ac:dyDescent="0.3">
      <c r="A1226" t="s">
        <v>44</v>
      </c>
      <c r="B1226" t="s">
        <v>44</v>
      </c>
      <c r="C1226" t="s">
        <v>44</v>
      </c>
      <c r="D1226" t="s">
        <v>949</v>
      </c>
      <c r="F1226" s="21"/>
      <c r="G1226" s="16"/>
    </row>
    <row r="1227" spans="1:7" ht="15" x14ac:dyDescent="0.3">
      <c r="A1227">
        <v>35.428350000000002</v>
      </c>
      <c r="B1227">
        <v>-97.134460000000004</v>
      </c>
      <c r="C1227" t="s">
        <v>42</v>
      </c>
      <c r="D1227" t="s">
        <v>276</v>
      </c>
      <c r="F1227" s="21"/>
      <c r="G1227" s="16" t="str">
        <f>HYPERLINK("http://maps.google.com/maps?f=q&amp;hl=en&amp;geocode=&amp;q=35.42835,-97.13446")</f>
        <v>http://maps.google.com/maps?f=q&amp;hl=en&amp;geocode=&amp;q=35.42835,-97.13446</v>
      </c>
    </row>
    <row r="1228" spans="1:7" ht="15" x14ac:dyDescent="0.3">
      <c r="A1228">
        <v>35.428350000000002</v>
      </c>
      <c r="B1228">
        <v>-97.134460000000004</v>
      </c>
      <c r="C1228" t="s">
        <v>42</v>
      </c>
      <c r="D1228" t="s">
        <v>276</v>
      </c>
      <c r="F1228" s="21"/>
      <c r="G1228" s="16" t="str">
        <f>HYPERLINK("http://maps.google.com/maps?f=q&amp;hl=en&amp;geocode=&amp;q=35.42835,-97.13446")</f>
        <v>http://maps.google.com/maps?f=q&amp;hl=en&amp;geocode=&amp;q=35.42835,-97.13446</v>
      </c>
    </row>
    <row r="1229" spans="1:7" ht="15" x14ac:dyDescent="0.3">
      <c r="A1229" t="s">
        <v>44</v>
      </c>
      <c r="B1229" t="s">
        <v>44</v>
      </c>
      <c r="C1229" t="s">
        <v>44</v>
      </c>
      <c r="D1229" t="s">
        <v>950</v>
      </c>
      <c r="F1229" s="21"/>
      <c r="G1229" s="16"/>
    </row>
    <row r="1230" spans="1:7" ht="15" x14ac:dyDescent="0.3">
      <c r="A1230">
        <v>42.156185150146499</v>
      </c>
      <c r="B1230">
        <v>-71.566192626953097</v>
      </c>
      <c r="C1230" t="s">
        <v>41</v>
      </c>
      <c r="D1230" t="s">
        <v>905</v>
      </c>
      <c r="F1230" s="21"/>
      <c r="G1230" s="16" t="str">
        <f>HYPERLINK("http://maps.google.com/maps?f=q&amp;hl=en&amp;geocode=&amp;q=42.1561851501465,-71.5661926269531")</f>
        <v>http://maps.google.com/maps?f=q&amp;hl=en&amp;geocode=&amp;q=42.1561851501465,-71.5661926269531</v>
      </c>
    </row>
    <row r="1231" spans="1:7" ht="15" x14ac:dyDescent="0.3">
      <c r="A1231">
        <v>33.672056381324801</v>
      </c>
      <c r="B1231">
        <v>-102.561453241688</v>
      </c>
      <c r="C1231" t="s">
        <v>41</v>
      </c>
      <c r="D1231" t="s">
        <v>951</v>
      </c>
      <c r="F1231" s="21"/>
      <c r="G1231" s="16" t="str">
        <f>HYPERLINK("http://maps.google.com/maps?f=q&amp;hl=en&amp;geocode=&amp;q=33.6720563813248,-102.561453241688")</f>
        <v>http://maps.google.com/maps?f=q&amp;hl=en&amp;geocode=&amp;q=33.6720563813248,-102.561453241688</v>
      </c>
    </row>
    <row r="1232" spans="1:7" ht="15" x14ac:dyDescent="0.3">
      <c r="A1232" t="s">
        <v>44</v>
      </c>
      <c r="B1232" t="s">
        <v>44</v>
      </c>
      <c r="C1232" t="s">
        <v>44</v>
      </c>
      <c r="D1232" t="s">
        <v>952</v>
      </c>
      <c r="F1232" s="21"/>
      <c r="G1232" s="16"/>
    </row>
    <row r="1233" spans="1:7" ht="15" x14ac:dyDescent="0.3">
      <c r="A1233" t="s">
        <v>44</v>
      </c>
      <c r="B1233" t="s">
        <v>44</v>
      </c>
      <c r="C1233" t="s">
        <v>44</v>
      </c>
      <c r="D1233" t="s">
        <v>874</v>
      </c>
      <c r="F1233" s="21"/>
      <c r="G1233" s="16"/>
    </row>
    <row r="1234" spans="1:7" ht="15" x14ac:dyDescent="0.3">
      <c r="A1234">
        <v>40.026699999999998</v>
      </c>
      <c r="B1234">
        <v>-75.140309999999999</v>
      </c>
      <c r="C1234" t="s">
        <v>42</v>
      </c>
      <c r="D1234" t="s">
        <v>953</v>
      </c>
      <c r="F1234" s="21"/>
      <c r="G1234" s="16" t="str">
        <f>HYPERLINK("http://maps.google.com/maps?f=q&amp;hl=en&amp;geocode=&amp;q=40.0267,-75.14031")</f>
        <v>http://maps.google.com/maps?f=q&amp;hl=en&amp;geocode=&amp;q=40.0267,-75.14031</v>
      </c>
    </row>
    <row r="1235" spans="1:7" ht="15" x14ac:dyDescent="0.3">
      <c r="A1235">
        <v>36.167581486140101</v>
      </c>
      <c r="B1235">
        <v>-90.525629720803593</v>
      </c>
      <c r="C1235" t="s">
        <v>42</v>
      </c>
      <c r="D1235" t="s">
        <v>954</v>
      </c>
      <c r="F1235" s="21"/>
      <c r="G1235" s="16" t="str">
        <f>HYPERLINK("http://maps.google.com/maps?f=q&amp;hl=en&amp;geocode=&amp;q=36.1675814861401,-90.5256297208036")</f>
        <v>http://maps.google.com/maps?f=q&amp;hl=en&amp;geocode=&amp;q=36.1675814861401,-90.5256297208036</v>
      </c>
    </row>
    <row r="1236" spans="1:7" ht="15" x14ac:dyDescent="0.3">
      <c r="A1236">
        <v>40.098717999999998</v>
      </c>
      <c r="B1236">
        <v>-75.028334000000001</v>
      </c>
      <c r="C1236" t="s">
        <v>41</v>
      </c>
      <c r="D1236" t="s">
        <v>955</v>
      </c>
      <c r="F1236" s="21"/>
      <c r="G1236" s="16" t="str">
        <f>HYPERLINK("http://maps.google.com/maps?f=q&amp;hl=en&amp;geocode=&amp;q=40.098718,-75.028334")</f>
        <v>http://maps.google.com/maps?f=q&amp;hl=en&amp;geocode=&amp;q=40.098718,-75.028334</v>
      </c>
    </row>
    <row r="1237" spans="1:7" ht="15" x14ac:dyDescent="0.3">
      <c r="A1237">
        <v>-33.870079040527301</v>
      </c>
      <c r="B1237">
        <v>150.91102600097699</v>
      </c>
      <c r="C1237" t="s">
        <v>41</v>
      </c>
      <c r="D1237" t="s">
        <v>956</v>
      </c>
      <c r="F1237" s="21"/>
      <c r="G1237" s="16" t="str">
        <f>HYPERLINK("http://maps.google.com/maps?f=q&amp;hl=en&amp;geocode=&amp;q=-33.8700790405273,150.911026000977")</f>
        <v>http://maps.google.com/maps?f=q&amp;hl=en&amp;geocode=&amp;q=-33.8700790405273,150.911026000977</v>
      </c>
    </row>
    <row r="1238" spans="1:7" ht="15" x14ac:dyDescent="0.3">
      <c r="A1238" t="s">
        <v>44</v>
      </c>
      <c r="B1238" t="s">
        <v>44</v>
      </c>
      <c r="C1238" t="s">
        <v>44</v>
      </c>
      <c r="D1238" t="s">
        <v>957</v>
      </c>
      <c r="F1238" s="21"/>
      <c r="G1238" s="16"/>
    </row>
    <row r="1239" spans="1:7" ht="15" x14ac:dyDescent="0.3">
      <c r="A1239">
        <v>39.190021514892599</v>
      </c>
      <c r="B1239">
        <v>-106.81817626953099</v>
      </c>
      <c r="C1239" t="s">
        <v>43</v>
      </c>
      <c r="D1239" t="s">
        <v>958</v>
      </c>
      <c r="F1239" s="21"/>
      <c r="G1239" s="16" t="str">
        <f>HYPERLINK("http://maps.google.com/maps?f=q&amp;hl=en&amp;geocode=&amp;q=39.1900215148926,-106.818176269531")</f>
        <v>http://maps.google.com/maps?f=q&amp;hl=en&amp;geocode=&amp;q=39.1900215148926,-106.818176269531</v>
      </c>
    </row>
    <row r="1240" spans="1:7" ht="15" x14ac:dyDescent="0.3">
      <c r="A1240">
        <v>37.314268657523698</v>
      </c>
      <c r="B1240">
        <v>-88.304727752991496</v>
      </c>
      <c r="C1240" t="s">
        <v>41</v>
      </c>
      <c r="D1240" t="s">
        <v>959</v>
      </c>
      <c r="F1240" s="21"/>
      <c r="G1240" s="16" t="str">
        <f>HYPERLINK("http://maps.google.com/maps?f=q&amp;hl=en&amp;geocode=&amp;q=37.3142686575237,-88.3047277529915")</f>
        <v>http://maps.google.com/maps?f=q&amp;hl=en&amp;geocode=&amp;q=37.3142686575237,-88.3047277529915</v>
      </c>
    </row>
    <row r="1241" spans="1:7" ht="15" x14ac:dyDescent="0.3">
      <c r="A1241">
        <v>37.314268657523698</v>
      </c>
      <c r="B1241">
        <v>-88.304727752991496</v>
      </c>
      <c r="C1241" t="s">
        <v>41</v>
      </c>
      <c r="D1241" t="s">
        <v>959</v>
      </c>
      <c r="F1241" s="21"/>
      <c r="G1241" s="16" t="str">
        <f>HYPERLINK("http://maps.google.com/maps?f=q&amp;hl=en&amp;geocode=&amp;q=37.3142686575237,-88.3047277529915")</f>
        <v>http://maps.google.com/maps?f=q&amp;hl=en&amp;geocode=&amp;q=37.3142686575237,-88.3047277529915</v>
      </c>
    </row>
    <row r="1242" spans="1:7" ht="15" x14ac:dyDescent="0.3">
      <c r="A1242">
        <v>29.533359527587901</v>
      </c>
      <c r="B1242">
        <v>-95.119140625</v>
      </c>
      <c r="C1242" t="s">
        <v>43</v>
      </c>
      <c r="D1242" t="s">
        <v>960</v>
      </c>
      <c r="F1242" s="21"/>
      <c r="G1242" s="16" t="str">
        <f>HYPERLINK("http://maps.google.com/maps?f=q&amp;hl=en&amp;geocode=&amp;q=29.5333595275879,-95.119140625")</f>
        <v>http://maps.google.com/maps?f=q&amp;hl=en&amp;geocode=&amp;q=29.5333595275879,-95.119140625</v>
      </c>
    </row>
    <row r="1243" spans="1:7" ht="15" x14ac:dyDescent="0.3">
      <c r="A1243">
        <v>29.901700000000002</v>
      </c>
      <c r="B1243">
        <v>-94.040289999999999</v>
      </c>
      <c r="C1243" t="s">
        <v>42</v>
      </c>
      <c r="D1243" t="s">
        <v>961</v>
      </c>
      <c r="F1243" s="21"/>
      <c r="G1243" s="16" t="str">
        <f>HYPERLINK("http://maps.google.com/maps?f=q&amp;hl=en&amp;geocode=&amp;q=29.9017,-94.04029")</f>
        <v>http://maps.google.com/maps?f=q&amp;hl=en&amp;geocode=&amp;q=29.9017,-94.04029</v>
      </c>
    </row>
    <row r="1244" spans="1:7" ht="15" x14ac:dyDescent="0.3">
      <c r="A1244">
        <v>35.428350000000002</v>
      </c>
      <c r="B1244">
        <v>-97.134460000000004</v>
      </c>
      <c r="C1244" t="s">
        <v>42</v>
      </c>
      <c r="D1244" t="s">
        <v>412</v>
      </c>
      <c r="F1244" s="21"/>
      <c r="G1244" s="16" t="str">
        <f>HYPERLINK("http://maps.google.com/maps?f=q&amp;hl=en&amp;geocode=&amp;q=35.42835,-97.13446")</f>
        <v>http://maps.google.com/maps?f=q&amp;hl=en&amp;geocode=&amp;q=35.42835,-97.13446</v>
      </c>
    </row>
    <row r="1245" spans="1:7" ht="15" x14ac:dyDescent="0.3">
      <c r="A1245">
        <v>39.916809999999998</v>
      </c>
      <c r="B1245">
        <v>-75.230509999999995</v>
      </c>
      <c r="C1245" t="s">
        <v>41</v>
      </c>
      <c r="D1245" t="s">
        <v>962</v>
      </c>
      <c r="F1245" s="21"/>
      <c r="G1245" s="16" t="str">
        <f>HYPERLINK("http://maps.google.com/maps?f=q&amp;hl=en&amp;geocode=&amp;q=39.91681,-75.23051")</f>
        <v>http://maps.google.com/maps?f=q&amp;hl=en&amp;geocode=&amp;q=39.91681,-75.23051</v>
      </c>
    </row>
    <row r="1246" spans="1:7" ht="15" x14ac:dyDescent="0.3">
      <c r="A1246">
        <v>46.733035344466003</v>
      </c>
      <c r="B1246">
        <v>-92.174759688289996</v>
      </c>
      <c r="C1246" t="s">
        <v>43</v>
      </c>
      <c r="D1246" t="s">
        <v>963</v>
      </c>
      <c r="F1246" s="21"/>
      <c r="G1246" s="16" t="str">
        <f>HYPERLINK("http://maps.google.com/maps?f=q&amp;hl=en&amp;geocode=&amp;q=46.733035344466,-92.17475968829")</f>
        <v>http://maps.google.com/maps?f=q&amp;hl=en&amp;geocode=&amp;q=46.733035344466,-92.17475968829</v>
      </c>
    </row>
    <row r="1247" spans="1:7" ht="15" x14ac:dyDescent="0.3">
      <c r="A1247">
        <v>-31.950477600097699</v>
      </c>
      <c r="B1247">
        <v>115.86053466796901</v>
      </c>
      <c r="C1247" t="s">
        <v>43</v>
      </c>
      <c r="D1247" t="s">
        <v>964</v>
      </c>
      <c r="F1247" s="21"/>
      <c r="G1247" s="16" t="str">
        <f>HYPERLINK("http://maps.google.com/maps?f=q&amp;hl=en&amp;geocode=&amp;q=-31.9504776000977,115.860534667969")</f>
        <v>http://maps.google.com/maps?f=q&amp;hl=en&amp;geocode=&amp;q=-31.9504776000977,115.860534667969</v>
      </c>
    </row>
    <row r="1248" spans="1:7" ht="15" x14ac:dyDescent="0.3">
      <c r="A1248">
        <v>39.196859594929997</v>
      </c>
      <c r="B1248">
        <v>-96.633524896535405</v>
      </c>
      <c r="C1248" t="s">
        <v>43</v>
      </c>
      <c r="D1248" t="s">
        <v>965</v>
      </c>
      <c r="F1248" s="21"/>
      <c r="G1248" s="16" t="str">
        <f>HYPERLINK("http://maps.google.com/maps?f=q&amp;hl=en&amp;geocode=&amp;q=39.19685959493,-96.6335248965354")</f>
        <v>http://maps.google.com/maps?f=q&amp;hl=en&amp;geocode=&amp;q=39.19685959493,-96.6335248965354</v>
      </c>
    </row>
    <row r="1249" spans="1:7" ht="15" x14ac:dyDescent="0.3">
      <c r="A1249">
        <v>40.048180000000002</v>
      </c>
      <c r="B1249">
        <v>-75.102999999999994</v>
      </c>
      <c r="C1249" t="s">
        <v>41</v>
      </c>
      <c r="D1249" t="s">
        <v>966</v>
      </c>
      <c r="F1249" s="21"/>
      <c r="G1249" s="16" t="str">
        <f>HYPERLINK("http://maps.google.com/maps?f=q&amp;hl=en&amp;geocode=&amp;q=40.04818,-75.103")</f>
        <v>http://maps.google.com/maps?f=q&amp;hl=en&amp;geocode=&amp;q=40.04818,-75.103</v>
      </c>
    </row>
    <row r="1250" spans="1:7" ht="15" x14ac:dyDescent="0.3">
      <c r="A1250">
        <v>40.116880000000002</v>
      </c>
      <c r="B1250">
        <v>-75.034869999999998</v>
      </c>
      <c r="C1250" t="s">
        <v>41</v>
      </c>
      <c r="D1250" t="s">
        <v>967</v>
      </c>
      <c r="F1250" s="21"/>
      <c r="G1250" s="16" t="str">
        <f>HYPERLINK("http://maps.google.com/maps?f=q&amp;hl=en&amp;geocode=&amp;q=40.11688,-75.03487")</f>
        <v>http://maps.google.com/maps?f=q&amp;hl=en&amp;geocode=&amp;q=40.11688,-75.03487</v>
      </c>
    </row>
    <row r="1251" spans="1:7" ht="15" x14ac:dyDescent="0.3">
      <c r="A1251">
        <v>33.672056381324801</v>
      </c>
      <c r="B1251">
        <v>-102.561453241688</v>
      </c>
      <c r="C1251" t="s">
        <v>41</v>
      </c>
      <c r="D1251" t="s">
        <v>951</v>
      </c>
      <c r="F1251" s="21"/>
      <c r="G1251" s="16" t="str">
        <f>HYPERLINK("http://maps.google.com/maps?f=q&amp;hl=en&amp;geocode=&amp;q=33.6720563813248,-102.561453241688")</f>
        <v>http://maps.google.com/maps?f=q&amp;hl=en&amp;geocode=&amp;q=33.6720563813248,-102.561453241688</v>
      </c>
    </row>
    <row r="1252" spans="1:7" ht="15" x14ac:dyDescent="0.3">
      <c r="A1252">
        <v>31.815887991013302</v>
      </c>
      <c r="B1252">
        <v>-106.249592916992</v>
      </c>
      <c r="C1252" t="s">
        <v>43</v>
      </c>
      <c r="D1252" t="s">
        <v>968</v>
      </c>
      <c r="F1252" s="21"/>
      <c r="G1252" s="16" t="str">
        <f>HYPERLINK("http://maps.google.com/maps?f=q&amp;hl=en&amp;geocode=&amp;q=31.8158879910133,-106.249592916992")</f>
        <v>http://maps.google.com/maps?f=q&amp;hl=en&amp;geocode=&amp;q=31.8158879910133,-106.249592916992</v>
      </c>
    </row>
    <row r="1253" spans="1:7" ht="15" x14ac:dyDescent="0.3">
      <c r="A1253">
        <v>39.916969999999999</v>
      </c>
      <c r="B1253">
        <v>-75.231610000000003</v>
      </c>
      <c r="C1253" t="s">
        <v>42</v>
      </c>
      <c r="D1253" t="s">
        <v>969</v>
      </c>
      <c r="F1253" s="21"/>
      <c r="G1253" s="16" t="str">
        <f>HYPERLINK("http://maps.google.com/maps?f=q&amp;hl=en&amp;geocode=&amp;q=39.91697,-75.23161")</f>
        <v>http://maps.google.com/maps?f=q&amp;hl=en&amp;geocode=&amp;q=39.91697,-75.23161</v>
      </c>
    </row>
    <row r="1254" spans="1:7" ht="15" x14ac:dyDescent="0.3">
      <c r="A1254">
        <v>41.816824966075899</v>
      </c>
      <c r="B1254">
        <v>-71.443303634257802</v>
      </c>
      <c r="C1254" t="s">
        <v>41</v>
      </c>
      <c r="D1254" t="s">
        <v>970</v>
      </c>
      <c r="F1254" s="21"/>
      <c r="G1254" s="16" t="str">
        <f>HYPERLINK("http://maps.google.com/maps?f=q&amp;hl=en&amp;geocode=&amp;q=41.8168249660759,-71.4433036342578")</f>
        <v>http://maps.google.com/maps?f=q&amp;hl=en&amp;geocode=&amp;q=41.8168249660759,-71.4433036342578</v>
      </c>
    </row>
    <row r="1255" spans="1:7" ht="15" x14ac:dyDescent="0.3">
      <c r="A1255">
        <v>38.07282</v>
      </c>
      <c r="B1255">
        <v>-97.948639999999997</v>
      </c>
      <c r="C1255" t="s">
        <v>42</v>
      </c>
      <c r="D1255" t="s">
        <v>971</v>
      </c>
      <c r="F1255" s="21"/>
      <c r="G1255" s="16" t="str">
        <f>HYPERLINK("http://maps.google.com/maps?f=q&amp;hl=en&amp;geocode=&amp;q=38.07282,-97.94864")</f>
        <v>http://maps.google.com/maps?f=q&amp;hl=en&amp;geocode=&amp;q=38.07282,-97.94864</v>
      </c>
    </row>
    <row r="1256" spans="1:7" ht="15" x14ac:dyDescent="0.3">
      <c r="A1256">
        <v>41.091880798339801</v>
      </c>
      <c r="B1256">
        <v>-75.593879699707003</v>
      </c>
      <c r="C1256" t="s">
        <v>41</v>
      </c>
      <c r="D1256" t="s">
        <v>972</v>
      </c>
      <c r="F1256" s="21"/>
      <c r="G1256" s="16" t="str">
        <f>HYPERLINK("http://maps.google.com/maps?f=q&amp;hl=en&amp;geocode=&amp;q=41.0918807983398,-75.593879699707")</f>
        <v>http://maps.google.com/maps?f=q&amp;hl=en&amp;geocode=&amp;q=41.0918807983398,-75.593879699707</v>
      </c>
    </row>
    <row r="1257" spans="1:7" ht="15" x14ac:dyDescent="0.3">
      <c r="A1257">
        <v>-34.873579900000003</v>
      </c>
      <c r="B1257">
        <v>138.51150000000001</v>
      </c>
      <c r="C1257" t="s">
        <v>43</v>
      </c>
      <c r="D1257" t="s">
        <v>973</v>
      </c>
      <c r="F1257" s="21"/>
      <c r="G1257" s="16" t="str">
        <f>HYPERLINK("http://maps.google.com/maps?f=q&amp;hl=en&amp;geocode=&amp;q=-34.8735799,138.5115")</f>
        <v>http://maps.google.com/maps?f=q&amp;hl=en&amp;geocode=&amp;q=-34.8735799,138.5115</v>
      </c>
    </row>
    <row r="1258" spans="1:7" ht="15" x14ac:dyDescent="0.3">
      <c r="A1258">
        <v>40.098739234895</v>
      </c>
      <c r="B1258">
        <v>-75.030399858481204</v>
      </c>
      <c r="C1258" t="s">
        <v>41</v>
      </c>
      <c r="D1258" t="s">
        <v>309</v>
      </c>
      <c r="F1258" s="21"/>
      <c r="G1258" s="16" t="str">
        <f>HYPERLINK("http://maps.google.com/maps?f=q&amp;hl=en&amp;geocode=&amp;q=40.098739234895,-75.0303998584812")</f>
        <v>http://maps.google.com/maps?f=q&amp;hl=en&amp;geocode=&amp;q=40.098739234895,-75.0303998584812</v>
      </c>
    </row>
    <row r="1259" spans="1:7" ht="15" x14ac:dyDescent="0.3">
      <c r="A1259" t="s">
        <v>44</v>
      </c>
      <c r="B1259" t="s">
        <v>44</v>
      </c>
      <c r="C1259" t="s">
        <v>44</v>
      </c>
      <c r="D1259" t="s">
        <v>974</v>
      </c>
      <c r="F1259" s="21"/>
      <c r="G1259" s="16"/>
    </row>
    <row r="1260" spans="1:7" ht="15" x14ac:dyDescent="0.3">
      <c r="A1260" t="s">
        <v>44</v>
      </c>
      <c r="B1260" t="s">
        <v>44</v>
      </c>
      <c r="C1260" t="s">
        <v>44</v>
      </c>
      <c r="D1260" t="s">
        <v>975</v>
      </c>
      <c r="F1260" s="21"/>
      <c r="G1260" s="16"/>
    </row>
    <row r="1261" spans="1:7" ht="15" x14ac:dyDescent="0.3">
      <c r="A1261">
        <v>40.096311533502302</v>
      </c>
      <c r="B1261">
        <v>-75.023896540442095</v>
      </c>
      <c r="C1261" t="s">
        <v>41</v>
      </c>
      <c r="D1261" t="s">
        <v>976</v>
      </c>
      <c r="F1261" s="21"/>
      <c r="G1261" s="16" t="str">
        <f>HYPERLINK("http://maps.google.com/maps?f=q&amp;hl=en&amp;geocode=&amp;q=40.0963115335023,-75.0238965404421")</f>
        <v>http://maps.google.com/maps?f=q&amp;hl=en&amp;geocode=&amp;q=40.0963115335023,-75.0238965404421</v>
      </c>
    </row>
    <row r="1262" spans="1:7" ht="15" x14ac:dyDescent="0.3">
      <c r="A1262">
        <v>40.026730000000001</v>
      </c>
      <c r="B1262">
        <v>-75.124660000000006</v>
      </c>
      <c r="C1262" t="s">
        <v>43</v>
      </c>
      <c r="D1262" t="s">
        <v>977</v>
      </c>
      <c r="F1262" s="21"/>
      <c r="G1262" s="16" t="str">
        <f>HYPERLINK("http://maps.google.com/maps?f=q&amp;hl=en&amp;geocode=&amp;q=40.02673,-75.12466")</f>
        <v>http://maps.google.com/maps?f=q&amp;hl=en&amp;geocode=&amp;q=40.02673,-75.12466</v>
      </c>
    </row>
    <row r="1263" spans="1:7" ht="15" x14ac:dyDescent="0.3">
      <c r="A1263">
        <v>-31.682870000000001</v>
      </c>
      <c r="B1263">
        <v>115.73189000000001</v>
      </c>
      <c r="C1263" t="s">
        <v>41</v>
      </c>
      <c r="D1263" t="s">
        <v>978</v>
      </c>
      <c r="F1263" s="21"/>
      <c r="G1263" s="16" t="str">
        <f>HYPERLINK("http://maps.google.com/maps?f=q&amp;hl=en&amp;geocode=&amp;q=-31.68287,115.73189")</f>
        <v>http://maps.google.com/maps?f=q&amp;hl=en&amp;geocode=&amp;q=-31.68287,115.73189</v>
      </c>
    </row>
    <row r="1264" spans="1:7" ht="15" x14ac:dyDescent="0.3">
      <c r="A1264" t="s">
        <v>44</v>
      </c>
      <c r="B1264" t="s">
        <v>44</v>
      </c>
      <c r="C1264" t="s">
        <v>44</v>
      </c>
      <c r="D1264" t="s">
        <v>979</v>
      </c>
      <c r="F1264" s="21"/>
      <c r="G1264" s="16"/>
    </row>
    <row r="1265" spans="1:7" ht="15" x14ac:dyDescent="0.3">
      <c r="A1265">
        <v>39.918709999999997</v>
      </c>
      <c r="B1265">
        <v>-75.228719999999996</v>
      </c>
      <c r="C1265" t="s">
        <v>41</v>
      </c>
      <c r="D1265" t="s">
        <v>381</v>
      </c>
      <c r="F1265" s="21"/>
      <c r="G1265" s="16" t="str">
        <f>HYPERLINK("http://maps.google.com/maps?f=q&amp;hl=en&amp;geocode=&amp;q=39.91871,-75.22872")</f>
        <v>http://maps.google.com/maps?f=q&amp;hl=en&amp;geocode=&amp;q=39.91871,-75.22872</v>
      </c>
    </row>
    <row r="1266" spans="1:7" ht="15" x14ac:dyDescent="0.3">
      <c r="A1266">
        <v>47.607532501220703</v>
      </c>
      <c r="B1266">
        <v>12.944751739501999</v>
      </c>
      <c r="C1266" t="s">
        <v>43</v>
      </c>
      <c r="D1266" t="s">
        <v>980</v>
      </c>
      <c r="F1266" s="21"/>
      <c r="G1266" s="16" t="str">
        <f>HYPERLINK("http://maps.google.com/maps?f=q&amp;hl=en&amp;geocode=&amp;q=47.6075325012207,12.944751739502")</f>
        <v>http://maps.google.com/maps?f=q&amp;hl=en&amp;geocode=&amp;q=47.6075325012207,12.944751739502</v>
      </c>
    </row>
    <row r="1267" spans="1:7" ht="15" x14ac:dyDescent="0.3">
      <c r="A1267" t="s">
        <v>44</v>
      </c>
      <c r="B1267" t="s">
        <v>44</v>
      </c>
      <c r="C1267" t="s">
        <v>44</v>
      </c>
      <c r="D1267" t="s">
        <v>981</v>
      </c>
      <c r="F1267" s="21"/>
      <c r="G1267" s="16"/>
    </row>
    <row r="1268" spans="1:7" ht="15" x14ac:dyDescent="0.3">
      <c r="F1268" s="21"/>
      <c r="G1268" s="16"/>
    </row>
    <row r="1269" spans="1:7" ht="15" x14ac:dyDescent="0.3">
      <c r="A1269">
        <v>42.901659488987498</v>
      </c>
      <c r="B1269">
        <v>-85.798384577020798</v>
      </c>
      <c r="C1269" t="s">
        <v>41</v>
      </c>
      <c r="D1269" t="s">
        <v>982</v>
      </c>
      <c r="F1269" s="21"/>
      <c r="G1269" s="16" t="str">
        <f>HYPERLINK("http://maps.google.com/maps?f=q&amp;hl=en&amp;geocode=&amp;q=42.9016594889875,-85.7983845770208")</f>
        <v>http://maps.google.com/maps?f=q&amp;hl=en&amp;geocode=&amp;q=42.9016594889875,-85.7983845770208</v>
      </c>
    </row>
    <row r="1270" spans="1:7" ht="15" x14ac:dyDescent="0.3">
      <c r="A1270">
        <v>34.867897300114102</v>
      </c>
      <c r="B1270">
        <v>-82.394408963576694</v>
      </c>
      <c r="C1270" t="s">
        <v>41</v>
      </c>
      <c r="D1270" t="s">
        <v>983</v>
      </c>
      <c r="F1270" s="21"/>
      <c r="G1270" s="16" t="str">
        <f>HYPERLINK("http://maps.google.com/maps?f=q&amp;hl=en&amp;geocode=&amp;q=34.8678973001141,-82.3944089635767")</f>
        <v>http://maps.google.com/maps?f=q&amp;hl=en&amp;geocode=&amp;q=34.8678973001141,-82.3944089635767</v>
      </c>
    </row>
    <row r="1271" spans="1:7" ht="15" x14ac:dyDescent="0.3">
      <c r="A1271">
        <v>53.757888793945298</v>
      </c>
      <c r="B1271">
        <v>-2.7057199478149401</v>
      </c>
      <c r="C1271" t="s">
        <v>43</v>
      </c>
      <c r="D1271" t="s">
        <v>984</v>
      </c>
      <c r="F1271" s="21"/>
      <c r="G1271" s="16" t="str">
        <f>HYPERLINK("http://maps.google.com/maps?f=q&amp;hl=en&amp;geocode=&amp;q=53.7578887939453,-2.70571994781494")</f>
        <v>http://maps.google.com/maps?f=q&amp;hl=en&amp;geocode=&amp;q=53.7578887939453,-2.70571994781494</v>
      </c>
    </row>
    <row r="1272" spans="1:7" ht="15" x14ac:dyDescent="0.3">
      <c r="A1272">
        <v>39.496909115275699</v>
      </c>
      <c r="B1272">
        <v>-89.768284973638401</v>
      </c>
      <c r="C1272" t="s">
        <v>41</v>
      </c>
      <c r="D1272" t="s">
        <v>985</v>
      </c>
      <c r="F1272" s="21"/>
      <c r="G1272" s="16" t="str">
        <f>HYPERLINK("http://maps.google.com/maps?f=q&amp;hl=en&amp;geocode=&amp;q=39.4969091152757,-89.7682849736384")</f>
        <v>http://maps.google.com/maps?f=q&amp;hl=en&amp;geocode=&amp;q=39.4969091152757,-89.7682849736384</v>
      </c>
    </row>
    <row r="1273" spans="1:7" ht="15" x14ac:dyDescent="0.3">
      <c r="A1273">
        <v>35.907490000000003</v>
      </c>
      <c r="B1273">
        <v>-78.483360000000005</v>
      </c>
      <c r="C1273" t="s">
        <v>42</v>
      </c>
      <c r="D1273" t="s">
        <v>986</v>
      </c>
      <c r="F1273" s="21"/>
      <c r="G1273" s="16" t="str">
        <f>HYPERLINK("http://maps.google.com/maps?f=q&amp;hl=en&amp;geocode=&amp;q=35.90749,-78.48336")</f>
        <v>http://maps.google.com/maps?f=q&amp;hl=en&amp;geocode=&amp;q=35.90749,-78.48336</v>
      </c>
    </row>
    <row r="1274" spans="1:7" ht="15" x14ac:dyDescent="0.3">
      <c r="A1274">
        <v>37.12773</v>
      </c>
      <c r="B1274">
        <v>-113.50651999999999</v>
      </c>
      <c r="C1274" t="s">
        <v>42</v>
      </c>
      <c r="D1274" t="s">
        <v>987</v>
      </c>
      <c r="F1274" s="21"/>
      <c r="G1274" s="16" t="str">
        <f>HYPERLINK("http://maps.google.com/maps?f=q&amp;hl=en&amp;geocode=&amp;q=37.12773,-113.50652")</f>
        <v>http://maps.google.com/maps?f=q&amp;hl=en&amp;geocode=&amp;q=37.12773,-113.50652</v>
      </c>
    </row>
    <row r="1275" spans="1:7" ht="15" x14ac:dyDescent="0.3">
      <c r="A1275">
        <v>51.4797973632813</v>
      </c>
      <c r="B1275">
        <v>7.5621261596679696</v>
      </c>
      <c r="C1275" t="s">
        <v>43</v>
      </c>
      <c r="D1275" t="s">
        <v>988</v>
      </c>
      <c r="F1275" s="21"/>
      <c r="G1275" s="16" t="str">
        <f>HYPERLINK("http://maps.google.com/maps?f=q&amp;hl=en&amp;geocode=&amp;q=51.4797973632813,7.56212615966797")</f>
        <v>http://maps.google.com/maps?f=q&amp;hl=en&amp;geocode=&amp;q=51.4797973632813,7.56212615966797</v>
      </c>
    </row>
    <row r="1276" spans="1:7" ht="15" x14ac:dyDescent="0.3">
      <c r="A1276">
        <v>40.464408874511697</v>
      </c>
      <c r="B1276">
        <v>-74.315460205078097</v>
      </c>
      <c r="C1276" t="s">
        <v>41</v>
      </c>
      <c r="D1276" t="s">
        <v>989</v>
      </c>
      <c r="F1276" s="21"/>
      <c r="G1276" s="16" t="str">
        <f>HYPERLINK("http://maps.google.com/maps?f=q&amp;hl=en&amp;geocode=&amp;q=40.4644088745117,-74.3154602050781")</f>
        <v>http://maps.google.com/maps?f=q&amp;hl=en&amp;geocode=&amp;q=40.4644088745117,-74.3154602050781</v>
      </c>
    </row>
    <row r="1277" spans="1:7" ht="15" x14ac:dyDescent="0.3">
      <c r="A1277" t="s">
        <v>44</v>
      </c>
      <c r="B1277" t="s">
        <v>44</v>
      </c>
      <c r="C1277" t="s">
        <v>44</v>
      </c>
      <c r="D1277" t="s">
        <v>990</v>
      </c>
      <c r="F1277" s="21"/>
      <c r="G1277" s="16"/>
    </row>
    <row r="1278" spans="1:7" ht="15" x14ac:dyDescent="0.3">
      <c r="A1278">
        <v>39.023820000000001</v>
      </c>
      <c r="B1278">
        <v>-94.582080000000005</v>
      </c>
      <c r="C1278" t="s">
        <v>42</v>
      </c>
      <c r="D1278" t="s">
        <v>728</v>
      </c>
      <c r="F1278" s="21"/>
      <c r="G1278" s="16" t="str">
        <f>HYPERLINK("http://maps.google.com/maps?f=q&amp;hl=en&amp;geocode=&amp;q=39.02382,-94.58208")</f>
        <v>http://maps.google.com/maps?f=q&amp;hl=en&amp;geocode=&amp;q=39.02382,-94.58208</v>
      </c>
    </row>
    <row r="1279" spans="1:7" ht="15" x14ac:dyDescent="0.3">
      <c r="A1279">
        <v>39.996490000000001</v>
      </c>
      <c r="B1279">
        <v>-75.115369999999999</v>
      </c>
      <c r="C1279" t="s">
        <v>41</v>
      </c>
      <c r="D1279" t="s">
        <v>991</v>
      </c>
      <c r="F1279" s="21"/>
      <c r="G1279" s="16" t="str">
        <f>HYPERLINK("http://maps.google.com/maps?f=q&amp;hl=en&amp;geocode=&amp;q=39.99649,-75.11537")</f>
        <v>http://maps.google.com/maps?f=q&amp;hl=en&amp;geocode=&amp;q=39.99649,-75.11537</v>
      </c>
    </row>
    <row r="1280" spans="1:7" ht="15" x14ac:dyDescent="0.3">
      <c r="A1280">
        <v>30.081711973057999</v>
      </c>
      <c r="B1280">
        <v>-90.497200829962495</v>
      </c>
      <c r="C1280" t="s">
        <v>41</v>
      </c>
      <c r="D1280" t="s">
        <v>992</v>
      </c>
      <c r="F1280" s="21"/>
      <c r="G1280" s="16" t="str">
        <f>HYPERLINK("http://maps.google.com/maps?f=q&amp;hl=en&amp;geocode=&amp;q=30.081711973058,-90.4972008299625")</f>
        <v>http://maps.google.com/maps?f=q&amp;hl=en&amp;geocode=&amp;q=30.081711973058,-90.4972008299625</v>
      </c>
    </row>
    <row r="1281" spans="1:7" ht="15" x14ac:dyDescent="0.3">
      <c r="A1281" t="s">
        <v>44</v>
      </c>
      <c r="B1281" t="s">
        <v>44</v>
      </c>
      <c r="C1281" t="s">
        <v>44</v>
      </c>
      <c r="D1281" t="s">
        <v>993</v>
      </c>
      <c r="F1281" s="21"/>
      <c r="G1281" s="16"/>
    </row>
    <row r="1282" spans="1:7" ht="15" x14ac:dyDescent="0.3">
      <c r="A1282">
        <v>39.951239999999999</v>
      </c>
      <c r="B1282">
        <v>-75.224829999999997</v>
      </c>
      <c r="C1282" t="s">
        <v>41</v>
      </c>
      <c r="D1282" t="s">
        <v>994</v>
      </c>
      <c r="F1282" s="21"/>
      <c r="G1282" s="16" t="str">
        <f>HYPERLINK("http://maps.google.com/maps?f=q&amp;hl=en&amp;geocode=&amp;q=39.95124,-75.22483")</f>
        <v>http://maps.google.com/maps?f=q&amp;hl=en&amp;geocode=&amp;q=39.95124,-75.22483</v>
      </c>
    </row>
    <row r="1283" spans="1:7" ht="15" x14ac:dyDescent="0.3">
      <c r="A1283">
        <v>39.912930000000003</v>
      </c>
      <c r="B1283">
        <v>-75.240830000000003</v>
      </c>
      <c r="C1283" t="s">
        <v>41</v>
      </c>
      <c r="D1283" t="s">
        <v>995</v>
      </c>
      <c r="F1283" s="21"/>
      <c r="G1283" s="16" t="str">
        <f>HYPERLINK("http://maps.google.com/maps?f=q&amp;hl=en&amp;geocode=&amp;q=39.91293,-75.24083")</f>
        <v>http://maps.google.com/maps?f=q&amp;hl=en&amp;geocode=&amp;q=39.91293,-75.24083</v>
      </c>
    </row>
    <row r="1284" spans="1:7" ht="15" x14ac:dyDescent="0.3">
      <c r="A1284">
        <v>38.83128</v>
      </c>
      <c r="B1284">
        <v>-76.954629999999995</v>
      </c>
      <c r="C1284" t="s">
        <v>41</v>
      </c>
      <c r="D1284" t="s">
        <v>996</v>
      </c>
      <c r="F1284" s="21"/>
      <c r="G1284" s="16" t="str">
        <f>HYPERLINK("http://maps.google.com/maps?f=q&amp;hl=en&amp;geocode=&amp;q=38.83128,-76.95463")</f>
        <v>http://maps.google.com/maps?f=q&amp;hl=en&amp;geocode=&amp;q=38.83128,-76.95463</v>
      </c>
    </row>
    <row r="1285" spans="1:7" ht="15" x14ac:dyDescent="0.3">
      <c r="A1285">
        <v>39.92559</v>
      </c>
      <c r="B1285">
        <v>-75.234319999999997</v>
      </c>
      <c r="C1285" t="s">
        <v>42</v>
      </c>
      <c r="D1285" t="s">
        <v>997</v>
      </c>
      <c r="F1285" s="21"/>
      <c r="G1285" s="16" t="str">
        <f>HYPERLINK("http://maps.google.com/maps?f=q&amp;hl=en&amp;geocode=&amp;q=39.92559,-75.23432")</f>
        <v>http://maps.google.com/maps?f=q&amp;hl=en&amp;geocode=&amp;q=39.92559,-75.23432</v>
      </c>
    </row>
    <row r="1286" spans="1:7" ht="15" x14ac:dyDescent="0.3">
      <c r="A1286">
        <v>40.03349</v>
      </c>
      <c r="B1286">
        <v>-75.105109999999996</v>
      </c>
      <c r="C1286" t="s">
        <v>41</v>
      </c>
      <c r="D1286" t="s">
        <v>998</v>
      </c>
      <c r="F1286" s="21"/>
      <c r="G1286" s="16" t="str">
        <f>HYPERLINK("http://maps.google.com/maps?f=q&amp;hl=en&amp;geocode=&amp;q=40.03349,-75.10511")</f>
        <v>http://maps.google.com/maps?f=q&amp;hl=en&amp;geocode=&amp;q=40.03349,-75.10511</v>
      </c>
    </row>
    <row r="1287" spans="1:7" ht="15" x14ac:dyDescent="0.3">
      <c r="A1287">
        <v>38.783990000000003</v>
      </c>
      <c r="B1287">
        <v>-77.096450000000004</v>
      </c>
      <c r="C1287" t="s">
        <v>42</v>
      </c>
      <c r="D1287" t="s">
        <v>999</v>
      </c>
      <c r="F1287" s="21"/>
      <c r="G1287" s="16" t="str">
        <f>HYPERLINK("http://maps.google.com/maps?f=q&amp;hl=en&amp;geocode=&amp;q=38.78399,-77.09645")</f>
        <v>http://maps.google.com/maps?f=q&amp;hl=en&amp;geocode=&amp;q=38.78399,-77.09645</v>
      </c>
    </row>
    <row r="1288" spans="1:7" ht="15" x14ac:dyDescent="0.3">
      <c r="A1288">
        <v>39.481571197509801</v>
      </c>
      <c r="B1288">
        <v>-80.147201538085895</v>
      </c>
      <c r="C1288" t="s">
        <v>43</v>
      </c>
      <c r="D1288" t="s">
        <v>1000</v>
      </c>
      <c r="F1288" s="21"/>
      <c r="G1288" s="16" t="str">
        <f>HYPERLINK("http://maps.google.com/maps?f=q&amp;hl=en&amp;geocode=&amp;q=39.4815711975098,-80.1472015380859")</f>
        <v>http://maps.google.com/maps?f=q&amp;hl=en&amp;geocode=&amp;q=39.4815711975098,-80.1472015380859</v>
      </c>
    </row>
    <row r="1289" spans="1:7" ht="15" x14ac:dyDescent="0.3">
      <c r="A1289">
        <v>39.974789999999999</v>
      </c>
      <c r="B1289">
        <v>-75.226500000000001</v>
      </c>
      <c r="C1289" t="s">
        <v>43</v>
      </c>
      <c r="D1289" t="s">
        <v>1001</v>
      </c>
      <c r="F1289" s="21"/>
      <c r="G1289" s="16" t="str">
        <f>HYPERLINK("http://maps.google.com/maps?f=q&amp;hl=en&amp;geocode=&amp;q=39.97479,-75.2265")</f>
        <v>http://maps.google.com/maps?f=q&amp;hl=en&amp;geocode=&amp;q=39.97479,-75.2265</v>
      </c>
    </row>
    <row r="1290" spans="1:7" ht="15" x14ac:dyDescent="0.3">
      <c r="A1290">
        <v>38.816098356234903</v>
      </c>
      <c r="B1290">
        <v>-76.022270965549396</v>
      </c>
      <c r="C1290" t="s">
        <v>41</v>
      </c>
      <c r="D1290" t="s">
        <v>1002</v>
      </c>
      <c r="F1290" s="21"/>
      <c r="G1290" s="16" t="str">
        <f>HYPERLINK("http://maps.google.com/maps?f=q&amp;hl=en&amp;geocode=&amp;q=38.8160983562349,-76.0222709655494")</f>
        <v>http://maps.google.com/maps?f=q&amp;hl=en&amp;geocode=&amp;q=38.8160983562349,-76.0222709655494</v>
      </c>
    </row>
    <row r="1291" spans="1:7" ht="15" x14ac:dyDescent="0.3">
      <c r="A1291" t="s">
        <v>44</v>
      </c>
      <c r="B1291" t="s">
        <v>44</v>
      </c>
      <c r="C1291" t="s">
        <v>44</v>
      </c>
      <c r="D1291" t="s">
        <v>1003</v>
      </c>
      <c r="F1291" s="21"/>
      <c r="G1291" s="16"/>
    </row>
    <row r="1292" spans="1:7" ht="15" x14ac:dyDescent="0.3">
      <c r="A1292" t="s">
        <v>44</v>
      </c>
      <c r="B1292" t="s">
        <v>44</v>
      </c>
      <c r="C1292" t="s">
        <v>44</v>
      </c>
      <c r="D1292" t="s">
        <v>1004</v>
      </c>
      <c r="F1292" s="21"/>
      <c r="G1292" s="16"/>
    </row>
    <row r="1293" spans="1:7" ht="15" x14ac:dyDescent="0.3">
      <c r="A1293" t="s">
        <v>44</v>
      </c>
      <c r="B1293" t="s">
        <v>44</v>
      </c>
      <c r="C1293" t="s">
        <v>44</v>
      </c>
      <c r="D1293" t="s">
        <v>1005</v>
      </c>
      <c r="F1293" s="21"/>
      <c r="G1293" s="16"/>
    </row>
    <row r="1294" spans="1:7" ht="15" x14ac:dyDescent="0.3">
      <c r="A1294">
        <v>39.955680000000001</v>
      </c>
      <c r="B1294">
        <v>-75.232990000000001</v>
      </c>
      <c r="C1294" t="s">
        <v>41</v>
      </c>
      <c r="D1294" t="s">
        <v>1006</v>
      </c>
      <c r="F1294" s="21"/>
      <c r="G1294" s="16" t="str">
        <f>HYPERLINK("http://maps.google.com/maps?f=q&amp;hl=en&amp;geocode=&amp;q=39.95568,-75.23299")</f>
        <v>http://maps.google.com/maps?f=q&amp;hl=en&amp;geocode=&amp;q=39.95568,-75.23299</v>
      </c>
    </row>
    <row r="1295" spans="1:7" ht="15" x14ac:dyDescent="0.3">
      <c r="A1295">
        <v>39.916969999999999</v>
      </c>
      <c r="B1295">
        <v>-75.230279999999993</v>
      </c>
      <c r="C1295" t="s">
        <v>41</v>
      </c>
      <c r="D1295" t="s">
        <v>1007</v>
      </c>
      <c r="F1295" s="21"/>
      <c r="G1295" s="16" t="str">
        <f>HYPERLINK("http://maps.google.com/maps?f=q&amp;hl=en&amp;geocode=&amp;q=39.91697,-75.23028")</f>
        <v>http://maps.google.com/maps?f=q&amp;hl=en&amp;geocode=&amp;q=39.91697,-75.23028</v>
      </c>
    </row>
    <row r="1296" spans="1:7" ht="15" x14ac:dyDescent="0.3">
      <c r="A1296">
        <v>40.00911</v>
      </c>
      <c r="B1296">
        <v>-75.099230000000006</v>
      </c>
      <c r="C1296" t="s">
        <v>41</v>
      </c>
      <c r="D1296" t="s">
        <v>1008</v>
      </c>
      <c r="F1296" s="21"/>
      <c r="G1296" s="16" t="str">
        <f>HYPERLINK("http://maps.google.com/maps?f=q&amp;hl=en&amp;geocode=&amp;q=40.00911,-75.09923")</f>
        <v>http://maps.google.com/maps?f=q&amp;hl=en&amp;geocode=&amp;q=40.00911,-75.09923</v>
      </c>
    </row>
    <row r="1297" spans="1:7" ht="15" x14ac:dyDescent="0.3">
      <c r="A1297">
        <v>39.9536720964674</v>
      </c>
      <c r="B1297">
        <v>-75.241227235137202</v>
      </c>
      <c r="C1297" t="s">
        <v>41</v>
      </c>
      <c r="D1297" t="s">
        <v>195</v>
      </c>
      <c r="F1297" s="21"/>
      <c r="G1297" s="16" t="str">
        <f>HYPERLINK("http://maps.google.com/maps?f=q&amp;hl=en&amp;geocode=&amp;q=39.9536720964674,-75.2412272351372")</f>
        <v>http://maps.google.com/maps?f=q&amp;hl=en&amp;geocode=&amp;q=39.9536720964674,-75.2412272351372</v>
      </c>
    </row>
    <row r="1298" spans="1:7" ht="15" x14ac:dyDescent="0.3">
      <c r="A1298">
        <v>53.0112113952637</v>
      </c>
      <c r="B1298">
        <v>12.1616401672363</v>
      </c>
      <c r="C1298" t="s">
        <v>41</v>
      </c>
      <c r="D1298" t="s">
        <v>1009</v>
      </c>
      <c r="F1298" s="21"/>
      <c r="G1298" s="16" t="str">
        <f>HYPERLINK("http://maps.google.com/maps?f=q&amp;hl=en&amp;geocode=&amp;q=53.0112113952637,12.1616401672363")</f>
        <v>http://maps.google.com/maps?f=q&amp;hl=en&amp;geocode=&amp;q=53.0112113952637,12.1616401672363</v>
      </c>
    </row>
    <row r="1299" spans="1:7" ht="15" x14ac:dyDescent="0.3">
      <c r="A1299">
        <v>40.3828688300609</v>
      </c>
      <c r="B1299">
        <v>-83.148399869839906</v>
      </c>
      <c r="C1299" t="s">
        <v>41</v>
      </c>
      <c r="D1299" t="s">
        <v>1010</v>
      </c>
      <c r="F1299" s="21"/>
      <c r="G1299" s="16" t="str">
        <f>HYPERLINK("http://maps.google.com/maps?f=q&amp;hl=en&amp;geocode=&amp;q=40.3828688300609,-83.1483998698399")</f>
        <v>http://maps.google.com/maps?f=q&amp;hl=en&amp;geocode=&amp;q=40.3828688300609,-83.1483998698399</v>
      </c>
    </row>
    <row r="1300" spans="1:7" ht="15" x14ac:dyDescent="0.3">
      <c r="A1300">
        <v>47.583026453802098</v>
      </c>
      <c r="B1300">
        <v>-92.3013729587163</v>
      </c>
      <c r="C1300" t="s">
        <v>41</v>
      </c>
      <c r="D1300" t="s">
        <v>1011</v>
      </c>
      <c r="F1300" s="21"/>
      <c r="G1300" s="16" t="str">
        <f>HYPERLINK("http://maps.google.com/maps?f=q&amp;hl=en&amp;geocode=&amp;q=47.5830264538021,-92.3013729587163")</f>
        <v>http://maps.google.com/maps?f=q&amp;hl=en&amp;geocode=&amp;q=47.5830264538021,-92.3013729587163</v>
      </c>
    </row>
    <row r="1301" spans="1:7" ht="15" x14ac:dyDescent="0.3">
      <c r="A1301">
        <v>40.567070007324197</v>
      </c>
      <c r="B1301">
        <v>-76.700172424316406</v>
      </c>
      <c r="C1301" t="s">
        <v>41</v>
      </c>
      <c r="D1301" t="s">
        <v>1012</v>
      </c>
      <c r="F1301" s="21"/>
      <c r="G1301" s="16" t="str">
        <f>HYPERLINK("http://maps.google.com/maps?f=q&amp;hl=en&amp;geocode=&amp;q=40.5670700073242,-76.7001724243164")</f>
        <v>http://maps.google.com/maps?f=q&amp;hl=en&amp;geocode=&amp;q=40.5670700073242,-76.7001724243164</v>
      </c>
    </row>
    <row r="1302" spans="1:7" ht="15" x14ac:dyDescent="0.3">
      <c r="A1302">
        <v>34.379705034160096</v>
      </c>
      <c r="B1302">
        <v>-92.830938541608901</v>
      </c>
      <c r="C1302" t="s">
        <v>41</v>
      </c>
      <c r="D1302" t="s">
        <v>1013</v>
      </c>
      <c r="F1302" s="21"/>
      <c r="G1302" s="16" t="str">
        <f>HYPERLINK("http://maps.google.com/maps?f=q&amp;hl=en&amp;geocode=&amp;q=34.3797050341601,-92.8309385416089")</f>
        <v>http://maps.google.com/maps?f=q&amp;hl=en&amp;geocode=&amp;q=34.3797050341601,-92.8309385416089</v>
      </c>
    </row>
    <row r="1303" spans="1:7" ht="15" x14ac:dyDescent="0.3">
      <c r="A1303">
        <v>36.03237</v>
      </c>
      <c r="B1303">
        <v>-84.217979999999997</v>
      </c>
      <c r="C1303" t="s">
        <v>41</v>
      </c>
      <c r="D1303" t="s">
        <v>1014</v>
      </c>
      <c r="F1303" s="21"/>
      <c r="G1303" s="16" t="str">
        <f>HYPERLINK("http://maps.google.com/maps?f=q&amp;hl=en&amp;geocode=&amp;q=36.03237,-84.21798")</f>
        <v>http://maps.google.com/maps?f=q&amp;hl=en&amp;geocode=&amp;q=36.03237,-84.21798</v>
      </c>
    </row>
    <row r="1304" spans="1:7" ht="15" x14ac:dyDescent="0.3">
      <c r="A1304">
        <v>42.028280000000002</v>
      </c>
      <c r="B1304">
        <v>-87.722430000000003</v>
      </c>
      <c r="C1304" t="s">
        <v>41</v>
      </c>
      <c r="D1304" t="s">
        <v>376</v>
      </c>
      <c r="F1304" s="21"/>
      <c r="G1304" s="16" t="str">
        <f>HYPERLINK("http://maps.google.com/maps?f=q&amp;hl=en&amp;geocode=&amp;q=42.02828,-87.72243")</f>
        <v>http://maps.google.com/maps?f=q&amp;hl=en&amp;geocode=&amp;q=42.02828,-87.72243</v>
      </c>
    </row>
    <row r="1305" spans="1:7" ht="15" x14ac:dyDescent="0.3">
      <c r="A1305">
        <v>42.028280000000002</v>
      </c>
      <c r="B1305">
        <v>-87.722430000000003</v>
      </c>
      <c r="C1305" t="s">
        <v>41</v>
      </c>
      <c r="D1305" t="s">
        <v>376</v>
      </c>
      <c r="F1305" s="21"/>
      <c r="G1305" s="16" t="str">
        <f>HYPERLINK("http://maps.google.com/maps?f=q&amp;hl=en&amp;geocode=&amp;q=42.02828,-87.72243")</f>
        <v>http://maps.google.com/maps?f=q&amp;hl=en&amp;geocode=&amp;q=42.02828,-87.72243</v>
      </c>
    </row>
    <row r="1306" spans="1:7" ht="15" x14ac:dyDescent="0.3">
      <c r="A1306">
        <v>43.528829999999999</v>
      </c>
      <c r="B1306">
        <v>-116.5654</v>
      </c>
      <c r="C1306" t="s">
        <v>42</v>
      </c>
      <c r="D1306" t="s">
        <v>891</v>
      </c>
      <c r="F1306" s="21"/>
      <c r="G1306" s="16" t="str">
        <f>HYPERLINK("http://maps.google.com/maps?f=q&amp;hl=en&amp;geocode=&amp;q=43.52883,-116.5654")</f>
        <v>http://maps.google.com/maps?f=q&amp;hl=en&amp;geocode=&amp;q=43.52883,-116.5654</v>
      </c>
    </row>
    <row r="1307" spans="1:7" ht="15" x14ac:dyDescent="0.3">
      <c r="A1307">
        <v>40.028649499232003</v>
      </c>
      <c r="B1307">
        <v>-75.117553422882395</v>
      </c>
      <c r="C1307" t="s">
        <v>41</v>
      </c>
      <c r="D1307" t="s">
        <v>1015</v>
      </c>
      <c r="F1307" s="21"/>
      <c r="G1307" s="16" t="str">
        <f>HYPERLINK("http://maps.google.com/maps?f=q&amp;hl=en&amp;geocode=&amp;q=40.028649499232,-75.1175534228824")</f>
        <v>http://maps.google.com/maps?f=q&amp;hl=en&amp;geocode=&amp;q=40.028649499232,-75.1175534228824</v>
      </c>
    </row>
    <row r="1308" spans="1:7" ht="15" x14ac:dyDescent="0.3">
      <c r="A1308">
        <v>7.2021198272705096</v>
      </c>
      <c r="B1308">
        <v>126.53334808349599</v>
      </c>
      <c r="C1308" t="s">
        <v>41</v>
      </c>
      <c r="D1308" t="s">
        <v>1016</v>
      </c>
      <c r="F1308" s="21"/>
      <c r="G1308" s="16" t="str">
        <f>HYPERLINK("http://maps.google.com/maps?f=q&amp;hl=en&amp;geocode=&amp;q=7.20211982727051,126.533348083496")</f>
        <v>http://maps.google.com/maps?f=q&amp;hl=en&amp;geocode=&amp;q=7.20211982727051,126.533348083496</v>
      </c>
    </row>
    <row r="1309" spans="1:7" ht="15" x14ac:dyDescent="0.3">
      <c r="A1309" t="s">
        <v>44</v>
      </c>
      <c r="B1309" t="s">
        <v>44</v>
      </c>
      <c r="C1309" t="s">
        <v>44</v>
      </c>
      <c r="D1309" t="s">
        <v>1017</v>
      </c>
      <c r="F1309" s="21"/>
      <c r="G1309" s="16"/>
    </row>
    <row r="1310" spans="1:7" ht="15" x14ac:dyDescent="0.3">
      <c r="A1310">
        <v>46.075149536132798</v>
      </c>
      <c r="B1310">
        <v>-1.6200000420212701E-2</v>
      </c>
      <c r="C1310" t="s">
        <v>41</v>
      </c>
      <c r="D1310" t="s">
        <v>1018</v>
      </c>
      <c r="F1310" s="21"/>
      <c r="G1310" s="16" t="str">
        <f>HYPERLINK("http://maps.google.com/maps?f=q&amp;hl=en&amp;geocode=&amp;q=46.0751495361328,-0.0162000004202127")</f>
        <v>http://maps.google.com/maps?f=q&amp;hl=en&amp;geocode=&amp;q=46.0751495361328,-0.0162000004202127</v>
      </c>
    </row>
    <row r="1311" spans="1:7" ht="15" x14ac:dyDescent="0.3">
      <c r="A1311" t="s">
        <v>44</v>
      </c>
      <c r="B1311" t="s">
        <v>44</v>
      </c>
      <c r="C1311" t="s">
        <v>44</v>
      </c>
      <c r="D1311" t="s">
        <v>227</v>
      </c>
      <c r="F1311" s="21"/>
      <c r="G1311" s="16"/>
    </row>
    <row r="1312" spans="1:7" ht="15" x14ac:dyDescent="0.3">
      <c r="A1312">
        <v>39.90972</v>
      </c>
      <c r="B1312">
        <v>-75.233949999999993</v>
      </c>
      <c r="C1312" t="s">
        <v>42</v>
      </c>
      <c r="D1312" t="s">
        <v>1019</v>
      </c>
      <c r="F1312" s="21"/>
      <c r="G1312" s="16" t="str">
        <f>HYPERLINK("http://maps.google.com/maps?f=q&amp;hl=en&amp;geocode=&amp;q=39.90972,-75.23395")</f>
        <v>http://maps.google.com/maps?f=q&amp;hl=en&amp;geocode=&amp;q=39.90972,-75.23395</v>
      </c>
    </row>
    <row r="1313" spans="1:7" ht="15" x14ac:dyDescent="0.3">
      <c r="A1313">
        <v>40.6581001281738</v>
      </c>
      <c r="B1313">
        <v>-73.608596801757798</v>
      </c>
      <c r="C1313" t="s">
        <v>43</v>
      </c>
      <c r="D1313" t="s">
        <v>1020</v>
      </c>
      <c r="F1313" s="21"/>
      <c r="G1313" s="16" t="str">
        <f>HYPERLINK("http://maps.google.com/maps?f=q&amp;hl=en&amp;geocode=&amp;q=40.6581001281738,-73.6085968017578")</f>
        <v>http://maps.google.com/maps?f=q&amp;hl=en&amp;geocode=&amp;q=40.6581001281738,-73.6085968017578</v>
      </c>
    </row>
    <row r="1314" spans="1:7" ht="15" x14ac:dyDescent="0.3">
      <c r="A1314">
        <v>31.933920000000001</v>
      </c>
      <c r="B1314">
        <v>-102.21292</v>
      </c>
      <c r="C1314" t="s">
        <v>43</v>
      </c>
      <c r="D1314" t="s">
        <v>1021</v>
      </c>
      <c r="F1314" s="21"/>
      <c r="G1314" s="16" t="str">
        <f>HYPERLINK("http://maps.google.com/maps?f=q&amp;hl=en&amp;geocode=&amp;q=31.93392,-102.21292")</f>
        <v>http://maps.google.com/maps?f=q&amp;hl=en&amp;geocode=&amp;q=31.93392,-102.21292</v>
      </c>
    </row>
    <row r="1315" spans="1:7" ht="15" x14ac:dyDescent="0.3">
      <c r="A1315">
        <v>39.916480042826798</v>
      </c>
      <c r="B1315">
        <v>-75.232415955746006</v>
      </c>
      <c r="C1315" t="s">
        <v>43</v>
      </c>
      <c r="D1315" t="s">
        <v>802</v>
      </c>
      <c r="F1315" s="21"/>
      <c r="G1315" s="16" t="str">
        <f>HYPERLINK("http://maps.google.com/maps?f=q&amp;hl=en&amp;geocode=&amp;q=39.9164800428268,-75.232415955746")</f>
        <v>http://maps.google.com/maps?f=q&amp;hl=en&amp;geocode=&amp;q=39.9164800428268,-75.232415955746</v>
      </c>
    </row>
    <row r="1316" spans="1:7" ht="15" x14ac:dyDescent="0.3">
      <c r="A1316">
        <v>30.6847810355688</v>
      </c>
      <c r="B1316">
        <v>-88.143761548781896</v>
      </c>
      <c r="C1316" t="s">
        <v>41</v>
      </c>
      <c r="D1316" t="s">
        <v>1022</v>
      </c>
      <c r="F1316" s="21"/>
      <c r="G1316" s="16" t="str">
        <f>HYPERLINK("http://maps.google.com/maps?f=q&amp;hl=en&amp;geocode=&amp;q=30.6847810355688,-88.1437615487819")</f>
        <v>http://maps.google.com/maps?f=q&amp;hl=en&amp;geocode=&amp;q=30.6847810355688,-88.1437615487819</v>
      </c>
    </row>
    <row r="1317" spans="1:7" ht="15" x14ac:dyDescent="0.3">
      <c r="A1317">
        <v>39.917687727369099</v>
      </c>
      <c r="B1317">
        <v>-75.224261658736097</v>
      </c>
      <c r="C1317" t="s">
        <v>41</v>
      </c>
      <c r="D1317" t="s">
        <v>1023</v>
      </c>
      <c r="F1317" s="21"/>
      <c r="G1317" s="16" t="str">
        <f>HYPERLINK("http://maps.google.com/maps?f=q&amp;hl=en&amp;geocode=&amp;q=39.9176877273691,-75.2242616587361")</f>
        <v>http://maps.google.com/maps?f=q&amp;hl=en&amp;geocode=&amp;q=39.9176877273691,-75.2242616587361</v>
      </c>
    </row>
    <row r="1318" spans="1:7" ht="15" x14ac:dyDescent="0.3">
      <c r="A1318">
        <v>40.040390000000002</v>
      </c>
      <c r="B1318">
        <v>-75.109629999999996</v>
      </c>
      <c r="C1318" t="s">
        <v>43</v>
      </c>
      <c r="D1318" t="s">
        <v>777</v>
      </c>
      <c r="F1318" s="21"/>
      <c r="G1318" s="16" t="str">
        <f>HYPERLINK("http://maps.google.com/maps?f=q&amp;hl=en&amp;geocode=&amp;q=40.04039,-75.10963")</f>
        <v>http://maps.google.com/maps?f=q&amp;hl=en&amp;geocode=&amp;q=40.04039,-75.10963</v>
      </c>
    </row>
    <row r="1319" spans="1:7" ht="15" x14ac:dyDescent="0.3">
      <c r="A1319">
        <v>39.773628234863303</v>
      </c>
      <c r="B1319">
        <v>-87.206352233886705</v>
      </c>
      <c r="C1319" t="s">
        <v>41</v>
      </c>
      <c r="D1319" t="s">
        <v>76</v>
      </c>
      <c r="F1319" s="21"/>
      <c r="G1319" s="16" t="str">
        <f>HYPERLINK("http://maps.google.com/maps?f=q&amp;hl=en&amp;geocode=&amp;q=39.7736282348633,-87.2063522338867")</f>
        <v>http://maps.google.com/maps?f=q&amp;hl=en&amp;geocode=&amp;q=39.7736282348633,-87.2063522338867</v>
      </c>
    </row>
    <row r="1320" spans="1:7" ht="15" x14ac:dyDescent="0.3">
      <c r="A1320">
        <v>37.760629999999999</v>
      </c>
      <c r="B1320">
        <v>-89.102829999999997</v>
      </c>
      <c r="C1320" t="s">
        <v>41</v>
      </c>
      <c r="D1320" t="s">
        <v>1024</v>
      </c>
      <c r="F1320" s="21"/>
      <c r="G1320" s="16" t="str">
        <f>HYPERLINK("http://maps.google.com/maps?f=q&amp;hl=en&amp;geocode=&amp;q=37.76063,-89.10283")</f>
        <v>http://maps.google.com/maps?f=q&amp;hl=en&amp;geocode=&amp;q=37.76063,-89.10283</v>
      </c>
    </row>
    <row r="1321" spans="1:7" ht="15" x14ac:dyDescent="0.3">
      <c r="A1321">
        <v>44.294194778465098</v>
      </c>
      <c r="B1321">
        <v>-83.481242211832395</v>
      </c>
      <c r="C1321" t="s">
        <v>41</v>
      </c>
      <c r="D1321" t="s">
        <v>1025</v>
      </c>
      <c r="F1321" s="21"/>
      <c r="G1321" s="16" t="str">
        <f>HYPERLINK("http://maps.google.com/maps?f=q&amp;hl=en&amp;geocode=&amp;q=44.2941947784651,-83.4812422118324")</f>
        <v>http://maps.google.com/maps?f=q&amp;hl=en&amp;geocode=&amp;q=44.2941947784651,-83.4812422118324</v>
      </c>
    </row>
    <row r="1322" spans="1:7" ht="15" x14ac:dyDescent="0.3">
      <c r="A1322">
        <v>40.894489288330099</v>
      </c>
      <c r="B1322">
        <v>-72.892898559570298</v>
      </c>
      <c r="C1322" t="s">
        <v>43</v>
      </c>
      <c r="D1322" t="s">
        <v>1026</v>
      </c>
      <c r="F1322" s="21"/>
      <c r="G1322" s="16" t="str">
        <f>HYPERLINK("http://maps.google.com/maps?f=q&amp;hl=en&amp;geocode=&amp;q=40.8944892883301,-72.8928985595703")</f>
        <v>http://maps.google.com/maps?f=q&amp;hl=en&amp;geocode=&amp;q=40.8944892883301,-72.8928985595703</v>
      </c>
    </row>
    <row r="1323" spans="1:7" ht="15" x14ac:dyDescent="0.3">
      <c r="A1323">
        <v>58.133331298828097</v>
      </c>
      <c r="B1323">
        <v>-92.849998474121094</v>
      </c>
      <c r="C1323" t="s">
        <v>43</v>
      </c>
      <c r="D1323" t="s">
        <v>1027</v>
      </c>
      <c r="F1323" s="21"/>
      <c r="G1323" s="16" t="str">
        <f>HYPERLINK("http://maps.google.com/maps?f=q&amp;hl=en&amp;geocode=&amp;q=58.1333312988281,-92.8499984741211")</f>
        <v>http://maps.google.com/maps?f=q&amp;hl=en&amp;geocode=&amp;q=58.1333312988281,-92.8499984741211</v>
      </c>
    </row>
    <row r="1324" spans="1:7" ht="15" x14ac:dyDescent="0.3">
      <c r="A1324">
        <v>40.044047247238602</v>
      </c>
      <c r="B1324">
        <v>-75.085607078961701</v>
      </c>
      <c r="C1324" t="s">
        <v>41</v>
      </c>
      <c r="D1324" t="s">
        <v>1028</v>
      </c>
      <c r="F1324" s="21"/>
      <c r="G1324" s="16" t="str">
        <f>HYPERLINK("http://maps.google.com/maps?f=q&amp;hl=en&amp;geocode=&amp;q=40.0440472472386,-75.0856070789617")</f>
        <v>http://maps.google.com/maps?f=q&amp;hl=en&amp;geocode=&amp;q=40.0440472472386,-75.0856070789617</v>
      </c>
    </row>
    <row r="1325" spans="1:7" ht="15" x14ac:dyDescent="0.3">
      <c r="A1325">
        <v>43.559845552263397</v>
      </c>
      <c r="B1325">
        <v>-116.861761009725</v>
      </c>
      <c r="C1325" t="s">
        <v>41</v>
      </c>
      <c r="D1325" t="s">
        <v>1029</v>
      </c>
      <c r="F1325" s="21"/>
      <c r="G1325" s="16" t="str">
        <f>HYPERLINK("http://maps.google.com/maps?f=q&amp;hl=en&amp;geocode=&amp;q=43.5598455522634,-116.861761009725")</f>
        <v>http://maps.google.com/maps?f=q&amp;hl=en&amp;geocode=&amp;q=43.5598455522634,-116.861761009725</v>
      </c>
    </row>
    <row r="1326" spans="1:7" ht="15" x14ac:dyDescent="0.3">
      <c r="A1326">
        <v>40.280544999985104</v>
      </c>
      <c r="B1326">
        <v>-111.704958941858</v>
      </c>
      <c r="C1326" t="s">
        <v>41</v>
      </c>
      <c r="D1326" t="s">
        <v>1030</v>
      </c>
      <c r="F1326" s="21"/>
      <c r="G1326" s="16" t="str">
        <f>HYPERLINK("http://maps.google.com/maps?f=q&amp;hl=en&amp;geocode=&amp;q=40.2805449999851,-111.704958941858")</f>
        <v>http://maps.google.com/maps?f=q&amp;hl=en&amp;geocode=&amp;q=40.2805449999851,-111.704958941858</v>
      </c>
    </row>
    <row r="1327" spans="1:7" ht="15" x14ac:dyDescent="0.3">
      <c r="A1327">
        <v>50.648963928222699</v>
      </c>
      <c r="B1327">
        <v>4.64150190353394</v>
      </c>
      <c r="C1327" t="s">
        <v>43</v>
      </c>
      <c r="D1327" t="s">
        <v>1031</v>
      </c>
      <c r="F1327" s="21"/>
      <c r="G1327" s="16" t="str">
        <f>HYPERLINK("http://maps.google.com/maps?f=q&amp;hl=en&amp;geocode=&amp;q=50.6489639282227,4.64150190353394")</f>
        <v>http://maps.google.com/maps?f=q&amp;hl=en&amp;geocode=&amp;q=50.6489639282227,4.64150190353394</v>
      </c>
    </row>
    <row r="1328" spans="1:7" ht="15" x14ac:dyDescent="0.3">
      <c r="A1328">
        <v>46.637279510497997</v>
      </c>
      <c r="B1328">
        <v>2.3382620811462398</v>
      </c>
      <c r="C1328" t="s">
        <v>41</v>
      </c>
      <c r="D1328" t="s">
        <v>1032</v>
      </c>
      <c r="F1328" s="21"/>
      <c r="G1328" s="16" t="str">
        <f>HYPERLINK("http://maps.google.com/maps?f=q&amp;hl=en&amp;geocode=&amp;q=46.637279510498,2.33826208114624")</f>
        <v>http://maps.google.com/maps?f=q&amp;hl=en&amp;geocode=&amp;q=46.637279510498,2.33826208114624</v>
      </c>
    </row>
    <row r="1329" spans="1:7" ht="15" x14ac:dyDescent="0.3">
      <c r="A1329">
        <v>34.440930000000002</v>
      </c>
      <c r="B1329">
        <v>-85.720590000000001</v>
      </c>
      <c r="C1329" t="s">
        <v>42</v>
      </c>
      <c r="D1329" t="s">
        <v>1033</v>
      </c>
      <c r="F1329" s="21"/>
      <c r="G1329" s="16" t="str">
        <f>HYPERLINK("http://maps.google.com/maps?f=q&amp;hl=en&amp;geocode=&amp;q=34.44093,-85.72059")</f>
        <v>http://maps.google.com/maps?f=q&amp;hl=en&amp;geocode=&amp;q=34.44093,-85.72059</v>
      </c>
    </row>
    <row r="1330" spans="1:7" ht="15" x14ac:dyDescent="0.3">
      <c r="A1330">
        <v>45.3201293945313</v>
      </c>
      <c r="B1330">
        <v>-93.285453796386705</v>
      </c>
      <c r="C1330" t="s">
        <v>43</v>
      </c>
      <c r="D1330" t="s">
        <v>1034</v>
      </c>
      <c r="F1330" s="21"/>
      <c r="G1330" s="16" t="str">
        <f>HYPERLINK("http://maps.google.com/maps?f=q&amp;hl=en&amp;geocode=&amp;q=45.3201293945313,-93.2854537963867")</f>
        <v>http://maps.google.com/maps?f=q&amp;hl=en&amp;geocode=&amp;q=45.3201293945313,-93.2854537963867</v>
      </c>
    </row>
    <row r="1331" spans="1:7" ht="15" x14ac:dyDescent="0.3">
      <c r="A1331">
        <v>38.866889953613303</v>
      </c>
      <c r="B1331">
        <v>-84.611846923828097</v>
      </c>
      <c r="C1331" t="s">
        <v>43</v>
      </c>
      <c r="D1331" t="s">
        <v>1035</v>
      </c>
      <c r="F1331" s="21"/>
      <c r="G1331" s="16" t="str">
        <f>HYPERLINK("http://maps.google.com/maps?f=q&amp;hl=en&amp;geocode=&amp;q=38.8668899536133,-84.6118469238281")</f>
        <v>http://maps.google.com/maps?f=q&amp;hl=en&amp;geocode=&amp;q=38.8668899536133,-84.6118469238281</v>
      </c>
    </row>
    <row r="1332" spans="1:7" ht="15" x14ac:dyDescent="0.3">
      <c r="A1332">
        <v>45.3201293945313</v>
      </c>
      <c r="B1332">
        <v>-93.285453796386705</v>
      </c>
      <c r="C1332" t="s">
        <v>43</v>
      </c>
      <c r="D1332" t="s">
        <v>1036</v>
      </c>
      <c r="F1332" s="21"/>
      <c r="G1332" s="16" t="str">
        <f>HYPERLINK("http://maps.google.com/maps?f=q&amp;hl=en&amp;geocode=&amp;q=45.3201293945313,-93.2854537963867")</f>
        <v>http://maps.google.com/maps?f=q&amp;hl=en&amp;geocode=&amp;q=45.3201293945313,-93.2854537963867</v>
      </c>
    </row>
    <row r="1333" spans="1:7" ht="15" x14ac:dyDescent="0.3">
      <c r="A1333">
        <v>45.3201293945313</v>
      </c>
      <c r="B1333">
        <v>-93.285453796386705</v>
      </c>
      <c r="C1333" t="s">
        <v>43</v>
      </c>
      <c r="D1333" t="s">
        <v>1036</v>
      </c>
      <c r="F1333" s="21"/>
      <c r="G1333" s="16" t="str">
        <f>HYPERLINK("http://maps.google.com/maps?f=q&amp;hl=en&amp;geocode=&amp;q=45.3201293945313,-93.2854537963867")</f>
        <v>http://maps.google.com/maps?f=q&amp;hl=en&amp;geocode=&amp;q=45.3201293945313,-93.2854537963867</v>
      </c>
    </row>
    <row r="1334" spans="1:7" ht="15" x14ac:dyDescent="0.3">
      <c r="A1334" t="s">
        <v>44</v>
      </c>
      <c r="B1334" t="s">
        <v>44</v>
      </c>
      <c r="C1334" t="s">
        <v>44</v>
      </c>
      <c r="D1334" t="s">
        <v>1037</v>
      </c>
      <c r="F1334" s="21"/>
      <c r="G1334" s="16"/>
    </row>
    <row r="1335" spans="1:7" ht="15" x14ac:dyDescent="0.3">
      <c r="F1335" s="21"/>
      <c r="G1335" s="16"/>
    </row>
    <row r="1336" spans="1:7" ht="15" x14ac:dyDescent="0.3">
      <c r="A1336">
        <v>39.925229999999999</v>
      </c>
      <c r="B1336">
        <v>-75.235249999999994</v>
      </c>
      <c r="C1336" t="s">
        <v>41</v>
      </c>
      <c r="D1336" t="s">
        <v>161</v>
      </c>
      <c r="F1336" s="21"/>
      <c r="G1336" s="16" t="str">
        <f>HYPERLINK("http://maps.google.com/maps?f=q&amp;hl=en&amp;geocode=&amp;q=39.92523,-75.23525")</f>
        <v>http://maps.google.com/maps?f=q&amp;hl=en&amp;geocode=&amp;q=39.92523,-75.23525</v>
      </c>
    </row>
    <row r="1337" spans="1:7" ht="15" x14ac:dyDescent="0.3">
      <c r="A1337" t="s">
        <v>44</v>
      </c>
      <c r="B1337" t="s">
        <v>44</v>
      </c>
      <c r="C1337" t="s">
        <v>44</v>
      </c>
      <c r="D1337" t="s">
        <v>921</v>
      </c>
      <c r="F1337" s="21"/>
      <c r="G1337" s="16"/>
    </row>
    <row r="1338" spans="1:7" ht="15" x14ac:dyDescent="0.3">
      <c r="A1338" t="s">
        <v>44</v>
      </c>
      <c r="B1338" t="s">
        <v>44</v>
      </c>
      <c r="C1338" t="s">
        <v>44</v>
      </c>
      <c r="D1338" t="s">
        <v>1038</v>
      </c>
      <c r="F1338" s="21"/>
      <c r="G1338" s="16"/>
    </row>
    <row r="1339" spans="1:7" ht="15" x14ac:dyDescent="0.3">
      <c r="A1339">
        <v>55.316757202148402</v>
      </c>
      <c r="B1339">
        <v>10.7729501724243</v>
      </c>
      <c r="C1339" t="s">
        <v>43</v>
      </c>
      <c r="D1339" t="s">
        <v>1039</v>
      </c>
      <c r="F1339" s="21"/>
      <c r="G1339" s="16" t="str">
        <f>HYPERLINK("http://maps.google.com/maps?f=q&amp;hl=en&amp;geocode=&amp;q=55.3167572021484,10.7729501724243")</f>
        <v>http://maps.google.com/maps?f=q&amp;hl=en&amp;geocode=&amp;q=55.3167572021484,10.7729501724243</v>
      </c>
    </row>
    <row r="1340" spans="1:7" ht="15" x14ac:dyDescent="0.3">
      <c r="A1340">
        <v>35.428350000000002</v>
      </c>
      <c r="B1340">
        <v>-97.134460000000004</v>
      </c>
      <c r="C1340" t="s">
        <v>42</v>
      </c>
      <c r="D1340" t="s">
        <v>276</v>
      </c>
      <c r="F1340" s="21"/>
      <c r="G1340" s="16" t="str">
        <f>HYPERLINK("http://maps.google.com/maps?f=q&amp;hl=en&amp;geocode=&amp;q=35.42835,-97.13446")</f>
        <v>http://maps.google.com/maps?f=q&amp;hl=en&amp;geocode=&amp;q=35.42835,-97.13446</v>
      </c>
    </row>
    <row r="1341" spans="1:7" ht="15" x14ac:dyDescent="0.3">
      <c r="A1341">
        <v>35.428350000000002</v>
      </c>
      <c r="B1341">
        <v>-97.134460000000004</v>
      </c>
      <c r="C1341" t="s">
        <v>42</v>
      </c>
      <c r="D1341" t="s">
        <v>276</v>
      </c>
      <c r="F1341" s="21"/>
      <c r="G1341" s="16" t="str">
        <f>HYPERLINK("http://maps.google.com/maps?f=q&amp;hl=en&amp;geocode=&amp;q=35.42835,-97.13446")</f>
        <v>http://maps.google.com/maps?f=q&amp;hl=en&amp;geocode=&amp;q=35.42835,-97.13446</v>
      </c>
    </row>
    <row r="1342" spans="1:7" ht="15" x14ac:dyDescent="0.3">
      <c r="A1342">
        <v>29.604315166701099</v>
      </c>
      <c r="B1342">
        <v>-95.255295355551695</v>
      </c>
      <c r="C1342" t="s">
        <v>41</v>
      </c>
      <c r="D1342" t="s">
        <v>1040</v>
      </c>
      <c r="F1342" s="21"/>
      <c r="G1342" s="16" t="str">
        <f>HYPERLINK("http://maps.google.com/maps?f=q&amp;hl=en&amp;geocode=&amp;q=29.6043151667011,-95.2552953555517")</f>
        <v>http://maps.google.com/maps?f=q&amp;hl=en&amp;geocode=&amp;q=29.6043151667011,-95.2552953555517</v>
      </c>
    </row>
    <row r="1343" spans="1:7" ht="15" x14ac:dyDescent="0.3">
      <c r="A1343">
        <v>40.743740009218101</v>
      </c>
      <c r="B1343">
        <v>-111.85732947868</v>
      </c>
      <c r="C1343" t="s">
        <v>41</v>
      </c>
      <c r="D1343" t="s">
        <v>1041</v>
      </c>
      <c r="F1343" s="21"/>
      <c r="G1343" s="16" t="str">
        <f>HYPERLINK("http://maps.google.com/maps?f=q&amp;hl=en&amp;geocode=&amp;q=40.7437400092181,-111.85732947868")</f>
        <v>http://maps.google.com/maps?f=q&amp;hl=en&amp;geocode=&amp;q=40.7437400092181,-111.85732947868</v>
      </c>
    </row>
    <row r="1344" spans="1:7" ht="15" x14ac:dyDescent="0.3">
      <c r="A1344">
        <v>40.055979999999998</v>
      </c>
      <c r="B1344">
        <v>-75.055959999999999</v>
      </c>
      <c r="C1344" t="s">
        <v>43</v>
      </c>
      <c r="D1344" t="s">
        <v>1042</v>
      </c>
      <c r="F1344" s="21"/>
      <c r="G1344" s="16" t="str">
        <f>HYPERLINK("http://maps.google.com/maps?f=q&amp;hl=en&amp;geocode=&amp;q=40.05598,-75.05596")</f>
        <v>http://maps.google.com/maps?f=q&amp;hl=en&amp;geocode=&amp;q=40.05598,-75.05596</v>
      </c>
    </row>
    <row r="1345" spans="1:7" ht="15" x14ac:dyDescent="0.3">
      <c r="A1345" t="s">
        <v>44</v>
      </c>
      <c r="B1345" t="s">
        <v>44</v>
      </c>
      <c r="C1345" t="s">
        <v>44</v>
      </c>
      <c r="D1345" t="s">
        <v>1043</v>
      </c>
      <c r="F1345" s="21"/>
      <c r="G1345" s="16"/>
    </row>
    <row r="1346" spans="1:7" ht="15" x14ac:dyDescent="0.3">
      <c r="A1346">
        <v>40.042687335929102</v>
      </c>
      <c r="B1346">
        <v>-75.099992024888195</v>
      </c>
      <c r="C1346" t="s">
        <v>41</v>
      </c>
      <c r="D1346" t="s">
        <v>1044</v>
      </c>
      <c r="F1346" s="21"/>
      <c r="G1346" s="16" t="str">
        <f>HYPERLINK("http://maps.google.com/maps?f=q&amp;hl=en&amp;geocode=&amp;q=40.0426873359291,-75.0999920248882")</f>
        <v>http://maps.google.com/maps?f=q&amp;hl=en&amp;geocode=&amp;q=40.0426873359291,-75.0999920248882</v>
      </c>
    </row>
    <row r="1347" spans="1:7" ht="15" x14ac:dyDescent="0.3">
      <c r="A1347">
        <v>40.567290999999997</v>
      </c>
      <c r="B1347">
        <v>-85.748611999999994</v>
      </c>
      <c r="C1347" t="s">
        <v>41</v>
      </c>
      <c r="D1347" t="s">
        <v>1045</v>
      </c>
      <c r="F1347" s="21"/>
      <c r="G1347" s="16" t="str">
        <f>HYPERLINK("http://maps.google.com/maps?f=q&amp;hl=en&amp;geocode=&amp;q=40.567291,-85.748612")</f>
        <v>http://maps.google.com/maps?f=q&amp;hl=en&amp;geocode=&amp;q=40.567291,-85.748612</v>
      </c>
    </row>
    <row r="1348" spans="1:7" ht="15" x14ac:dyDescent="0.3">
      <c r="A1348" t="s">
        <v>44</v>
      </c>
      <c r="B1348" t="s">
        <v>44</v>
      </c>
      <c r="C1348" t="s">
        <v>44</v>
      </c>
      <c r="D1348" t="s">
        <v>975</v>
      </c>
      <c r="F1348" s="21"/>
      <c r="G1348" s="16"/>
    </row>
    <row r="1349" spans="1:7" ht="15" x14ac:dyDescent="0.3">
      <c r="A1349">
        <v>36.8468208312988</v>
      </c>
      <c r="B1349">
        <v>-76.285057067871094</v>
      </c>
      <c r="C1349" t="s">
        <v>41</v>
      </c>
      <c r="D1349" t="s">
        <v>1046</v>
      </c>
      <c r="F1349" s="21"/>
      <c r="G1349" s="16" t="str">
        <f>HYPERLINK("http://maps.google.com/maps?f=q&amp;hl=en&amp;geocode=&amp;q=36.8468208312988,-76.2850570678711")</f>
        <v>http://maps.google.com/maps?f=q&amp;hl=en&amp;geocode=&amp;q=36.8468208312988,-76.2850570678711</v>
      </c>
    </row>
    <row r="1350" spans="1:7" ht="15" x14ac:dyDescent="0.3">
      <c r="A1350">
        <v>36.8468208312988</v>
      </c>
      <c r="B1350">
        <v>-76.285057067871094</v>
      </c>
      <c r="C1350" t="s">
        <v>41</v>
      </c>
      <c r="D1350" t="s">
        <v>1046</v>
      </c>
      <c r="F1350" s="21"/>
      <c r="G1350" s="16" t="str">
        <f>HYPERLINK("http://maps.google.com/maps?f=q&amp;hl=en&amp;geocode=&amp;q=36.8468208312988,-76.2850570678711")</f>
        <v>http://maps.google.com/maps?f=q&amp;hl=en&amp;geocode=&amp;q=36.8468208312988,-76.2850570678711</v>
      </c>
    </row>
    <row r="1351" spans="1:7" ht="15" x14ac:dyDescent="0.3">
      <c r="A1351" t="s">
        <v>44</v>
      </c>
      <c r="B1351" t="s">
        <v>44</v>
      </c>
      <c r="C1351" t="s">
        <v>44</v>
      </c>
      <c r="D1351" t="s">
        <v>1047</v>
      </c>
      <c r="F1351" s="21"/>
      <c r="G1351" s="16"/>
    </row>
    <row r="1352" spans="1:7" ht="15" x14ac:dyDescent="0.3">
      <c r="A1352" t="s">
        <v>44</v>
      </c>
      <c r="B1352" t="s">
        <v>44</v>
      </c>
      <c r="C1352" t="s">
        <v>44</v>
      </c>
      <c r="D1352" t="s">
        <v>1048</v>
      </c>
      <c r="F1352" s="21"/>
      <c r="G1352" s="16"/>
    </row>
    <row r="1353" spans="1:7" ht="15" x14ac:dyDescent="0.3">
      <c r="A1353" t="s">
        <v>44</v>
      </c>
      <c r="B1353" t="s">
        <v>44</v>
      </c>
      <c r="C1353" t="s">
        <v>44</v>
      </c>
      <c r="D1353" t="s">
        <v>1017</v>
      </c>
      <c r="F1353" s="21"/>
      <c r="G1353" s="16"/>
    </row>
    <row r="1354" spans="1:7" ht="15" x14ac:dyDescent="0.3">
      <c r="A1354">
        <v>50.972061157226598</v>
      </c>
      <c r="B1354">
        <v>-0.279289990663528</v>
      </c>
      <c r="C1354" t="s">
        <v>43</v>
      </c>
      <c r="D1354" t="s">
        <v>140</v>
      </c>
      <c r="F1354" s="21"/>
      <c r="G1354" s="16" t="str">
        <f>HYPERLINK("http://maps.google.com/maps?f=q&amp;hl=en&amp;geocode=&amp;q=50.9720611572266,-0.279289990663528")</f>
        <v>http://maps.google.com/maps?f=q&amp;hl=en&amp;geocode=&amp;q=50.9720611572266,-0.279289990663528</v>
      </c>
    </row>
    <row r="1355" spans="1:7" ht="15" x14ac:dyDescent="0.3">
      <c r="A1355">
        <v>39.324630598059699</v>
      </c>
      <c r="B1355">
        <v>-76.469169209032103</v>
      </c>
      <c r="C1355" t="s">
        <v>41</v>
      </c>
      <c r="D1355" t="s">
        <v>1049</v>
      </c>
      <c r="F1355" s="21"/>
      <c r="G1355" s="16" t="str">
        <f>HYPERLINK("http://maps.google.com/maps?f=q&amp;hl=en&amp;geocode=&amp;q=39.3246305980597,-76.4691692090321")</f>
        <v>http://maps.google.com/maps?f=q&amp;hl=en&amp;geocode=&amp;q=39.3246305980597,-76.4691692090321</v>
      </c>
    </row>
    <row r="1356" spans="1:7" ht="15" x14ac:dyDescent="0.3">
      <c r="A1356">
        <v>40.028517902191702</v>
      </c>
      <c r="B1356">
        <v>-75.097809490713701</v>
      </c>
      <c r="C1356" t="s">
        <v>41</v>
      </c>
      <c r="D1356" t="s">
        <v>1050</v>
      </c>
      <c r="F1356" s="21"/>
      <c r="G1356" s="16" t="str">
        <f>HYPERLINK("http://maps.google.com/maps?f=q&amp;hl=en&amp;geocode=&amp;q=40.0285179021917,-75.0978094907137")</f>
        <v>http://maps.google.com/maps?f=q&amp;hl=en&amp;geocode=&amp;q=40.0285179021917,-75.0978094907137</v>
      </c>
    </row>
    <row r="1357" spans="1:7" ht="15" x14ac:dyDescent="0.3">
      <c r="A1357">
        <v>39.693474149294801</v>
      </c>
      <c r="B1357">
        <v>-84.118671277588902</v>
      </c>
      <c r="C1357" t="s">
        <v>41</v>
      </c>
      <c r="D1357" t="s">
        <v>206</v>
      </c>
      <c r="F1357" s="21"/>
      <c r="G1357" s="16" t="str">
        <f>HYPERLINK("http://maps.google.com/maps?f=q&amp;hl=en&amp;geocode=&amp;q=39.6934741492948,-84.1186712775889")</f>
        <v>http://maps.google.com/maps?f=q&amp;hl=en&amp;geocode=&amp;q=39.6934741492948,-84.1186712775889</v>
      </c>
    </row>
    <row r="1358" spans="1:7" ht="15" x14ac:dyDescent="0.3">
      <c r="A1358">
        <v>-30.1679077148438</v>
      </c>
      <c r="B1358">
        <v>142.48066711425801</v>
      </c>
      <c r="C1358" t="s">
        <v>43</v>
      </c>
      <c r="D1358" t="s">
        <v>1051</v>
      </c>
      <c r="F1358" s="21"/>
      <c r="G1358" s="16" t="str">
        <f>HYPERLINK("http://maps.google.com/maps?f=q&amp;hl=en&amp;geocode=&amp;q=-30.1679077148438,142.480667114258")</f>
        <v>http://maps.google.com/maps?f=q&amp;hl=en&amp;geocode=&amp;q=-30.1679077148438,142.480667114258</v>
      </c>
    </row>
    <row r="1359" spans="1:7" ht="15" x14ac:dyDescent="0.3">
      <c r="A1359">
        <v>33.810540000000003</v>
      </c>
      <c r="B1359">
        <v>-118.03908</v>
      </c>
      <c r="C1359" t="s">
        <v>42</v>
      </c>
      <c r="D1359" t="s">
        <v>1052</v>
      </c>
      <c r="F1359" s="21"/>
      <c r="G1359" s="16" t="str">
        <f>HYPERLINK("http://maps.google.com/maps?f=q&amp;hl=en&amp;geocode=&amp;q=33.81054,-118.03908")</f>
        <v>http://maps.google.com/maps?f=q&amp;hl=en&amp;geocode=&amp;q=33.81054,-118.03908</v>
      </c>
    </row>
    <row r="1360" spans="1:7" ht="15" x14ac:dyDescent="0.3">
      <c r="A1360">
        <v>41.173160000000003</v>
      </c>
      <c r="B1360">
        <v>-77.576139999999995</v>
      </c>
      <c r="C1360" t="s">
        <v>42</v>
      </c>
      <c r="D1360" t="s">
        <v>1053</v>
      </c>
      <c r="F1360" s="21"/>
      <c r="G1360" s="16" t="str">
        <f>HYPERLINK("http://maps.google.com/maps?f=q&amp;hl=en&amp;geocode=&amp;q=41.17316,-77.57614")</f>
        <v>http://maps.google.com/maps?f=q&amp;hl=en&amp;geocode=&amp;q=41.17316,-77.57614</v>
      </c>
    </row>
    <row r="1361" spans="1:7" ht="15" x14ac:dyDescent="0.3">
      <c r="A1361">
        <v>41.149993206539698</v>
      </c>
      <c r="B1361">
        <v>-111.913570873949</v>
      </c>
      <c r="C1361" t="s">
        <v>41</v>
      </c>
      <c r="D1361" t="s">
        <v>782</v>
      </c>
      <c r="F1361" s="21"/>
      <c r="G1361" s="16" t="str">
        <f>HYPERLINK("http://maps.google.com/maps?f=q&amp;hl=en&amp;geocode=&amp;q=41.1499932065397,-111.913570873949")</f>
        <v>http://maps.google.com/maps?f=q&amp;hl=en&amp;geocode=&amp;q=41.1499932065397,-111.913570873949</v>
      </c>
    </row>
    <row r="1362" spans="1:7" ht="15" x14ac:dyDescent="0.3">
      <c r="A1362">
        <v>40.013988494872997</v>
      </c>
      <c r="B1362">
        <v>-75.303192138671903</v>
      </c>
      <c r="C1362" t="s">
        <v>41</v>
      </c>
      <c r="D1362" t="s">
        <v>501</v>
      </c>
      <c r="F1362" s="21"/>
      <c r="G1362" s="16" t="str">
        <f>HYPERLINK("http://maps.google.com/maps?f=q&amp;hl=en&amp;geocode=&amp;q=40.013988494873,-75.3031921386719")</f>
        <v>http://maps.google.com/maps?f=q&amp;hl=en&amp;geocode=&amp;q=40.013988494873,-75.3031921386719</v>
      </c>
    </row>
    <row r="1363" spans="1:7" ht="15" x14ac:dyDescent="0.3">
      <c r="A1363">
        <v>29.583120000000001</v>
      </c>
      <c r="B1363">
        <v>-100.98039</v>
      </c>
      <c r="C1363" t="s">
        <v>43</v>
      </c>
      <c r="D1363" t="s">
        <v>1054</v>
      </c>
      <c r="F1363" s="21"/>
      <c r="G1363" s="16" t="str">
        <f>HYPERLINK("http://maps.google.com/maps?f=q&amp;hl=en&amp;geocode=&amp;q=29.58312,-100.98039")</f>
        <v>http://maps.google.com/maps?f=q&amp;hl=en&amp;geocode=&amp;q=29.58312,-100.98039</v>
      </c>
    </row>
    <row r="1364" spans="1:7" ht="15" x14ac:dyDescent="0.3">
      <c r="A1364">
        <v>50.218185424804702</v>
      </c>
      <c r="B1364">
        <v>5.3206357955932599</v>
      </c>
      <c r="C1364" t="s">
        <v>41</v>
      </c>
      <c r="D1364" t="s">
        <v>73</v>
      </c>
      <c r="F1364" s="21"/>
      <c r="G1364" s="16" t="str">
        <f>HYPERLINK("http://maps.google.com/maps?f=q&amp;hl=en&amp;geocode=&amp;q=50.2181854248047,5.32063579559326")</f>
        <v>http://maps.google.com/maps?f=q&amp;hl=en&amp;geocode=&amp;q=50.2181854248047,5.32063579559326</v>
      </c>
    </row>
    <row r="1365" spans="1:7" ht="15" x14ac:dyDescent="0.3">
      <c r="A1365" t="s">
        <v>44</v>
      </c>
      <c r="B1365" t="s">
        <v>44</v>
      </c>
      <c r="C1365" t="s">
        <v>44</v>
      </c>
      <c r="D1365" t="s">
        <v>1004</v>
      </c>
      <c r="F1365" s="21"/>
      <c r="G1365" s="16"/>
    </row>
    <row r="1366" spans="1:7" ht="15" x14ac:dyDescent="0.3">
      <c r="A1366">
        <v>42.832238113915899</v>
      </c>
      <c r="B1366">
        <v>-77.3820695260235</v>
      </c>
      <c r="C1366" t="s">
        <v>41</v>
      </c>
      <c r="D1366" t="s">
        <v>1055</v>
      </c>
      <c r="F1366" s="21"/>
      <c r="G1366" s="16" t="str">
        <f>HYPERLINK("http://maps.google.com/maps?f=q&amp;hl=en&amp;geocode=&amp;q=42.8322381139159,-77.3820695260235")</f>
        <v>http://maps.google.com/maps?f=q&amp;hl=en&amp;geocode=&amp;q=42.8322381139159,-77.3820695260235</v>
      </c>
    </row>
    <row r="1367" spans="1:7" ht="15" x14ac:dyDescent="0.3">
      <c r="A1367">
        <v>47.396650000000001</v>
      </c>
      <c r="B1367">
        <v>-116.76194</v>
      </c>
      <c r="C1367" t="s">
        <v>43</v>
      </c>
      <c r="D1367" t="s">
        <v>1056</v>
      </c>
      <c r="F1367" s="21"/>
      <c r="G1367" s="16" t="str">
        <f>HYPERLINK("http://maps.google.com/maps?f=q&amp;hl=en&amp;geocode=&amp;q=47.39665,-116.76194")</f>
        <v>http://maps.google.com/maps?f=q&amp;hl=en&amp;geocode=&amp;q=47.39665,-116.76194</v>
      </c>
    </row>
    <row r="1368" spans="1:7" ht="15" x14ac:dyDescent="0.3">
      <c r="A1368">
        <v>40.548250000000003</v>
      </c>
      <c r="B1368">
        <v>-76.382840000000002</v>
      </c>
      <c r="C1368" t="s">
        <v>41</v>
      </c>
      <c r="D1368" t="s">
        <v>1057</v>
      </c>
      <c r="F1368" s="21"/>
      <c r="G1368" s="16" t="str">
        <f>HYPERLINK("http://maps.google.com/maps?f=q&amp;hl=en&amp;geocode=&amp;q=40.54825,-76.38284")</f>
        <v>http://maps.google.com/maps?f=q&amp;hl=en&amp;geocode=&amp;q=40.54825,-76.38284</v>
      </c>
    </row>
    <row r="1369" spans="1:7" ht="15" x14ac:dyDescent="0.3">
      <c r="A1369">
        <v>32.9539794921875</v>
      </c>
      <c r="B1369">
        <v>-96.817680358886705</v>
      </c>
      <c r="C1369" t="s">
        <v>43</v>
      </c>
      <c r="D1369" t="s">
        <v>1058</v>
      </c>
      <c r="F1369" s="21"/>
      <c r="G1369" s="16" t="str">
        <f>HYPERLINK("http://maps.google.com/maps?f=q&amp;hl=en&amp;geocode=&amp;q=32.9539794921875,-96.8176803588867")</f>
        <v>http://maps.google.com/maps?f=q&amp;hl=en&amp;geocode=&amp;q=32.9539794921875,-96.8176803588867</v>
      </c>
    </row>
    <row r="1370" spans="1:7" ht="15" x14ac:dyDescent="0.3">
      <c r="A1370">
        <v>32.9539794921875</v>
      </c>
      <c r="B1370">
        <v>-96.817680358886705</v>
      </c>
      <c r="C1370" t="s">
        <v>43</v>
      </c>
      <c r="D1370" t="s">
        <v>1059</v>
      </c>
      <c r="F1370" s="21"/>
      <c r="G1370" s="16" t="str">
        <f>HYPERLINK("http://maps.google.com/maps?f=q&amp;hl=en&amp;geocode=&amp;q=32.9539794921875,-96.8176803588867")</f>
        <v>http://maps.google.com/maps?f=q&amp;hl=en&amp;geocode=&amp;q=32.9539794921875,-96.8176803588867</v>
      </c>
    </row>
    <row r="1371" spans="1:7" ht="15" x14ac:dyDescent="0.3">
      <c r="A1371">
        <v>39.947907920740697</v>
      </c>
      <c r="B1371">
        <v>-75.239816049633902</v>
      </c>
      <c r="C1371" t="s">
        <v>41</v>
      </c>
      <c r="D1371" t="s">
        <v>825</v>
      </c>
      <c r="F1371" s="21"/>
      <c r="G1371" s="16" t="str">
        <f>HYPERLINK("http://maps.google.com/maps?f=q&amp;hl=en&amp;geocode=&amp;q=39.9479079207407,-75.2398160496339")</f>
        <v>http://maps.google.com/maps?f=q&amp;hl=en&amp;geocode=&amp;q=39.9479079207407,-75.2398160496339</v>
      </c>
    </row>
    <row r="1372" spans="1:7" ht="15" x14ac:dyDescent="0.3">
      <c r="A1372">
        <v>38.519611358642599</v>
      </c>
      <c r="B1372">
        <v>-90.209381103515597</v>
      </c>
      <c r="C1372" t="s">
        <v>41</v>
      </c>
      <c r="D1372" t="s">
        <v>1060</v>
      </c>
      <c r="F1372" s="21"/>
      <c r="G1372" s="16" t="str">
        <f>HYPERLINK("http://maps.google.com/maps?f=q&amp;hl=en&amp;geocode=&amp;q=38.5196113586426,-90.2093811035156")</f>
        <v>http://maps.google.com/maps?f=q&amp;hl=en&amp;geocode=&amp;q=38.5196113586426,-90.2093811035156</v>
      </c>
    </row>
    <row r="1373" spans="1:7" ht="15" x14ac:dyDescent="0.3">
      <c r="A1373">
        <v>32.9539794921875</v>
      </c>
      <c r="B1373">
        <v>-96.817680358886705</v>
      </c>
      <c r="C1373" t="s">
        <v>43</v>
      </c>
      <c r="D1373" t="s">
        <v>1058</v>
      </c>
      <c r="F1373" s="21"/>
      <c r="G1373" s="16" t="str">
        <f>HYPERLINK("http://maps.google.com/maps?f=q&amp;hl=en&amp;geocode=&amp;q=32.9539794921875,-96.8176803588867")</f>
        <v>http://maps.google.com/maps?f=q&amp;hl=en&amp;geocode=&amp;q=32.9539794921875,-96.8176803588867</v>
      </c>
    </row>
    <row r="1374" spans="1:7" ht="15" x14ac:dyDescent="0.3">
      <c r="A1374">
        <v>39.8226186795712</v>
      </c>
      <c r="B1374">
        <v>-75.930014257927297</v>
      </c>
      <c r="C1374" t="s">
        <v>41</v>
      </c>
      <c r="D1374" t="s">
        <v>1061</v>
      </c>
      <c r="F1374" s="21"/>
      <c r="G1374" s="16" t="str">
        <f>HYPERLINK("http://maps.google.com/maps?f=q&amp;hl=en&amp;geocode=&amp;q=39.8226186795712,-75.9300142579273")</f>
        <v>http://maps.google.com/maps?f=q&amp;hl=en&amp;geocode=&amp;q=39.8226186795712,-75.9300142579273</v>
      </c>
    </row>
    <row r="1375" spans="1:7" ht="15" x14ac:dyDescent="0.3">
      <c r="A1375">
        <v>33.853059791914099</v>
      </c>
      <c r="B1375">
        <v>-117.930938533938</v>
      </c>
      <c r="C1375" t="s">
        <v>41</v>
      </c>
      <c r="D1375" t="s">
        <v>1062</v>
      </c>
      <c r="F1375" s="21"/>
      <c r="G1375" s="16" t="str">
        <f>HYPERLINK("http://maps.google.com/maps?f=q&amp;hl=en&amp;geocode=&amp;q=33.8530597919141,-117.930938533938")</f>
        <v>http://maps.google.com/maps?f=q&amp;hl=en&amp;geocode=&amp;q=33.8530597919141,-117.930938533938</v>
      </c>
    </row>
    <row r="1376" spans="1:7" ht="15" x14ac:dyDescent="0.3">
      <c r="A1376">
        <v>40.035719999999998</v>
      </c>
      <c r="B1376">
        <v>-75.070629999999994</v>
      </c>
      <c r="C1376" t="s">
        <v>41</v>
      </c>
      <c r="D1376" t="s">
        <v>760</v>
      </c>
      <c r="F1376" s="21"/>
      <c r="G1376" s="16" t="str">
        <f>HYPERLINK("http://maps.google.com/maps?f=q&amp;hl=en&amp;geocode=&amp;q=40.03572,-75.07063")</f>
        <v>http://maps.google.com/maps?f=q&amp;hl=en&amp;geocode=&amp;q=40.03572,-75.07063</v>
      </c>
    </row>
    <row r="1377" spans="1:7" ht="15" x14ac:dyDescent="0.3">
      <c r="A1377">
        <v>40.035719999999998</v>
      </c>
      <c r="B1377">
        <v>-75.070629999999994</v>
      </c>
      <c r="C1377" t="s">
        <v>41</v>
      </c>
      <c r="D1377" t="s">
        <v>760</v>
      </c>
      <c r="F1377" s="21"/>
      <c r="G1377" s="16" t="str">
        <f>HYPERLINK("http://maps.google.com/maps?f=q&amp;hl=en&amp;geocode=&amp;q=40.03572,-75.07063")</f>
        <v>http://maps.google.com/maps?f=q&amp;hl=en&amp;geocode=&amp;q=40.03572,-75.07063</v>
      </c>
    </row>
    <row r="1378" spans="1:7" ht="15" x14ac:dyDescent="0.3">
      <c r="A1378">
        <v>33.442015305454802</v>
      </c>
      <c r="B1378">
        <v>-87.972427564013302</v>
      </c>
      <c r="C1378" t="s">
        <v>41</v>
      </c>
      <c r="D1378" t="s">
        <v>1063</v>
      </c>
      <c r="F1378" s="21"/>
      <c r="G1378" s="16" t="str">
        <f>HYPERLINK("http://maps.google.com/maps?f=q&amp;hl=en&amp;geocode=&amp;q=33.4420153054548,-87.9724275640133")</f>
        <v>http://maps.google.com/maps?f=q&amp;hl=en&amp;geocode=&amp;q=33.4420153054548,-87.9724275640133</v>
      </c>
    </row>
    <row r="1379" spans="1:7" ht="15" x14ac:dyDescent="0.3">
      <c r="A1379">
        <v>39.912579999999998</v>
      </c>
      <c r="B1379">
        <v>-75.241240000000005</v>
      </c>
      <c r="C1379" t="s">
        <v>41</v>
      </c>
      <c r="D1379" t="s">
        <v>1064</v>
      </c>
      <c r="F1379" s="21"/>
      <c r="G1379" s="16" t="str">
        <f>HYPERLINK("http://maps.google.com/maps?f=q&amp;hl=en&amp;geocode=&amp;q=39.91258,-75.24124")</f>
        <v>http://maps.google.com/maps?f=q&amp;hl=en&amp;geocode=&amp;q=39.91258,-75.24124</v>
      </c>
    </row>
    <row r="1380" spans="1:7" ht="15" x14ac:dyDescent="0.3">
      <c r="A1380">
        <v>34.363849639892599</v>
      </c>
      <c r="B1380">
        <v>-93.767959594726605</v>
      </c>
      <c r="C1380" t="s">
        <v>43</v>
      </c>
      <c r="D1380" t="s">
        <v>1065</v>
      </c>
      <c r="F1380" s="21"/>
      <c r="G1380" s="16" t="str">
        <f>HYPERLINK("http://maps.google.com/maps?f=q&amp;hl=en&amp;geocode=&amp;q=34.3638496398926,-93.7679595947266")</f>
        <v>http://maps.google.com/maps?f=q&amp;hl=en&amp;geocode=&amp;q=34.3638496398926,-93.7679595947266</v>
      </c>
    </row>
    <row r="1381" spans="1:7" ht="15" x14ac:dyDescent="0.3">
      <c r="A1381">
        <v>40.035719999999998</v>
      </c>
      <c r="B1381">
        <v>-75.070629999999994</v>
      </c>
      <c r="C1381" t="s">
        <v>41</v>
      </c>
      <c r="D1381" t="s">
        <v>760</v>
      </c>
      <c r="F1381" s="21"/>
      <c r="G1381" s="16" t="str">
        <f>HYPERLINK("http://maps.google.com/maps?f=q&amp;hl=en&amp;geocode=&amp;q=40.03572,-75.07063")</f>
        <v>http://maps.google.com/maps?f=q&amp;hl=en&amp;geocode=&amp;q=40.03572,-75.07063</v>
      </c>
    </row>
    <row r="1382" spans="1:7" ht="15" x14ac:dyDescent="0.3">
      <c r="A1382">
        <v>43.239310000000003</v>
      </c>
      <c r="B1382">
        <v>-78.656620000000004</v>
      </c>
      <c r="C1382" t="s">
        <v>41</v>
      </c>
      <c r="D1382" t="s">
        <v>850</v>
      </c>
      <c r="F1382" s="21"/>
      <c r="G1382" s="16" t="str">
        <f>HYPERLINK("http://maps.google.com/maps?f=q&amp;hl=en&amp;geocode=&amp;q=43.23931,-78.65662")</f>
        <v>http://maps.google.com/maps?f=q&amp;hl=en&amp;geocode=&amp;q=43.23931,-78.65662</v>
      </c>
    </row>
    <row r="1383" spans="1:7" ht="15" x14ac:dyDescent="0.3">
      <c r="A1383">
        <v>43.239310000000003</v>
      </c>
      <c r="B1383">
        <v>-78.656620000000004</v>
      </c>
      <c r="C1383" t="s">
        <v>41</v>
      </c>
      <c r="D1383" t="s">
        <v>850</v>
      </c>
      <c r="F1383" s="21"/>
      <c r="G1383" s="16" t="str">
        <f>HYPERLINK("http://maps.google.com/maps?f=q&amp;hl=en&amp;geocode=&amp;q=43.23931,-78.65662")</f>
        <v>http://maps.google.com/maps?f=q&amp;hl=en&amp;geocode=&amp;q=43.23931,-78.65662</v>
      </c>
    </row>
    <row r="1384" spans="1:7" ht="15" x14ac:dyDescent="0.3">
      <c r="A1384">
        <v>43.239310000000003</v>
      </c>
      <c r="B1384">
        <v>-78.656620000000004</v>
      </c>
      <c r="C1384" t="s">
        <v>41</v>
      </c>
      <c r="D1384" t="s">
        <v>850</v>
      </c>
      <c r="F1384" s="21"/>
      <c r="G1384" s="16" t="str">
        <f>HYPERLINK("http://maps.google.com/maps?f=q&amp;hl=en&amp;geocode=&amp;q=43.23931,-78.65662")</f>
        <v>http://maps.google.com/maps?f=q&amp;hl=en&amp;geocode=&amp;q=43.23931,-78.65662</v>
      </c>
    </row>
    <row r="1385" spans="1:7" ht="15" x14ac:dyDescent="0.3">
      <c r="A1385">
        <v>40.010570000000001</v>
      </c>
      <c r="B1385">
        <v>-75.103750000000005</v>
      </c>
      <c r="C1385" t="s">
        <v>41</v>
      </c>
      <c r="D1385" t="s">
        <v>1066</v>
      </c>
      <c r="F1385" s="21"/>
      <c r="G1385" s="16" t="str">
        <f>HYPERLINK("http://maps.google.com/maps?f=q&amp;hl=en&amp;geocode=&amp;q=40.01057,-75.10375")</f>
        <v>http://maps.google.com/maps?f=q&amp;hl=en&amp;geocode=&amp;q=40.01057,-75.10375</v>
      </c>
    </row>
    <row r="1386" spans="1:7" ht="15" x14ac:dyDescent="0.3">
      <c r="A1386">
        <v>40.460018157958999</v>
      </c>
      <c r="B1386">
        <v>-78.591552734375</v>
      </c>
      <c r="C1386" t="s">
        <v>43</v>
      </c>
      <c r="D1386" t="s">
        <v>1067</v>
      </c>
      <c r="F1386" s="21"/>
      <c r="G1386" s="16" t="str">
        <f>HYPERLINK("http://maps.google.com/maps?f=q&amp;hl=en&amp;geocode=&amp;q=40.460018157959,-78.591552734375")</f>
        <v>http://maps.google.com/maps?f=q&amp;hl=en&amp;geocode=&amp;q=40.460018157959,-78.591552734375</v>
      </c>
    </row>
    <row r="1387" spans="1:7" ht="15" x14ac:dyDescent="0.3">
      <c r="A1387">
        <v>45.634151458740199</v>
      </c>
      <c r="B1387">
        <v>-84.782386779785199</v>
      </c>
      <c r="C1387" t="s">
        <v>43</v>
      </c>
      <c r="D1387" t="s">
        <v>1068</v>
      </c>
      <c r="F1387" s="21"/>
      <c r="G1387" s="16" t="str">
        <f>HYPERLINK("http://maps.google.com/maps?f=q&amp;hl=en&amp;geocode=&amp;q=45.6341514587402,-84.7823867797852")</f>
        <v>http://maps.google.com/maps?f=q&amp;hl=en&amp;geocode=&amp;q=45.6341514587402,-84.7823867797852</v>
      </c>
    </row>
    <row r="1388" spans="1:7" ht="15" x14ac:dyDescent="0.3">
      <c r="A1388">
        <v>34.0684626723164</v>
      </c>
      <c r="B1388">
        <v>-118.456899551079</v>
      </c>
      <c r="C1388" t="s">
        <v>41</v>
      </c>
      <c r="D1388" t="s">
        <v>1069</v>
      </c>
      <c r="F1388" s="21"/>
      <c r="G1388" s="16" t="str">
        <f>HYPERLINK("http://maps.google.com/maps?f=q&amp;hl=en&amp;geocode=&amp;q=34.0684626723164,-118.456899551079")</f>
        <v>http://maps.google.com/maps?f=q&amp;hl=en&amp;geocode=&amp;q=34.0684626723164,-118.456899551079</v>
      </c>
    </row>
    <row r="1389" spans="1:7" ht="15" x14ac:dyDescent="0.3">
      <c r="A1389">
        <v>35.479613935558902</v>
      </c>
      <c r="B1389">
        <v>-92.206306714366903</v>
      </c>
      <c r="C1389" t="s">
        <v>41</v>
      </c>
      <c r="D1389" t="s">
        <v>1070</v>
      </c>
      <c r="F1389" s="21"/>
      <c r="G1389" s="16" t="str">
        <f>HYPERLINK("http://maps.google.com/maps?f=q&amp;hl=en&amp;geocode=&amp;q=35.4796139355589,-92.2063067143669")</f>
        <v>http://maps.google.com/maps?f=q&amp;hl=en&amp;geocode=&amp;q=35.4796139355589,-92.2063067143669</v>
      </c>
    </row>
    <row r="1390" spans="1:7" ht="15" x14ac:dyDescent="0.3">
      <c r="A1390">
        <v>42.995967955050403</v>
      </c>
      <c r="B1390">
        <v>-95.623948110791503</v>
      </c>
      <c r="C1390" t="s">
        <v>41</v>
      </c>
      <c r="D1390" t="s">
        <v>1071</v>
      </c>
      <c r="F1390" s="21"/>
      <c r="G1390" s="16" t="str">
        <f>HYPERLINK("http://maps.google.com/maps?f=q&amp;hl=en&amp;geocode=&amp;q=42.9959679550504,-95.6239481107915")</f>
        <v>http://maps.google.com/maps?f=q&amp;hl=en&amp;geocode=&amp;q=42.9959679550504,-95.6239481107915</v>
      </c>
    </row>
    <row r="1391" spans="1:7" ht="15" x14ac:dyDescent="0.3">
      <c r="A1391">
        <v>43.553418314431902</v>
      </c>
      <c r="B1391">
        <v>-83.409223105368298</v>
      </c>
      <c r="C1391" t="s">
        <v>43</v>
      </c>
      <c r="D1391" t="s">
        <v>1072</v>
      </c>
      <c r="F1391" s="21"/>
      <c r="G1391" s="16" t="str">
        <f>HYPERLINK("http://maps.google.com/maps?f=q&amp;hl=en&amp;geocode=&amp;q=43.5534183144319,-83.4092231053683")</f>
        <v>http://maps.google.com/maps?f=q&amp;hl=en&amp;geocode=&amp;q=43.5534183144319,-83.4092231053683</v>
      </c>
    </row>
    <row r="1392" spans="1:7" ht="15" x14ac:dyDescent="0.3">
      <c r="A1392">
        <v>32.833927231188603</v>
      </c>
      <c r="B1392">
        <v>-96.765505943894894</v>
      </c>
      <c r="C1392" t="s">
        <v>41</v>
      </c>
      <c r="D1392" t="s">
        <v>1073</v>
      </c>
      <c r="F1392" s="21"/>
      <c r="G1392" s="16" t="str">
        <f>HYPERLINK("http://maps.google.com/maps?f=q&amp;hl=en&amp;geocode=&amp;q=32.8339272311886,-96.7655059438949")</f>
        <v>http://maps.google.com/maps?f=q&amp;hl=en&amp;geocode=&amp;q=32.8339272311886,-96.7655059438949</v>
      </c>
    </row>
    <row r="1393" spans="1:7" ht="15" x14ac:dyDescent="0.3">
      <c r="A1393">
        <v>44.421359075361799</v>
      </c>
      <c r="B1393">
        <v>-83.854227041029702</v>
      </c>
      <c r="C1393" t="s">
        <v>41</v>
      </c>
      <c r="D1393" t="s">
        <v>1074</v>
      </c>
      <c r="F1393" s="21"/>
      <c r="G1393" s="16" t="str">
        <f>HYPERLINK("http://maps.google.com/maps?f=q&amp;hl=en&amp;geocode=&amp;q=44.4213590753618,-83.8542270410297")</f>
        <v>http://maps.google.com/maps?f=q&amp;hl=en&amp;geocode=&amp;q=44.4213590753618,-83.8542270410297</v>
      </c>
    </row>
    <row r="1394" spans="1:7" ht="15" x14ac:dyDescent="0.3">
      <c r="A1394">
        <v>41.9677374223415</v>
      </c>
      <c r="B1394">
        <v>-87.825809333125306</v>
      </c>
      <c r="C1394" t="s">
        <v>41</v>
      </c>
      <c r="D1394" t="s">
        <v>1075</v>
      </c>
      <c r="F1394" s="21"/>
      <c r="G1394" s="16" t="str">
        <f>HYPERLINK("http://maps.google.com/maps?f=q&amp;hl=en&amp;geocode=&amp;q=41.9677374223415,-87.8258093331253")</f>
        <v>http://maps.google.com/maps?f=q&amp;hl=en&amp;geocode=&amp;q=41.9677374223415,-87.8258093331253</v>
      </c>
    </row>
    <row r="1395" spans="1:7" ht="15" x14ac:dyDescent="0.3">
      <c r="A1395">
        <v>41.9677374223415</v>
      </c>
      <c r="B1395">
        <v>-87.825809333125306</v>
      </c>
      <c r="C1395" t="s">
        <v>41</v>
      </c>
      <c r="D1395" t="s">
        <v>1075</v>
      </c>
      <c r="F1395" s="21"/>
      <c r="G1395" s="16" t="str">
        <f>HYPERLINK("http://maps.google.com/maps?f=q&amp;hl=en&amp;geocode=&amp;q=41.9677374223415,-87.8258093331253")</f>
        <v>http://maps.google.com/maps?f=q&amp;hl=en&amp;geocode=&amp;q=41.9677374223415,-87.8258093331253</v>
      </c>
    </row>
    <row r="1396" spans="1:7" ht="15" x14ac:dyDescent="0.3">
      <c r="A1396">
        <v>37.573250000000002</v>
      </c>
      <c r="B1396">
        <v>-77.498609999999999</v>
      </c>
      <c r="C1396" t="s">
        <v>41</v>
      </c>
      <c r="D1396" t="s">
        <v>1076</v>
      </c>
      <c r="F1396" s="21"/>
      <c r="G1396" s="16" t="str">
        <f>HYPERLINK("http://maps.google.com/maps?f=q&amp;hl=en&amp;geocode=&amp;q=37.57325,-77.49861")</f>
        <v>http://maps.google.com/maps?f=q&amp;hl=en&amp;geocode=&amp;q=37.57325,-77.49861</v>
      </c>
    </row>
    <row r="1397" spans="1:7" ht="15" x14ac:dyDescent="0.3">
      <c r="A1397">
        <v>33.047476239498202</v>
      </c>
      <c r="B1397">
        <v>-96.751214081028294</v>
      </c>
      <c r="C1397" t="s">
        <v>41</v>
      </c>
      <c r="D1397" t="s">
        <v>1077</v>
      </c>
      <c r="F1397" s="21"/>
      <c r="G1397" s="16" t="str">
        <f>HYPERLINK("http://maps.google.com/maps?f=q&amp;hl=en&amp;geocode=&amp;q=33.0474762394982,-96.7512140810283")</f>
        <v>http://maps.google.com/maps?f=q&amp;hl=en&amp;geocode=&amp;q=33.0474762394982,-96.7512140810283</v>
      </c>
    </row>
    <row r="1398" spans="1:7" ht="15" x14ac:dyDescent="0.3">
      <c r="A1398">
        <v>33.047476239498202</v>
      </c>
      <c r="B1398">
        <v>-96.751214081028294</v>
      </c>
      <c r="C1398" t="s">
        <v>41</v>
      </c>
      <c r="D1398" t="s">
        <v>1077</v>
      </c>
      <c r="F1398" s="21"/>
      <c r="G1398" s="16" t="str">
        <f>HYPERLINK("http://maps.google.com/maps?f=q&amp;hl=en&amp;geocode=&amp;q=33.0474762394982,-96.7512140810283")</f>
        <v>http://maps.google.com/maps?f=q&amp;hl=en&amp;geocode=&amp;q=33.0474762394982,-96.7512140810283</v>
      </c>
    </row>
    <row r="1399" spans="1:7" ht="15" x14ac:dyDescent="0.3">
      <c r="A1399" t="s">
        <v>44</v>
      </c>
      <c r="B1399" t="s">
        <v>44</v>
      </c>
      <c r="C1399" t="s">
        <v>44</v>
      </c>
      <c r="D1399" t="s">
        <v>235</v>
      </c>
      <c r="F1399" s="21"/>
      <c r="G1399" s="16"/>
    </row>
    <row r="1400" spans="1:7" ht="15" x14ac:dyDescent="0.3">
      <c r="A1400">
        <v>39.970078479663201</v>
      </c>
      <c r="B1400">
        <v>-75.219388248918804</v>
      </c>
      <c r="C1400" t="s">
        <v>41</v>
      </c>
      <c r="D1400" t="s">
        <v>786</v>
      </c>
      <c r="F1400" s="21"/>
      <c r="G1400" s="16" t="str">
        <f>HYPERLINK("http://maps.google.com/maps?f=q&amp;hl=en&amp;geocode=&amp;q=39.9700784796632,-75.2193882489188")</f>
        <v>http://maps.google.com/maps?f=q&amp;hl=en&amp;geocode=&amp;q=39.9700784796632,-75.2193882489188</v>
      </c>
    </row>
    <row r="1401" spans="1:7" ht="15" x14ac:dyDescent="0.3">
      <c r="A1401">
        <v>39.970078479663201</v>
      </c>
      <c r="B1401">
        <v>-75.219388248918804</v>
      </c>
      <c r="C1401" t="s">
        <v>41</v>
      </c>
      <c r="D1401" t="s">
        <v>786</v>
      </c>
      <c r="F1401" s="21"/>
      <c r="G1401" s="16" t="str">
        <f>HYPERLINK("http://maps.google.com/maps?f=q&amp;hl=en&amp;geocode=&amp;q=39.9700784796632,-75.2193882489188")</f>
        <v>http://maps.google.com/maps?f=q&amp;hl=en&amp;geocode=&amp;q=39.9700784796632,-75.2193882489188</v>
      </c>
    </row>
    <row r="1402" spans="1:7" ht="15" x14ac:dyDescent="0.3">
      <c r="A1402" t="s">
        <v>44</v>
      </c>
      <c r="B1402" t="s">
        <v>44</v>
      </c>
      <c r="C1402" t="s">
        <v>44</v>
      </c>
      <c r="D1402" t="s">
        <v>1078</v>
      </c>
      <c r="F1402" s="21"/>
      <c r="G1402" s="16"/>
    </row>
    <row r="1403" spans="1:7" ht="15" x14ac:dyDescent="0.3">
      <c r="A1403" t="s">
        <v>44</v>
      </c>
      <c r="B1403" t="s">
        <v>44</v>
      </c>
      <c r="C1403" t="s">
        <v>44</v>
      </c>
      <c r="D1403" t="s">
        <v>1079</v>
      </c>
      <c r="F1403" s="21"/>
      <c r="G1403" s="16"/>
    </row>
    <row r="1404" spans="1:7" ht="15" x14ac:dyDescent="0.3">
      <c r="A1404">
        <v>39.918709999999997</v>
      </c>
      <c r="B1404">
        <v>-75.228719999999996</v>
      </c>
      <c r="C1404" t="s">
        <v>41</v>
      </c>
      <c r="D1404" t="s">
        <v>381</v>
      </c>
      <c r="F1404" s="21"/>
      <c r="G1404" s="16" t="str">
        <f>HYPERLINK("http://maps.google.com/maps?f=q&amp;hl=en&amp;geocode=&amp;q=39.91871,-75.22872")</f>
        <v>http://maps.google.com/maps?f=q&amp;hl=en&amp;geocode=&amp;q=39.91871,-75.22872</v>
      </c>
    </row>
    <row r="1405" spans="1:7" ht="15" x14ac:dyDescent="0.3">
      <c r="A1405">
        <v>39.950628136933901</v>
      </c>
      <c r="B1405">
        <v>-75.233096100469496</v>
      </c>
      <c r="C1405" t="s">
        <v>41</v>
      </c>
      <c r="D1405" t="s">
        <v>911</v>
      </c>
      <c r="F1405" s="21"/>
      <c r="G1405" s="16" t="str">
        <f>HYPERLINK("http://maps.google.com/maps?f=q&amp;hl=en&amp;geocode=&amp;q=39.9506281369339,-75.2330961004695")</f>
        <v>http://maps.google.com/maps?f=q&amp;hl=en&amp;geocode=&amp;q=39.9506281369339,-75.2330961004695</v>
      </c>
    </row>
    <row r="1406" spans="1:7" ht="15" x14ac:dyDescent="0.3">
      <c r="A1406">
        <v>43.040962853589299</v>
      </c>
      <c r="B1406">
        <v>-95.624018475677801</v>
      </c>
      <c r="C1406" t="s">
        <v>41</v>
      </c>
      <c r="D1406" t="s">
        <v>152</v>
      </c>
      <c r="F1406" s="21"/>
      <c r="G1406" s="16" t="str">
        <f>HYPERLINK("http://maps.google.com/maps?f=q&amp;hl=en&amp;geocode=&amp;q=43.0409628535893,-95.6240184756778")</f>
        <v>http://maps.google.com/maps?f=q&amp;hl=en&amp;geocode=&amp;q=43.0409628535893,-95.6240184756778</v>
      </c>
    </row>
    <row r="1407" spans="1:7" ht="15" x14ac:dyDescent="0.3">
      <c r="A1407">
        <v>40.036059999999999</v>
      </c>
      <c r="B1407">
        <v>-75.071669999999997</v>
      </c>
      <c r="C1407" t="s">
        <v>41</v>
      </c>
      <c r="D1407" t="s">
        <v>1080</v>
      </c>
      <c r="F1407" s="21"/>
      <c r="G1407" s="16" t="str">
        <f>HYPERLINK("http://maps.google.com/maps?f=q&amp;hl=en&amp;geocode=&amp;q=40.03606,-75.07167")</f>
        <v>http://maps.google.com/maps?f=q&amp;hl=en&amp;geocode=&amp;q=40.03606,-75.07167</v>
      </c>
    </row>
    <row r="1408" spans="1:7" ht="15" x14ac:dyDescent="0.3">
      <c r="A1408">
        <v>47.0110893249512</v>
      </c>
      <c r="B1408">
        <v>7.4870729446411097</v>
      </c>
      <c r="C1408" t="s">
        <v>41</v>
      </c>
      <c r="D1408" t="s">
        <v>1081</v>
      </c>
      <c r="F1408" s="21"/>
      <c r="G1408" s="16" t="str">
        <f>HYPERLINK("http://maps.google.com/maps?f=q&amp;hl=en&amp;geocode=&amp;q=47.0110893249512,7.48707294464111")</f>
        <v>http://maps.google.com/maps?f=q&amp;hl=en&amp;geocode=&amp;q=47.0110893249512,7.48707294464111</v>
      </c>
    </row>
    <row r="1409" spans="1:7" ht="15" x14ac:dyDescent="0.3">
      <c r="A1409">
        <v>39.041290283203097</v>
      </c>
      <c r="B1409">
        <v>-75.574310302734403</v>
      </c>
      <c r="C1409" t="s">
        <v>43</v>
      </c>
      <c r="D1409" t="s">
        <v>1082</v>
      </c>
      <c r="F1409" s="21"/>
      <c r="G1409" s="16" t="str">
        <f>HYPERLINK("http://maps.google.com/maps?f=q&amp;hl=en&amp;geocode=&amp;q=39.0412902832031,-75.5743103027344")</f>
        <v>http://maps.google.com/maps?f=q&amp;hl=en&amp;geocode=&amp;q=39.0412902832031,-75.5743103027344</v>
      </c>
    </row>
    <row r="1410" spans="1:7" ht="15" x14ac:dyDescent="0.3">
      <c r="A1410">
        <v>41.649540000000002</v>
      </c>
      <c r="B1410">
        <v>-83.585999999999999</v>
      </c>
      <c r="C1410" t="s">
        <v>41</v>
      </c>
      <c r="D1410" t="s">
        <v>1083</v>
      </c>
      <c r="F1410" s="21"/>
      <c r="G1410" s="16" t="str">
        <f>HYPERLINK("http://maps.google.com/maps?f=q&amp;hl=en&amp;geocode=&amp;q=41.64954,-83.586")</f>
        <v>http://maps.google.com/maps?f=q&amp;hl=en&amp;geocode=&amp;q=41.64954,-83.586</v>
      </c>
    </row>
    <row r="1411" spans="1:7" ht="15" x14ac:dyDescent="0.3">
      <c r="A1411">
        <v>40.030951000000002</v>
      </c>
      <c r="B1411">
        <v>-75.665925999999999</v>
      </c>
      <c r="C1411" t="s">
        <v>42</v>
      </c>
      <c r="D1411" t="s">
        <v>1084</v>
      </c>
      <c r="F1411" s="21"/>
      <c r="G1411" s="16" t="str">
        <f>HYPERLINK("http://maps.google.com/maps?f=q&amp;hl=en&amp;geocode=&amp;q=40.030951,-75.665926")</f>
        <v>http://maps.google.com/maps?f=q&amp;hl=en&amp;geocode=&amp;q=40.030951,-75.665926</v>
      </c>
    </row>
    <row r="1412" spans="1:7" ht="15" x14ac:dyDescent="0.3">
      <c r="A1412">
        <v>41.149993206539698</v>
      </c>
      <c r="B1412">
        <v>-111.913570873949</v>
      </c>
      <c r="C1412" t="s">
        <v>41</v>
      </c>
      <c r="D1412" t="s">
        <v>782</v>
      </c>
      <c r="F1412" s="21"/>
      <c r="G1412" s="16" t="str">
        <f>HYPERLINK("http://maps.google.com/maps?f=q&amp;hl=en&amp;geocode=&amp;q=41.1499932065397,-111.913570873949")</f>
        <v>http://maps.google.com/maps?f=q&amp;hl=en&amp;geocode=&amp;q=41.1499932065397,-111.913570873949</v>
      </c>
    </row>
    <row r="1413" spans="1:7" ht="15" x14ac:dyDescent="0.3">
      <c r="A1413">
        <v>-32.476999900000003</v>
      </c>
      <c r="B1413">
        <v>115.78574</v>
      </c>
      <c r="C1413" t="s">
        <v>41</v>
      </c>
      <c r="D1413" t="s">
        <v>306</v>
      </c>
      <c r="F1413" s="21"/>
      <c r="G1413" s="16" t="str">
        <f>HYPERLINK("http://maps.google.com/maps?f=q&amp;hl=en&amp;geocode=&amp;q=-32.4769999,115.78574")</f>
        <v>http://maps.google.com/maps?f=q&amp;hl=en&amp;geocode=&amp;q=-32.4769999,115.78574</v>
      </c>
    </row>
    <row r="1414" spans="1:7" ht="15" x14ac:dyDescent="0.3">
      <c r="A1414">
        <v>-32.476999900000003</v>
      </c>
      <c r="B1414">
        <v>115.78574</v>
      </c>
      <c r="C1414" t="s">
        <v>41</v>
      </c>
      <c r="D1414" t="s">
        <v>306</v>
      </c>
      <c r="F1414" s="21"/>
      <c r="G1414" s="16" t="str">
        <f>HYPERLINK("http://maps.google.com/maps?f=q&amp;hl=en&amp;geocode=&amp;q=-32.4769999,115.78574")</f>
        <v>http://maps.google.com/maps?f=q&amp;hl=en&amp;geocode=&amp;q=-32.4769999,115.78574</v>
      </c>
    </row>
    <row r="1415" spans="1:7" ht="15" x14ac:dyDescent="0.3">
      <c r="A1415">
        <v>40.020519999999998</v>
      </c>
      <c r="B1415">
        <v>-75.126689999999996</v>
      </c>
      <c r="C1415" t="s">
        <v>43</v>
      </c>
      <c r="D1415" t="s">
        <v>1085</v>
      </c>
      <c r="F1415" s="21"/>
      <c r="G1415" s="16" t="str">
        <f>HYPERLINK("http://maps.google.com/maps?f=q&amp;hl=en&amp;geocode=&amp;q=40.02052,-75.12669")</f>
        <v>http://maps.google.com/maps?f=q&amp;hl=en&amp;geocode=&amp;q=40.02052,-75.12669</v>
      </c>
    </row>
    <row r="1416" spans="1:7" ht="15" x14ac:dyDescent="0.3">
      <c r="A1416">
        <v>-32.476999900000003</v>
      </c>
      <c r="B1416">
        <v>115.78574</v>
      </c>
      <c r="C1416" t="s">
        <v>41</v>
      </c>
      <c r="D1416" t="s">
        <v>306</v>
      </c>
      <c r="F1416" s="21"/>
      <c r="G1416" s="16" t="str">
        <f>HYPERLINK("http://maps.google.com/maps?f=q&amp;hl=en&amp;geocode=&amp;q=-32.4769999,115.78574")</f>
        <v>http://maps.google.com/maps?f=q&amp;hl=en&amp;geocode=&amp;q=-32.4769999,115.78574</v>
      </c>
    </row>
    <row r="1417" spans="1:7" ht="15" x14ac:dyDescent="0.3">
      <c r="A1417">
        <v>39.950887358243797</v>
      </c>
      <c r="B1417">
        <v>-75.235135942669899</v>
      </c>
      <c r="C1417" t="s">
        <v>41</v>
      </c>
      <c r="D1417" t="s">
        <v>1086</v>
      </c>
      <c r="F1417" s="21"/>
      <c r="G1417" s="16" t="str">
        <f>HYPERLINK("http://maps.google.com/maps?f=q&amp;hl=en&amp;geocode=&amp;q=39.9508873582438,-75.2351359426699")</f>
        <v>http://maps.google.com/maps?f=q&amp;hl=en&amp;geocode=&amp;q=39.9508873582438,-75.2351359426699</v>
      </c>
    </row>
    <row r="1418" spans="1:7" ht="15" x14ac:dyDescent="0.3">
      <c r="A1418">
        <v>38.766411589082097</v>
      </c>
      <c r="B1418">
        <v>-90.591846957956406</v>
      </c>
      <c r="C1418" t="s">
        <v>43</v>
      </c>
      <c r="D1418" t="s">
        <v>779</v>
      </c>
      <c r="F1418" s="21"/>
      <c r="G1418" s="16" t="str">
        <f>HYPERLINK("http://maps.google.com/maps?f=q&amp;hl=en&amp;geocode=&amp;q=38.7664115890821,-90.5918469579564")</f>
        <v>http://maps.google.com/maps?f=q&amp;hl=en&amp;geocode=&amp;q=38.7664115890821,-90.5918469579564</v>
      </c>
    </row>
    <row r="1419" spans="1:7" ht="15" x14ac:dyDescent="0.3">
      <c r="A1419">
        <v>40.027999999999999</v>
      </c>
      <c r="B1419">
        <v>-75.132339999999999</v>
      </c>
      <c r="C1419" t="s">
        <v>42</v>
      </c>
      <c r="D1419" t="s">
        <v>1087</v>
      </c>
      <c r="F1419" s="21"/>
      <c r="G1419" s="16" t="str">
        <f>HYPERLINK("http://maps.google.com/maps?f=q&amp;hl=en&amp;geocode=&amp;q=40.028,-75.13234")</f>
        <v>http://maps.google.com/maps?f=q&amp;hl=en&amp;geocode=&amp;q=40.028,-75.13234</v>
      </c>
    </row>
    <row r="1420" spans="1:7" ht="15" x14ac:dyDescent="0.3">
      <c r="A1420">
        <v>37.438207491870998</v>
      </c>
      <c r="B1420">
        <v>-97.133206915832702</v>
      </c>
      <c r="C1420" t="s">
        <v>41</v>
      </c>
      <c r="D1420" t="s">
        <v>1088</v>
      </c>
      <c r="F1420" s="21"/>
      <c r="G1420" s="16" t="str">
        <f>HYPERLINK("http://maps.google.com/maps?f=q&amp;hl=en&amp;geocode=&amp;q=37.438207491871,-97.1332069158327")</f>
        <v>http://maps.google.com/maps?f=q&amp;hl=en&amp;geocode=&amp;q=37.438207491871,-97.1332069158327</v>
      </c>
    </row>
    <row r="1421" spans="1:7" ht="15" x14ac:dyDescent="0.3">
      <c r="A1421">
        <v>47.344679900000003</v>
      </c>
      <c r="B1421">
        <v>13.199260000000001</v>
      </c>
      <c r="C1421" t="s">
        <v>41</v>
      </c>
      <c r="D1421" t="s">
        <v>1089</v>
      </c>
      <c r="F1421" s="21"/>
      <c r="G1421" s="16" t="str">
        <f>HYPERLINK("http://maps.google.com/maps?f=q&amp;hl=en&amp;geocode=&amp;q=47.3446799,13.19926")</f>
        <v>http://maps.google.com/maps?f=q&amp;hl=en&amp;geocode=&amp;q=47.3446799,13.19926</v>
      </c>
    </row>
    <row r="1422" spans="1:7" ht="15" x14ac:dyDescent="0.3">
      <c r="A1422">
        <v>43.280860900878899</v>
      </c>
      <c r="B1422">
        <v>-71.464241027832003</v>
      </c>
      <c r="C1422" t="s">
        <v>41</v>
      </c>
      <c r="D1422" t="s">
        <v>1090</v>
      </c>
      <c r="F1422" s="21"/>
      <c r="G1422" s="16" t="str">
        <f>HYPERLINK("http://maps.google.com/maps?f=q&amp;hl=en&amp;geocode=&amp;q=43.2808609008789,-71.464241027832")</f>
        <v>http://maps.google.com/maps?f=q&amp;hl=en&amp;geocode=&amp;q=43.2808609008789,-71.464241027832</v>
      </c>
    </row>
    <row r="1423" spans="1:7" ht="15" x14ac:dyDescent="0.3">
      <c r="A1423">
        <v>39.996954737656701</v>
      </c>
      <c r="B1423">
        <v>-75.117221959843704</v>
      </c>
      <c r="C1423" t="s">
        <v>41</v>
      </c>
      <c r="D1423" t="s">
        <v>521</v>
      </c>
      <c r="F1423" s="21"/>
      <c r="G1423" s="16" t="str">
        <f>HYPERLINK("http://maps.google.com/maps?f=q&amp;hl=en&amp;geocode=&amp;q=39.9969547376567,-75.1172219598437")</f>
        <v>http://maps.google.com/maps?f=q&amp;hl=en&amp;geocode=&amp;q=39.9969547376567,-75.1172219598437</v>
      </c>
    </row>
    <row r="1424" spans="1:7" ht="15" x14ac:dyDescent="0.3">
      <c r="A1424">
        <v>52.169998168945298</v>
      </c>
      <c r="B1424">
        <v>1.5299999713897701</v>
      </c>
      <c r="C1424" t="s">
        <v>41</v>
      </c>
      <c r="D1424" t="s">
        <v>1091</v>
      </c>
      <c r="F1424" s="21"/>
      <c r="G1424" s="16" t="str">
        <f>HYPERLINK("http://maps.google.com/maps?f=q&amp;hl=en&amp;geocode=&amp;q=52.1699981689453,1.52999997138977")</f>
        <v>http://maps.google.com/maps?f=q&amp;hl=en&amp;geocode=&amp;q=52.1699981689453,1.52999997138977</v>
      </c>
    </row>
    <row r="1425" spans="1:7" ht="15" x14ac:dyDescent="0.3">
      <c r="A1425" t="s">
        <v>44</v>
      </c>
      <c r="B1425" t="s">
        <v>44</v>
      </c>
      <c r="C1425" t="s">
        <v>44</v>
      </c>
      <c r="D1425" t="s">
        <v>1092</v>
      </c>
      <c r="F1425" s="21"/>
      <c r="G1425" s="16"/>
    </row>
    <row r="1426" spans="1:7" ht="15" x14ac:dyDescent="0.3">
      <c r="A1426">
        <v>33.047476239498202</v>
      </c>
      <c r="B1426">
        <v>-96.751214081028294</v>
      </c>
      <c r="C1426" t="s">
        <v>41</v>
      </c>
      <c r="D1426" t="s">
        <v>1077</v>
      </c>
      <c r="F1426" s="21"/>
      <c r="G1426" s="16" t="str">
        <f>HYPERLINK("http://maps.google.com/maps?f=q&amp;hl=en&amp;geocode=&amp;q=33.0474762394982,-96.7512140810283")</f>
        <v>http://maps.google.com/maps?f=q&amp;hl=en&amp;geocode=&amp;q=33.0474762394982,-96.7512140810283</v>
      </c>
    </row>
    <row r="1427" spans="1:7" ht="15" x14ac:dyDescent="0.3">
      <c r="A1427">
        <v>40.009219000000002</v>
      </c>
      <c r="B1427">
        <v>-76.858749000000003</v>
      </c>
      <c r="C1427" t="s">
        <v>41</v>
      </c>
      <c r="D1427" t="s">
        <v>1093</v>
      </c>
      <c r="F1427" s="21"/>
      <c r="G1427" s="16" t="str">
        <f>HYPERLINK("http://maps.google.com/maps?f=q&amp;hl=en&amp;geocode=&amp;q=40.009219,-76.858749")</f>
        <v>http://maps.google.com/maps?f=q&amp;hl=en&amp;geocode=&amp;q=40.009219,-76.858749</v>
      </c>
    </row>
    <row r="1428" spans="1:7" ht="15" x14ac:dyDescent="0.3">
      <c r="A1428">
        <v>40.451050000000002</v>
      </c>
      <c r="B1428">
        <v>-80.055580000000006</v>
      </c>
      <c r="C1428" t="s">
        <v>41</v>
      </c>
      <c r="D1428" t="s">
        <v>1094</v>
      </c>
      <c r="F1428" s="21"/>
      <c r="G1428" s="16" t="str">
        <f>HYPERLINK("http://maps.google.com/maps?f=q&amp;hl=en&amp;geocode=&amp;q=40.45105,-80.05558")</f>
        <v>http://maps.google.com/maps?f=q&amp;hl=en&amp;geocode=&amp;q=40.45105,-80.05558</v>
      </c>
    </row>
    <row r="1429" spans="1:7" ht="15" x14ac:dyDescent="0.3">
      <c r="A1429">
        <v>32.597850000000001</v>
      </c>
      <c r="B1429">
        <v>-97.117180000000005</v>
      </c>
      <c r="C1429" t="s">
        <v>41</v>
      </c>
      <c r="D1429" t="s">
        <v>1095</v>
      </c>
      <c r="F1429" s="21"/>
      <c r="G1429" s="16" t="str">
        <f>HYPERLINK("http://maps.google.com/maps?f=q&amp;hl=en&amp;geocode=&amp;q=32.59785,-97.11718")</f>
        <v>http://maps.google.com/maps?f=q&amp;hl=en&amp;geocode=&amp;q=32.59785,-97.11718</v>
      </c>
    </row>
    <row r="1430" spans="1:7" ht="15" x14ac:dyDescent="0.3">
      <c r="A1430">
        <v>33.979321099064897</v>
      </c>
      <c r="B1430">
        <v>-84.242734223870997</v>
      </c>
      <c r="C1430" t="s">
        <v>41</v>
      </c>
      <c r="D1430" t="s">
        <v>1096</v>
      </c>
      <c r="F1430" s="21"/>
      <c r="G1430" s="16" t="str">
        <f>HYPERLINK("http://maps.google.com/maps?f=q&amp;hl=en&amp;geocode=&amp;q=33.9793210990649,-84.242734223871")</f>
        <v>http://maps.google.com/maps?f=q&amp;hl=en&amp;geocode=&amp;q=33.9793210990649,-84.242734223871</v>
      </c>
    </row>
    <row r="1431" spans="1:7" ht="15" x14ac:dyDescent="0.3">
      <c r="A1431">
        <v>39.937958825259898</v>
      </c>
      <c r="B1431">
        <v>-75.227761483261006</v>
      </c>
      <c r="C1431" t="s">
        <v>41</v>
      </c>
      <c r="D1431" t="s">
        <v>1097</v>
      </c>
      <c r="F1431" s="21"/>
      <c r="G1431" s="16" t="str">
        <f>HYPERLINK("http://maps.google.com/maps?f=q&amp;hl=en&amp;geocode=&amp;q=39.9379588252599,-75.227761483261")</f>
        <v>http://maps.google.com/maps?f=q&amp;hl=en&amp;geocode=&amp;q=39.9379588252599,-75.227761483261</v>
      </c>
    </row>
    <row r="1432" spans="1:7" ht="15" x14ac:dyDescent="0.3">
      <c r="A1432">
        <v>36.502029418945298</v>
      </c>
      <c r="B1432">
        <v>-88.325889587402301</v>
      </c>
      <c r="C1432" t="s">
        <v>43</v>
      </c>
      <c r="D1432" t="s">
        <v>1098</v>
      </c>
      <c r="F1432" s="21"/>
      <c r="G1432" s="16" t="str">
        <f>HYPERLINK("http://maps.google.com/maps?f=q&amp;hl=en&amp;geocode=&amp;q=36.5020294189453,-88.3258895874023")</f>
        <v>http://maps.google.com/maps?f=q&amp;hl=en&amp;geocode=&amp;q=36.5020294189453,-88.3258895874023</v>
      </c>
    </row>
    <row r="1433" spans="1:7" ht="15" x14ac:dyDescent="0.3">
      <c r="A1433">
        <v>48.872901916503899</v>
      </c>
      <c r="B1433">
        <v>2.3537058830261199</v>
      </c>
      <c r="C1433" t="s">
        <v>41</v>
      </c>
      <c r="D1433" t="s">
        <v>1099</v>
      </c>
      <c r="F1433" s="21"/>
      <c r="G1433" s="16" t="str">
        <f>HYPERLINK("http://maps.google.com/maps?f=q&amp;hl=en&amp;geocode=&amp;q=48.8729019165039,2.35370588302612")</f>
        <v>http://maps.google.com/maps?f=q&amp;hl=en&amp;geocode=&amp;q=48.8729019165039,2.35370588302612</v>
      </c>
    </row>
    <row r="1434" spans="1:7" ht="15" x14ac:dyDescent="0.3">
      <c r="A1434" t="s">
        <v>44</v>
      </c>
      <c r="B1434" t="s">
        <v>44</v>
      </c>
      <c r="C1434" t="s">
        <v>44</v>
      </c>
      <c r="D1434" t="s">
        <v>1100</v>
      </c>
      <c r="F1434" s="21"/>
      <c r="G1434" s="16"/>
    </row>
    <row r="1435" spans="1:7" ht="15" x14ac:dyDescent="0.3">
      <c r="A1435">
        <v>39.955309999999997</v>
      </c>
      <c r="B1435">
        <v>-75.221800000000002</v>
      </c>
      <c r="C1435" t="s">
        <v>42</v>
      </c>
      <c r="D1435" t="s">
        <v>811</v>
      </c>
      <c r="F1435" s="21"/>
      <c r="G1435" s="16" t="str">
        <f>HYPERLINK("http://maps.google.com/maps?f=q&amp;hl=en&amp;geocode=&amp;q=39.95531,-75.2218")</f>
        <v>http://maps.google.com/maps?f=q&amp;hl=en&amp;geocode=&amp;q=39.95531,-75.2218</v>
      </c>
    </row>
    <row r="1436" spans="1:7" ht="15" x14ac:dyDescent="0.3">
      <c r="A1436">
        <v>35.158396757966997</v>
      </c>
      <c r="B1436">
        <v>-90.045376222310097</v>
      </c>
      <c r="C1436" t="s">
        <v>41</v>
      </c>
      <c r="D1436" t="s">
        <v>154</v>
      </c>
      <c r="F1436" s="21"/>
      <c r="G1436" s="16" t="str">
        <f>HYPERLINK("http://maps.google.com/maps?f=q&amp;hl=en&amp;geocode=&amp;q=35.158396757967,-90.0453762223101")</f>
        <v>http://maps.google.com/maps?f=q&amp;hl=en&amp;geocode=&amp;q=35.158396757967,-90.0453762223101</v>
      </c>
    </row>
    <row r="1437" spans="1:7" ht="15" x14ac:dyDescent="0.3">
      <c r="A1437">
        <v>42.4211838777669</v>
      </c>
      <c r="B1437">
        <v>-76.492153618799193</v>
      </c>
      <c r="C1437" t="s">
        <v>41</v>
      </c>
      <c r="D1437" t="s">
        <v>146</v>
      </c>
      <c r="F1437" s="21"/>
      <c r="G1437" s="16" t="str">
        <f>HYPERLINK("http://maps.google.com/maps?f=q&amp;hl=en&amp;geocode=&amp;q=42.4211838777669,-76.4921536187992")</f>
        <v>http://maps.google.com/maps?f=q&amp;hl=en&amp;geocode=&amp;q=42.4211838777669,-76.4921536187992</v>
      </c>
    </row>
    <row r="1438" spans="1:7" ht="15" x14ac:dyDescent="0.3">
      <c r="A1438">
        <v>32.834021648913101</v>
      </c>
      <c r="B1438">
        <v>-96.766424756708304</v>
      </c>
      <c r="C1438" t="s">
        <v>41</v>
      </c>
      <c r="D1438" t="s">
        <v>1101</v>
      </c>
      <c r="F1438" s="21"/>
      <c r="G1438" s="16" t="str">
        <f>HYPERLINK("http://maps.google.com/maps?f=q&amp;hl=en&amp;geocode=&amp;q=32.8340216489131,-96.7664247567083")</f>
        <v>http://maps.google.com/maps?f=q&amp;hl=en&amp;geocode=&amp;q=32.8340216489131,-96.7664247567083</v>
      </c>
    </row>
    <row r="1439" spans="1:7" ht="15" x14ac:dyDescent="0.3">
      <c r="A1439">
        <v>33.672056381324801</v>
      </c>
      <c r="B1439">
        <v>-102.561453241688</v>
      </c>
      <c r="C1439" t="s">
        <v>41</v>
      </c>
      <c r="D1439" t="s">
        <v>951</v>
      </c>
      <c r="F1439" s="21"/>
      <c r="G1439" s="16" t="str">
        <f>HYPERLINK("http://maps.google.com/maps?f=q&amp;hl=en&amp;geocode=&amp;q=33.6720563813248,-102.561453241688")</f>
        <v>http://maps.google.com/maps?f=q&amp;hl=en&amp;geocode=&amp;q=33.6720563813248,-102.561453241688</v>
      </c>
    </row>
    <row r="1440" spans="1:7" ht="15" x14ac:dyDescent="0.3">
      <c r="A1440">
        <v>-33.299518585205099</v>
      </c>
      <c r="B1440">
        <v>149.01606750488301</v>
      </c>
      <c r="C1440" t="s">
        <v>43</v>
      </c>
      <c r="D1440" t="s">
        <v>1102</v>
      </c>
      <c r="F1440" s="21"/>
      <c r="G1440" s="16" t="str">
        <f>HYPERLINK("http://maps.google.com/maps?f=q&amp;hl=en&amp;geocode=&amp;q=-33.2995185852051,149.016067504883")</f>
        <v>http://maps.google.com/maps?f=q&amp;hl=en&amp;geocode=&amp;q=-33.2995185852051,149.016067504883</v>
      </c>
    </row>
    <row r="1441" spans="1:7" ht="15" x14ac:dyDescent="0.3">
      <c r="A1441">
        <v>30.6847810355688</v>
      </c>
      <c r="B1441">
        <v>-88.143761548781896</v>
      </c>
      <c r="C1441" t="s">
        <v>41</v>
      </c>
      <c r="D1441" t="s">
        <v>1022</v>
      </c>
      <c r="F1441" s="21"/>
      <c r="G1441" s="16" t="str">
        <f>HYPERLINK("http://maps.google.com/maps?f=q&amp;hl=en&amp;geocode=&amp;q=30.6847810355688,-88.1437615487819")</f>
        <v>http://maps.google.com/maps?f=q&amp;hl=en&amp;geocode=&amp;q=30.6847810355688,-88.1437615487819</v>
      </c>
    </row>
    <row r="1442" spans="1:7" ht="15" x14ac:dyDescent="0.3">
      <c r="A1442">
        <v>43.047107306582298</v>
      </c>
      <c r="B1442">
        <v>-76.286824078160194</v>
      </c>
      <c r="C1442" t="s">
        <v>42</v>
      </c>
      <c r="D1442" t="s">
        <v>1103</v>
      </c>
      <c r="F1442" s="21"/>
      <c r="G1442" s="16" t="str">
        <f>HYPERLINK("http://maps.google.com/maps?f=q&amp;hl=en&amp;geocode=&amp;q=43.0471073065823,-76.2868240781602")</f>
        <v>http://maps.google.com/maps?f=q&amp;hl=en&amp;geocode=&amp;q=43.0471073065823,-76.2868240781602</v>
      </c>
    </row>
    <row r="1443" spans="1:7" ht="15" x14ac:dyDescent="0.3">
      <c r="A1443">
        <v>35.405657298466302</v>
      </c>
      <c r="B1443">
        <v>-89.387782935739807</v>
      </c>
      <c r="C1443" t="s">
        <v>41</v>
      </c>
      <c r="D1443" t="s">
        <v>695</v>
      </c>
      <c r="F1443" s="21"/>
      <c r="G1443" s="16" t="str">
        <f>HYPERLINK("http://maps.google.com/maps?f=q&amp;hl=en&amp;geocode=&amp;q=35.4056572984663,-89.3877829357398")</f>
        <v>http://maps.google.com/maps?f=q&amp;hl=en&amp;geocode=&amp;q=35.4056572984663,-89.3877829357398</v>
      </c>
    </row>
    <row r="1444" spans="1:7" ht="15" x14ac:dyDescent="0.3">
      <c r="A1444">
        <v>30.013597252129799</v>
      </c>
      <c r="B1444">
        <v>-90.178112333309699</v>
      </c>
      <c r="C1444" t="s">
        <v>41</v>
      </c>
      <c r="D1444" t="s">
        <v>176</v>
      </c>
      <c r="F1444" s="21"/>
      <c r="G1444" s="16" t="str">
        <f>HYPERLINK("http://maps.google.com/maps?f=q&amp;hl=en&amp;geocode=&amp;q=30.0135972521298,-90.1781123333097")</f>
        <v>http://maps.google.com/maps?f=q&amp;hl=en&amp;geocode=&amp;q=30.0135972521298,-90.1781123333097</v>
      </c>
    </row>
    <row r="1445" spans="1:7" ht="15" x14ac:dyDescent="0.3">
      <c r="A1445">
        <v>46.4929809570313</v>
      </c>
      <c r="B1445">
        <v>20.6840934753418</v>
      </c>
      <c r="C1445" t="s">
        <v>43</v>
      </c>
      <c r="D1445" t="s">
        <v>1104</v>
      </c>
      <c r="F1445" s="21"/>
      <c r="G1445" s="16" t="str">
        <f>HYPERLINK("http://maps.google.com/maps?f=q&amp;hl=en&amp;geocode=&amp;q=46.4929809570313,20.6840934753418")</f>
        <v>http://maps.google.com/maps?f=q&amp;hl=en&amp;geocode=&amp;q=46.4929809570313,20.6840934753418</v>
      </c>
    </row>
    <row r="1446" spans="1:7" ht="15" x14ac:dyDescent="0.3">
      <c r="A1446">
        <v>40.100450000000002</v>
      </c>
      <c r="B1446">
        <v>-83.025779999999997</v>
      </c>
      <c r="C1446" t="s">
        <v>41</v>
      </c>
      <c r="D1446" t="s">
        <v>1105</v>
      </c>
      <c r="F1446" s="21"/>
      <c r="G1446" s="16" t="str">
        <f>HYPERLINK("http://maps.google.com/maps?f=q&amp;hl=en&amp;geocode=&amp;q=40.10045,-83.02578")</f>
        <v>http://maps.google.com/maps?f=q&amp;hl=en&amp;geocode=&amp;q=40.10045,-83.02578</v>
      </c>
    </row>
    <row r="1447" spans="1:7" ht="15" x14ac:dyDescent="0.3">
      <c r="A1447">
        <v>35.778444310505201</v>
      </c>
      <c r="B1447">
        <v>-84.013935380915399</v>
      </c>
      <c r="C1447" t="s">
        <v>41</v>
      </c>
      <c r="D1447" t="s">
        <v>1106</v>
      </c>
      <c r="F1447" s="21"/>
      <c r="G1447" s="16" t="str">
        <f>HYPERLINK("http://maps.google.com/maps?f=q&amp;hl=en&amp;geocode=&amp;q=35.7784443105052,-84.0139353809154")</f>
        <v>http://maps.google.com/maps?f=q&amp;hl=en&amp;geocode=&amp;q=35.7784443105052,-84.0139353809154</v>
      </c>
    </row>
    <row r="1448" spans="1:7" ht="15" x14ac:dyDescent="0.3">
      <c r="A1448">
        <v>43.026452978160499</v>
      </c>
      <c r="B1448">
        <v>-95.623947972903807</v>
      </c>
      <c r="C1448" t="s">
        <v>41</v>
      </c>
      <c r="D1448" t="s">
        <v>79</v>
      </c>
      <c r="F1448" s="21"/>
      <c r="G1448" s="16" t="str">
        <f>HYPERLINK("http://maps.google.com/maps?f=q&amp;hl=en&amp;geocode=&amp;q=43.0264529781605,-95.6239479729038")</f>
        <v>http://maps.google.com/maps?f=q&amp;hl=en&amp;geocode=&amp;q=43.0264529781605,-95.6239479729038</v>
      </c>
    </row>
    <row r="1449" spans="1:7" ht="15" x14ac:dyDescent="0.3">
      <c r="A1449">
        <v>45.3201293945313</v>
      </c>
      <c r="B1449">
        <v>-93.285453796386705</v>
      </c>
      <c r="C1449" t="s">
        <v>43</v>
      </c>
      <c r="D1449" t="s">
        <v>1107</v>
      </c>
      <c r="F1449" s="21"/>
      <c r="G1449" s="16" t="str">
        <f>HYPERLINK("http://maps.google.com/maps?f=q&amp;hl=en&amp;geocode=&amp;q=45.3201293945313,-93.2854537963867")</f>
        <v>http://maps.google.com/maps?f=q&amp;hl=en&amp;geocode=&amp;q=45.3201293945313,-93.2854537963867</v>
      </c>
    </row>
    <row r="1450" spans="1:7" ht="15" x14ac:dyDescent="0.3">
      <c r="A1450" t="s">
        <v>44</v>
      </c>
      <c r="B1450" t="s">
        <v>44</v>
      </c>
      <c r="C1450" t="s">
        <v>44</v>
      </c>
      <c r="D1450" t="s">
        <v>1004</v>
      </c>
      <c r="F1450" s="21"/>
      <c r="G1450" s="16"/>
    </row>
    <row r="1451" spans="1:7" ht="15" x14ac:dyDescent="0.3">
      <c r="A1451">
        <v>51.1703071594238</v>
      </c>
      <c r="B1451">
        <v>4.39483690261841</v>
      </c>
      <c r="C1451" t="s">
        <v>41</v>
      </c>
      <c r="D1451" t="s">
        <v>1108</v>
      </c>
      <c r="F1451" s="21"/>
      <c r="G1451" s="16" t="str">
        <f>HYPERLINK("http://maps.google.com/maps?f=q&amp;hl=en&amp;geocode=&amp;q=51.1703071594238,4.39483690261841")</f>
        <v>http://maps.google.com/maps?f=q&amp;hl=en&amp;geocode=&amp;q=51.1703071594238,4.39483690261841</v>
      </c>
    </row>
    <row r="1452" spans="1:7" ht="15" x14ac:dyDescent="0.3">
      <c r="A1452">
        <v>39.028579999999998</v>
      </c>
      <c r="B1452">
        <v>-94.562049999999999</v>
      </c>
      <c r="C1452" t="s">
        <v>43</v>
      </c>
      <c r="D1452" t="s">
        <v>1109</v>
      </c>
      <c r="F1452" s="21"/>
      <c r="G1452" s="16" t="str">
        <f>HYPERLINK("http://maps.google.com/maps?f=q&amp;hl=en&amp;geocode=&amp;q=39.02858,-94.56205")</f>
        <v>http://maps.google.com/maps?f=q&amp;hl=en&amp;geocode=&amp;q=39.02858,-94.56205</v>
      </c>
    </row>
    <row r="1453" spans="1:7" ht="15" x14ac:dyDescent="0.3">
      <c r="A1453">
        <v>40.239060000000002</v>
      </c>
      <c r="B1453">
        <v>-76.787999999999997</v>
      </c>
      <c r="C1453" t="s">
        <v>42</v>
      </c>
      <c r="D1453" t="s">
        <v>1110</v>
      </c>
      <c r="F1453" s="21"/>
      <c r="G1453" s="16" t="str">
        <f>HYPERLINK("http://maps.google.com/maps?f=q&amp;hl=en&amp;geocode=&amp;q=40.23906,-76.788")</f>
        <v>http://maps.google.com/maps?f=q&amp;hl=en&amp;geocode=&amp;q=40.23906,-76.788</v>
      </c>
    </row>
    <row r="1454" spans="1:7" ht="15" x14ac:dyDescent="0.3">
      <c r="A1454">
        <v>40.08972</v>
      </c>
      <c r="B1454">
        <v>-82.955979999999997</v>
      </c>
      <c r="C1454" t="s">
        <v>41</v>
      </c>
      <c r="D1454" t="s">
        <v>1111</v>
      </c>
      <c r="F1454" s="21"/>
      <c r="G1454" s="16" t="str">
        <f>HYPERLINK("http://maps.google.com/maps?f=q&amp;hl=en&amp;geocode=&amp;q=40.08972,-82.95598")</f>
        <v>http://maps.google.com/maps?f=q&amp;hl=en&amp;geocode=&amp;q=40.08972,-82.95598</v>
      </c>
    </row>
    <row r="1455" spans="1:7" ht="15" x14ac:dyDescent="0.3">
      <c r="A1455">
        <v>-33.938720000000004</v>
      </c>
      <c r="B1455">
        <v>22.470829999999999</v>
      </c>
      <c r="C1455" t="s">
        <v>41</v>
      </c>
      <c r="D1455" t="s">
        <v>256</v>
      </c>
      <c r="F1455" s="21"/>
      <c r="G1455" s="16" t="str">
        <f>HYPERLINK("http://maps.google.com/maps?f=q&amp;hl=en&amp;geocode=&amp;q=-33.93872,22.47083")</f>
        <v>http://maps.google.com/maps?f=q&amp;hl=en&amp;geocode=&amp;q=-33.93872,22.47083</v>
      </c>
    </row>
    <row r="1456" spans="1:7" ht="15" x14ac:dyDescent="0.3">
      <c r="A1456">
        <v>39.917299999999997</v>
      </c>
      <c r="B1456">
        <v>-75.229200000000006</v>
      </c>
      <c r="C1456" t="s">
        <v>43</v>
      </c>
      <c r="D1456" t="s">
        <v>1112</v>
      </c>
      <c r="F1456" s="21"/>
      <c r="G1456" s="16" t="str">
        <f>HYPERLINK("http://maps.google.com/maps?f=q&amp;hl=en&amp;geocode=&amp;q=39.9173,-75.2292")</f>
        <v>http://maps.google.com/maps?f=q&amp;hl=en&amp;geocode=&amp;q=39.9173,-75.2292</v>
      </c>
    </row>
    <row r="1457" spans="1:7" ht="15" x14ac:dyDescent="0.3">
      <c r="A1457">
        <v>39.918550000000003</v>
      </c>
      <c r="B1457">
        <v>-75.228269999999995</v>
      </c>
      <c r="C1457" t="s">
        <v>43</v>
      </c>
      <c r="D1457" t="s">
        <v>1113</v>
      </c>
      <c r="F1457" s="21"/>
      <c r="G1457" s="16" t="str">
        <f>HYPERLINK("http://maps.google.com/maps?f=q&amp;hl=en&amp;geocode=&amp;q=39.91855,-75.22827")</f>
        <v>http://maps.google.com/maps?f=q&amp;hl=en&amp;geocode=&amp;q=39.91855,-75.22827</v>
      </c>
    </row>
    <row r="1458" spans="1:7" ht="15" x14ac:dyDescent="0.3">
      <c r="A1458">
        <v>39.918550000000003</v>
      </c>
      <c r="B1458">
        <v>-75.228269999999995</v>
      </c>
      <c r="C1458" t="s">
        <v>43</v>
      </c>
      <c r="D1458" t="s">
        <v>1113</v>
      </c>
      <c r="F1458" s="21"/>
      <c r="G1458" s="16" t="str">
        <f>HYPERLINK("http://maps.google.com/maps?f=q&amp;hl=en&amp;geocode=&amp;q=39.91855,-75.22827")</f>
        <v>http://maps.google.com/maps?f=q&amp;hl=en&amp;geocode=&amp;q=39.91855,-75.22827</v>
      </c>
    </row>
    <row r="1459" spans="1:7" ht="15" x14ac:dyDescent="0.3">
      <c r="A1459">
        <v>47.860430000000001</v>
      </c>
      <c r="B1459">
        <v>-97.131609999999995</v>
      </c>
      <c r="C1459" t="s">
        <v>43</v>
      </c>
      <c r="D1459" t="s">
        <v>1114</v>
      </c>
      <c r="F1459" s="21"/>
      <c r="G1459" s="16" t="str">
        <f>HYPERLINK("http://maps.google.com/maps?f=q&amp;hl=en&amp;geocode=&amp;q=47.86043,-97.13161")</f>
        <v>http://maps.google.com/maps?f=q&amp;hl=en&amp;geocode=&amp;q=47.86043,-97.13161</v>
      </c>
    </row>
    <row r="1460" spans="1:7" ht="15" x14ac:dyDescent="0.3">
      <c r="A1460">
        <v>-26.188575744628899</v>
      </c>
      <c r="B1460">
        <v>27.929327011108398</v>
      </c>
      <c r="C1460" t="s">
        <v>43</v>
      </c>
      <c r="D1460" t="s">
        <v>1115</v>
      </c>
      <c r="F1460" s="21"/>
      <c r="G1460" s="16" t="str">
        <f>HYPERLINK("http://maps.google.com/maps?f=q&amp;hl=en&amp;geocode=&amp;q=-26.1885757446289,27.9293270111084")</f>
        <v>http://maps.google.com/maps?f=q&amp;hl=en&amp;geocode=&amp;q=-26.1885757446289,27.9293270111084</v>
      </c>
    </row>
    <row r="1461" spans="1:7" ht="15" x14ac:dyDescent="0.3">
      <c r="A1461">
        <v>39.921889999999998</v>
      </c>
      <c r="B1461">
        <v>-75.231560000000002</v>
      </c>
      <c r="C1461" t="s">
        <v>43</v>
      </c>
      <c r="D1461" t="s">
        <v>1116</v>
      </c>
      <c r="F1461" s="21"/>
      <c r="G1461" s="16" t="str">
        <f>HYPERLINK("http://maps.google.com/maps?f=q&amp;hl=en&amp;geocode=&amp;q=39.92189,-75.23156")</f>
        <v>http://maps.google.com/maps?f=q&amp;hl=en&amp;geocode=&amp;q=39.92189,-75.23156</v>
      </c>
    </row>
    <row r="1462" spans="1:7" ht="15" x14ac:dyDescent="0.3">
      <c r="A1462">
        <v>40.018901852138903</v>
      </c>
      <c r="B1462">
        <v>-75.115245230081001</v>
      </c>
      <c r="C1462" t="s">
        <v>41</v>
      </c>
      <c r="D1462" t="s">
        <v>1117</v>
      </c>
      <c r="F1462" s="21"/>
      <c r="G1462" s="16" t="str">
        <f>HYPERLINK("http://maps.google.com/maps?f=q&amp;hl=en&amp;geocode=&amp;q=40.0189018521389,-75.115245230081")</f>
        <v>http://maps.google.com/maps?f=q&amp;hl=en&amp;geocode=&amp;q=40.0189018521389,-75.115245230081</v>
      </c>
    </row>
    <row r="1463" spans="1:7" ht="15" x14ac:dyDescent="0.3">
      <c r="A1463">
        <v>40.018901852138903</v>
      </c>
      <c r="B1463">
        <v>-75.115245230081001</v>
      </c>
      <c r="C1463" t="s">
        <v>41</v>
      </c>
      <c r="D1463" t="s">
        <v>1117</v>
      </c>
      <c r="F1463" s="21"/>
      <c r="G1463" s="16" t="str">
        <f>HYPERLINK("http://maps.google.com/maps?f=q&amp;hl=en&amp;geocode=&amp;q=40.0189018521389,-75.115245230081")</f>
        <v>http://maps.google.com/maps?f=q&amp;hl=en&amp;geocode=&amp;q=40.0189018521389,-75.115245230081</v>
      </c>
    </row>
    <row r="1464" spans="1:7" ht="15" x14ac:dyDescent="0.3">
      <c r="A1464">
        <v>40.018901852138903</v>
      </c>
      <c r="B1464">
        <v>-75.115245230081001</v>
      </c>
      <c r="C1464" t="s">
        <v>41</v>
      </c>
      <c r="D1464" t="s">
        <v>1117</v>
      </c>
      <c r="F1464" s="21"/>
      <c r="G1464" s="16" t="str">
        <f>HYPERLINK("http://maps.google.com/maps?f=q&amp;hl=en&amp;geocode=&amp;q=40.0189018521389,-75.115245230081")</f>
        <v>http://maps.google.com/maps?f=q&amp;hl=en&amp;geocode=&amp;q=40.0189018521389,-75.115245230081</v>
      </c>
    </row>
    <row r="1465" spans="1:7" ht="15" x14ac:dyDescent="0.3">
      <c r="A1465">
        <v>39.970078479663201</v>
      </c>
      <c r="B1465">
        <v>-75.219388248918804</v>
      </c>
      <c r="C1465" t="s">
        <v>41</v>
      </c>
      <c r="D1465" t="s">
        <v>786</v>
      </c>
      <c r="F1465" s="21"/>
      <c r="G1465" s="16" t="str">
        <f>HYPERLINK("http://maps.google.com/maps?f=q&amp;hl=en&amp;geocode=&amp;q=39.9700784796632,-75.2193882489188")</f>
        <v>http://maps.google.com/maps?f=q&amp;hl=en&amp;geocode=&amp;q=39.9700784796632,-75.2193882489188</v>
      </c>
    </row>
    <row r="1466" spans="1:7" ht="15" x14ac:dyDescent="0.3">
      <c r="A1466">
        <v>39.970078479663201</v>
      </c>
      <c r="B1466">
        <v>-75.219388248918804</v>
      </c>
      <c r="C1466" t="s">
        <v>41</v>
      </c>
      <c r="D1466" t="s">
        <v>786</v>
      </c>
      <c r="F1466" s="21"/>
      <c r="G1466" s="16" t="str">
        <f>HYPERLINK("http://maps.google.com/maps?f=q&amp;hl=en&amp;geocode=&amp;q=39.9700784796632,-75.2193882489188")</f>
        <v>http://maps.google.com/maps?f=q&amp;hl=en&amp;geocode=&amp;q=39.9700784796632,-75.2193882489188</v>
      </c>
    </row>
    <row r="1467" spans="1:7" ht="15" x14ac:dyDescent="0.3">
      <c r="A1467">
        <v>49.625320434570298</v>
      </c>
      <c r="B1467">
        <v>6.1237659454345703</v>
      </c>
      <c r="C1467" t="s">
        <v>41</v>
      </c>
      <c r="D1467" t="s">
        <v>1118</v>
      </c>
      <c r="F1467" s="21"/>
      <c r="G1467" s="16" t="str">
        <f>HYPERLINK("http://maps.google.com/maps?f=q&amp;hl=en&amp;geocode=&amp;q=49.6253204345703,6.12376594543457")</f>
        <v>http://maps.google.com/maps?f=q&amp;hl=en&amp;geocode=&amp;q=49.6253204345703,6.12376594543457</v>
      </c>
    </row>
    <row r="1468" spans="1:7" ht="15" x14ac:dyDescent="0.3">
      <c r="A1468">
        <v>50.413559900000003</v>
      </c>
      <c r="B1468">
        <v>4.4393700000000003</v>
      </c>
      <c r="C1468" t="s">
        <v>41</v>
      </c>
      <c r="D1468" t="s">
        <v>544</v>
      </c>
      <c r="F1468" s="21"/>
      <c r="G1468" s="16" t="str">
        <f>HYPERLINK("http://maps.google.com/maps?f=q&amp;hl=en&amp;geocode=&amp;q=50.4135599,4.43937")</f>
        <v>http://maps.google.com/maps?f=q&amp;hl=en&amp;geocode=&amp;q=50.4135599,4.43937</v>
      </c>
    </row>
    <row r="1469" spans="1:7" ht="15" x14ac:dyDescent="0.3">
      <c r="A1469">
        <v>49.533977508544901</v>
      </c>
      <c r="B1469">
        <v>6.0161638259887704</v>
      </c>
      <c r="C1469" t="s">
        <v>41</v>
      </c>
      <c r="D1469" t="s">
        <v>262</v>
      </c>
      <c r="F1469" s="21"/>
      <c r="G1469" s="16" t="str">
        <f>HYPERLINK("http://maps.google.com/maps?f=q&amp;hl=en&amp;geocode=&amp;q=49.5339775085449,6.01616382598877")</f>
        <v>http://maps.google.com/maps?f=q&amp;hl=en&amp;geocode=&amp;q=49.5339775085449,6.01616382598877</v>
      </c>
    </row>
    <row r="1470" spans="1:7" ht="15" x14ac:dyDescent="0.3">
      <c r="A1470">
        <v>-37.747</v>
      </c>
      <c r="B1470">
        <v>142.02574000000001</v>
      </c>
      <c r="C1470" t="s">
        <v>41</v>
      </c>
      <c r="D1470" t="s">
        <v>1119</v>
      </c>
      <c r="F1470" s="21"/>
      <c r="G1470" s="16" t="str">
        <f>HYPERLINK("http://maps.google.com/maps?f=q&amp;hl=en&amp;geocode=&amp;q=-37.747,142.02574")</f>
        <v>http://maps.google.com/maps?f=q&amp;hl=en&amp;geocode=&amp;q=-37.747,142.02574</v>
      </c>
    </row>
    <row r="1471" spans="1:7" ht="15" x14ac:dyDescent="0.3">
      <c r="A1471">
        <v>33.844344077058203</v>
      </c>
      <c r="B1471">
        <v>-94.756845983112598</v>
      </c>
      <c r="C1471" t="s">
        <v>43</v>
      </c>
      <c r="D1471" t="s">
        <v>1120</v>
      </c>
      <c r="F1471" s="21"/>
      <c r="G1471" s="16" t="str">
        <f>HYPERLINK("http://maps.google.com/maps?f=q&amp;hl=en&amp;geocode=&amp;q=33.8443440770582,-94.7568459831126")</f>
        <v>http://maps.google.com/maps?f=q&amp;hl=en&amp;geocode=&amp;q=33.8443440770582,-94.7568459831126</v>
      </c>
    </row>
    <row r="1472" spans="1:7" ht="15" x14ac:dyDescent="0.3">
      <c r="A1472">
        <v>-34.165050000000001</v>
      </c>
      <c r="B1472">
        <v>142.01389</v>
      </c>
      <c r="C1472" t="s">
        <v>41</v>
      </c>
      <c r="D1472" t="s">
        <v>1121</v>
      </c>
      <c r="F1472" s="21"/>
      <c r="G1472" s="16" t="str">
        <f>HYPERLINK("http://maps.google.com/maps?f=q&amp;hl=en&amp;geocode=&amp;q=-34.16505,142.01389")</f>
        <v>http://maps.google.com/maps?f=q&amp;hl=en&amp;geocode=&amp;q=-34.16505,142.01389</v>
      </c>
    </row>
    <row r="1473" spans="1:7" ht="15" x14ac:dyDescent="0.3">
      <c r="A1473">
        <v>39.93938</v>
      </c>
      <c r="B1473">
        <v>-75.157390000000007</v>
      </c>
      <c r="C1473" t="s">
        <v>41</v>
      </c>
      <c r="D1473" t="s">
        <v>1122</v>
      </c>
      <c r="F1473" s="21"/>
      <c r="G1473" s="16" t="str">
        <f>HYPERLINK("http://maps.google.com/maps?f=q&amp;hl=en&amp;geocode=&amp;q=39.93938,-75.15739")</f>
        <v>http://maps.google.com/maps?f=q&amp;hl=en&amp;geocode=&amp;q=39.93938,-75.15739</v>
      </c>
    </row>
    <row r="1474" spans="1:7" ht="15" x14ac:dyDescent="0.3">
      <c r="A1474">
        <v>39.93938</v>
      </c>
      <c r="B1474">
        <v>-75.157390000000007</v>
      </c>
      <c r="C1474" t="s">
        <v>41</v>
      </c>
      <c r="D1474" t="s">
        <v>1122</v>
      </c>
      <c r="F1474" s="21"/>
      <c r="G1474" s="16" t="str">
        <f>HYPERLINK("http://maps.google.com/maps?f=q&amp;hl=en&amp;geocode=&amp;q=39.93938,-75.15739")</f>
        <v>http://maps.google.com/maps?f=q&amp;hl=en&amp;geocode=&amp;q=39.93938,-75.15739</v>
      </c>
    </row>
    <row r="1475" spans="1:7" ht="15" x14ac:dyDescent="0.3">
      <c r="A1475">
        <v>39.93938</v>
      </c>
      <c r="B1475">
        <v>-75.157390000000007</v>
      </c>
      <c r="C1475" t="s">
        <v>41</v>
      </c>
      <c r="D1475" t="s">
        <v>1122</v>
      </c>
      <c r="F1475" s="21"/>
      <c r="G1475" s="16" t="str">
        <f>HYPERLINK("http://maps.google.com/maps?f=q&amp;hl=en&amp;geocode=&amp;q=39.93938,-75.15739")</f>
        <v>http://maps.google.com/maps?f=q&amp;hl=en&amp;geocode=&amp;q=39.93938,-75.15739</v>
      </c>
    </row>
    <row r="1476" spans="1:7" ht="15" x14ac:dyDescent="0.3">
      <c r="A1476">
        <v>39.93938</v>
      </c>
      <c r="B1476">
        <v>-75.157390000000007</v>
      </c>
      <c r="C1476" t="s">
        <v>41</v>
      </c>
      <c r="D1476" t="s">
        <v>1122</v>
      </c>
      <c r="F1476" s="21"/>
      <c r="G1476" s="16" t="str">
        <f>HYPERLINK("http://maps.google.com/maps?f=q&amp;hl=en&amp;geocode=&amp;q=39.93938,-75.15739")</f>
        <v>http://maps.google.com/maps?f=q&amp;hl=en&amp;geocode=&amp;q=39.93938,-75.15739</v>
      </c>
    </row>
    <row r="1477" spans="1:7" ht="15" x14ac:dyDescent="0.3">
      <c r="A1477">
        <v>42.0898220328598</v>
      </c>
      <c r="B1477">
        <v>-83.680089556178999</v>
      </c>
      <c r="C1477" t="s">
        <v>41</v>
      </c>
      <c r="D1477" t="s">
        <v>1123</v>
      </c>
      <c r="F1477" s="21"/>
      <c r="G1477" s="16" t="str">
        <f>HYPERLINK("http://maps.google.com/maps?f=q&amp;hl=en&amp;geocode=&amp;q=42.0898220328598,-83.680089556179")</f>
        <v>http://maps.google.com/maps?f=q&amp;hl=en&amp;geocode=&amp;q=42.0898220328598,-83.680089556179</v>
      </c>
    </row>
    <row r="1478" spans="1:7" ht="15" x14ac:dyDescent="0.3">
      <c r="A1478">
        <v>39.93938</v>
      </c>
      <c r="B1478">
        <v>-75.157390000000007</v>
      </c>
      <c r="C1478" t="s">
        <v>41</v>
      </c>
      <c r="D1478" t="s">
        <v>1122</v>
      </c>
      <c r="F1478" s="21"/>
      <c r="G1478" s="16" t="str">
        <f>HYPERLINK("http://maps.google.com/maps?f=q&amp;hl=en&amp;geocode=&amp;q=39.93938,-75.15739")</f>
        <v>http://maps.google.com/maps?f=q&amp;hl=en&amp;geocode=&amp;q=39.93938,-75.15739</v>
      </c>
    </row>
    <row r="1479" spans="1:7" ht="15" x14ac:dyDescent="0.3">
      <c r="A1479">
        <v>31.693166610636599</v>
      </c>
      <c r="B1479">
        <v>-83.645837412754204</v>
      </c>
      <c r="C1479" t="s">
        <v>41</v>
      </c>
      <c r="D1479" t="s">
        <v>352</v>
      </c>
      <c r="F1479" s="21"/>
      <c r="G1479" s="16" t="str">
        <f>HYPERLINK("http://maps.google.com/maps?f=q&amp;hl=en&amp;geocode=&amp;q=31.6931666106366,-83.6458374127542")</f>
        <v>http://maps.google.com/maps?f=q&amp;hl=en&amp;geocode=&amp;q=31.6931666106366,-83.6458374127542</v>
      </c>
    </row>
    <row r="1480" spans="1:7" ht="15" x14ac:dyDescent="0.3">
      <c r="A1480">
        <v>39.92315</v>
      </c>
      <c r="B1480">
        <v>-75.231679999999997</v>
      </c>
      <c r="C1480" t="s">
        <v>41</v>
      </c>
      <c r="D1480" t="s">
        <v>1124</v>
      </c>
      <c r="F1480" s="21"/>
      <c r="G1480" s="16" t="str">
        <f>HYPERLINK("http://maps.google.com/maps?f=q&amp;hl=en&amp;geocode=&amp;q=39.92315,-75.23168")</f>
        <v>http://maps.google.com/maps?f=q&amp;hl=en&amp;geocode=&amp;q=39.92315,-75.23168</v>
      </c>
    </row>
    <row r="1481" spans="1:7" ht="15" x14ac:dyDescent="0.3">
      <c r="A1481">
        <v>29.908550000000002</v>
      </c>
      <c r="B1481">
        <v>-95.060239999999993</v>
      </c>
      <c r="C1481" t="s">
        <v>42</v>
      </c>
      <c r="D1481" t="s">
        <v>1125</v>
      </c>
      <c r="F1481" s="21"/>
      <c r="G1481" s="16" t="str">
        <f>HYPERLINK("http://maps.google.com/maps?f=q&amp;hl=en&amp;geocode=&amp;q=29.90855,-95.06024")</f>
        <v>http://maps.google.com/maps?f=q&amp;hl=en&amp;geocode=&amp;q=29.90855,-95.06024</v>
      </c>
    </row>
    <row r="1482" spans="1:7" ht="15" x14ac:dyDescent="0.3">
      <c r="A1482">
        <v>40.024738311767599</v>
      </c>
      <c r="B1482">
        <v>-75.213882446289105</v>
      </c>
      <c r="C1482" t="s">
        <v>43</v>
      </c>
      <c r="D1482" t="s">
        <v>1126</v>
      </c>
      <c r="F1482" s="21"/>
      <c r="G1482" s="16" t="str">
        <f>HYPERLINK("http://maps.google.com/maps?f=q&amp;hl=en&amp;geocode=&amp;q=40.0247383117676,-75.2138824462891")</f>
        <v>http://maps.google.com/maps?f=q&amp;hl=en&amp;geocode=&amp;q=40.0247383117676,-75.2138824462891</v>
      </c>
    </row>
    <row r="1483" spans="1:7" ht="15" x14ac:dyDescent="0.3">
      <c r="A1483" t="s">
        <v>44</v>
      </c>
      <c r="B1483" t="s">
        <v>44</v>
      </c>
      <c r="C1483" t="s">
        <v>44</v>
      </c>
      <c r="D1483" t="s">
        <v>1127</v>
      </c>
      <c r="F1483" s="21"/>
      <c r="G1483" s="16"/>
    </row>
    <row r="1484" spans="1:7" ht="15" x14ac:dyDescent="0.3">
      <c r="A1484" t="s">
        <v>44</v>
      </c>
      <c r="B1484" t="s">
        <v>44</v>
      </c>
      <c r="C1484" t="s">
        <v>44</v>
      </c>
      <c r="D1484" t="s">
        <v>1127</v>
      </c>
      <c r="F1484" s="21"/>
      <c r="G1484" s="16"/>
    </row>
    <row r="1485" spans="1:7" ht="15" x14ac:dyDescent="0.3">
      <c r="A1485">
        <v>40.49765</v>
      </c>
      <c r="B1485">
        <v>-106.85681</v>
      </c>
      <c r="C1485" t="s">
        <v>43</v>
      </c>
      <c r="D1485" t="s">
        <v>473</v>
      </c>
      <c r="F1485" s="21"/>
      <c r="G1485" s="16" t="str">
        <f>HYPERLINK("http://maps.google.com/maps?f=q&amp;hl=en&amp;geocode=&amp;q=40.49765,-106.85681")</f>
        <v>http://maps.google.com/maps?f=q&amp;hl=en&amp;geocode=&amp;q=40.49765,-106.85681</v>
      </c>
    </row>
    <row r="1486" spans="1:7" ht="15" x14ac:dyDescent="0.3">
      <c r="A1486">
        <v>40.464408874511697</v>
      </c>
      <c r="B1486">
        <v>-74.315460205078097</v>
      </c>
      <c r="C1486" t="s">
        <v>41</v>
      </c>
      <c r="D1486" t="s">
        <v>1128</v>
      </c>
      <c r="F1486" s="21"/>
      <c r="G1486" s="16" t="str">
        <f>HYPERLINK("http://maps.google.com/maps?f=q&amp;hl=en&amp;geocode=&amp;q=40.4644088745117,-74.3154602050781")</f>
        <v>http://maps.google.com/maps?f=q&amp;hl=en&amp;geocode=&amp;q=40.4644088745117,-74.3154602050781</v>
      </c>
    </row>
    <row r="1487" spans="1:7" ht="15" x14ac:dyDescent="0.3">
      <c r="A1487">
        <v>38.692462012146201</v>
      </c>
      <c r="B1487">
        <v>-90.285244548089906</v>
      </c>
      <c r="C1487" t="s">
        <v>41</v>
      </c>
      <c r="D1487" t="s">
        <v>1129</v>
      </c>
      <c r="F1487" s="21"/>
      <c r="G1487" s="16" t="str">
        <f>HYPERLINK("http://maps.google.com/maps?f=q&amp;hl=en&amp;geocode=&amp;q=38.6924620121462,-90.2852445480899")</f>
        <v>http://maps.google.com/maps?f=q&amp;hl=en&amp;geocode=&amp;q=38.6924620121462,-90.2852445480899</v>
      </c>
    </row>
    <row r="1488" spans="1:7" ht="15" x14ac:dyDescent="0.3">
      <c r="A1488">
        <v>40.032981872558601</v>
      </c>
      <c r="B1488">
        <v>-75.363998413085895</v>
      </c>
      <c r="C1488" t="s">
        <v>41</v>
      </c>
      <c r="D1488" t="s">
        <v>1130</v>
      </c>
      <c r="F1488" s="21"/>
      <c r="G1488" s="16" t="str">
        <f>HYPERLINK("http://maps.google.com/maps?f=q&amp;hl=en&amp;geocode=&amp;q=40.0329818725586,-75.3639984130859")</f>
        <v>http://maps.google.com/maps?f=q&amp;hl=en&amp;geocode=&amp;q=40.0329818725586,-75.3639984130859</v>
      </c>
    </row>
    <row r="1489" spans="1:7" ht="15" x14ac:dyDescent="0.3">
      <c r="A1489">
        <v>39.9184404667919</v>
      </c>
      <c r="B1489">
        <v>-75.229631429860206</v>
      </c>
      <c r="C1489" t="s">
        <v>43</v>
      </c>
      <c r="D1489" t="s">
        <v>1131</v>
      </c>
      <c r="F1489" s="21"/>
      <c r="G1489" s="16" t="str">
        <f>HYPERLINK("http://maps.google.com/maps?f=q&amp;hl=en&amp;geocode=&amp;q=39.9184404667919,-75.2296314298602")</f>
        <v>http://maps.google.com/maps?f=q&amp;hl=en&amp;geocode=&amp;q=39.9184404667919,-75.2296314298602</v>
      </c>
    </row>
    <row r="1490" spans="1:7" ht="15" x14ac:dyDescent="0.3">
      <c r="A1490">
        <v>38.936809539794901</v>
      </c>
      <c r="B1490">
        <v>-77.184928894042997</v>
      </c>
      <c r="C1490" t="s">
        <v>43</v>
      </c>
      <c r="D1490" t="s">
        <v>1132</v>
      </c>
      <c r="F1490" s="21"/>
      <c r="G1490" s="16" t="str">
        <f>HYPERLINK("http://maps.google.com/maps?f=q&amp;hl=en&amp;geocode=&amp;q=38.9368095397949,-77.184928894043")</f>
        <v>http://maps.google.com/maps?f=q&amp;hl=en&amp;geocode=&amp;q=38.9368095397949,-77.184928894043</v>
      </c>
    </row>
    <row r="1491" spans="1:7" ht="15" x14ac:dyDescent="0.3">
      <c r="A1491">
        <v>29.907990000000002</v>
      </c>
      <c r="B1491">
        <v>-95.063649999999996</v>
      </c>
      <c r="C1491" t="s">
        <v>43</v>
      </c>
      <c r="D1491" t="s">
        <v>1133</v>
      </c>
      <c r="F1491" s="21"/>
      <c r="G1491" s="16" t="str">
        <f>HYPERLINK("http://maps.google.com/maps?f=q&amp;hl=en&amp;geocode=&amp;q=29.90799,-95.06365")</f>
        <v>http://maps.google.com/maps?f=q&amp;hl=en&amp;geocode=&amp;q=29.90799,-95.06365</v>
      </c>
    </row>
    <row r="1492" spans="1:7" ht="15" x14ac:dyDescent="0.3">
      <c r="A1492">
        <v>31.880279999999999</v>
      </c>
      <c r="B1492">
        <v>-102.49442999999999</v>
      </c>
      <c r="C1492" t="s">
        <v>41</v>
      </c>
      <c r="D1492" t="s">
        <v>1134</v>
      </c>
      <c r="F1492" s="21"/>
      <c r="G1492" s="16" t="str">
        <f>HYPERLINK("http://maps.google.com/maps?f=q&amp;hl=en&amp;geocode=&amp;q=31.88028,-102.49443")</f>
        <v>http://maps.google.com/maps?f=q&amp;hl=en&amp;geocode=&amp;q=31.88028,-102.49443</v>
      </c>
    </row>
    <row r="1493" spans="1:7" ht="15" x14ac:dyDescent="0.3">
      <c r="A1493">
        <v>27.989550170538301</v>
      </c>
      <c r="B1493">
        <v>-82.482507421619104</v>
      </c>
      <c r="C1493" t="s">
        <v>41</v>
      </c>
      <c r="D1493" t="s">
        <v>1135</v>
      </c>
      <c r="F1493" s="21"/>
      <c r="G1493" s="16" t="str">
        <f>HYPERLINK("http://maps.google.com/maps?f=q&amp;hl=en&amp;geocode=&amp;q=27.9895501705383,-82.4825074216191")</f>
        <v>http://maps.google.com/maps?f=q&amp;hl=en&amp;geocode=&amp;q=27.9895501705383,-82.4825074216191</v>
      </c>
    </row>
    <row r="1494" spans="1:7" ht="15" x14ac:dyDescent="0.3">
      <c r="A1494">
        <v>27.989550170538301</v>
      </c>
      <c r="B1494">
        <v>-82.482507421619104</v>
      </c>
      <c r="C1494" t="s">
        <v>41</v>
      </c>
      <c r="D1494" t="s">
        <v>1135</v>
      </c>
      <c r="F1494" s="21"/>
      <c r="G1494" s="16" t="str">
        <f>HYPERLINK("http://maps.google.com/maps?f=q&amp;hl=en&amp;geocode=&amp;q=27.9895501705383,-82.4825074216191")</f>
        <v>http://maps.google.com/maps?f=q&amp;hl=en&amp;geocode=&amp;q=27.9895501705383,-82.4825074216191</v>
      </c>
    </row>
    <row r="1495" spans="1:7" ht="15" x14ac:dyDescent="0.3">
      <c r="A1495">
        <v>38.783990000000003</v>
      </c>
      <c r="B1495">
        <v>-77.096450000000004</v>
      </c>
      <c r="C1495" t="s">
        <v>42</v>
      </c>
      <c r="D1495" t="s">
        <v>1136</v>
      </c>
      <c r="F1495" s="21"/>
      <c r="G1495" s="16" t="str">
        <f>HYPERLINK("http://maps.google.com/maps?f=q&amp;hl=en&amp;geocode=&amp;q=38.78399,-77.09645")</f>
        <v>http://maps.google.com/maps?f=q&amp;hl=en&amp;geocode=&amp;q=38.78399,-77.09645</v>
      </c>
    </row>
    <row r="1496" spans="1:7" ht="15" x14ac:dyDescent="0.3">
      <c r="A1496">
        <v>38.58887</v>
      </c>
      <c r="B1496">
        <v>-90.28819</v>
      </c>
      <c r="C1496" t="s">
        <v>41</v>
      </c>
      <c r="D1496" t="s">
        <v>429</v>
      </c>
      <c r="F1496" s="21"/>
      <c r="G1496" s="16" t="str">
        <f>HYPERLINK("http://maps.google.com/maps?f=q&amp;hl=en&amp;geocode=&amp;q=38.58887,-90.28819")</f>
        <v>http://maps.google.com/maps?f=q&amp;hl=en&amp;geocode=&amp;q=38.58887,-90.28819</v>
      </c>
    </row>
    <row r="1497" spans="1:7" ht="15" x14ac:dyDescent="0.3">
      <c r="A1497">
        <v>36.431640625</v>
      </c>
      <c r="B1497">
        <v>-99.373382568359403</v>
      </c>
      <c r="C1497" t="s">
        <v>43</v>
      </c>
      <c r="D1497" t="s">
        <v>1137</v>
      </c>
      <c r="F1497" s="21"/>
      <c r="G1497" s="16" t="str">
        <f>HYPERLINK("http://maps.google.com/maps?f=q&amp;hl=en&amp;geocode=&amp;q=36.431640625,-99.3733825683594")</f>
        <v>http://maps.google.com/maps?f=q&amp;hl=en&amp;geocode=&amp;q=36.431640625,-99.3733825683594</v>
      </c>
    </row>
    <row r="1498" spans="1:7" ht="15" x14ac:dyDescent="0.3">
      <c r="A1498">
        <v>30.66075</v>
      </c>
      <c r="B1498">
        <v>-88.217510000000004</v>
      </c>
      <c r="C1498" t="s">
        <v>41</v>
      </c>
      <c r="D1498" t="s">
        <v>1138</v>
      </c>
      <c r="F1498" s="21"/>
      <c r="G1498" s="16" t="str">
        <f>HYPERLINK("http://maps.google.com/maps?f=q&amp;hl=en&amp;geocode=&amp;q=30.66075,-88.21751")</f>
        <v>http://maps.google.com/maps?f=q&amp;hl=en&amp;geocode=&amp;q=30.66075,-88.21751</v>
      </c>
    </row>
    <row r="1499" spans="1:7" ht="15" x14ac:dyDescent="0.3">
      <c r="A1499">
        <v>30.66075</v>
      </c>
      <c r="B1499">
        <v>-88.217510000000004</v>
      </c>
      <c r="C1499" t="s">
        <v>41</v>
      </c>
      <c r="D1499" t="s">
        <v>1138</v>
      </c>
      <c r="F1499" s="21"/>
      <c r="G1499" s="16" t="str">
        <f>HYPERLINK("http://maps.google.com/maps?f=q&amp;hl=en&amp;geocode=&amp;q=30.66075,-88.21751")</f>
        <v>http://maps.google.com/maps?f=q&amp;hl=en&amp;geocode=&amp;q=30.66075,-88.21751</v>
      </c>
    </row>
    <row r="1500" spans="1:7" ht="15" x14ac:dyDescent="0.3">
      <c r="A1500">
        <v>30.66075</v>
      </c>
      <c r="B1500">
        <v>-88.217510000000004</v>
      </c>
      <c r="C1500" t="s">
        <v>41</v>
      </c>
      <c r="D1500" t="s">
        <v>1138</v>
      </c>
      <c r="F1500" s="21"/>
      <c r="G1500" s="16" t="str">
        <f>HYPERLINK("http://maps.google.com/maps?f=q&amp;hl=en&amp;geocode=&amp;q=30.66075,-88.21751")</f>
        <v>http://maps.google.com/maps?f=q&amp;hl=en&amp;geocode=&amp;q=30.66075,-88.21751</v>
      </c>
    </row>
    <row r="1501" spans="1:7" ht="15" x14ac:dyDescent="0.3">
      <c r="A1501">
        <v>42.470289999999999</v>
      </c>
      <c r="B1501">
        <v>-83.077780000000004</v>
      </c>
      <c r="C1501" t="s">
        <v>42</v>
      </c>
      <c r="D1501" t="s">
        <v>130</v>
      </c>
      <c r="F1501" s="21"/>
      <c r="G1501" s="16" t="str">
        <f>HYPERLINK("http://maps.google.com/maps?f=q&amp;hl=en&amp;geocode=&amp;q=42.47029,-83.07778")</f>
        <v>http://maps.google.com/maps?f=q&amp;hl=en&amp;geocode=&amp;q=42.47029,-83.07778</v>
      </c>
    </row>
    <row r="1502" spans="1:7" ht="15" x14ac:dyDescent="0.3">
      <c r="A1502">
        <v>-26.188575744628899</v>
      </c>
      <c r="B1502">
        <v>27.929327011108398</v>
      </c>
      <c r="C1502" t="s">
        <v>43</v>
      </c>
      <c r="D1502" t="s">
        <v>1139</v>
      </c>
      <c r="F1502" s="21"/>
      <c r="G1502" s="16" t="str">
        <f>HYPERLINK("http://maps.google.com/maps?f=q&amp;hl=en&amp;geocode=&amp;q=-26.1885757446289,27.9293270111084")</f>
        <v>http://maps.google.com/maps?f=q&amp;hl=en&amp;geocode=&amp;q=-26.1885757446289,27.9293270111084</v>
      </c>
    </row>
    <row r="1503" spans="1:7" ht="15" x14ac:dyDescent="0.3">
      <c r="A1503">
        <v>-26.453437805175799</v>
      </c>
      <c r="B1503">
        <v>27.684482574462901</v>
      </c>
      <c r="C1503" t="s">
        <v>43</v>
      </c>
      <c r="D1503" t="s">
        <v>1140</v>
      </c>
      <c r="F1503" s="21"/>
      <c r="G1503" s="16" t="str">
        <f>HYPERLINK("http://maps.google.com/maps?f=q&amp;hl=en&amp;geocode=&amp;q=-26.4534378051758,27.6844825744629")</f>
        <v>http://maps.google.com/maps?f=q&amp;hl=en&amp;geocode=&amp;q=-26.4534378051758,27.6844825744629</v>
      </c>
    </row>
    <row r="1504" spans="1:7" ht="15" x14ac:dyDescent="0.3">
      <c r="A1504">
        <v>39.925247733903198</v>
      </c>
      <c r="B1504">
        <v>-75.237344675903799</v>
      </c>
      <c r="C1504" t="s">
        <v>43</v>
      </c>
      <c r="D1504" t="s">
        <v>1141</v>
      </c>
      <c r="F1504" s="21"/>
      <c r="G1504" s="16" t="str">
        <f>HYPERLINK("http://maps.google.com/maps?f=q&amp;hl=en&amp;geocode=&amp;q=39.9252477339032,-75.2373446759038")</f>
        <v>http://maps.google.com/maps?f=q&amp;hl=en&amp;geocode=&amp;q=39.9252477339032,-75.2373446759038</v>
      </c>
    </row>
    <row r="1505" spans="1:7" ht="15" x14ac:dyDescent="0.3">
      <c r="A1505">
        <v>35.3773558806461</v>
      </c>
      <c r="B1505">
        <v>-83.131056169681301</v>
      </c>
      <c r="C1505" t="s">
        <v>43</v>
      </c>
      <c r="D1505" t="s">
        <v>1142</v>
      </c>
      <c r="F1505" s="21"/>
      <c r="G1505" s="16" t="str">
        <f>HYPERLINK("http://maps.google.com/maps?f=q&amp;hl=en&amp;geocode=&amp;q=35.3773558806461,-83.1310561696813")</f>
        <v>http://maps.google.com/maps?f=q&amp;hl=en&amp;geocode=&amp;q=35.3773558806461,-83.1310561696813</v>
      </c>
    </row>
    <row r="1506" spans="1:7" ht="15" x14ac:dyDescent="0.3">
      <c r="A1506">
        <v>35.3775340947183</v>
      </c>
      <c r="B1506">
        <v>-83.131068530031996</v>
      </c>
      <c r="C1506" t="s">
        <v>43</v>
      </c>
      <c r="D1506" t="s">
        <v>1143</v>
      </c>
      <c r="F1506" s="21"/>
      <c r="G1506" s="16" t="str">
        <f>HYPERLINK("http://maps.google.com/maps?f=q&amp;hl=en&amp;geocode=&amp;q=35.3775340947183,-83.131068530032")</f>
        <v>http://maps.google.com/maps?f=q&amp;hl=en&amp;geocode=&amp;q=35.3775340947183,-83.131068530032</v>
      </c>
    </row>
    <row r="1507" spans="1:7" ht="15" x14ac:dyDescent="0.3">
      <c r="A1507">
        <v>54.515911102294901</v>
      </c>
      <c r="B1507">
        <v>-128.60321044921901</v>
      </c>
      <c r="C1507" t="s">
        <v>43</v>
      </c>
      <c r="D1507" t="s">
        <v>1144</v>
      </c>
      <c r="F1507" s="21"/>
      <c r="G1507" s="16" t="str">
        <f>HYPERLINK("http://maps.google.com/maps?f=q&amp;hl=en&amp;geocode=&amp;q=54.5159111022949,-128.603210449219")</f>
        <v>http://maps.google.com/maps?f=q&amp;hl=en&amp;geocode=&amp;q=54.5159111022949,-128.603210449219</v>
      </c>
    </row>
    <row r="1508" spans="1:7" ht="15" x14ac:dyDescent="0.3">
      <c r="A1508">
        <v>54.515911102294901</v>
      </c>
      <c r="B1508">
        <v>-128.60321044921901</v>
      </c>
      <c r="C1508" t="s">
        <v>43</v>
      </c>
      <c r="D1508" t="s">
        <v>1144</v>
      </c>
      <c r="F1508" s="21"/>
      <c r="G1508" s="16" t="str">
        <f>HYPERLINK("http://maps.google.com/maps?f=q&amp;hl=en&amp;geocode=&amp;q=54.5159111022949,-128.603210449219")</f>
        <v>http://maps.google.com/maps?f=q&amp;hl=en&amp;geocode=&amp;q=54.5159111022949,-128.603210449219</v>
      </c>
    </row>
    <row r="1509" spans="1:7" ht="15" x14ac:dyDescent="0.3">
      <c r="A1509">
        <v>42.997422656800801</v>
      </c>
      <c r="B1509">
        <v>-95.623939346082395</v>
      </c>
      <c r="C1509" t="s">
        <v>41</v>
      </c>
      <c r="D1509" t="s">
        <v>1145</v>
      </c>
      <c r="F1509" s="21"/>
      <c r="G1509" s="16" t="str">
        <f>HYPERLINK("http://maps.google.com/maps?f=q&amp;hl=en&amp;geocode=&amp;q=42.9974226568008,-95.6239393460824")</f>
        <v>http://maps.google.com/maps?f=q&amp;hl=en&amp;geocode=&amp;q=42.9974226568008,-95.6239393460824</v>
      </c>
    </row>
    <row r="1510" spans="1:7" ht="15" x14ac:dyDescent="0.3">
      <c r="A1510">
        <v>39.693474149294801</v>
      </c>
      <c r="B1510">
        <v>-84.118671277588902</v>
      </c>
      <c r="C1510" t="s">
        <v>41</v>
      </c>
      <c r="D1510" t="s">
        <v>206</v>
      </c>
      <c r="F1510" s="21"/>
      <c r="G1510" s="16" t="str">
        <f>HYPERLINK("http://maps.google.com/maps?f=q&amp;hl=en&amp;geocode=&amp;q=39.6934741492948,-84.1186712775889")</f>
        <v>http://maps.google.com/maps?f=q&amp;hl=en&amp;geocode=&amp;q=39.6934741492948,-84.1186712775889</v>
      </c>
    </row>
    <row r="1511" spans="1:7" ht="15" x14ac:dyDescent="0.3">
      <c r="A1511">
        <v>39.693474149294801</v>
      </c>
      <c r="B1511">
        <v>-84.118671277588902</v>
      </c>
      <c r="C1511" t="s">
        <v>41</v>
      </c>
      <c r="D1511" t="s">
        <v>206</v>
      </c>
      <c r="F1511" s="21"/>
      <c r="G1511" s="16" t="str">
        <f>HYPERLINK("http://maps.google.com/maps?f=q&amp;hl=en&amp;geocode=&amp;q=39.6934741492948,-84.1186712775889")</f>
        <v>http://maps.google.com/maps?f=q&amp;hl=en&amp;geocode=&amp;q=39.6934741492948,-84.1186712775889</v>
      </c>
    </row>
    <row r="1512" spans="1:7" ht="15" x14ac:dyDescent="0.3">
      <c r="A1512">
        <v>-22.3255290985107</v>
      </c>
      <c r="B1512">
        <v>-47.272109985351598</v>
      </c>
      <c r="C1512" t="s">
        <v>43</v>
      </c>
      <c r="D1512" t="s">
        <v>1146</v>
      </c>
      <c r="F1512" s="21"/>
      <c r="G1512" s="16" t="str">
        <f>HYPERLINK("http://maps.google.com/maps?f=q&amp;hl=en&amp;geocode=&amp;q=-22.3255290985107,-47.2721099853516")</f>
        <v>http://maps.google.com/maps?f=q&amp;hl=en&amp;geocode=&amp;q=-22.3255290985107,-47.2721099853516</v>
      </c>
    </row>
    <row r="1513" spans="1:7" ht="15" x14ac:dyDescent="0.3">
      <c r="A1513">
        <v>33.863849999999999</v>
      </c>
      <c r="B1513">
        <v>-98.348560000000006</v>
      </c>
      <c r="C1513" t="s">
        <v>42</v>
      </c>
      <c r="D1513" t="s">
        <v>1147</v>
      </c>
      <c r="F1513" s="21"/>
      <c r="G1513" s="16" t="str">
        <f>HYPERLINK("http://maps.google.com/maps?f=q&amp;hl=en&amp;geocode=&amp;q=33.86385,-98.34856")</f>
        <v>http://maps.google.com/maps?f=q&amp;hl=en&amp;geocode=&amp;q=33.86385,-98.34856</v>
      </c>
    </row>
    <row r="1514" spans="1:7" ht="15" x14ac:dyDescent="0.3">
      <c r="A1514">
        <v>-22.3255290985107</v>
      </c>
      <c r="B1514">
        <v>-47.272109985351598</v>
      </c>
      <c r="C1514" t="s">
        <v>43</v>
      </c>
      <c r="D1514" t="s">
        <v>1146</v>
      </c>
      <c r="F1514" s="21"/>
      <c r="G1514" s="16" t="str">
        <f>HYPERLINK("http://maps.google.com/maps?f=q&amp;hl=en&amp;geocode=&amp;q=-22.3255290985107,-47.2721099853516")</f>
        <v>http://maps.google.com/maps?f=q&amp;hl=en&amp;geocode=&amp;q=-22.3255290985107,-47.2721099853516</v>
      </c>
    </row>
    <row r="1515" spans="1:7" ht="15" x14ac:dyDescent="0.3">
      <c r="A1515">
        <v>30.949463828555501</v>
      </c>
      <c r="B1515">
        <v>-83.368766945018294</v>
      </c>
      <c r="C1515" t="s">
        <v>41</v>
      </c>
      <c r="D1515" t="s">
        <v>1148</v>
      </c>
      <c r="F1515" s="21"/>
      <c r="G1515" s="16" t="str">
        <f>HYPERLINK("http://maps.google.com/maps?f=q&amp;hl=en&amp;geocode=&amp;q=30.9494638285555,-83.3687669450183")</f>
        <v>http://maps.google.com/maps?f=q&amp;hl=en&amp;geocode=&amp;q=30.9494638285555,-83.3687669450183</v>
      </c>
    </row>
    <row r="1516" spans="1:7" ht="15" x14ac:dyDescent="0.3">
      <c r="A1516">
        <v>40.309269608683202</v>
      </c>
      <c r="B1516">
        <v>-78.318082809230006</v>
      </c>
      <c r="C1516" t="s">
        <v>41</v>
      </c>
      <c r="D1516" t="s">
        <v>784</v>
      </c>
      <c r="F1516" s="21"/>
      <c r="G1516" s="16" t="str">
        <f>HYPERLINK("http://maps.google.com/maps?f=q&amp;hl=en&amp;geocode=&amp;q=40.3092696086832,-78.31808280923")</f>
        <v>http://maps.google.com/maps?f=q&amp;hl=en&amp;geocode=&amp;q=40.3092696086832,-78.31808280923</v>
      </c>
    </row>
    <row r="1517" spans="1:7" ht="15" x14ac:dyDescent="0.3">
      <c r="A1517">
        <v>38.783990000000003</v>
      </c>
      <c r="B1517">
        <v>-77.096450000000004</v>
      </c>
      <c r="C1517" t="s">
        <v>42</v>
      </c>
      <c r="D1517" t="s">
        <v>1149</v>
      </c>
      <c r="F1517" s="21"/>
      <c r="G1517" s="16" t="str">
        <f>HYPERLINK("http://maps.google.com/maps?f=q&amp;hl=en&amp;geocode=&amp;q=38.78399,-77.09645")</f>
        <v>http://maps.google.com/maps?f=q&amp;hl=en&amp;geocode=&amp;q=38.78399,-77.09645</v>
      </c>
    </row>
    <row r="1518" spans="1:7" ht="15" x14ac:dyDescent="0.3">
      <c r="A1518">
        <v>39.767690000000002</v>
      </c>
      <c r="B1518">
        <v>-86.355770000000007</v>
      </c>
      <c r="C1518" t="s">
        <v>42</v>
      </c>
      <c r="D1518" t="s">
        <v>1150</v>
      </c>
      <c r="F1518" s="21"/>
      <c r="G1518" s="16" t="str">
        <f>HYPERLINK("http://maps.google.com/maps?f=q&amp;hl=en&amp;geocode=&amp;q=39.76769,-86.35577")</f>
        <v>http://maps.google.com/maps?f=q&amp;hl=en&amp;geocode=&amp;q=39.76769,-86.35577</v>
      </c>
    </row>
    <row r="1519" spans="1:7" ht="15" x14ac:dyDescent="0.3">
      <c r="A1519">
        <v>40.035719999999998</v>
      </c>
      <c r="B1519">
        <v>-75.070629999999994</v>
      </c>
      <c r="C1519" t="s">
        <v>41</v>
      </c>
      <c r="D1519" t="s">
        <v>760</v>
      </c>
      <c r="F1519" s="21"/>
      <c r="G1519" s="16" t="str">
        <f>HYPERLINK("http://maps.google.com/maps?f=q&amp;hl=en&amp;geocode=&amp;q=40.03572,-75.07063")</f>
        <v>http://maps.google.com/maps?f=q&amp;hl=en&amp;geocode=&amp;q=40.03572,-75.07063</v>
      </c>
    </row>
    <row r="1520" spans="1:7" ht="15" x14ac:dyDescent="0.3">
      <c r="A1520" t="s">
        <v>44</v>
      </c>
      <c r="B1520" t="s">
        <v>44</v>
      </c>
      <c r="C1520" t="s">
        <v>44</v>
      </c>
      <c r="D1520" t="s">
        <v>1004</v>
      </c>
      <c r="F1520" s="21"/>
      <c r="G1520" s="16"/>
    </row>
    <row r="1521" spans="1:7" ht="15" x14ac:dyDescent="0.3">
      <c r="A1521">
        <v>55.459780000000002</v>
      </c>
      <c r="B1521">
        <v>11.20115</v>
      </c>
      <c r="C1521" t="s">
        <v>41</v>
      </c>
      <c r="D1521" t="s">
        <v>757</v>
      </c>
      <c r="F1521" s="21"/>
      <c r="G1521" s="16" t="str">
        <f>HYPERLINK("http://maps.google.com/maps?f=q&amp;hl=en&amp;geocode=&amp;q=55.45978,11.20115")</f>
        <v>http://maps.google.com/maps?f=q&amp;hl=en&amp;geocode=&amp;q=55.45978,11.20115</v>
      </c>
    </row>
    <row r="1522" spans="1:7" ht="15" x14ac:dyDescent="0.3">
      <c r="A1522">
        <v>39.996954737656701</v>
      </c>
      <c r="B1522">
        <v>-75.117221959843704</v>
      </c>
      <c r="C1522" t="s">
        <v>41</v>
      </c>
      <c r="D1522" t="s">
        <v>521</v>
      </c>
      <c r="F1522" s="21"/>
      <c r="G1522" s="16" t="str">
        <f>HYPERLINK("http://maps.google.com/maps?f=q&amp;hl=en&amp;geocode=&amp;q=39.9969547376567,-75.1172219598437")</f>
        <v>http://maps.google.com/maps?f=q&amp;hl=en&amp;geocode=&amp;q=39.9969547376567,-75.1172219598437</v>
      </c>
    </row>
    <row r="1523" spans="1:7" ht="15" x14ac:dyDescent="0.3">
      <c r="A1523">
        <v>35.553759999999997</v>
      </c>
      <c r="B1523">
        <v>-89.646860000000004</v>
      </c>
      <c r="C1523" t="s">
        <v>43</v>
      </c>
      <c r="D1523" t="s">
        <v>1151</v>
      </c>
      <c r="F1523" s="21"/>
      <c r="G1523" s="16" t="str">
        <f>HYPERLINK("http://maps.google.com/maps?f=q&amp;hl=en&amp;geocode=&amp;q=35.55376,-89.64686")</f>
        <v>http://maps.google.com/maps?f=q&amp;hl=en&amp;geocode=&amp;q=35.55376,-89.64686</v>
      </c>
    </row>
    <row r="1524" spans="1:7" ht="15" x14ac:dyDescent="0.3">
      <c r="A1524">
        <v>39.991890572276297</v>
      </c>
      <c r="B1524">
        <v>-75.129694019338302</v>
      </c>
      <c r="C1524" t="s">
        <v>41</v>
      </c>
      <c r="D1524" t="s">
        <v>1152</v>
      </c>
      <c r="F1524" s="21"/>
      <c r="G1524" s="16" t="str">
        <f>HYPERLINK("http://maps.google.com/maps?f=q&amp;hl=en&amp;geocode=&amp;q=39.9918905722763,-75.1296940193383")</f>
        <v>http://maps.google.com/maps?f=q&amp;hl=en&amp;geocode=&amp;q=39.9918905722763,-75.1296940193383</v>
      </c>
    </row>
    <row r="1525" spans="1:7" ht="15" x14ac:dyDescent="0.3">
      <c r="A1525" t="s">
        <v>44</v>
      </c>
      <c r="B1525" t="s">
        <v>44</v>
      </c>
      <c r="C1525" t="s">
        <v>44</v>
      </c>
      <c r="D1525" t="s">
        <v>1153</v>
      </c>
      <c r="F1525" s="21"/>
      <c r="G1525" s="16"/>
    </row>
    <row r="1526" spans="1:7" ht="15" x14ac:dyDescent="0.3">
      <c r="A1526" t="s">
        <v>44</v>
      </c>
      <c r="B1526" t="s">
        <v>44</v>
      </c>
      <c r="C1526" t="s">
        <v>44</v>
      </c>
      <c r="D1526" t="s">
        <v>1153</v>
      </c>
      <c r="F1526" s="21"/>
      <c r="G1526" s="16"/>
    </row>
    <row r="1527" spans="1:7" ht="15" x14ac:dyDescent="0.3">
      <c r="A1527">
        <v>39.925229999999999</v>
      </c>
      <c r="B1527">
        <v>-75.235249999999994</v>
      </c>
      <c r="C1527" t="s">
        <v>41</v>
      </c>
      <c r="D1527" t="s">
        <v>161</v>
      </c>
      <c r="F1527" s="21"/>
      <c r="G1527" s="16" t="str">
        <f>HYPERLINK("http://maps.google.com/maps?f=q&amp;hl=en&amp;geocode=&amp;q=39.92523,-75.23525")</f>
        <v>http://maps.google.com/maps?f=q&amp;hl=en&amp;geocode=&amp;q=39.92523,-75.23525</v>
      </c>
    </row>
    <row r="1528" spans="1:7" ht="15" x14ac:dyDescent="0.3">
      <c r="A1528">
        <v>39.100490000000001</v>
      </c>
      <c r="B1528">
        <v>-108.47971</v>
      </c>
      <c r="C1528" t="s">
        <v>41</v>
      </c>
      <c r="D1528" t="s">
        <v>1154</v>
      </c>
      <c r="F1528" s="21"/>
      <c r="G1528" s="16" t="str">
        <f>HYPERLINK("http://maps.google.com/maps?f=q&amp;hl=en&amp;geocode=&amp;q=39.10049,-108.47971")</f>
        <v>http://maps.google.com/maps?f=q&amp;hl=en&amp;geocode=&amp;q=39.10049,-108.47971</v>
      </c>
    </row>
    <row r="1529" spans="1:7" ht="15" x14ac:dyDescent="0.3">
      <c r="A1529">
        <v>44.961019999999998</v>
      </c>
      <c r="B1529">
        <v>-93.032740000000004</v>
      </c>
      <c r="C1529" t="s">
        <v>41</v>
      </c>
      <c r="D1529" t="s">
        <v>1155</v>
      </c>
      <c r="F1529" s="21"/>
      <c r="G1529" s="16" t="str">
        <f>HYPERLINK("http://maps.google.com/maps?f=q&amp;hl=en&amp;geocode=&amp;q=44.96102,-93.03274")</f>
        <v>http://maps.google.com/maps?f=q&amp;hl=en&amp;geocode=&amp;q=44.96102,-93.03274</v>
      </c>
    </row>
    <row r="1530" spans="1:7" ht="15" x14ac:dyDescent="0.3">
      <c r="A1530">
        <v>42.015146328986397</v>
      </c>
      <c r="B1530">
        <v>-87.854077945608594</v>
      </c>
      <c r="C1530" t="s">
        <v>41</v>
      </c>
      <c r="D1530" t="s">
        <v>1156</v>
      </c>
      <c r="F1530" s="21"/>
      <c r="G1530" s="16" t="str">
        <f>HYPERLINK("http://maps.google.com/maps?f=q&amp;hl=en&amp;geocode=&amp;q=42.0151463289864,-87.8540779456086")</f>
        <v>http://maps.google.com/maps?f=q&amp;hl=en&amp;geocode=&amp;q=42.0151463289864,-87.8540779456086</v>
      </c>
    </row>
    <row r="1531" spans="1:7" ht="15" x14ac:dyDescent="0.3">
      <c r="A1531">
        <v>39.960724671928702</v>
      </c>
      <c r="B1531">
        <v>-75.197083915725301</v>
      </c>
      <c r="C1531" t="s">
        <v>41</v>
      </c>
      <c r="D1531" t="s">
        <v>1157</v>
      </c>
      <c r="F1531" s="21"/>
      <c r="G1531" s="16" t="str">
        <f>HYPERLINK("http://maps.google.com/maps?f=q&amp;hl=en&amp;geocode=&amp;q=39.9607246719287,-75.1970839157253")</f>
        <v>http://maps.google.com/maps?f=q&amp;hl=en&amp;geocode=&amp;q=39.9607246719287,-75.1970839157253</v>
      </c>
    </row>
    <row r="1532" spans="1:7" ht="15" x14ac:dyDescent="0.3">
      <c r="A1532">
        <v>39.684371948242202</v>
      </c>
      <c r="B1532">
        <v>21.8974094390869</v>
      </c>
      <c r="C1532" t="s">
        <v>41</v>
      </c>
      <c r="D1532" t="s">
        <v>1158</v>
      </c>
      <c r="F1532" s="21"/>
      <c r="G1532" s="16" t="str">
        <f>HYPERLINK("http://maps.google.com/maps?f=q&amp;hl=en&amp;geocode=&amp;q=39.6843719482422,21.8974094390869")</f>
        <v>http://maps.google.com/maps?f=q&amp;hl=en&amp;geocode=&amp;q=39.6843719482422,21.8974094390869</v>
      </c>
    </row>
    <row r="1533" spans="1:7" ht="15" x14ac:dyDescent="0.3">
      <c r="A1533">
        <v>43.068870544433601</v>
      </c>
      <c r="B1533">
        <v>-94.227493286132798</v>
      </c>
      <c r="C1533" t="s">
        <v>43</v>
      </c>
      <c r="D1533" t="s">
        <v>1159</v>
      </c>
      <c r="F1533" s="21"/>
      <c r="G1533" s="16" t="str">
        <f>HYPERLINK("http://maps.google.com/maps?f=q&amp;hl=en&amp;geocode=&amp;q=43.0688705444336,-94.2274932861328")</f>
        <v>http://maps.google.com/maps?f=q&amp;hl=en&amp;geocode=&amp;q=43.0688705444336,-94.2274932861328</v>
      </c>
    </row>
    <row r="1534" spans="1:7" ht="15" x14ac:dyDescent="0.3">
      <c r="A1534">
        <v>-35.178089999999997</v>
      </c>
      <c r="B1534">
        <v>138.76369</v>
      </c>
      <c r="C1534" t="s">
        <v>43</v>
      </c>
      <c r="D1534" t="s">
        <v>1160</v>
      </c>
      <c r="F1534" s="21"/>
      <c r="G1534" s="16" t="str">
        <f>HYPERLINK("http://maps.google.com/maps?f=q&amp;hl=en&amp;geocode=&amp;q=-35.17809,138.76369")</f>
        <v>http://maps.google.com/maps?f=q&amp;hl=en&amp;geocode=&amp;q=-35.17809,138.76369</v>
      </c>
    </row>
    <row r="1535" spans="1:7" ht="15" x14ac:dyDescent="0.3">
      <c r="A1535">
        <v>40.037979125976598</v>
      </c>
      <c r="B1535">
        <v>-75.223060607910199</v>
      </c>
      <c r="C1535" t="s">
        <v>41</v>
      </c>
      <c r="D1535" t="s">
        <v>277</v>
      </c>
      <c r="F1535" s="21"/>
      <c r="G1535" s="16" t="str">
        <f>HYPERLINK("http://maps.google.com/maps?f=q&amp;hl=en&amp;geocode=&amp;q=40.0379791259766,-75.2230606079102")</f>
        <v>http://maps.google.com/maps?f=q&amp;hl=en&amp;geocode=&amp;q=40.0379791259766,-75.2230606079102</v>
      </c>
    </row>
    <row r="1536" spans="1:7" ht="15" x14ac:dyDescent="0.3">
      <c r="A1536">
        <v>43.7950361952782</v>
      </c>
      <c r="B1536">
        <v>-91.237479479184103</v>
      </c>
      <c r="C1536" t="s">
        <v>41</v>
      </c>
      <c r="D1536" t="s">
        <v>1161</v>
      </c>
      <c r="F1536" s="21"/>
      <c r="G1536" s="16" t="str">
        <f>HYPERLINK("http://maps.google.com/maps?f=q&amp;hl=en&amp;geocode=&amp;q=43.7950361952782,-91.2374794791841")</f>
        <v>http://maps.google.com/maps?f=q&amp;hl=en&amp;geocode=&amp;q=43.7950361952782,-91.2374794791841</v>
      </c>
    </row>
    <row r="1537" spans="1:7" ht="15" x14ac:dyDescent="0.3">
      <c r="A1537">
        <v>43.528829999999999</v>
      </c>
      <c r="B1537">
        <v>-116.5654</v>
      </c>
      <c r="C1537" t="s">
        <v>42</v>
      </c>
      <c r="D1537" t="s">
        <v>1162</v>
      </c>
      <c r="F1537" s="21"/>
      <c r="G1537" s="16" t="str">
        <f>HYPERLINK("http://maps.google.com/maps?f=q&amp;hl=en&amp;geocode=&amp;q=43.52883,-116.5654")</f>
        <v>http://maps.google.com/maps?f=q&amp;hl=en&amp;geocode=&amp;q=43.52883,-116.5654</v>
      </c>
    </row>
    <row r="1538" spans="1:7" ht="15" x14ac:dyDescent="0.3">
      <c r="A1538">
        <v>38.256810000000002</v>
      </c>
      <c r="B1538">
        <v>-122.02997999999999</v>
      </c>
      <c r="C1538" t="s">
        <v>43</v>
      </c>
      <c r="D1538" t="s">
        <v>1163</v>
      </c>
      <c r="F1538" s="21"/>
      <c r="G1538" s="16" t="str">
        <f>HYPERLINK("http://maps.google.com/maps?f=q&amp;hl=en&amp;geocode=&amp;q=38.25681,-122.02998")</f>
        <v>http://maps.google.com/maps?f=q&amp;hl=en&amp;geocode=&amp;q=38.25681,-122.02998</v>
      </c>
    </row>
    <row r="1539" spans="1:7" ht="15" x14ac:dyDescent="0.3">
      <c r="A1539">
        <v>45.055130004882798</v>
      </c>
      <c r="B1539">
        <v>1.8393800258636499</v>
      </c>
      <c r="C1539" t="s">
        <v>41</v>
      </c>
      <c r="D1539" t="s">
        <v>1164</v>
      </c>
      <c r="F1539" s="21"/>
      <c r="G1539" s="16" t="str">
        <f>HYPERLINK("http://maps.google.com/maps?f=q&amp;hl=en&amp;geocode=&amp;q=45.0551300048828,1.83938002586365")</f>
        <v>http://maps.google.com/maps?f=q&amp;hl=en&amp;geocode=&amp;q=45.0551300048828,1.83938002586365</v>
      </c>
    </row>
    <row r="1540" spans="1:7" ht="15" x14ac:dyDescent="0.3">
      <c r="A1540">
        <v>39.7929147613821</v>
      </c>
      <c r="B1540">
        <v>-75.5835782706082</v>
      </c>
      <c r="C1540" t="s">
        <v>41</v>
      </c>
      <c r="D1540" t="s">
        <v>1165</v>
      </c>
      <c r="F1540" s="21"/>
      <c r="G1540" s="16" t="str">
        <f>HYPERLINK("http://maps.google.com/maps?f=q&amp;hl=en&amp;geocode=&amp;q=39.7929147613821,-75.5835782706082")</f>
        <v>http://maps.google.com/maps?f=q&amp;hl=en&amp;geocode=&amp;q=39.7929147613821,-75.5835782706082</v>
      </c>
    </row>
    <row r="1541" spans="1:7" ht="15" x14ac:dyDescent="0.3">
      <c r="A1541">
        <v>39.792907630816401</v>
      </c>
      <c r="B1541">
        <v>-75.583611180790797</v>
      </c>
      <c r="C1541" t="s">
        <v>41</v>
      </c>
      <c r="D1541" t="s">
        <v>1166</v>
      </c>
      <c r="F1541" s="21"/>
      <c r="G1541" s="16" t="str">
        <f>HYPERLINK("http://maps.google.com/maps?f=q&amp;hl=en&amp;geocode=&amp;q=39.7929076308164,-75.5836111807908")</f>
        <v>http://maps.google.com/maps?f=q&amp;hl=en&amp;geocode=&amp;q=39.7929076308164,-75.5836111807908</v>
      </c>
    </row>
    <row r="1542" spans="1:7" ht="15" x14ac:dyDescent="0.3">
      <c r="A1542">
        <v>28.53632</v>
      </c>
      <c r="B1542">
        <v>-81.421279999999996</v>
      </c>
      <c r="C1542" t="s">
        <v>43</v>
      </c>
      <c r="D1542" t="s">
        <v>280</v>
      </c>
      <c r="F1542" s="21"/>
      <c r="G1542" s="16" t="str">
        <f>HYPERLINK("http://maps.google.com/maps?f=q&amp;hl=en&amp;geocode=&amp;q=28.53632,-81.42128")</f>
        <v>http://maps.google.com/maps?f=q&amp;hl=en&amp;geocode=&amp;q=28.53632,-81.42128</v>
      </c>
    </row>
    <row r="1543" spans="1:7" ht="15" x14ac:dyDescent="0.3">
      <c r="A1543">
        <v>40.065528018680901</v>
      </c>
      <c r="B1543">
        <v>-75.233396334134397</v>
      </c>
      <c r="C1543" t="s">
        <v>41</v>
      </c>
      <c r="D1543" t="s">
        <v>139</v>
      </c>
      <c r="F1543" s="21"/>
      <c r="G1543" s="16" t="str">
        <f>HYPERLINK("http://maps.google.com/maps?f=q&amp;hl=en&amp;geocode=&amp;q=40.0655280186809,-75.2333963341344")</f>
        <v>http://maps.google.com/maps?f=q&amp;hl=en&amp;geocode=&amp;q=40.0655280186809,-75.2333963341344</v>
      </c>
    </row>
    <row r="1544" spans="1:7" ht="15" x14ac:dyDescent="0.3">
      <c r="A1544" t="s">
        <v>44</v>
      </c>
      <c r="B1544" t="s">
        <v>44</v>
      </c>
      <c r="C1544" t="s">
        <v>44</v>
      </c>
      <c r="D1544" t="s">
        <v>1167</v>
      </c>
      <c r="F1544" s="21"/>
      <c r="G1544" s="16"/>
    </row>
    <row r="1545" spans="1:7" ht="15" x14ac:dyDescent="0.3">
      <c r="A1545" t="s">
        <v>44</v>
      </c>
      <c r="B1545" t="s">
        <v>44</v>
      </c>
      <c r="C1545" t="s">
        <v>44</v>
      </c>
      <c r="D1545" t="s">
        <v>1168</v>
      </c>
      <c r="F1545" s="21"/>
      <c r="G1545" s="16"/>
    </row>
    <row r="1546" spans="1:7" ht="15" x14ac:dyDescent="0.3">
      <c r="A1546">
        <v>7.3835182189941397</v>
      </c>
      <c r="B1546">
        <v>-12.2588081359863</v>
      </c>
      <c r="C1546" t="s">
        <v>41</v>
      </c>
      <c r="D1546" t="s">
        <v>202</v>
      </c>
      <c r="F1546" s="21"/>
      <c r="G1546" s="16" t="str">
        <f>HYPERLINK("http://maps.google.com/maps?f=q&amp;hl=en&amp;geocode=&amp;q=7.38351821899414,-12.2588081359863")</f>
        <v>http://maps.google.com/maps?f=q&amp;hl=en&amp;geocode=&amp;q=7.38351821899414,-12.2588081359863</v>
      </c>
    </row>
    <row r="1547" spans="1:7" ht="15" x14ac:dyDescent="0.3">
      <c r="A1547">
        <v>57.875812530517599</v>
      </c>
      <c r="B1547">
        <v>53.184547424316399</v>
      </c>
      <c r="C1547" t="s">
        <v>41</v>
      </c>
      <c r="D1547" t="s">
        <v>1169</v>
      </c>
      <c r="F1547" s="21"/>
      <c r="G1547" s="16" t="str">
        <f>HYPERLINK("http://maps.google.com/maps?f=q&amp;hl=en&amp;geocode=&amp;q=57.8758125305176,53.1845474243164")</f>
        <v>http://maps.google.com/maps?f=q&amp;hl=en&amp;geocode=&amp;q=57.8758125305176,53.1845474243164</v>
      </c>
    </row>
    <row r="1548" spans="1:7" ht="15" x14ac:dyDescent="0.3">
      <c r="A1548">
        <v>47.411106109619098</v>
      </c>
      <c r="B1548">
        <v>13.218259811401399</v>
      </c>
      <c r="C1548" t="s">
        <v>43</v>
      </c>
      <c r="D1548" t="s">
        <v>1170</v>
      </c>
      <c r="F1548" s="21"/>
      <c r="G1548" s="16" t="str">
        <f>HYPERLINK("http://maps.google.com/maps?f=q&amp;hl=en&amp;geocode=&amp;q=47.4111061096191,13.2182598114014")</f>
        <v>http://maps.google.com/maps?f=q&amp;hl=en&amp;geocode=&amp;q=47.4111061096191,13.2182598114014</v>
      </c>
    </row>
    <row r="1549" spans="1:7" ht="15" x14ac:dyDescent="0.3">
      <c r="A1549">
        <v>48.856765747070298</v>
      </c>
      <c r="B1549">
        <v>-95.7022705078125</v>
      </c>
      <c r="C1549" t="s">
        <v>43</v>
      </c>
      <c r="D1549" t="s">
        <v>1171</v>
      </c>
      <c r="F1549" s="21"/>
      <c r="G1549" s="16" t="str">
        <f>HYPERLINK("http://maps.google.com/maps?f=q&amp;hl=en&amp;geocode=&amp;q=48.8567657470703,-95.7022705078125")</f>
        <v>http://maps.google.com/maps?f=q&amp;hl=en&amp;geocode=&amp;q=48.8567657470703,-95.7022705078125</v>
      </c>
    </row>
    <row r="1550" spans="1:7" ht="15" x14ac:dyDescent="0.3">
      <c r="A1550">
        <v>33.844911244019102</v>
      </c>
      <c r="B1550">
        <v>-94.756854868544806</v>
      </c>
      <c r="C1550" t="s">
        <v>42</v>
      </c>
      <c r="D1550" t="s">
        <v>1172</v>
      </c>
      <c r="F1550" s="21"/>
      <c r="G1550" s="16" t="str">
        <f>HYPERLINK("http://maps.google.com/maps?f=q&amp;hl=en&amp;geocode=&amp;q=33.8449112440191,-94.7568548685448")</f>
        <v>http://maps.google.com/maps?f=q&amp;hl=en&amp;geocode=&amp;q=33.8449112440191,-94.7568548685448</v>
      </c>
    </row>
    <row r="1551" spans="1:7" ht="15" x14ac:dyDescent="0.3">
      <c r="A1551">
        <v>43.21848</v>
      </c>
      <c r="B1551">
        <v>-77.814710000000005</v>
      </c>
      <c r="C1551" t="s">
        <v>41</v>
      </c>
      <c r="D1551" t="s">
        <v>1173</v>
      </c>
      <c r="F1551" s="21"/>
      <c r="G1551" s="16" t="str">
        <f>HYPERLINK("http://maps.google.com/maps?f=q&amp;hl=en&amp;geocode=&amp;q=43.21848,-77.81471")</f>
        <v>http://maps.google.com/maps?f=q&amp;hl=en&amp;geocode=&amp;q=43.21848,-77.81471</v>
      </c>
    </row>
    <row r="1552" spans="1:7" ht="15" x14ac:dyDescent="0.3">
      <c r="A1552">
        <v>31.393370000000001</v>
      </c>
      <c r="B1552">
        <v>-109.5793</v>
      </c>
      <c r="C1552" t="s">
        <v>42</v>
      </c>
      <c r="D1552" t="s">
        <v>1174</v>
      </c>
      <c r="F1552" s="21"/>
      <c r="G1552" s="16" t="str">
        <f>HYPERLINK("http://maps.google.com/maps?f=q&amp;hl=en&amp;geocode=&amp;q=31.39337,-109.5793")</f>
        <v>http://maps.google.com/maps?f=q&amp;hl=en&amp;geocode=&amp;q=31.39337,-109.5793</v>
      </c>
    </row>
    <row r="1553" spans="1:7" ht="15" x14ac:dyDescent="0.3">
      <c r="A1553">
        <v>-32.476999900000003</v>
      </c>
      <c r="B1553">
        <v>115.78574</v>
      </c>
      <c r="C1553" t="s">
        <v>41</v>
      </c>
      <c r="D1553" t="s">
        <v>306</v>
      </c>
      <c r="F1553" s="21"/>
      <c r="G1553" s="16" t="str">
        <f>HYPERLINK("http://maps.google.com/maps?f=q&amp;hl=en&amp;geocode=&amp;q=-32.4769999,115.78574")</f>
        <v>http://maps.google.com/maps?f=q&amp;hl=en&amp;geocode=&amp;q=-32.4769999,115.78574</v>
      </c>
    </row>
    <row r="1554" spans="1:7" ht="15" x14ac:dyDescent="0.3">
      <c r="A1554">
        <v>38.470259810760297</v>
      </c>
      <c r="B1554">
        <v>-81.499467432929293</v>
      </c>
      <c r="C1554" t="s">
        <v>41</v>
      </c>
      <c r="D1554" t="s">
        <v>1175</v>
      </c>
      <c r="F1554" s="21"/>
      <c r="G1554" s="16" t="str">
        <f>HYPERLINK("http://maps.google.com/maps?f=q&amp;hl=en&amp;geocode=&amp;q=38.4702598107603,-81.4994674329293")</f>
        <v>http://maps.google.com/maps?f=q&amp;hl=en&amp;geocode=&amp;q=38.4702598107603,-81.4994674329293</v>
      </c>
    </row>
    <row r="1555" spans="1:7" ht="15" x14ac:dyDescent="0.3">
      <c r="A1555">
        <v>40.309326952462101</v>
      </c>
      <c r="B1555">
        <v>-78.317876013328501</v>
      </c>
      <c r="C1555" t="s">
        <v>41</v>
      </c>
      <c r="D1555" t="s">
        <v>1176</v>
      </c>
      <c r="F1555" s="21"/>
      <c r="G1555" s="16" t="str">
        <f>HYPERLINK("http://maps.google.com/maps?f=q&amp;hl=en&amp;geocode=&amp;q=40.3093269524621,-78.3178760133285")</f>
        <v>http://maps.google.com/maps?f=q&amp;hl=en&amp;geocode=&amp;q=40.3093269524621,-78.3178760133285</v>
      </c>
    </row>
    <row r="1556" spans="1:7" ht="15" x14ac:dyDescent="0.3">
      <c r="A1556">
        <v>39.996954737656701</v>
      </c>
      <c r="B1556">
        <v>-75.117221959843704</v>
      </c>
      <c r="C1556" t="s">
        <v>41</v>
      </c>
      <c r="D1556" t="s">
        <v>521</v>
      </c>
      <c r="F1556" s="21"/>
      <c r="G1556" s="16" t="str">
        <f>HYPERLINK("http://maps.google.com/maps?f=q&amp;hl=en&amp;geocode=&amp;q=39.9969547376567,-75.1172219598437")</f>
        <v>http://maps.google.com/maps?f=q&amp;hl=en&amp;geocode=&amp;q=39.9969547376567,-75.1172219598437</v>
      </c>
    </row>
    <row r="1557" spans="1:7" ht="15" x14ac:dyDescent="0.3">
      <c r="A1557">
        <v>39.996949999999998</v>
      </c>
      <c r="B1557">
        <v>-75.115110000000001</v>
      </c>
      <c r="C1557" t="s">
        <v>41</v>
      </c>
      <c r="D1557" t="s">
        <v>845</v>
      </c>
      <c r="F1557" s="21"/>
      <c r="G1557" s="16" t="str">
        <f>HYPERLINK("http://maps.google.com/maps?f=q&amp;hl=en&amp;geocode=&amp;q=39.99695,-75.11511")</f>
        <v>http://maps.google.com/maps?f=q&amp;hl=en&amp;geocode=&amp;q=39.99695,-75.11511</v>
      </c>
    </row>
    <row r="1558" spans="1:7" ht="15" x14ac:dyDescent="0.3">
      <c r="A1558">
        <v>26.0483069699896</v>
      </c>
      <c r="B1558">
        <v>-80.156434280876397</v>
      </c>
      <c r="C1558" t="s">
        <v>41</v>
      </c>
      <c r="D1558" t="s">
        <v>1177</v>
      </c>
      <c r="F1558" s="21"/>
      <c r="G1558" s="16" t="str">
        <f>HYPERLINK("http://maps.google.com/maps?f=q&amp;hl=en&amp;geocode=&amp;q=26.0483069699896,-80.1564342808764")</f>
        <v>http://maps.google.com/maps?f=q&amp;hl=en&amp;geocode=&amp;q=26.0483069699896,-80.1564342808764</v>
      </c>
    </row>
    <row r="1559" spans="1:7" ht="15" x14ac:dyDescent="0.3">
      <c r="A1559">
        <v>55.459780000000002</v>
      </c>
      <c r="B1559">
        <v>11.20115</v>
      </c>
      <c r="C1559" t="s">
        <v>41</v>
      </c>
      <c r="D1559" t="s">
        <v>757</v>
      </c>
      <c r="F1559" s="21"/>
      <c r="G1559" s="16" t="str">
        <f>HYPERLINK("http://maps.google.com/maps?f=q&amp;hl=en&amp;geocode=&amp;q=55.45978,11.20115")</f>
        <v>http://maps.google.com/maps?f=q&amp;hl=en&amp;geocode=&amp;q=55.45978,11.20115</v>
      </c>
    </row>
    <row r="1560" spans="1:7" ht="15" x14ac:dyDescent="0.3">
      <c r="A1560">
        <v>36.308494966043398</v>
      </c>
      <c r="B1560">
        <v>-84.637340328626493</v>
      </c>
      <c r="C1560" t="s">
        <v>41</v>
      </c>
      <c r="D1560" t="s">
        <v>1178</v>
      </c>
      <c r="F1560" s="21"/>
      <c r="G1560" s="16" t="str">
        <f>HYPERLINK("http://maps.google.com/maps?f=q&amp;hl=en&amp;geocode=&amp;q=36.3084949660434,-84.6373403286265")</f>
        <v>http://maps.google.com/maps?f=q&amp;hl=en&amp;geocode=&amp;q=36.3084949660434,-84.6373403286265</v>
      </c>
    </row>
    <row r="1561" spans="1:7" ht="15" x14ac:dyDescent="0.3">
      <c r="A1561">
        <v>39.980420000000002</v>
      </c>
      <c r="B1561">
        <v>-75.234039999999993</v>
      </c>
      <c r="C1561" t="s">
        <v>43</v>
      </c>
      <c r="D1561" t="s">
        <v>594</v>
      </c>
      <c r="F1561" s="21"/>
      <c r="G1561" s="16" t="str">
        <f>HYPERLINK("http://maps.google.com/maps?f=q&amp;hl=en&amp;geocode=&amp;q=39.98042,-75.23404")</f>
        <v>http://maps.google.com/maps?f=q&amp;hl=en&amp;geocode=&amp;q=39.98042,-75.23404</v>
      </c>
    </row>
    <row r="1562" spans="1:7" ht="15" x14ac:dyDescent="0.3">
      <c r="A1562">
        <v>40.035719999999998</v>
      </c>
      <c r="B1562">
        <v>-75.070629999999994</v>
      </c>
      <c r="C1562" t="s">
        <v>41</v>
      </c>
      <c r="D1562" t="s">
        <v>760</v>
      </c>
      <c r="F1562" s="21"/>
      <c r="G1562" s="16" t="str">
        <f>HYPERLINK("http://maps.google.com/maps?f=q&amp;hl=en&amp;geocode=&amp;q=40.03572,-75.07063")</f>
        <v>http://maps.google.com/maps?f=q&amp;hl=en&amp;geocode=&amp;q=40.03572,-75.07063</v>
      </c>
    </row>
    <row r="1563" spans="1:7" ht="15" x14ac:dyDescent="0.3">
      <c r="A1563">
        <v>37.883307219358898</v>
      </c>
      <c r="B1563">
        <v>-97.390343310620693</v>
      </c>
      <c r="C1563" t="s">
        <v>41</v>
      </c>
      <c r="D1563" t="s">
        <v>1179</v>
      </c>
      <c r="F1563" s="21"/>
      <c r="G1563" s="16" t="str">
        <f>HYPERLINK("http://maps.google.com/maps?f=q&amp;hl=en&amp;geocode=&amp;q=37.8833072193589,-97.3903433106207")</f>
        <v>http://maps.google.com/maps?f=q&amp;hl=en&amp;geocode=&amp;q=37.8833072193589,-97.3903433106207</v>
      </c>
    </row>
    <row r="1564" spans="1:7" ht="15" x14ac:dyDescent="0.3">
      <c r="A1564">
        <v>41.073617878881599</v>
      </c>
      <c r="B1564">
        <v>-81.248220167043002</v>
      </c>
      <c r="C1564" t="s">
        <v>41</v>
      </c>
      <c r="D1564" t="s">
        <v>404</v>
      </c>
      <c r="F1564" s="21"/>
      <c r="G1564" s="16" t="str">
        <f>HYPERLINK("http://maps.google.com/maps?f=q&amp;hl=en&amp;geocode=&amp;q=41.0736178788816,-81.248220167043")</f>
        <v>http://maps.google.com/maps?f=q&amp;hl=en&amp;geocode=&amp;q=41.0736178788816,-81.248220167043</v>
      </c>
    </row>
    <row r="1565" spans="1:7" ht="15" x14ac:dyDescent="0.3">
      <c r="A1565">
        <v>50.741325378417997</v>
      </c>
      <c r="B1565">
        <v>3.2272679805755602</v>
      </c>
      <c r="C1565" t="s">
        <v>43</v>
      </c>
      <c r="D1565" t="s">
        <v>1180</v>
      </c>
      <c r="F1565" s="21"/>
      <c r="G1565" s="16" t="str">
        <f>HYPERLINK("http://maps.google.com/maps?f=q&amp;hl=en&amp;geocode=&amp;q=50.741325378418,3.22726798057556")</f>
        <v>http://maps.google.com/maps?f=q&amp;hl=en&amp;geocode=&amp;q=50.741325378418,3.22726798057556</v>
      </c>
    </row>
    <row r="1566" spans="1:7" ht="15" x14ac:dyDescent="0.3">
      <c r="A1566">
        <v>50.741325378417997</v>
      </c>
      <c r="B1566">
        <v>3.2272679805755602</v>
      </c>
      <c r="C1566" t="s">
        <v>43</v>
      </c>
      <c r="D1566" t="s">
        <v>1180</v>
      </c>
      <c r="F1566" s="21"/>
      <c r="G1566" s="16" t="str">
        <f>HYPERLINK("http://maps.google.com/maps?f=q&amp;hl=en&amp;geocode=&amp;q=50.741325378418,3.22726798057556")</f>
        <v>http://maps.google.com/maps?f=q&amp;hl=en&amp;geocode=&amp;q=50.741325378418,3.22726798057556</v>
      </c>
    </row>
    <row r="1567" spans="1:7" ht="15" x14ac:dyDescent="0.3">
      <c r="A1567">
        <v>43.332260115883201</v>
      </c>
      <c r="B1567">
        <v>-78.753611577694301</v>
      </c>
      <c r="C1567" t="s">
        <v>41</v>
      </c>
      <c r="D1567" t="s">
        <v>1181</v>
      </c>
      <c r="F1567" s="21"/>
      <c r="G1567" s="16" t="str">
        <f>HYPERLINK("http://maps.google.com/maps?f=q&amp;hl=en&amp;geocode=&amp;q=43.3322601158832,-78.7536115776943")</f>
        <v>http://maps.google.com/maps?f=q&amp;hl=en&amp;geocode=&amp;q=43.3322601158832,-78.7536115776943</v>
      </c>
    </row>
    <row r="1568" spans="1:7" ht="15" x14ac:dyDescent="0.3">
      <c r="A1568" t="s">
        <v>44</v>
      </c>
      <c r="B1568" t="s">
        <v>44</v>
      </c>
      <c r="C1568" t="s">
        <v>44</v>
      </c>
      <c r="D1568" t="s">
        <v>1153</v>
      </c>
      <c r="F1568" s="21"/>
      <c r="G1568" s="16"/>
    </row>
    <row r="1569" spans="1:7" ht="15" x14ac:dyDescent="0.3">
      <c r="A1569" t="s">
        <v>44</v>
      </c>
      <c r="B1569" t="s">
        <v>44</v>
      </c>
      <c r="C1569" t="s">
        <v>44</v>
      </c>
      <c r="D1569" t="s">
        <v>1153</v>
      </c>
      <c r="F1569" s="21"/>
      <c r="G1569" s="16"/>
    </row>
    <row r="1570" spans="1:7" ht="15" x14ac:dyDescent="0.3">
      <c r="A1570" t="s">
        <v>44</v>
      </c>
      <c r="B1570" t="s">
        <v>44</v>
      </c>
      <c r="C1570" t="s">
        <v>44</v>
      </c>
      <c r="D1570" t="s">
        <v>1153</v>
      </c>
      <c r="F1570" s="21"/>
      <c r="G1570" s="16"/>
    </row>
    <row r="1571" spans="1:7" ht="15" x14ac:dyDescent="0.3">
      <c r="A1571" t="s">
        <v>44</v>
      </c>
      <c r="B1571" t="s">
        <v>44</v>
      </c>
      <c r="C1571" t="s">
        <v>44</v>
      </c>
      <c r="D1571" t="s">
        <v>1153</v>
      </c>
      <c r="F1571" s="21"/>
      <c r="G1571" s="16"/>
    </row>
    <row r="1572" spans="1:7" ht="15" x14ac:dyDescent="0.3">
      <c r="A1572">
        <v>33.669659419137702</v>
      </c>
      <c r="B1572">
        <v>-101.530484029617</v>
      </c>
      <c r="C1572" t="s">
        <v>41</v>
      </c>
      <c r="D1572" t="s">
        <v>1182</v>
      </c>
      <c r="F1572" s="21"/>
      <c r="G1572" s="16" t="str">
        <f>HYPERLINK("http://maps.google.com/maps?f=q&amp;hl=en&amp;geocode=&amp;q=33.6696594191377,-101.530484029617")</f>
        <v>http://maps.google.com/maps?f=q&amp;hl=en&amp;geocode=&amp;q=33.6696594191377,-101.530484029617</v>
      </c>
    </row>
    <row r="1573" spans="1:7" ht="15" x14ac:dyDescent="0.3">
      <c r="A1573">
        <v>40.023629999999997</v>
      </c>
      <c r="B1573">
        <v>-75.115939999999995</v>
      </c>
      <c r="C1573" t="s">
        <v>43</v>
      </c>
      <c r="D1573" t="s">
        <v>1183</v>
      </c>
      <c r="F1573" s="21"/>
      <c r="G1573" s="16" t="str">
        <f>HYPERLINK("http://maps.google.com/maps?f=q&amp;hl=en&amp;geocode=&amp;q=40.02363,-75.11594")</f>
        <v>http://maps.google.com/maps?f=q&amp;hl=en&amp;geocode=&amp;q=40.02363,-75.11594</v>
      </c>
    </row>
    <row r="1574" spans="1:7" ht="15" x14ac:dyDescent="0.3">
      <c r="A1574">
        <v>38.783990000000003</v>
      </c>
      <c r="B1574">
        <v>-77.096450000000004</v>
      </c>
      <c r="C1574" t="s">
        <v>42</v>
      </c>
      <c r="D1574" t="s">
        <v>1136</v>
      </c>
      <c r="F1574" s="21"/>
      <c r="G1574" s="16" t="str">
        <f>HYPERLINK("http://maps.google.com/maps?f=q&amp;hl=en&amp;geocode=&amp;q=38.78399,-77.09645")</f>
        <v>http://maps.google.com/maps?f=q&amp;hl=en&amp;geocode=&amp;q=38.78399,-77.09645</v>
      </c>
    </row>
    <row r="1575" spans="1:7" ht="15" x14ac:dyDescent="0.3">
      <c r="A1575">
        <v>40.066841553762302</v>
      </c>
      <c r="B1575">
        <v>-75.234973785420493</v>
      </c>
      <c r="C1575" t="s">
        <v>41</v>
      </c>
      <c r="D1575" t="s">
        <v>1184</v>
      </c>
      <c r="F1575" s="21"/>
      <c r="G1575" s="16" t="str">
        <f>HYPERLINK("http://maps.google.com/maps?f=q&amp;hl=en&amp;geocode=&amp;q=40.0668415537623,-75.2349737854205")</f>
        <v>http://maps.google.com/maps?f=q&amp;hl=en&amp;geocode=&amp;q=40.0668415537623,-75.2349737854205</v>
      </c>
    </row>
    <row r="1576" spans="1:7" ht="15" x14ac:dyDescent="0.3">
      <c r="A1576">
        <v>43.025587855921799</v>
      </c>
      <c r="B1576">
        <v>-74.985908809015001</v>
      </c>
      <c r="C1576" t="s">
        <v>41</v>
      </c>
      <c r="D1576" t="s">
        <v>1185</v>
      </c>
      <c r="F1576" s="21"/>
      <c r="G1576" s="16" t="str">
        <f>HYPERLINK("http://maps.google.com/maps?f=q&amp;hl=en&amp;geocode=&amp;q=43.0255878559218,-74.985908809015")</f>
        <v>http://maps.google.com/maps?f=q&amp;hl=en&amp;geocode=&amp;q=43.0255878559218,-74.985908809015</v>
      </c>
    </row>
    <row r="1577" spans="1:7" ht="15" x14ac:dyDescent="0.3">
      <c r="A1577">
        <v>43.025587855921799</v>
      </c>
      <c r="B1577">
        <v>-74.985908809015001</v>
      </c>
      <c r="C1577" t="s">
        <v>41</v>
      </c>
      <c r="D1577" t="s">
        <v>1185</v>
      </c>
      <c r="F1577" s="21"/>
      <c r="G1577" s="16" t="str">
        <f>HYPERLINK("http://maps.google.com/maps?f=q&amp;hl=en&amp;geocode=&amp;q=43.0255878559218,-74.985908809015")</f>
        <v>http://maps.google.com/maps?f=q&amp;hl=en&amp;geocode=&amp;q=43.0255878559218,-74.985908809015</v>
      </c>
    </row>
    <row r="1578" spans="1:7" ht="15" x14ac:dyDescent="0.3">
      <c r="A1578">
        <v>43.025587855921799</v>
      </c>
      <c r="B1578">
        <v>-74.985908809015001</v>
      </c>
      <c r="C1578" t="s">
        <v>41</v>
      </c>
      <c r="D1578" t="s">
        <v>1185</v>
      </c>
      <c r="F1578" s="21"/>
      <c r="G1578" s="16" t="str">
        <f>HYPERLINK("http://maps.google.com/maps?f=q&amp;hl=en&amp;geocode=&amp;q=43.0255878559218,-74.985908809015")</f>
        <v>http://maps.google.com/maps?f=q&amp;hl=en&amp;geocode=&amp;q=43.0255878559218,-74.985908809015</v>
      </c>
    </row>
    <row r="1579" spans="1:7" ht="15" x14ac:dyDescent="0.3">
      <c r="A1579">
        <v>54.901432037353501</v>
      </c>
      <c r="B1579">
        <v>10.7508296966553</v>
      </c>
      <c r="C1579" t="s">
        <v>43</v>
      </c>
      <c r="D1579" t="s">
        <v>1186</v>
      </c>
      <c r="F1579" s="21"/>
      <c r="G1579" s="16" t="str">
        <f>HYPERLINK("http://maps.google.com/maps?f=q&amp;hl=en&amp;geocode=&amp;q=54.9014320373535,10.7508296966553")</f>
        <v>http://maps.google.com/maps?f=q&amp;hl=en&amp;geocode=&amp;q=54.9014320373535,10.7508296966553</v>
      </c>
    </row>
    <row r="1580" spans="1:7" ht="15" x14ac:dyDescent="0.3">
      <c r="A1580">
        <v>32.925128294529799</v>
      </c>
      <c r="B1580">
        <v>-79.711410327712699</v>
      </c>
      <c r="C1580" t="s">
        <v>42</v>
      </c>
      <c r="D1580" t="s">
        <v>1187</v>
      </c>
      <c r="F1580" s="21"/>
      <c r="G1580" s="16" t="str">
        <f>HYPERLINK("http://maps.google.com/maps?f=q&amp;hl=en&amp;geocode=&amp;q=32.9251282945298,-79.7114103277127")</f>
        <v>http://maps.google.com/maps?f=q&amp;hl=en&amp;geocode=&amp;q=32.9251282945298,-79.7114103277127</v>
      </c>
    </row>
    <row r="1581" spans="1:7" ht="15" x14ac:dyDescent="0.3">
      <c r="A1581">
        <v>-31.950477600097699</v>
      </c>
      <c r="B1581">
        <v>115.86053466796901</v>
      </c>
      <c r="C1581" t="s">
        <v>43</v>
      </c>
      <c r="D1581" t="s">
        <v>964</v>
      </c>
      <c r="F1581" s="21"/>
      <c r="G1581" s="16" t="str">
        <f>HYPERLINK("http://maps.google.com/maps?f=q&amp;hl=en&amp;geocode=&amp;q=-31.9504776000977,115.860534667969")</f>
        <v>http://maps.google.com/maps?f=q&amp;hl=en&amp;geocode=&amp;q=-31.9504776000977,115.860534667969</v>
      </c>
    </row>
    <row r="1582" spans="1:7" ht="15" x14ac:dyDescent="0.3">
      <c r="A1582">
        <v>39.18927</v>
      </c>
      <c r="B1582">
        <v>-77.042910000000006</v>
      </c>
      <c r="C1582" t="s">
        <v>41</v>
      </c>
      <c r="D1582" t="s">
        <v>1188</v>
      </c>
      <c r="F1582" s="21"/>
      <c r="G1582" s="16" t="str">
        <f>HYPERLINK("http://maps.google.com/maps?f=q&amp;hl=en&amp;geocode=&amp;q=39.18927,-77.04291")</f>
        <v>http://maps.google.com/maps?f=q&amp;hl=en&amp;geocode=&amp;q=39.18927,-77.04291</v>
      </c>
    </row>
    <row r="1583" spans="1:7" ht="15" x14ac:dyDescent="0.3">
      <c r="A1583">
        <v>40.020707485839601</v>
      </c>
      <c r="B1583">
        <v>-75.212686082949602</v>
      </c>
      <c r="C1583" t="s">
        <v>41</v>
      </c>
      <c r="D1583" t="s">
        <v>1189</v>
      </c>
      <c r="F1583" s="21"/>
      <c r="G1583" s="16" t="str">
        <f>HYPERLINK("http://maps.google.com/maps?f=q&amp;hl=en&amp;geocode=&amp;q=40.0207074858396,-75.2126860829496")</f>
        <v>http://maps.google.com/maps?f=q&amp;hl=en&amp;geocode=&amp;q=40.0207074858396,-75.2126860829496</v>
      </c>
    </row>
    <row r="1584" spans="1:7" ht="15" x14ac:dyDescent="0.3">
      <c r="A1584">
        <v>39.931870000000004</v>
      </c>
      <c r="B1584">
        <v>-75.152990000000003</v>
      </c>
      <c r="C1584" t="s">
        <v>43</v>
      </c>
      <c r="D1584" t="s">
        <v>1190</v>
      </c>
      <c r="F1584" s="21"/>
      <c r="G1584" s="16" t="str">
        <f>HYPERLINK("http://maps.google.com/maps?f=q&amp;hl=en&amp;geocode=&amp;q=39.93187,-75.15299")</f>
        <v>http://maps.google.com/maps?f=q&amp;hl=en&amp;geocode=&amp;q=39.93187,-75.15299</v>
      </c>
    </row>
    <row r="1585" spans="1:7" ht="15" x14ac:dyDescent="0.3">
      <c r="A1585">
        <v>39.931708876181503</v>
      </c>
      <c r="B1585">
        <v>-75.1521861942052</v>
      </c>
      <c r="C1585" t="s">
        <v>41</v>
      </c>
      <c r="D1585" t="s">
        <v>1191</v>
      </c>
      <c r="F1585" s="21"/>
      <c r="G1585" s="16" t="str">
        <f>HYPERLINK("http://maps.google.com/maps?f=q&amp;hl=en&amp;geocode=&amp;q=39.9317088761815,-75.1521861942052")</f>
        <v>http://maps.google.com/maps?f=q&amp;hl=en&amp;geocode=&amp;q=39.9317088761815,-75.1521861942052</v>
      </c>
    </row>
    <row r="1586" spans="1:7" ht="15" x14ac:dyDescent="0.3">
      <c r="A1586">
        <v>34.437221527099602</v>
      </c>
      <c r="B1586">
        <v>104.030281066895</v>
      </c>
      <c r="C1586" t="s">
        <v>43</v>
      </c>
      <c r="D1586" t="s">
        <v>1192</v>
      </c>
      <c r="F1586" s="21"/>
      <c r="G1586" s="16" t="str">
        <f>HYPERLINK("http://maps.google.com/maps?f=q&amp;hl=en&amp;geocode=&amp;q=34.4372215270996,104.030281066895")</f>
        <v>http://maps.google.com/maps?f=q&amp;hl=en&amp;geocode=&amp;q=34.4372215270996,104.030281066895</v>
      </c>
    </row>
    <row r="1587" spans="1:7" ht="15" x14ac:dyDescent="0.3">
      <c r="A1587">
        <v>49.4726371765137</v>
      </c>
      <c r="B1587">
        <v>-2.4496390819549601</v>
      </c>
      <c r="C1587" t="s">
        <v>41</v>
      </c>
      <c r="D1587" t="s">
        <v>1193</v>
      </c>
      <c r="F1587" s="21"/>
      <c r="G1587" s="16" t="str">
        <f>HYPERLINK("http://maps.google.com/maps?f=q&amp;hl=en&amp;geocode=&amp;q=49.4726371765137,-2.44963908195496")</f>
        <v>http://maps.google.com/maps?f=q&amp;hl=en&amp;geocode=&amp;q=49.4726371765137,-2.44963908195496</v>
      </c>
    </row>
    <row r="1588" spans="1:7" ht="15" x14ac:dyDescent="0.3">
      <c r="A1588">
        <v>40.729702357695402</v>
      </c>
      <c r="B1588">
        <v>-86.091769422180406</v>
      </c>
      <c r="C1588" t="s">
        <v>41</v>
      </c>
      <c r="D1588" t="s">
        <v>1194</v>
      </c>
      <c r="F1588" s="21"/>
      <c r="G1588" s="16" t="str">
        <f>HYPERLINK("http://maps.google.com/maps?f=q&amp;hl=en&amp;geocode=&amp;q=40.7297023576954,-86.0917694221804")</f>
        <v>http://maps.google.com/maps?f=q&amp;hl=en&amp;geocode=&amp;q=40.7297023576954,-86.0917694221804</v>
      </c>
    </row>
    <row r="1589" spans="1:7" ht="15" x14ac:dyDescent="0.3">
      <c r="F1589" s="21"/>
      <c r="G1589" s="16"/>
    </row>
    <row r="1590" spans="1:7" ht="15" x14ac:dyDescent="0.3">
      <c r="A1590">
        <v>39.902050018310497</v>
      </c>
      <c r="B1590">
        <v>-75.1798095703125</v>
      </c>
      <c r="C1590" t="s">
        <v>41</v>
      </c>
      <c r="D1590" t="s">
        <v>1195</v>
      </c>
      <c r="F1590" s="21"/>
      <c r="G1590" s="16" t="str">
        <f>HYPERLINK("http://maps.google.com/maps?f=q&amp;hl=en&amp;geocode=&amp;q=39.9020500183105,-75.1798095703125")</f>
        <v>http://maps.google.com/maps?f=q&amp;hl=en&amp;geocode=&amp;q=39.9020500183105,-75.1798095703125</v>
      </c>
    </row>
    <row r="1591" spans="1:7" ht="15" x14ac:dyDescent="0.3">
      <c r="A1591">
        <v>41.545448303222699</v>
      </c>
      <c r="B1591">
        <v>-76.742660522460895</v>
      </c>
      <c r="C1591" t="s">
        <v>43</v>
      </c>
      <c r="D1591" t="s">
        <v>1196</v>
      </c>
      <c r="F1591" s="21"/>
      <c r="G1591" s="16" t="str">
        <f>HYPERLINK("http://maps.google.com/maps?f=q&amp;hl=en&amp;geocode=&amp;q=41.5454483032227,-76.7426605224609")</f>
        <v>http://maps.google.com/maps?f=q&amp;hl=en&amp;geocode=&amp;q=41.5454483032227,-76.7426605224609</v>
      </c>
    </row>
    <row r="1592" spans="1:7" ht="15" x14ac:dyDescent="0.3">
      <c r="A1592">
        <v>35.4066756861626</v>
      </c>
      <c r="B1592">
        <v>-89.387352629615805</v>
      </c>
      <c r="C1592" t="s">
        <v>41</v>
      </c>
      <c r="D1592" t="s">
        <v>1197</v>
      </c>
      <c r="F1592" s="21"/>
      <c r="G1592" s="16" t="str">
        <f>HYPERLINK("http://maps.google.com/maps?f=q&amp;hl=en&amp;geocode=&amp;q=35.4066756861626,-89.3873526296158")</f>
        <v>http://maps.google.com/maps?f=q&amp;hl=en&amp;geocode=&amp;q=35.4066756861626,-89.3873526296158</v>
      </c>
    </row>
    <row r="1593" spans="1:7" ht="15" x14ac:dyDescent="0.3">
      <c r="A1593">
        <v>29.94772</v>
      </c>
      <c r="B1593">
        <v>-93.937799999999996</v>
      </c>
      <c r="C1593" t="s">
        <v>41</v>
      </c>
      <c r="D1593" t="s">
        <v>772</v>
      </c>
      <c r="F1593" s="21"/>
      <c r="G1593" s="16" t="str">
        <f>HYPERLINK("http://maps.google.com/maps?f=q&amp;hl=en&amp;geocode=&amp;q=29.94772,-93.9378")</f>
        <v>http://maps.google.com/maps?f=q&amp;hl=en&amp;geocode=&amp;q=29.94772,-93.9378</v>
      </c>
    </row>
    <row r="1594" spans="1:7" ht="15" x14ac:dyDescent="0.3">
      <c r="A1594">
        <v>36.382385157353298</v>
      </c>
      <c r="B1594">
        <v>-78.628909711545006</v>
      </c>
      <c r="C1594" t="s">
        <v>41</v>
      </c>
      <c r="D1594" t="s">
        <v>138</v>
      </c>
      <c r="F1594" s="21"/>
      <c r="G1594" s="16" t="str">
        <f>HYPERLINK("http://maps.google.com/maps?f=q&amp;hl=en&amp;geocode=&amp;q=36.3823851573533,-78.628909711545")</f>
        <v>http://maps.google.com/maps?f=q&amp;hl=en&amp;geocode=&amp;q=36.3823851573533,-78.628909711545</v>
      </c>
    </row>
    <row r="1595" spans="1:7" ht="15" x14ac:dyDescent="0.3">
      <c r="A1595">
        <v>39.925139999999999</v>
      </c>
      <c r="B1595">
        <v>-75.235380000000006</v>
      </c>
      <c r="C1595" t="s">
        <v>41</v>
      </c>
      <c r="D1595" t="s">
        <v>54</v>
      </c>
      <c r="F1595" s="21"/>
      <c r="G1595" s="16" t="str">
        <f>HYPERLINK("http://maps.google.com/maps?f=q&amp;hl=en&amp;geocode=&amp;q=39.92514,-75.23538")</f>
        <v>http://maps.google.com/maps?f=q&amp;hl=en&amp;geocode=&amp;q=39.92514,-75.23538</v>
      </c>
    </row>
    <row r="1596" spans="1:7" ht="15" x14ac:dyDescent="0.3">
      <c r="A1596">
        <v>33.241392164860002</v>
      </c>
      <c r="B1596">
        <v>-97.197825718855299</v>
      </c>
      <c r="C1596" t="s">
        <v>43</v>
      </c>
      <c r="D1596" t="s">
        <v>1198</v>
      </c>
      <c r="F1596" s="21"/>
      <c r="G1596" s="16" t="str">
        <f>HYPERLINK("http://maps.google.com/maps?f=q&amp;hl=en&amp;geocode=&amp;q=33.24139216486,-97.1978257188553")</f>
        <v>http://maps.google.com/maps?f=q&amp;hl=en&amp;geocode=&amp;q=33.24139216486,-97.1978257188553</v>
      </c>
    </row>
    <row r="1597" spans="1:7" ht="15" x14ac:dyDescent="0.3">
      <c r="A1597">
        <v>40.035719999999998</v>
      </c>
      <c r="B1597">
        <v>-75.070629999999994</v>
      </c>
      <c r="C1597" t="s">
        <v>41</v>
      </c>
      <c r="D1597" t="s">
        <v>760</v>
      </c>
      <c r="F1597" s="21"/>
      <c r="G1597" s="16" t="str">
        <f>HYPERLINK("http://maps.google.com/maps?f=q&amp;hl=en&amp;geocode=&amp;q=40.03572,-75.07063")</f>
        <v>http://maps.google.com/maps?f=q&amp;hl=en&amp;geocode=&amp;q=40.03572,-75.07063</v>
      </c>
    </row>
    <row r="1598" spans="1:7" ht="15" x14ac:dyDescent="0.3">
      <c r="A1598">
        <v>41.545448303222699</v>
      </c>
      <c r="B1598">
        <v>-76.742660522460895</v>
      </c>
      <c r="C1598" t="s">
        <v>43</v>
      </c>
      <c r="D1598" t="s">
        <v>1199</v>
      </c>
      <c r="F1598" s="21"/>
      <c r="G1598" s="16" t="str">
        <f>HYPERLINK("http://maps.google.com/maps?f=q&amp;hl=en&amp;geocode=&amp;q=41.5454483032227,-76.7426605224609")</f>
        <v>http://maps.google.com/maps?f=q&amp;hl=en&amp;geocode=&amp;q=41.5454483032227,-76.7426605224609</v>
      </c>
    </row>
    <row r="1599" spans="1:7" ht="15" x14ac:dyDescent="0.3">
      <c r="A1599">
        <v>41.545448303222699</v>
      </c>
      <c r="B1599">
        <v>-76.742660522460895</v>
      </c>
      <c r="C1599" t="s">
        <v>43</v>
      </c>
      <c r="D1599" t="s">
        <v>1199</v>
      </c>
      <c r="F1599" s="21"/>
      <c r="G1599" s="16" t="str">
        <f>HYPERLINK("http://maps.google.com/maps?f=q&amp;hl=en&amp;geocode=&amp;q=41.5454483032227,-76.7426605224609")</f>
        <v>http://maps.google.com/maps?f=q&amp;hl=en&amp;geocode=&amp;q=41.5454483032227,-76.7426605224609</v>
      </c>
    </row>
    <row r="1600" spans="1:7" ht="15" x14ac:dyDescent="0.3">
      <c r="A1600">
        <v>39.151271820068402</v>
      </c>
      <c r="B1600">
        <v>-76.764373779296903</v>
      </c>
      <c r="C1600" t="s">
        <v>43</v>
      </c>
      <c r="D1600" t="s">
        <v>1200</v>
      </c>
      <c r="F1600" s="21"/>
      <c r="G1600" s="16" t="str">
        <f>HYPERLINK("http://maps.google.com/maps?f=q&amp;hl=en&amp;geocode=&amp;q=39.1512718200684,-76.7643737792969")</f>
        <v>http://maps.google.com/maps?f=q&amp;hl=en&amp;geocode=&amp;q=39.1512718200684,-76.7643737792969</v>
      </c>
    </row>
    <row r="1601" spans="1:7" ht="15" x14ac:dyDescent="0.3">
      <c r="A1601">
        <v>40.382401868130202</v>
      </c>
      <c r="B1601">
        <v>-83.1484280868507</v>
      </c>
      <c r="C1601" t="s">
        <v>41</v>
      </c>
      <c r="D1601" t="s">
        <v>1201</v>
      </c>
      <c r="F1601" s="21"/>
      <c r="G1601" s="16" t="str">
        <f>HYPERLINK("http://maps.google.com/maps?f=q&amp;hl=en&amp;geocode=&amp;q=40.3824018681302,-83.1484280868507")</f>
        <v>http://maps.google.com/maps?f=q&amp;hl=en&amp;geocode=&amp;q=40.3824018681302,-83.1484280868507</v>
      </c>
    </row>
    <row r="1602" spans="1:7" ht="15" x14ac:dyDescent="0.3">
      <c r="A1602">
        <v>39.969520568847699</v>
      </c>
      <c r="B1602">
        <v>-79.613929748535199</v>
      </c>
      <c r="C1602" t="s">
        <v>43</v>
      </c>
      <c r="D1602" t="s">
        <v>1202</v>
      </c>
      <c r="F1602" s="21"/>
      <c r="G1602" s="16" t="str">
        <f>HYPERLINK("http://maps.google.com/maps?f=q&amp;hl=en&amp;geocode=&amp;q=39.9695205688477,-79.6139297485352")</f>
        <v>http://maps.google.com/maps?f=q&amp;hl=en&amp;geocode=&amp;q=39.9695205688477,-79.6139297485352</v>
      </c>
    </row>
    <row r="1603" spans="1:7" ht="15" x14ac:dyDescent="0.3">
      <c r="A1603">
        <v>39.930590000000002</v>
      </c>
      <c r="B1603">
        <v>-75.159670000000006</v>
      </c>
      <c r="C1603" t="s">
        <v>43</v>
      </c>
      <c r="D1603" t="s">
        <v>1203</v>
      </c>
      <c r="F1603" s="21"/>
      <c r="G1603" s="16" t="str">
        <f>HYPERLINK("http://maps.google.com/maps?f=q&amp;hl=en&amp;geocode=&amp;q=39.93059,-75.15967")</f>
        <v>http://maps.google.com/maps?f=q&amp;hl=en&amp;geocode=&amp;q=39.93059,-75.15967</v>
      </c>
    </row>
    <row r="1604" spans="1:7" ht="15" x14ac:dyDescent="0.3">
      <c r="A1604">
        <v>42.909822065517901</v>
      </c>
      <c r="B1604">
        <v>-72.948089559336793</v>
      </c>
      <c r="C1604" t="s">
        <v>41</v>
      </c>
      <c r="D1604" t="s">
        <v>1204</v>
      </c>
      <c r="F1604" s="21"/>
      <c r="G1604" s="16" t="str">
        <f>HYPERLINK("http://maps.google.com/maps?f=q&amp;hl=en&amp;geocode=&amp;q=42.9098220655179,-72.9480895593368")</f>
        <v>http://maps.google.com/maps?f=q&amp;hl=en&amp;geocode=&amp;q=42.9098220655179,-72.9480895593368</v>
      </c>
    </row>
    <row r="1605" spans="1:7" ht="15" x14ac:dyDescent="0.3">
      <c r="A1605">
        <v>39.014539999999997</v>
      </c>
      <c r="B1605">
        <v>-94.582589999999996</v>
      </c>
      <c r="C1605" t="s">
        <v>43</v>
      </c>
      <c r="D1605" t="s">
        <v>1205</v>
      </c>
      <c r="F1605" s="21"/>
      <c r="G1605" s="16" t="str">
        <f>HYPERLINK("http://maps.google.com/maps?f=q&amp;hl=en&amp;geocode=&amp;q=39.01454,-94.58259")</f>
        <v>http://maps.google.com/maps?f=q&amp;hl=en&amp;geocode=&amp;q=39.01454,-94.58259</v>
      </c>
    </row>
    <row r="1606" spans="1:7" ht="15" x14ac:dyDescent="0.3">
      <c r="A1606">
        <v>40.767870000000002</v>
      </c>
      <c r="B1606">
        <v>-96.642679999999999</v>
      </c>
      <c r="C1606" t="s">
        <v>41</v>
      </c>
      <c r="D1606" t="s">
        <v>1206</v>
      </c>
      <c r="F1606" s="21"/>
      <c r="G1606" s="16" t="str">
        <f>HYPERLINK("http://maps.google.com/maps?f=q&amp;hl=en&amp;geocode=&amp;q=40.76787,-96.64268")</f>
        <v>http://maps.google.com/maps?f=q&amp;hl=en&amp;geocode=&amp;q=40.76787,-96.64268</v>
      </c>
    </row>
    <row r="1607" spans="1:7" ht="15" x14ac:dyDescent="0.3">
      <c r="A1607">
        <v>47.411106109619098</v>
      </c>
      <c r="B1607">
        <v>13.218259811401399</v>
      </c>
      <c r="C1607" t="s">
        <v>43</v>
      </c>
      <c r="D1607" t="s">
        <v>1207</v>
      </c>
      <c r="F1607" s="21"/>
      <c r="G1607" s="16" t="str">
        <f>HYPERLINK("http://maps.google.com/maps?f=q&amp;hl=en&amp;geocode=&amp;q=47.4111061096191,13.2182598114014")</f>
        <v>http://maps.google.com/maps?f=q&amp;hl=en&amp;geocode=&amp;q=47.4111061096191,13.2182598114014</v>
      </c>
    </row>
    <row r="1608" spans="1:7" ht="15" x14ac:dyDescent="0.3">
      <c r="A1608">
        <v>44.8207397460938</v>
      </c>
      <c r="B1608">
        <v>-93.802543640136705</v>
      </c>
      <c r="C1608" t="s">
        <v>43</v>
      </c>
      <c r="D1608" t="s">
        <v>1208</v>
      </c>
      <c r="F1608" s="21"/>
      <c r="G1608" s="16" t="str">
        <f>HYPERLINK("http://maps.google.com/maps?f=q&amp;hl=en&amp;geocode=&amp;q=44.8207397460938,-93.8025436401367")</f>
        <v>http://maps.google.com/maps?f=q&amp;hl=en&amp;geocode=&amp;q=44.8207397460938,-93.8025436401367</v>
      </c>
    </row>
    <row r="1609" spans="1:7" ht="15" x14ac:dyDescent="0.3">
      <c r="A1609">
        <v>48.486480712890597</v>
      </c>
      <c r="B1609">
        <v>-0.58017998933792103</v>
      </c>
      <c r="C1609" t="s">
        <v>43</v>
      </c>
      <c r="D1609" t="s">
        <v>1209</v>
      </c>
      <c r="F1609" s="21"/>
      <c r="G1609" s="16" t="str">
        <f>HYPERLINK("http://maps.google.com/maps?f=q&amp;hl=en&amp;geocode=&amp;q=48.4864807128906,-0.580179989337921")</f>
        <v>http://maps.google.com/maps?f=q&amp;hl=en&amp;geocode=&amp;q=48.4864807128906,-0.580179989337921</v>
      </c>
    </row>
    <row r="1610" spans="1:7" ht="15" x14ac:dyDescent="0.3">
      <c r="A1610">
        <v>42.4211838777669</v>
      </c>
      <c r="B1610">
        <v>-76.492153618799193</v>
      </c>
      <c r="C1610" t="s">
        <v>41</v>
      </c>
      <c r="D1610" t="s">
        <v>146</v>
      </c>
      <c r="F1610" s="21"/>
      <c r="G1610" s="16" t="str">
        <f>HYPERLINK("http://maps.google.com/maps?f=q&amp;hl=en&amp;geocode=&amp;q=42.4211838777669,-76.4921536187992")</f>
        <v>http://maps.google.com/maps?f=q&amp;hl=en&amp;geocode=&amp;q=42.4211838777669,-76.4921536187992</v>
      </c>
    </row>
    <row r="1611" spans="1:7" ht="15" x14ac:dyDescent="0.3">
      <c r="A1611">
        <v>-28.342119216918899</v>
      </c>
      <c r="B1611">
        <v>152.00799560546901</v>
      </c>
      <c r="C1611" t="s">
        <v>43</v>
      </c>
      <c r="D1611" t="s">
        <v>131</v>
      </c>
      <c r="F1611" s="21"/>
      <c r="G1611" s="16" t="str">
        <f>HYPERLINK("http://maps.google.com/maps?f=q&amp;hl=en&amp;geocode=&amp;q=-28.3421192169189,152.007995605469")</f>
        <v>http://maps.google.com/maps?f=q&amp;hl=en&amp;geocode=&amp;q=-28.3421192169189,152.007995605469</v>
      </c>
    </row>
    <row r="1612" spans="1:7" ht="15" x14ac:dyDescent="0.3">
      <c r="A1612">
        <v>40.460018157958999</v>
      </c>
      <c r="B1612">
        <v>-78.591552734375</v>
      </c>
      <c r="C1612" t="s">
        <v>43</v>
      </c>
      <c r="D1612" t="s">
        <v>1210</v>
      </c>
      <c r="F1612" s="21"/>
      <c r="G1612" s="16" t="str">
        <f>HYPERLINK("http://maps.google.com/maps?f=q&amp;hl=en&amp;geocode=&amp;q=40.460018157959,-78.591552734375")</f>
        <v>http://maps.google.com/maps?f=q&amp;hl=en&amp;geocode=&amp;q=40.460018157959,-78.591552734375</v>
      </c>
    </row>
    <row r="1613" spans="1:7" ht="15" x14ac:dyDescent="0.3">
      <c r="A1613">
        <v>46.1202392578125</v>
      </c>
      <c r="B1613">
        <v>14.8206644058228</v>
      </c>
      <c r="C1613" t="s">
        <v>41</v>
      </c>
      <c r="D1613" t="s">
        <v>1211</v>
      </c>
      <c r="F1613" s="21"/>
      <c r="G1613" s="16" t="str">
        <f>HYPERLINK("http://maps.google.com/maps?f=q&amp;hl=en&amp;geocode=&amp;q=46.1202392578125,14.8206644058228")</f>
        <v>http://maps.google.com/maps?f=q&amp;hl=en&amp;geocode=&amp;q=46.1202392578125,14.8206644058228</v>
      </c>
    </row>
    <row r="1614" spans="1:7" ht="15" x14ac:dyDescent="0.3">
      <c r="A1614">
        <v>49.637584686279297</v>
      </c>
      <c r="B1614">
        <v>6.1397600173950204</v>
      </c>
      <c r="C1614" t="s">
        <v>41</v>
      </c>
      <c r="D1614" t="s">
        <v>1212</v>
      </c>
      <c r="F1614" s="21"/>
      <c r="G1614" s="16" t="str">
        <f>HYPERLINK("http://maps.google.com/maps?f=q&amp;hl=en&amp;geocode=&amp;q=49.6375846862793,6.13976001739502")</f>
        <v>http://maps.google.com/maps?f=q&amp;hl=en&amp;geocode=&amp;q=49.6375846862793,6.13976001739502</v>
      </c>
    </row>
    <row r="1615" spans="1:7" ht="15" x14ac:dyDescent="0.3">
      <c r="A1615">
        <v>39.919103242239501</v>
      </c>
      <c r="B1615">
        <v>-75.231589990755793</v>
      </c>
      <c r="C1615" t="s">
        <v>43</v>
      </c>
      <c r="D1615" t="s">
        <v>605</v>
      </c>
      <c r="F1615" s="21"/>
      <c r="G1615" s="16" t="str">
        <f>HYPERLINK("http://maps.google.com/maps?f=q&amp;hl=en&amp;geocode=&amp;q=39.9191032422395,-75.2315899907558")</f>
        <v>http://maps.google.com/maps?f=q&amp;hl=en&amp;geocode=&amp;q=39.9191032422395,-75.2315899907558</v>
      </c>
    </row>
    <row r="1616" spans="1:7" ht="15" x14ac:dyDescent="0.3">
      <c r="A1616">
        <v>40.100450000000002</v>
      </c>
      <c r="B1616">
        <v>-83.025779999999997</v>
      </c>
      <c r="C1616" t="s">
        <v>41</v>
      </c>
      <c r="D1616" t="s">
        <v>1105</v>
      </c>
      <c r="F1616" s="21"/>
      <c r="G1616" s="16" t="str">
        <f>HYPERLINK("http://maps.google.com/maps?f=q&amp;hl=en&amp;geocode=&amp;q=40.10045,-83.02578")</f>
        <v>http://maps.google.com/maps?f=q&amp;hl=en&amp;geocode=&amp;q=40.10045,-83.02578</v>
      </c>
    </row>
    <row r="1617" spans="1:7" ht="15" x14ac:dyDescent="0.3">
      <c r="A1617">
        <v>-31.95421</v>
      </c>
      <c r="B1617">
        <v>115.85057</v>
      </c>
      <c r="C1617" t="s">
        <v>41</v>
      </c>
      <c r="D1617" t="s">
        <v>219</v>
      </c>
      <c r="F1617" s="21"/>
      <c r="G1617" s="16" t="str">
        <f>HYPERLINK("http://maps.google.com/maps?f=q&amp;hl=en&amp;geocode=&amp;q=-31.95421,115.85057")</f>
        <v>http://maps.google.com/maps?f=q&amp;hl=en&amp;geocode=&amp;q=-31.95421,115.85057</v>
      </c>
    </row>
    <row r="1618" spans="1:7" ht="15" x14ac:dyDescent="0.3">
      <c r="A1618">
        <v>33.844911244019102</v>
      </c>
      <c r="B1618">
        <v>-94.756854868544806</v>
      </c>
      <c r="C1618" t="s">
        <v>42</v>
      </c>
      <c r="D1618" t="s">
        <v>1172</v>
      </c>
      <c r="F1618" s="21"/>
      <c r="G1618" s="16" t="str">
        <f>HYPERLINK("http://maps.google.com/maps?f=q&amp;hl=en&amp;geocode=&amp;q=33.8449112440191,-94.7568548685448")</f>
        <v>http://maps.google.com/maps?f=q&amp;hl=en&amp;geocode=&amp;q=33.8449112440191,-94.7568548685448</v>
      </c>
    </row>
    <row r="1619" spans="1:7" ht="15" x14ac:dyDescent="0.3">
      <c r="A1619">
        <v>35.260944978971096</v>
      </c>
      <c r="B1619">
        <v>-114.012870210853</v>
      </c>
      <c r="C1619" t="s">
        <v>41</v>
      </c>
      <c r="D1619" t="s">
        <v>1213</v>
      </c>
      <c r="F1619" s="21"/>
      <c r="G1619" s="16" t="str">
        <f>HYPERLINK("http://maps.google.com/maps?f=q&amp;hl=en&amp;geocode=&amp;q=35.2609449789711,-114.012870210853")</f>
        <v>http://maps.google.com/maps?f=q&amp;hl=en&amp;geocode=&amp;q=35.2609449789711,-114.012870210853</v>
      </c>
    </row>
    <row r="1620" spans="1:7" ht="15" x14ac:dyDescent="0.3">
      <c r="A1620">
        <v>38.790410000000001</v>
      </c>
      <c r="B1620">
        <v>-77.148780000000002</v>
      </c>
      <c r="C1620" t="s">
        <v>42</v>
      </c>
      <c r="D1620" t="s">
        <v>1214</v>
      </c>
      <c r="F1620" s="21"/>
      <c r="G1620" s="16" t="str">
        <f>HYPERLINK("http://maps.google.com/maps?f=q&amp;hl=en&amp;geocode=&amp;q=38.79041,-77.14878")</f>
        <v>http://maps.google.com/maps?f=q&amp;hl=en&amp;geocode=&amp;q=38.79041,-77.14878</v>
      </c>
    </row>
    <row r="1621" spans="1:7" ht="15" x14ac:dyDescent="0.3">
      <c r="A1621">
        <v>39.987356789543497</v>
      </c>
      <c r="B1621">
        <v>-75.108673745125103</v>
      </c>
      <c r="C1621" t="s">
        <v>41</v>
      </c>
      <c r="D1621" t="s">
        <v>1215</v>
      </c>
      <c r="F1621" s="21"/>
      <c r="G1621" s="16" t="str">
        <f>HYPERLINK("http://maps.google.com/maps?f=q&amp;hl=en&amp;geocode=&amp;q=39.9873567895435,-75.1086737451251")</f>
        <v>http://maps.google.com/maps?f=q&amp;hl=en&amp;geocode=&amp;q=39.9873567895435,-75.1086737451251</v>
      </c>
    </row>
    <row r="1622" spans="1:7" ht="15" x14ac:dyDescent="0.3">
      <c r="A1622">
        <v>45.648726407950001</v>
      </c>
      <c r="B1622">
        <v>-84.501843642466994</v>
      </c>
      <c r="C1622" t="s">
        <v>41</v>
      </c>
      <c r="D1622" t="s">
        <v>1216</v>
      </c>
      <c r="F1622" s="21"/>
      <c r="G1622" s="16" t="str">
        <f>HYPERLINK("http://maps.google.com/maps?f=q&amp;hl=en&amp;geocode=&amp;q=45.64872640795,-84.501843642467")</f>
        <v>http://maps.google.com/maps?f=q&amp;hl=en&amp;geocode=&amp;q=45.64872640795,-84.501843642467</v>
      </c>
    </row>
    <row r="1623" spans="1:7" ht="15" x14ac:dyDescent="0.3">
      <c r="A1623">
        <v>34.067919400664302</v>
      </c>
      <c r="B1623">
        <v>-118.45668485792601</v>
      </c>
      <c r="C1623" t="s">
        <v>41</v>
      </c>
      <c r="D1623" t="s">
        <v>1217</v>
      </c>
      <c r="F1623" s="21"/>
      <c r="G1623" s="16" t="str">
        <f>HYPERLINK("http://maps.google.com/maps?f=q&amp;hl=en&amp;geocode=&amp;q=34.0679194006643,-118.456684857926")</f>
        <v>http://maps.google.com/maps?f=q&amp;hl=en&amp;geocode=&amp;q=34.0679194006643,-118.456684857926</v>
      </c>
    </row>
    <row r="1624" spans="1:7" ht="15" x14ac:dyDescent="0.3">
      <c r="A1624">
        <v>39.9888775223789</v>
      </c>
      <c r="B1624">
        <v>-75.099809596215195</v>
      </c>
      <c r="C1624" t="s">
        <v>41</v>
      </c>
      <c r="D1624" t="s">
        <v>1218</v>
      </c>
      <c r="F1624" s="21"/>
      <c r="G1624" s="16" t="str">
        <f>HYPERLINK("http://maps.google.com/maps?f=q&amp;hl=en&amp;geocode=&amp;q=39.9888775223789,-75.0998095962152")</f>
        <v>http://maps.google.com/maps?f=q&amp;hl=en&amp;geocode=&amp;q=39.9888775223789,-75.0998095962152</v>
      </c>
    </row>
    <row r="1625" spans="1:7" ht="15" x14ac:dyDescent="0.3">
      <c r="A1625">
        <v>38.9757981743332</v>
      </c>
      <c r="B1625">
        <v>-77.4065429635165</v>
      </c>
      <c r="C1625" t="s">
        <v>41</v>
      </c>
      <c r="D1625" t="s">
        <v>1219</v>
      </c>
      <c r="F1625" s="21"/>
      <c r="G1625" s="16" t="str">
        <f>HYPERLINK("http://maps.google.com/maps?f=q&amp;hl=en&amp;geocode=&amp;q=38.9757981743332,-77.4065429635165")</f>
        <v>http://maps.google.com/maps?f=q&amp;hl=en&amp;geocode=&amp;q=38.9757981743332,-77.4065429635165</v>
      </c>
    </row>
    <row r="1626" spans="1:7" ht="15" x14ac:dyDescent="0.3">
      <c r="A1626">
        <v>33.672056381324801</v>
      </c>
      <c r="B1626">
        <v>-102.561453241688</v>
      </c>
      <c r="C1626" t="s">
        <v>41</v>
      </c>
      <c r="D1626" t="s">
        <v>951</v>
      </c>
      <c r="F1626" s="21"/>
      <c r="G1626" s="16" t="str">
        <f>HYPERLINK("http://maps.google.com/maps?f=q&amp;hl=en&amp;geocode=&amp;q=33.6720563813248,-102.561453241688")</f>
        <v>http://maps.google.com/maps?f=q&amp;hl=en&amp;geocode=&amp;q=33.6720563813248,-102.561453241688</v>
      </c>
    </row>
    <row r="1627" spans="1:7" ht="15" x14ac:dyDescent="0.3">
      <c r="A1627">
        <v>31.8763930634986</v>
      </c>
      <c r="B1627">
        <v>-83.844900467901098</v>
      </c>
      <c r="C1627" t="s">
        <v>41</v>
      </c>
      <c r="D1627" t="s">
        <v>1220</v>
      </c>
      <c r="F1627" s="21"/>
      <c r="G1627" s="16" t="str">
        <f>HYPERLINK("http://maps.google.com/maps?f=q&amp;hl=en&amp;geocode=&amp;q=31.8763930634986,-83.8449004679011")</f>
        <v>http://maps.google.com/maps?f=q&amp;hl=en&amp;geocode=&amp;q=31.8763930634986,-83.8449004679011</v>
      </c>
    </row>
    <row r="1628" spans="1:7" ht="15" x14ac:dyDescent="0.3">
      <c r="A1628">
        <v>41.149993206539698</v>
      </c>
      <c r="B1628">
        <v>-111.913570873949</v>
      </c>
      <c r="C1628" t="s">
        <v>41</v>
      </c>
      <c r="D1628" t="s">
        <v>782</v>
      </c>
      <c r="F1628" s="21"/>
      <c r="G1628" s="16" t="str">
        <f>HYPERLINK("http://maps.google.com/maps?f=q&amp;hl=en&amp;geocode=&amp;q=41.1499932065397,-111.913570873949")</f>
        <v>http://maps.google.com/maps?f=q&amp;hl=en&amp;geocode=&amp;q=41.1499932065397,-111.913570873949</v>
      </c>
    </row>
    <row r="1629" spans="1:7" ht="15" x14ac:dyDescent="0.3">
      <c r="A1629">
        <v>-26.188575744628899</v>
      </c>
      <c r="B1629">
        <v>27.929327011108398</v>
      </c>
      <c r="C1629" t="s">
        <v>43</v>
      </c>
      <c r="D1629" t="s">
        <v>1221</v>
      </c>
      <c r="F1629" s="21"/>
      <c r="G1629" s="16" t="str">
        <f>HYPERLINK("http://maps.google.com/maps?f=q&amp;hl=en&amp;geocode=&amp;q=-26.1885757446289,27.9293270111084")</f>
        <v>http://maps.google.com/maps?f=q&amp;hl=en&amp;geocode=&amp;q=-26.1885757446289,27.9293270111084</v>
      </c>
    </row>
    <row r="1630" spans="1:7" ht="15" x14ac:dyDescent="0.3">
      <c r="A1630">
        <v>41.498199999999997</v>
      </c>
      <c r="B1630">
        <v>-74.024640000000005</v>
      </c>
      <c r="C1630" t="s">
        <v>41</v>
      </c>
      <c r="D1630" t="s">
        <v>1222</v>
      </c>
      <c r="F1630" s="21"/>
      <c r="G1630" s="16" t="str">
        <f>HYPERLINK("http://maps.google.com/maps?f=q&amp;hl=en&amp;geocode=&amp;q=41.4982,-74.02464")</f>
        <v>http://maps.google.com/maps?f=q&amp;hl=en&amp;geocode=&amp;q=41.4982,-74.02464</v>
      </c>
    </row>
    <row r="1631" spans="1:7" ht="15" x14ac:dyDescent="0.3">
      <c r="A1631">
        <v>42.4211838777669</v>
      </c>
      <c r="B1631">
        <v>-76.492153618799193</v>
      </c>
      <c r="C1631" t="s">
        <v>41</v>
      </c>
      <c r="D1631" t="s">
        <v>146</v>
      </c>
      <c r="F1631" s="21"/>
      <c r="G1631" s="16" t="str">
        <f>HYPERLINK("http://maps.google.com/maps?f=q&amp;hl=en&amp;geocode=&amp;q=42.4211838777669,-76.4921536187992")</f>
        <v>http://maps.google.com/maps?f=q&amp;hl=en&amp;geocode=&amp;q=42.4211838777669,-76.4921536187992</v>
      </c>
    </row>
    <row r="1632" spans="1:7" ht="15" x14ac:dyDescent="0.3">
      <c r="A1632">
        <v>37.6307527593533</v>
      </c>
      <c r="B1632">
        <v>-80.985487552934401</v>
      </c>
      <c r="C1632" t="s">
        <v>41</v>
      </c>
      <c r="D1632" t="s">
        <v>84</v>
      </c>
      <c r="F1632" s="21"/>
      <c r="G1632" s="16" t="str">
        <f>HYPERLINK("http://maps.google.com/maps?f=q&amp;hl=en&amp;geocode=&amp;q=37.6307527593533,-80.9854875529344")</f>
        <v>http://maps.google.com/maps?f=q&amp;hl=en&amp;geocode=&amp;q=37.6307527593533,-80.9854875529344</v>
      </c>
    </row>
    <row r="1633" spans="1:7" ht="15" x14ac:dyDescent="0.3">
      <c r="A1633">
        <v>29.140590667724599</v>
      </c>
      <c r="B1633">
        <v>-8.9533882141113299</v>
      </c>
      <c r="C1633" t="s">
        <v>41</v>
      </c>
      <c r="D1633" t="s">
        <v>353</v>
      </c>
      <c r="F1633" s="21"/>
      <c r="G1633" s="16" t="str">
        <f>HYPERLINK("http://maps.google.com/maps?f=q&amp;hl=en&amp;geocode=&amp;q=29.1405906677246,-8.95338821411133")</f>
        <v>http://maps.google.com/maps?f=q&amp;hl=en&amp;geocode=&amp;q=29.1405906677246,-8.95338821411133</v>
      </c>
    </row>
    <row r="1634" spans="1:7" ht="15" x14ac:dyDescent="0.3">
      <c r="A1634">
        <v>52.367049999999999</v>
      </c>
      <c r="B1634">
        <v>-2.69699</v>
      </c>
      <c r="C1634" t="s">
        <v>43</v>
      </c>
      <c r="D1634" t="s">
        <v>1223</v>
      </c>
      <c r="F1634" s="21"/>
      <c r="G1634" s="16" t="str">
        <f>HYPERLINK("http://maps.google.com/maps?f=q&amp;hl=en&amp;geocode=&amp;q=52.36705,-2.69699")</f>
        <v>http://maps.google.com/maps?f=q&amp;hl=en&amp;geocode=&amp;q=52.36705,-2.69699</v>
      </c>
    </row>
    <row r="1635" spans="1:7" ht="15" x14ac:dyDescent="0.3">
      <c r="A1635">
        <v>52.370571136474602</v>
      </c>
      <c r="B1635">
        <v>-2.7190001010894802</v>
      </c>
      <c r="C1635" t="s">
        <v>41</v>
      </c>
      <c r="D1635" t="s">
        <v>1224</v>
      </c>
      <c r="F1635" s="21"/>
      <c r="G1635" s="16" t="str">
        <f>HYPERLINK("http://maps.google.com/maps?f=q&amp;hl=en&amp;geocode=&amp;q=52.3705711364746,-2.71900010108948")</f>
        <v>http://maps.google.com/maps?f=q&amp;hl=en&amp;geocode=&amp;q=52.3705711364746,-2.71900010108948</v>
      </c>
    </row>
    <row r="1636" spans="1:7" ht="15" x14ac:dyDescent="0.3">
      <c r="A1636">
        <v>35.256550365672098</v>
      </c>
      <c r="B1636">
        <v>-89.475388240084001</v>
      </c>
      <c r="C1636" t="s">
        <v>41</v>
      </c>
      <c r="D1636" t="s">
        <v>1225</v>
      </c>
      <c r="F1636" s="21"/>
      <c r="G1636" s="16" t="str">
        <f>HYPERLINK("http://maps.google.com/maps?f=q&amp;hl=en&amp;geocode=&amp;q=35.2565503656721,-89.475388240084")</f>
        <v>http://maps.google.com/maps?f=q&amp;hl=en&amp;geocode=&amp;q=35.2565503656721,-89.475388240084</v>
      </c>
    </row>
    <row r="1637" spans="1:7" ht="15" x14ac:dyDescent="0.3">
      <c r="A1637">
        <v>40.044519999999999</v>
      </c>
      <c r="B1637">
        <v>-75.077770000000001</v>
      </c>
      <c r="C1637" t="s">
        <v>41</v>
      </c>
      <c r="D1637" t="s">
        <v>1226</v>
      </c>
      <c r="F1637" s="21"/>
      <c r="G1637" s="16" t="str">
        <f>HYPERLINK("http://maps.google.com/maps?f=q&amp;hl=en&amp;geocode=&amp;q=40.04452,-75.07777")</f>
        <v>http://maps.google.com/maps?f=q&amp;hl=en&amp;geocode=&amp;q=40.04452,-75.07777</v>
      </c>
    </row>
    <row r="1638" spans="1:7" ht="15" x14ac:dyDescent="0.3">
      <c r="A1638">
        <v>41.832531729452903</v>
      </c>
      <c r="B1638">
        <v>-86.402546178669397</v>
      </c>
      <c r="C1638" t="s">
        <v>43</v>
      </c>
      <c r="D1638" t="s">
        <v>1227</v>
      </c>
      <c r="F1638" s="21"/>
      <c r="G1638" s="16" t="str">
        <f>HYPERLINK("http://maps.google.com/maps?f=q&amp;hl=en&amp;geocode=&amp;q=41.8325317294529,-86.4025461786694")</f>
        <v>http://maps.google.com/maps?f=q&amp;hl=en&amp;geocode=&amp;q=41.8325317294529,-86.4025461786694</v>
      </c>
    </row>
    <row r="1639" spans="1:7" ht="15" x14ac:dyDescent="0.3">
      <c r="A1639">
        <v>38.947154998779297</v>
      </c>
      <c r="B1639">
        <v>-8.9184045791625994</v>
      </c>
      <c r="C1639" t="s">
        <v>41</v>
      </c>
      <c r="D1639" t="s">
        <v>1228</v>
      </c>
      <c r="F1639" s="21"/>
      <c r="G1639" s="16" t="str">
        <f>HYPERLINK("http://maps.google.com/maps?f=q&amp;hl=en&amp;geocode=&amp;q=38.9471549987793,-8.9184045791626")</f>
        <v>http://maps.google.com/maps?f=q&amp;hl=en&amp;geocode=&amp;q=38.9471549987793,-8.9184045791626</v>
      </c>
    </row>
    <row r="1640" spans="1:7" ht="15" x14ac:dyDescent="0.3">
      <c r="A1640">
        <v>43.897800445556598</v>
      </c>
      <c r="B1640">
        <v>20.058099746704102</v>
      </c>
      <c r="C1640" t="s">
        <v>43</v>
      </c>
      <c r="D1640" t="s">
        <v>1229</v>
      </c>
      <c r="F1640" s="21"/>
      <c r="G1640" s="16" t="str">
        <f>HYPERLINK("http://maps.google.com/maps?f=q&amp;hl=en&amp;geocode=&amp;q=43.8978004455566,20.0580997467041")</f>
        <v>http://maps.google.com/maps?f=q&amp;hl=en&amp;geocode=&amp;q=43.8978004455566,20.0580997467041</v>
      </c>
    </row>
    <row r="1641" spans="1:7" ht="15" x14ac:dyDescent="0.3">
      <c r="A1641">
        <v>39.950969999999998</v>
      </c>
      <c r="B1641">
        <v>-75.222560000000001</v>
      </c>
      <c r="C1641" t="s">
        <v>41</v>
      </c>
      <c r="D1641" t="s">
        <v>665</v>
      </c>
      <c r="F1641" s="21"/>
      <c r="G1641" s="16" t="str">
        <f>HYPERLINK("http://maps.google.com/maps?f=q&amp;hl=en&amp;geocode=&amp;q=39.95097,-75.22256")</f>
        <v>http://maps.google.com/maps?f=q&amp;hl=en&amp;geocode=&amp;q=39.95097,-75.22256</v>
      </c>
    </row>
    <row r="1642" spans="1:7" ht="15" x14ac:dyDescent="0.3">
      <c r="A1642">
        <v>40.032679999999999</v>
      </c>
      <c r="B1642">
        <v>-75.215389999999999</v>
      </c>
      <c r="C1642" t="s">
        <v>41</v>
      </c>
      <c r="D1642" t="s">
        <v>1230</v>
      </c>
      <c r="F1642" s="21"/>
      <c r="G1642" s="16" t="str">
        <f>HYPERLINK("http://maps.google.com/maps?f=q&amp;hl=en&amp;geocode=&amp;q=40.03268,-75.21539")</f>
        <v>http://maps.google.com/maps?f=q&amp;hl=en&amp;geocode=&amp;q=40.03268,-75.21539</v>
      </c>
    </row>
    <row r="1643" spans="1:7" ht="15" x14ac:dyDescent="0.3">
      <c r="A1643">
        <v>41.316764196596601</v>
      </c>
      <c r="B1643">
        <v>-104.176247066247</v>
      </c>
      <c r="C1643" t="s">
        <v>41</v>
      </c>
      <c r="D1643" t="s">
        <v>1231</v>
      </c>
      <c r="F1643" s="21"/>
      <c r="G1643" s="16" t="str">
        <f>HYPERLINK("http://maps.google.com/maps?f=q&amp;hl=en&amp;geocode=&amp;q=41.3167641965966,-104.176247066247")</f>
        <v>http://maps.google.com/maps?f=q&amp;hl=en&amp;geocode=&amp;q=41.3167641965966,-104.176247066247</v>
      </c>
    </row>
    <row r="1644" spans="1:7" ht="15" x14ac:dyDescent="0.3">
      <c r="A1644">
        <v>37.20655</v>
      </c>
      <c r="B1644">
        <v>-97.208420000000004</v>
      </c>
      <c r="C1644" t="s">
        <v>41</v>
      </c>
      <c r="D1644" t="s">
        <v>1232</v>
      </c>
      <c r="F1644" s="21"/>
      <c r="G1644" s="16" t="str">
        <f>HYPERLINK("http://maps.google.com/maps?f=q&amp;hl=en&amp;geocode=&amp;q=37.20655,-97.20842")</f>
        <v>http://maps.google.com/maps?f=q&amp;hl=en&amp;geocode=&amp;q=37.20655,-97.20842</v>
      </c>
    </row>
    <row r="1645" spans="1:7" ht="15" x14ac:dyDescent="0.3">
      <c r="A1645">
        <v>37.20655</v>
      </c>
      <c r="B1645">
        <v>-97.208420000000004</v>
      </c>
      <c r="C1645" t="s">
        <v>41</v>
      </c>
      <c r="D1645" t="s">
        <v>1232</v>
      </c>
      <c r="F1645" s="21"/>
      <c r="G1645" s="16" t="str">
        <f>HYPERLINK("http://maps.google.com/maps?f=q&amp;hl=en&amp;geocode=&amp;q=37.20655,-97.20842")</f>
        <v>http://maps.google.com/maps?f=q&amp;hl=en&amp;geocode=&amp;q=37.20655,-97.20842</v>
      </c>
    </row>
    <row r="1646" spans="1:7" ht="15" x14ac:dyDescent="0.3">
      <c r="A1646">
        <v>33.690209876675397</v>
      </c>
      <c r="B1646">
        <v>-102.56123566481899</v>
      </c>
      <c r="C1646" t="s">
        <v>41</v>
      </c>
      <c r="D1646" t="s">
        <v>1233</v>
      </c>
      <c r="F1646" s="21"/>
      <c r="G1646" s="16" t="str">
        <f>HYPERLINK("http://maps.google.com/maps?f=q&amp;hl=en&amp;geocode=&amp;q=33.6902098766754,-102.561235664819")</f>
        <v>http://maps.google.com/maps?f=q&amp;hl=en&amp;geocode=&amp;q=33.6902098766754,-102.561235664819</v>
      </c>
    </row>
    <row r="1647" spans="1:7" ht="15" x14ac:dyDescent="0.3">
      <c r="A1647">
        <v>50.780136108398402</v>
      </c>
      <c r="B1647">
        <v>4.2288222312927202</v>
      </c>
      <c r="C1647" t="s">
        <v>43</v>
      </c>
      <c r="D1647" t="s">
        <v>1234</v>
      </c>
      <c r="F1647" s="21"/>
      <c r="G1647" s="16" t="str">
        <f>HYPERLINK("http://maps.google.com/maps?f=q&amp;hl=en&amp;geocode=&amp;q=50.7801361083984,4.22882223129272")</f>
        <v>http://maps.google.com/maps?f=q&amp;hl=en&amp;geocode=&amp;q=50.7801361083984,4.22882223129272</v>
      </c>
    </row>
    <row r="1648" spans="1:7" ht="15" x14ac:dyDescent="0.3">
      <c r="A1648">
        <v>39.919103242239501</v>
      </c>
      <c r="B1648">
        <v>-75.231589990755793</v>
      </c>
      <c r="C1648" t="s">
        <v>43</v>
      </c>
      <c r="D1648" t="s">
        <v>605</v>
      </c>
      <c r="F1648" s="21"/>
      <c r="G1648" s="16" t="str">
        <f>HYPERLINK("http://maps.google.com/maps?f=q&amp;hl=en&amp;geocode=&amp;q=39.9191032422395,-75.2315899907558")</f>
        <v>http://maps.google.com/maps?f=q&amp;hl=en&amp;geocode=&amp;q=39.9191032422395,-75.2315899907558</v>
      </c>
    </row>
    <row r="1649" spans="1:7" ht="15" x14ac:dyDescent="0.3">
      <c r="A1649">
        <v>50.780136108398402</v>
      </c>
      <c r="B1649">
        <v>4.2288222312927202</v>
      </c>
      <c r="C1649" t="s">
        <v>43</v>
      </c>
      <c r="D1649" t="s">
        <v>1234</v>
      </c>
      <c r="F1649" s="21"/>
      <c r="G1649" s="16" t="str">
        <f>HYPERLINK("http://maps.google.com/maps?f=q&amp;hl=en&amp;geocode=&amp;q=50.7801361083984,4.22882223129272")</f>
        <v>http://maps.google.com/maps?f=q&amp;hl=en&amp;geocode=&amp;q=50.7801361083984,4.22882223129272</v>
      </c>
    </row>
    <row r="1650" spans="1:7" ht="15" x14ac:dyDescent="0.3">
      <c r="A1650">
        <v>40.031320000000001</v>
      </c>
      <c r="B1650">
        <v>-75.130309999999994</v>
      </c>
      <c r="C1650" t="s">
        <v>41</v>
      </c>
      <c r="D1650" t="s">
        <v>1235</v>
      </c>
      <c r="F1650" s="21"/>
      <c r="G1650" s="16" t="str">
        <f>HYPERLINK("http://maps.google.com/maps?f=q&amp;hl=en&amp;geocode=&amp;q=40.03132,-75.13031")</f>
        <v>http://maps.google.com/maps?f=q&amp;hl=en&amp;geocode=&amp;q=40.03132,-75.13031</v>
      </c>
    </row>
    <row r="1651" spans="1:7" ht="15" x14ac:dyDescent="0.3">
      <c r="A1651">
        <v>40.03107</v>
      </c>
      <c r="B1651">
        <v>-75.128259999999997</v>
      </c>
      <c r="C1651" t="s">
        <v>41</v>
      </c>
      <c r="D1651" t="s">
        <v>1236</v>
      </c>
      <c r="F1651" s="21"/>
      <c r="G1651" s="16" t="str">
        <f>HYPERLINK("http://maps.google.com/maps?f=q&amp;hl=en&amp;geocode=&amp;q=40.03107,-75.12826")</f>
        <v>http://maps.google.com/maps?f=q&amp;hl=en&amp;geocode=&amp;q=40.03107,-75.12826</v>
      </c>
    </row>
    <row r="1652" spans="1:7" ht="15" x14ac:dyDescent="0.3">
      <c r="A1652">
        <v>39.919103242239501</v>
      </c>
      <c r="B1652">
        <v>-75.231589990755793</v>
      </c>
      <c r="C1652" t="s">
        <v>43</v>
      </c>
      <c r="D1652" t="s">
        <v>605</v>
      </c>
      <c r="F1652" s="21"/>
      <c r="G1652" s="16" t="str">
        <f>HYPERLINK("http://maps.google.com/maps?f=q&amp;hl=en&amp;geocode=&amp;q=39.9191032422395,-75.2315899907558")</f>
        <v>http://maps.google.com/maps?f=q&amp;hl=en&amp;geocode=&amp;q=39.9191032422395,-75.2315899907558</v>
      </c>
    </row>
    <row r="1653" spans="1:7" ht="15" x14ac:dyDescent="0.3">
      <c r="A1653">
        <v>39.919103242239501</v>
      </c>
      <c r="B1653">
        <v>-75.231589990755793</v>
      </c>
      <c r="C1653" t="s">
        <v>43</v>
      </c>
      <c r="D1653" t="s">
        <v>605</v>
      </c>
      <c r="F1653" s="21"/>
      <c r="G1653" s="16" t="str">
        <f>HYPERLINK("http://maps.google.com/maps?f=q&amp;hl=en&amp;geocode=&amp;q=39.9191032422395,-75.2315899907558")</f>
        <v>http://maps.google.com/maps?f=q&amp;hl=en&amp;geocode=&amp;q=39.9191032422395,-75.2315899907558</v>
      </c>
    </row>
    <row r="1654" spans="1:7" ht="15" x14ac:dyDescent="0.3">
      <c r="A1654">
        <v>40.027830000000002</v>
      </c>
      <c r="B1654">
        <v>-75.129099999999994</v>
      </c>
      <c r="C1654" t="s">
        <v>41</v>
      </c>
      <c r="D1654" t="s">
        <v>1237</v>
      </c>
      <c r="F1654" s="21"/>
      <c r="G1654" s="16" t="str">
        <f>HYPERLINK("http://maps.google.com/maps?f=q&amp;hl=en&amp;geocode=&amp;q=40.02783,-75.1291")</f>
        <v>http://maps.google.com/maps?f=q&amp;hl=en&amp;geocode=&amp;q=40.02783,-75.1291</v>
      </c>
    </row>
    <row r="1655" spans="1:7" ht="15" x14ac:dyDescent="0.3">
      <c r="A1655">
        <v>42.665372087350597</v>
      </c>
      <c r="B1655">
        <v>-73.775187913645098</v>
      </c>
      <c r="C1655" t="s">
        <v>41</v>
      </c>
      <c r="D1655" t="s">
        <v>1238</v>
      </c>
      <c r="F1655" s="21"/>
      <c r="G1655" s="16" t="str">
        <f>HYPERLINK("http://maps.google.com/maps?f=q&amp;hl=en&amp;geocode=&amp;q=42.6653720873506,-73.7751879136451")</f>
        <v>http://maps.google.com/maps?f=q&amp;hl=en&amp;geocode=&amp;q=42.6653720873506,-73.7751879136451</v>
      </c>
    </row>
    <row r="1656" spans="1:7" ht="15" x14ac:dyDescent="0.3">
      <c r="A1656" t="s">
        <v>44</v>
      </c>
      <c r="B1656" t="s">
        <v>44</v>
      </c>
      <c r="C1656" t="s">
        <v>44</v>
      </c>
      <c r="D1656" t="s">
        <v>1239</v>
      </c>
      <c r="F1656" s="21"/>
      <c r="G1656" s="16"/>
    </row>
    <row r="1657" spans="1:7" ht="15" x14ac:dyDescent="0.3">
      <c r="A1657">
        <v>43.026022686314199</v>
      </c>
      <c r="B1657">
        <v>-74.984884362702303</v>
      </c>
      <c r="C1657" t="s">
        <v>41</v>
      </c>
      <c r="D1657" t="s">
        <v>1240</v>
      </c>
      <c r="F1657" s="21"/>
      <c r="G1657" s="16" t="str">
        <f>HYPERLINK("http://maps.google.com/maps?f=q&amp;hl=en&amp;geocode=&amp;q=43.0260226863142,-74.9848843627023")</f>
        <v>http://maps.google.com/maps?f=q&amp;hl=en&amp;geocode=&amp;q=43.0260226863142,-74.9848843627023</v>
      </c>
    </row>
    <row r="1658" spans="1:7" ht="15" x14ac:dyDescent="0.3">
      <c r="A1658">
        <v>43.026030825908897</v>
      </c>
      <c r="B1658">
        <v>-74.984865031188406</v>
      </c>
      <c r="C1658" t="s">
        <v>41</v>
      </c>
      <c r="D1658" t="s">
        <v>1241</v>
      </c>
      <c r="F1658" s="21"/>
      <c r="G1658" s="16" t="str">
        <f>HYPERLINK("http://maps.google.com/maps?f=q&amp;hl=en&amp;geocode=&amp;q=43.0260308259089,-74.9848650311884")</f>
        <v>http://maps.google.com/maps?f=q&amp;hl=en&amp;geocode=&amp;q=43.0260308259089,-74.9848650311884</v>
      </c>
    </row>
    <row r="1659" spans="1:7" ht="15" x14ac:dyDescent="0.3">
      <c r="A1659">
        <v>44.892709142129597</v>
      </c>
      <c r="B1659">
        <v>-72.927532979309404</v>
      </c>
      <c r="C1659" t="s">
        <v>41</v>
      </c>
      <c r="D1659" t="s">
        <v>1242</v>
      </c>
      <c r="F1659" s="21"/>
      <c r="G1659" s="16" t="str">
        <f>HYPERLINK("http://maps.google.com/maps?f=q&amp;hl=en&amp;geocode=&amp;q=44.8927091421296,-72.9275329793094")</f>
        <v>http://maps.google.com/maps?f=q&amp;hl=en&amp;geocode=&amp;q=44.8927091421296,-72.9275329793094</v>
      </c>
    </row>
    <row r="1660" spans="1:7" ht="15" x14ac:dyDescent="0.3">
      <c r="A1660" t="s">
        <v>44</v>
      </c>
      <c r="B1660" t="s">
        <v>44</v>
      </c>
      <c r="C1660" t="s">
        <v>44</v>
      </c>
      <c r="D1660" t="s">
        <v>1243</v>
      </c>
      <c r="F1660" s="21"/>
      <c r="G1660" s="16"/>
    </row>
    <row r="1661" spans="1:7" ht="15" x14ac:dyDescent="0.3">
      <c r="A1661">
        <v>43.023677866938797</v>
      </c>
      <c r="B1661">
        <v>-74.991339113851396</v>
      </c>
      <c r="C1661" t="s">
        <v>41</v>
      </c>
      <c r="D1661" t="s">
        <v>1244</v>
      </c>
      <c r="F1661" s="21"/>
      <c r="G1661" s="16" t="str">
        <f>HYPERLINK("http://maps.google.com/maps?f=q&amp;hl=en&amp;geocode=&amp;q=43.0236778669388,-74.9913391138514")</f>
        <v>http://maps.google.com/maps?f=q&amp;hl=en&amp;geocode=&amp;q=43.0236778669388,-74.9913391138514</v>
      </c>
    </row>
    <row r="1662" spans="1:7" ht="15" x14ac:dyDescent="0.3">
      <c r="A1662">
        <v>40.043340000000001</v>
      </c>
      <c r="B1662">
        <v>-75.104200000000006</v>
      </c>
      <c r="C1662" t="s">
        <v>43</v>
      </c>
      <c r="D1662" t="s">
        <v>1245</v>
      </c>
      <c r="F1662" s="21"/>
      <c r="G1662" s="16" t="str">
        <f>HYPERLINK("http://maps.google.com/maps?f=q&amp;hl=en&amp;geocode=&amp;q=40.04334,-75.1042")</f>
        <v>http://maps.google.com/maps?f=q&amp;hl=en&amp;geocode=&amp;q=40.04334,-75.1042</v>
      </c>
    </row>
    <row r="1663" spans="1:7" ht="15" x14ac:dyDescent="0.3">
      <c r="A1663">
        <v>40.044710000000002</v>
      </c>
      <c r="B1663">
        <v>-75.066879999999998</v>
      </c>
      <c r="C1663" t="s">
        <v>41</v>
      </c>
      <c r="D1663" t="s">
        <v>1246</v>
      </c>
      <c r="F1663" s="21"/>
      <c r="G1663" s="16" t="str">
        <f>HYPERLINK("http://maps.google.com/maps?f=q&amp;hl=en&amp;geocode=&amp;q=40.04471,-75.06688")</f>
        <v>http://maps.google.com/maps?f=q&amp;hl=en&amp;geocode=&amp;q=40.04471,-75.06688</v>
      </c>
    </row>
    <row r="1664" spans="1:7" ht="15" x14ac:dyDescent="0.3">
      <c r="A1664">
        <v>54.841087341308601</v>
      </c>
      <c r="B1664">
        <v>11.161624908447299</v>
      </c>
      <c r="C1664" t="s">
        <v>41</v>
      </c>
      <c r="D1664" t="s">
        <v>307</v>
      </c>
      <c r="F1664" s="21"/>
      <c r="G1664" s="16" t="str">
        <f>HYPERLINK("http://maps.google.com/maps?f=q&amp;hl=en&amp;geocode=&amp;q=54.8410873413086,11.1616249084473")</f>
        <v>http://maps.google.com/maps?f=q&amp;hl=en&amp;geocode=&amp;q=54.8410873413086,11.1616249084473</v>
      </c>
    </row>
    <row r="1665" spans="1:7" ht="15" x14ac:dyDescent="0.3">
      <c r="A1665">
        <v>40.028550000000003</v>
      </c>
      <c r="B1665">
        <v>-75.225809999999996</v>
      </c>
      <c r="C1665" t="s">
        <v>43</v>
      </c>
      <c r="D1665" t="s">
        <v>1247</v>
      </c>
      <c r="F1665" s="21"/>
      <c r="G1665" s="16" t="str">
        <f>HYPERLINK("http://maps.google.com/maps?f=q&amp;hl=en&amp;geocode=&amp;q=40.02855,-75.22581")</f>
        <v>http://maps.google.com/maps?f=q&amp;hl=en&amp;geocode=&amp;q=40.02855,-75.22581</v>
      </c>
    </row>
    <row r="1666" spans="1:7" ht="15" x14ac:dyDescent="0.3">
      <c r="A1666" t="s">
        <v>44</v>
      </c>
      <c r="B1666" t="s">
        <v>44</v>
      </c>
      <c r="C1666" t="s">
        <v>44</v>
      </c>
      <c r="D1666" t="s">
        <v>1248</v>
      </c>
      <c r="F1666" s="21"/>
      <c r="G1666" s="16"/>
    </row>
    <row r="1667" spans="1:7" ht="15" x14ac:dyDescent="0.3">
      <c r="A1667">
        <v>40.040390000000002</v>
      </c>
      <c r="B1667">
        <v>-75.109629999999996</v>
      </c>
      <c r="C1667" t="s">
        <v>43</v>
      </c>
      <c r="D1667" t="s">
        <v>777</v>
      </c>
      <c r="F1667" s="21"/>
      <c r="G1667" s="16" t="str">
        <f>HYPERLINK("http://maps.google.com/maps?f=q&amp;hl=en&amp;geocode=&amp;q=40.04039,-75.10963")</f>
        <v>http://maps.google.com/maps?f=q&amp;hl=en&amp;geocode=&amp;q=40.04039,-75.10963</v>
      </c>
    </row>
    <row r="1668" spans="1:7" ht="15" x14ac:dyDescent="0.3">
      <c r="A1668">
        <v>40.040390000000002</v>
      </c>
      <c r="B1668">
        <v>-75.109629999999996</v>
      </c>
      <c r="C1668" t="s">
        <v>43</v>
      </c>
      <c r="D1668" t="s">
        <v>777</v>
      </c>
      <c r="F1668" s="21"/>
      <c r="G1668" s="16" t="str">
        <f>HYPERLINK("http://maps.google.com/maps?f=q&amp;hl=en&amp;geocode=&amp;q=40.04039,-75.10963")</f>
        <v>http://maps.google.com/maps?f=q&amp;hl=en&amp;geocode=&amp;q=40.04039,-75.10963</v>
      </c>
    </row>
    <row r="1669" spans="1:7" ht="15" x14ac:dyDescent="0.3">
      <c r="A1669">
        <v>40.040390000000002</v>
      </c>
      <c r="B1669">
        <v>-75.109629999999996</v>
      </c>
      <c r="C1669" t="s">
        <v>43</v>
      </c>
      <c r="D1669" t="s">
        <v>777</v>
      </c>
      <c r="F1669" s="21"/>
      <c r="G1669" s="16" t="str">
        <f>HYPERLINK("http://maps.google.com/maps?f=q&amp;hl=en&amp;geocode=&amp;q=40.04039,-75.10963")</f>
        <v>http://maps.google.com/maps?f=q&amp;hl=en&amp;geocode=&amp;q=40.04039,-75.10963</v>
      </c>
    </row>
    <row r="1670" spans="1:7" ht="15" x14ac:dyDescent="0.3">
      <c r="A1670">
        <v>47.125457763671903</v>
      </c>
      <c r="B1670">
        <v>-119.306915283203</v>
      </c>
      <c r="C1670" t="s">
        <v>41</v>
      </c>
      <c r="D1670" t="s">
        <v>1249</v>
      </c>
      <c r="F1670" s="21"/>
      <c r="G1670" s="16" t="str">
        <f>HYPERLINK("http://maps.google.com/maps?f=q&amp;hl=en&amp;geocode=&amp;q=47.1254577636719,-119.306915283203")</f>
        <v>http://maps.google.com/maps?f=q&amp;hl=en&amp;geocode=&amp;q=47.1254577636719,-119.306915283203</v>
      </c>
    </row>
    <row r="1671" spans="1:7" ht="15" x14ac:dyDescent="0.3">
      <c r="A1671">
        <v>47.095829010009801</v>
      </c>
      <c r="B1671">
        <v>-122.62953948974599</v>
      </c>
      <c r="C1671" t="s">
        <v>43</v>
      </c>
      <c r="D1671" t="s">
        <v>1250</v>
      </c>
      <c r="F1671" s="21"/>
      <c r="G1671" s="16" t="str">
        <f>HYPERLINK("http://maps.google.com/maps?f=q&amp;hl=en&amp;geocode=&amp;q=47.0958290100098,-122.629539489746")</f>
        <v>http://maps.google.com/maps?f=q&amp;hl=en&amp;geocode=&amp;q=47.0958290100098,-122.629539489746</v>
      </c>
    </row>
    <row r="1672" spans="1:7" ht="15" x14ac:dyDescent="0.3">
      <c r="A1672">
        <v>40.035719999999998</v>
      </c>
      <c r="B1672">
        <v>-75.070629999999994</v>
      </c>
      <c r="C1672" t="s">
        <v>41</v>
      </c>
      <c r="D1672" t="s">
        <v>760</v>
      </c>
      <c r="F1672" s="21"/>
      <c r="G1672" s="16" t="str">
        <f>HYPERLINK("http://maps.google.com/maps?f=q&amp;hl=en&amp;geocode=&amp;q=40.03572,-75.07063")</f>
        <v>http://maps.google.com/maps?f=q&amp;hl=en&amp;geocode=&amp;q=40.03572,-75.07063</v>
      </c>
    </row>
    <row r="1673" spans="1:7" ht="15" x14ac:dyDescent="0.3">
      <c r="A1673">
        <v>33.752352999999999</v>
      </c>
      <c r="B1673">
        <v>-86.710181000000006</v>
      </c>
      <c r="C1673" t="s">
        <v>41</v>
      </c>
      <c r="D1673" t="s">
        <v>1251</v>
      </c>
      <c r="F1673" s="21"/>
      <c r="G1673" s="16" t="str">
        <f>HYPERLINK("http://maps.google.com/maps?f=q&amp;hl=en&amp;geocode=&amp;q=33.752353,-86.710181")</f>
        <v>http://maps.google.com/maps?f=q&amp;hl=en&amp;geocode=&amp;q=33.752353,-86.710181</v>
      </c>
    </row>
    <row r="1674" spans="1:7" ht="15" x14ac:dyDescent="0.3">
      <c r="A1674">
        <v>46.443656976417302</v>
      </c>
      <c r="B1674">
        <v>-104.655303996122</v>
      </c>
      <c r="C1674" t="s">
        <v>41</v>
      </c>
      <c r="D1674" t="s">
        <v>1252</v>
      </c>
      <c r="F1674" s="21"/>
      <c r="G1674" s="16" t="str">
        <f>HYPERLINK("http://maps.google.com/maps?f=q&amp;hl=en&amp;geocode=&amp;q=46.4436569764173,-104.655303996122")</f>
        <v>http://maps.google.com/maps?f=q&amp;hl=en&amp;geocode=&amp;q=46.4436569764173,-104.655303996122</v>
      </c>
    </row>
    <row r="1675" spans="1:7" ht="15" x14ac:dyDescent="0.3">
      <c r="A1675">
        <v>39.667391841740802</v>
      </c>
      <c r="B1675">
        <v>-76.875403246443696</v>
      </c>
      <c r="C1675" t="s">
        <v>41</v>
      </c>
      <c r="D1675" t="s">
        <v>1253</v>
      </c>
      <c r="F1675" s="21"/>
      <c r="G1675" s="16" t="str">
        <f>HYPERLINK("http://maps.google.com/maps?f=q&amp;hl=en&amp;geocode=&amp;q=39.6673918417408,-76.8754032464437")</f>
        <v>http://maps.google.com/maps?f=q&amp;hl=en&amp;geocode=&amp;q=39.6673918417408,-76.8754032464437</v>
      </c>
    </row>
    <row r="1676" spans="1:7" ht="15" x14ac:dyDescent="0.3">
      <c r="A1676">
        <v>40.102370000000001</v>
      </c>
      <c r="B1676">
        <v>-75.029809999999998</v>
      </c>
      <c r="C1676" t="s">
        <v>41</v>
      </c>
      <c r="D1676" t="s">
        <v>1254</v>
      </c>
      <c r="F1676" s="21"/>
      <c r="G1676" s="16" t="str">
        <f>HYPERLINK("http://maps.google.com/maps?f=q&amp;hl=en&amp;geocode=&amp;q=40.10237,-75.02981")</f>
        <v>http://maps.google.com/maps?f=q&amp;hl=en&amp;geocode=&amp;q=40.10237,-75.02981</v>
      </c>
    </row>
    <row r="1677" spans="1:7" ht="15" x14ac:dyDescent="0.3">
      <c r="A1677">
        <v>41.545448303222699</v>
      </c>
      <c r="B1677">
        <v>-76.742660522460895</v>
      </c>
      <c r="C1677" t="s">
        <v>43</v>
      </c>
      <c r="D1677" t="s">
        <v>1199</v>
      </c>
      <c r="F1677" s="21"/>
      <c r="G1677" s="16" t="str">
        <f>HYPERLINK("http://maps.google.com/maps?f=q&amp;hl=en&amp;geocode=&amp;q=41.5454483032227,-76.7426605224609")</f>
        <v>http://maps.google.com/maps?f=q&amp;hl=en&amp;geocode=&amp;q=41.5454483032227,-76.7426605224609</v>
      </c>
    </row>
    <row r="1678" spans="1:7" ht="15" x14ac:dyDescent="0.3">
      <c r="A1678">
        <v>41.545448303222699</v>
      </c>
      <c r="B1678">
        <v>-76.742660522460895</v>
      </c>
      <c r="C1678" t="s">
        <v>43</v>
      </c>
      <c r="D1678" t="s">
        <v>1199</v>
      </c>
      <c r="F1678" s="21"/>
      <c r="G1678" s="16" t="str">
        <f>HYPERLINK("http://maps.google.com/maps?f=q&amp;hl=en&amp;geocode=&amp;q=41.5454483032227,-76.7426605224609")</f>
        <v>http://maps.google.com/maps?f=q&amp;hl=en&amp;geocode=&amp;q=41.5454483032227,-76.7426605224609</v>
      </c>
    </row>
    <row r="1679" spans="1:7" ht="15" x14ac:dyDescent="0.3">
      <c r="A1679">
        <v>40.0929985046387</v>
      </c>
      <c r="B1679">
        <v>-6.4106597900390598</v>
      </c>
      <c r="C1679" t="s">
        <v>43</v>
      </c>
      <c r="D1679" t="s">
        <v>1255</v>
      </c>
      <c r="F1679" s="21"/>
      <c r="G1679" s="16" t="str">
        <f>HYPERLINK("http://maps.google.com/maps?f=q&amp;hl=en&amp;geocode=&amp;q=40.0929985046387,-6.41065979003906")</f>
        <v>http://maps.google.com/maps?f=q&amp;hl=en&amp;geocode=&amp;q=40.0929985046387,-6.41065979003906</v>
      </c>
    </row>
    <row r="1680" spans="1:7" ht="15" x14ac:dyDescent="0.3">
      <c r="A1680">
        <v>35.260009765625</v>
      </c>
      <c r="B1680">
        <v>-80.425880432128906</v>
      </c>
      <c r="C1680" t="s">
        <v>43</v>
      </c>
      <c r="D1680" t="s">
        <v>656</v>
      </c>
      <c r="F1680" s="21"/>
      <c r="G1680" s="16" t="str">
        <f>HYPERLINK("http://maps.google.com/maps?f=q&amp;hl=en&amp;geocode=&amp;q=35.260009765625,-80.4258804321289")</f>
        <v>http://maps.google.com/maps?f=q&amp;hl=en&amp;geocode=&amp;q=35.260009765625,-80.4258804321289</v>
      </c>
    </row>
    <row r="1681" spans="1:7" ht="15" x14ac:dyDescent="0.3">
      <c r="A1681">
        <v>-26.188575744628899</v>
      </c>
      <c r="B1681">
        <v>27.929327011108398</v>
      </c>
      <c r="C1681" t="s">
        <v>43</v>
      </c>
      <c r="D1681" t="s">
        <v>1139</v>
      </c>
      <c r="F1681" s="21"/>
      <c r="G1681" s="16" t="str">
        <f>HYPERLINK("http://maps.google.com/maps?f=q&amp;hl=en&amp;geocode=&amp;q=-26.1885757446289,27.9293270111084")</f>
        <v>http://maps.google.com/maps?f=q&amp;hl=en&amp;geocode=&amp;q=-26.1885757446289,27.9293270111084</v>
      </c>
    </row>
    <row r="1682" spans="1:7" ht="15" x14ac:dyDescent="0.3">
      <c r="A1682">
        <v>40.646520000000002</v>
      </c>
      <c r="B1682">
        <v>-111.9388</v>
      </c>
      <c r="C1682" t="s">
        <v>42</v>
      </c>
      <c r="D1682" t="s">
        <v>1256</v>
      </c>
      <c r="F1682" s="21"/>
      <c r="G1682" s="16" t="str">
        <f>HYPERLINK("http://maps.google.com/maps?f=q&amp;hl=en&amp;geocode=&amp;q=40.64652,-111.9388")</f>
        <v>http://maps.google.com/maps?f=q&amp;hl=en&amp;geocode=&amp;q=40.64652,-111.9388</v>
      </c>
    </row>
    <row r="1683" spans="1:7" ht="15" x14ac:dyDescent="0.3">
      <c r="A1683" t="s">
        <v>44</v>
      </c>
      <c r="B1683" t="s">
        <v>44</v>
      </c>
      <c r="C1683" t="s">
        <v>44</v>
      </c>
      <c r="D1683" t="s">
        <v>1257</v>
      </c>
      <c r="F1683" s="21"/>
      <c r="G1683" s="16"/>
    </row>
    <row r="1684" spans="1:7" ht="15" x14ac:dyDescent="0.3">
      <c r="A1684">
        <v>43.499690000000001</v>
      </c>
      <c r="B1684">
        <v>-96.795509999999993</v>
      </c>
      <c r="C1684" t="s">
        <v>42</v>
      </c>
      <c r="D1684" t="s">
        <v>1258</v>
      </c>
      <c r="F1684" s="21"/>
      <c r="G1684" s="16" t="str">
        <f>HYPERLINK("http://maps.google.com/maps?f=q&amp;hl=en&amp;geocode=&amp;q=43.49969,-96.79551")</f>
        <v>http://maps.google.com/maps?f=q&amp;hl=en&amp;geocode=&amp;q=43.49969,-96.79551</v>
      </c>
    </row>
    <row r="1685" spans="1:7" ht="15" x14ac:dyDescent="0.3">
      <c r="A1685">
        <v>32.794974797920098</v>
      </c>
      <c r="B1685">
        <v>-93.050890060533703</v>
      </c>
      <c r="C1685" t="s">
        <v>41</v>
      </c>
      <c r="D1685" t="s">
        <v>1259</v>
      </c>
      <c r="F1685" s="21"/>
      <c r="G1685" s="16" t="str">
        <f>HYPERLINK("http://maps.google.com/maps?f=q&amp;hl=en&amp;geocode=&amp;q=32.7949747979201,-93.0508900605337")</f>
        <v>http://maps.google.com/maps?f=q&amp;hl=en&amp;geocode=&amp;q=32.7949747979201,-93.0508900605337</v>
      </c>
    </row>
    <row r="1686" spans="1:7" ht="15" x14ac:dyDescent="0.3">
      <c r="A1686">
        <v>50.2208442687988</v>
      </c>
      <c r="B1686">
        <v>4.2594909667968803</v>
      </c>
      <c r="C1686" t="s">
        <v>43</v>
      </c>
      <c r="D1686" t="s">
        <v>1260</v>
      </c>
      <c r="F1686" s="21"/>
      <c r="G1686" s="16" t="str">
        <f>HYPERLINK("http://maps.google.com/maps?f=q&amp;hl=en&amp;geocode=&amp;q=50.2208442687988,4.25949096679688")</f>
        <v>http://maps.google.com/maps?f=q&amp;hl=en&amp;geocode=&amp;q=50.2208442687988,4.25949096679688</v>
      </c>
    </row>
    <row r="1687" spans="1:7" ht="15" x14ac:dyDescent="0.3">
      <c r="A1687">
        <v>38.707741855237799</v>
      </c>
      <c r="B1687">
        <v>-90.271877813569702</v>
      </c>
      <c r="C1687" t="s">
        <v>41</v>
      </c>
      <c r="D1687" t="s">
        <v>785</v>
      </c>
      <c r="F1687" s="21"/>
      <c r="G1687" s="16" t="str">
        <f>HYPERLINK("http://maps.google.com/maps?f=q&amp;hl=en&amp;geocode=&amp;q=38.7077418552378,-90.2718778135697")</f>
        <v>http://maps.google.com/maps?f=q&amp;hl=en&amp;geocode=&amp;q=38.7077418552378,-90.2718778135697</v>
      </c>
    </row>
    <row r="1688" spans="1:7" ht="15" x14ac:dyDescent="0.3">
      <c r="A1688">
        <v>41.355855542470898</v>
      </c>
      <c r="B1688">
        <v>-88.855049544273001</v>
      </c>
      <c r="C1688" t="s">
        <v>41</v>
      </c>
      <c r="D1688" t="s">
        <v>1261</v>
      </c>
      <c r="F1688" s="21"/>
      <c r="G1688" s="16" t="str">
        <f>HYPERLINK("http://maps.google.com/maps?f=q&amp;hl=en&amp;geocode=&amp;q=41.3558555424709,-88.855049544273")</f>
        <v>http://maps.google.com/maps?f=q&amp;hl=en&amp;geocode=&amp;q=41.3558555424709,-88.855049544273</v>
      </c>
    </row>
    <row r="1689" spans="1:7" ht="15" x14ac:dyDescent="0.3">
      <c r="A1689" t="s">
        <v>44</v>
      </c>
      <c r="B1689" t="s">
        <v>44</v>
      </c>
      <c r="C1689" t="s">
        <v>44</v>
      </c>
      <c r="D1689" t="s">
        <v>1004</v>
      </c>
      <c r="F1689" s="21"/>
      <c r="G1689" s="16"/>
    </row>
    <row r="1690" spans="1:7" ht="15" x14ac:dyDescent="0.3">
      <c r="A1690">
        <v>51.522500000000001</v>
      </c>
      <c r="B1690">
        <v>-0.27266800000000002</v>
      </c>
      <c r="C1690" t="s">
        <v>43</v>
      </c>
      <c r="D1690" t="s">
        <v>1262</v>
      </c>
      <c r="F1690" s="21"/>
      <c r="G1690" s="16" t="str">
        <f>HYPERLINK("http://maps.google.com/maps?f=q&amp;hl=en&amp;geocode=&amp;q=51.5225,-0.272668")</f>
        <v>http://maps.google.com/maps?f=q&amp;hl=en&amp;geocode=&amp;q=51.5225,-0.272668</v>
      </c>
    </row>
    <row r="1691" spans="1:7" ht="15" x14ac:dyDescent="0.3">
      <c r="A1691">
        <v>39.95091</v>
      </c>
      <c r="B1691">
        <v>-75.234949999999998</v>
      </c>
      <c r="C1691" t="s">
        <v>43</v>
      </c>
      <c r="D1691" t="s">
        <v>1263</v>
      </c>
      <c r="F1691" s="21"/>
      <c r="G1691" s="16" t="str">
        <f>HYPERLINK("http://maps.google.com/maps?f=q&amp;hl=en&amp;geocode=&amp;q=39.95091,-75.23495")</f>
        <v>http://maps.google.com/maps?f=q&amp;hl=en&amp;geocode=&amp;q=39.95091,-75.23495</v>
      </c>
    </row>
    <row r="1692" spans="1:7" ht="15" x14ac:dyDescent="0.3">
      <c r="A1692" t="s">
        <v>44</v>
      </c>
      <c r="B1692" t="s">
        <v>44</v>
      </c>
      <c r="C1692" t="s">
        <v>44</v>
      </c>
      <c r="D1692" t="s">
        <v>1264</v>
      </c>
      <c r="F1692" s="21"/>
      <c r="G1692" s="16"/>
    </row>
    <row r="1693" spans="1:7" ht="15" x14ac:dyDescent="0.3">
      <c r="A1693">
        <v>32.833927231188603</v>
      </c>
      <c r="B1693">
        <v>-96.765505943894894</v>
      </c>
      <c r="C1693" t="s">
        <v>41</v>
      </c>
      <c r="D1693" t="s">
        <v>1073</v>
      </c>
      <c r="F1693" s="21"/>
      <c r="G1693" s="16" t="str">
        <f>HYPERLINK("http://maps.google.com/maps?f=q&amp;hl=en&amp;geocode=&amp;q=32.8339272311886,-96.7655059438949")</f>
        <v>http://maps.google.com/maps?f=q&amp;hl=en&amp;geocode=&amp;q=32.8339272311886,-96.7655059438949</v>
      </c>
    </row>
    <row r="1694" spans="1:7" ht="15" x14ac:dyDescent="0.3">
      <c r="A1694" t="s">
        <v>44</v>
      </c>
      <c r="B1694" t="s">
        <v>44</v>
      </c>
      <c r="C1694" t="s">
        <v>44</v>
      </c>
      <c r="D1694" t="s">
        <v>430</v>
      </c>
      <c r="F1694" s="21"/>
      <c r="G1694" s="16"/>
    </row>
    <row r="1695" spans="1:7" ht="15" x14ac:dyDescent="0.3">
      <c r="A1695">
        <v>48.003079920809597</v>
      </c>
      <c r="B1695">
        <v>-118.189487854842</v>
      </c>
      <c r="C1695" t="s">
        <v>41</v>
      </c>
      <c r="D1695" t="s">
        <v>1265</v>
      </c>
      <c r="F1695" s="21"/>
      <c r="G1695" s="16" t="str">
        <f>HYPERLINK("http://maps.google.com/maps?f=q&amp;hl=en&amp;geocode=&amp;q=48.0030799208096,-118.189487854842")</f>
        <v>http://maps.google.com/maps?f=q&amp;hl=en&amp;geocode=&amp;q=48.0030799208096,-118.189487854842</v>
      </c>
    </row>
    <row r="1696" spans="1:7" ht="15" x14ac:dyDescent="0.3">
      <c r="A1696">
        <v>37.953679863542398</v>
      </c>
      <c r="B1696">
        <v>-88.832123967712803</v>
      </c>
      <c r="C1696" t="s">
        <v>41</v>
      </c>
      <c r="D1696" t="s">
        <v>1266</v>
      </c>
      <c r="F1696" s="21"/>
      <c r="G1696" s="16" t="str">
        <f>HYPERLINK("http://maps.google.com/maps?f=q&amp;hl=en&amp;geocode=&amp;q=37.9536798635424,-88.8321239677128")</f>
        <v>http://maps.google.com/maps?f=q&amp;hl=en&amp;geocode=&amp;q=37.9536798635424,-88.8321239677128</v>
      </c>
    </row>
    <row r="1697" spans="1:7" ht="15" x14ac:dyDescent="0.3">
      <c r="A1697">
        <v>39.205581000000002</v>
      </c>
      <c r="B1697">
        <v>-94.529197999999994</v>
      </c>
      <c r="C1697" t="s">
        <v>41</v>
      </c>
      <c r="D1697" t="s">
        <v>1267</v>
      </c>
      <c r="F1697" s="21"/>
      <c r="G1697" s="16" t="str">
        <f>HYPERLINK("http://maps.google.com/maps?f=q&amp;hl=en&amp;geocode=&amp;q=39.205581,-94.529198")</f>
        <v>http://maps.google.com/maps?f=q&amp;hl=en&amp;geocode=&amp;q=39.205581,-94.529198</v>
      </c>
    </row>
    <row r="1698" spans="1:7" ht="15" x14ac:dyDescent="0.3">
      <c r="A1698">
        <v>41.314399999999999</v>
      </c>
      <c r="B1698">
        <v>-98.387609999999995</v>
      </c>
      <c r="C1698" t="s">
        <v>42</v>
      </c>
      <c r="D1698" t="s">
        <v>1268</v>
      </c>
      <c r="F1698" s="21"/>
      <c r="G1698" s="16" t="str">
        <f>HYPERLINK("http://maps.google.com/maps?f=q&amp;hl=en&amp;geocode=&amp;q=41.3144,-98.38761")</f>
        <v>http://maps.google.com/maps?f=q&amp;hl=en&amp;geocode=&amp;q=41.3144,-98.38761</v>
      </c>
    </row>
    <row r="1699" spans="1:7" ht="15" x14ac:dyDescent="0.3">
      <c r="A1699">
        <v>-41.530963897705099</v>
      </c>
      <c r="B1699">
        <v>173.95343017578099</v>
      </c>
      <c r="C1699" t="s">
        <v>43</v>
      </c>
      <c r="D1699" t="s">
        <v>1269</v>
      </c>
      <c r="F1699" s="21"/>
      <c r="G1699" s="16" t="str">
        <f>HYPERLINK("http://maps.google.com/maps?f=q&amp;hl=en&amp;geocode=&amp;q=-41.5309638977051,173.953430175781")</f>
        <v>http://maps.google.com/maps?f=q&amp;hl=en&amp;geocode=&amp;q=-41.5309638977051,173.953430175781</v>
      </c>
    </row>
    <row r="1700" spans="1:7" ht="15" x14ac:dyDescent="0.3">
      <c r="A1700">
        <v>46.537239074707003</v>
      </c>
      <c r="B1700">
        <v>4.1881599426269496</v>
      </c>
      <c r="C1700" t="s">
        <v>41</v>
      </c>
      <c r="D1700" t="s">
        <v>1270</v>
      </c>
      <c r="F1700" s="21"/>
      <c r="G1700" s="16" t="str">
        <f>HYPERLINK("http://maps.google.com/maps?f=q&amp;hl=en&amp;geocode=&amp;q=46.537239074707,4.18815994262695")</f>
        <v>http://maps.google.com/maps?f=q&amp;hl=en&amp;geocode=&amp;q=46.537239074707,4.18815994262695</v>
      </c>
    </row>
    <row r="1701" spans="1:7" ht="15" x14ac:dyDescent="0.3">
      <c r="A1701">
        <v>38.973060607910199</v>
      </c>
      <c r="B1701">
        <v>-95.236526489257798</v>
      </c>
      <c r="C1701" t="s">
        <v>43</v>
      </c>
      <c r="D1701" t="s">
        <v>1271</v>
      </c>
      <c r="F1701" s="21"/>
      <c r="G1701" s="16" t="str">
        <f>HYPERLINK("http://maps.google.com/maps?f=q&amp;hl=en&amp;geocode=&amp;q=38.9730606079102,-95.2365264892578")</f>
        <v>http://maps.google.com/maps?f=q&amp;hl=en&amp;geocode=&amp;q=38.9730606079102,-95.2365264892578</v>
      </c>
    </row>
    <row r="1702" spans="1:7" ht="15" x14ac:dyDescent="0.3">
      <c r="A1702" t="s">
        <v>44</v>
      </c>
      <c r="B1702" t="s">
        <v>44</v>
      </c>
      <c r="C1702" t="s">
        <v>44</v>
      </c>
      <c r="D1702" t="s">
        <v>1272</v>
      </c>
      <c r="F1702" s="21"/>
      <c r="G1702" s="16"/>
    </row>
    <row r="1703" spans="1:7" ht="15" x14ac:dyDescent="0.3">
      <c r="A1703">
        <v>47.583026453802098</v>
      </c>
      <c r="B1703">
        <v>-92.3013729587163</v>
      </c>
      <c r="C1703" t="s">
        <v>41</v>
      </c>
      <c r="D1703" t="s">
        <v>1011</v>
      </c>
      <c r="F1703" s="21"/>
      <c r="G1703" s="16" t="str">
        <f>HYPERLINK("http://maps.google.com/maps?f=q&amp;hl=en&amp;geocode=&amp;q=47.5830264538021,-92.3013729587163")</f>
        <v>http://maps.google.com/maps?f=q&amp;hl=en&amp;geocode=&amp;q=47.5830264538021,-92.3013729587163</v>
      </c>
    </row>
    <row r="1704" spans="1:7" ht="15" x14ac:dyDescent="0.3">
      <c r="A1704">
        <v>39.999606875944998</v>
      </c>
      <c r="B1704">
        <v>-75.132078074280102</v>
      </c>
      <c r="C1704" t="s">
        <v>41</v>
      </c>
      <c r="D1704" t="s">
        <v>1273</v>
      </c>
      <c r="F1704" s="21"/>
      <c r="G1704" s="16" t="str">
        <f>HYPERLINK("http://maps.google.com/maps?f=q&amp;hl=en&amp;geocode=&amp;q=39.999606875945,-75.1320780742801")</f>
        <v>http://maps.google.com/maps?f=q&amp;hl=en&amp;geocode=&amp;q=39.999606875945,-75.1320780742801</v>
      </c>
    </row>
    <row r="1705" spans="1:7" ht="15" x14ac:dyDescent="0.3">
      <c r="A1705">
        <v>34.470547362512299</v>
      </c>
      <c r="B1705">
        <v>-117.50303359175599</v>
      </c>
      <c r="C1705" t="s">
        <v>41</v>
      </c>
      <c r="D1705" t="s">
        <v>1274</v>
      </c>
      <c r="F1705" s="21"/>
      <c r="G1705" s="16" t="str">
        <f>HYPERLINK("http://maps.google.com/maps?f=q&amp;hl=en&amp;geocode=&amp;q=34.4705473625123,-117.503033591756")</f>
        <v>http://maps.google.com/maps?f=q&amp;hl=en&amp;geocode=&amp;q=34.4705473625123,-117.503033591756</v>
      </c>
    </row>
    <row r="1706" spans="1:7" ht="15" x14ac:dyDescent="0.3">
      <c r="A1706">
        <v>39.950628136933901</v>
      </c>
      <c r="B1706">
        <v>-75.233096100469496</v>
      </c>
      <c r="C1706" t="s">
        <v>41</v>
      </c>
      <c r="D1706" t="s">
        <v>911</v>
      </c>
      <c r="F1706" s="21"/>
      <c r="G1706" s="16" t="str">
        <f>HYPERLINK("http://maps.google.com/maps?f=q&amp;hl=en&amp;geocode=&amp;q=39.9506281369339,-75.2330961004695")</f>
        <v>http://maps.google.com/maps?f=q&amp;hl=en&amp;geocode=&amp;q=39.9506281369339,-75.2330961004695</v>
      </c>
    </row>
    <row r="1707" spans="1:7" ht="15" x14ac:dyDescent="0.3">
      <c r="F1707" s="21"/>
      <c r="G1707" s="16"/>
    </row>
    <row r="1708" spans="1:7" ht="15" x14ac:dyDescent="0.3">
      <c r="A1708">
        <v>39.995534999999997</v>
      </c>
      <c r="B1708">
        <v>-75.076460999999995</v>
      </c>
      <c r="C1708" t="s">
        <v>41</v>
      </c>
      <c r="D1708" t="s">
        <v>1275</v>
      </c>
      <c r="F1708" s="21"/>
      <c r="G1708" s="16" t="str">
        <f>HYPERLINK("http://maps.google.com/maps?f=q&amp;hl=en&amp;geocode=&amp;q=39.995535,-75.076461")</f>
        <v>http://maps.google.com/maps?f=q&amp;hl=en&amp;geocode=&amp;q=39.995535,-75.076461</v>
      </c>
    </row>
    <row r="1709" spans="1:7" ht="15" x14ac:dyDescent="0.3">
      <c r="A1709" t="s">
        <v>44</v>
      </c>
      <c r="B1709" t="s">
        <v>44</v>
      </c>
      <c r="C1709" t="s">
        <v>44</v>
      </c>
      <c r="D1709" t="s">
        <v>1276</v>
      </c>
      <c r="F1709" s="21"/>
      <c r="G1709" s="16"/>
    </row>
    <row r="1710" spans="1:7" ht="15" x14ac:dyDescent="0.3">
      <c r="A1710">
        <v>38.815173377687898</v>
      </c>
      <c r="B1710">
        <v>-76.023897658868506</v>
      </c>
      <c r="C1710" t="s">
        <v>41</v>
      </c>
      <c r="D1710" t="s">
        <v>1277</v>
      </c>
      <c r="F1710" s="21"/>
      <c r="G1710" s="16" t="str">
        <f>HYPERLINK("http://maps.google.com/maps?f=q&amp;hl=en&amp;geocode=&amp;q=38.8151733776879,-76.0238976588685")</f>
        <v>http://maps.google.com/maps?f=q&amp;hl=en&amp;geocode=&amp;q=38.8151733776879,-76.0238976588685</v>
      </c>
    </row>
    <row r="1711" spans="1:7" ht="15" x14ac:dyDescent="0.3">
      <c r="A1711">
        <v>52.371040344238303</v>
      </c>
      <c r="B1711">
        <v>-2.7162001132965101</v>
      </c>
      <c r="C1711" t="s">
        <v>43</v>
      </c>
      <c r="D1711" t="s">
        <v>1278</v>
      </c>
      <c r="F1711" s="21"/>
      <c r="G1711" s="16" t="str">
        <f>HYPERLINK("http://maps.google.com/maps?f=q&amp;hl=en&amp;geocode=&amp;q=52.3710403442383,-2.71620011329651")</f>
        <v>http://maps.google.com/maps?f=q&amp;hl=en&amp;geocode=&amp;q=52.3710403442383,-2.71620011329651</v>
      </c>
    </row>
    <row r="1712" spans="1:7" ht="15" x14ac:dyDescent="0.3">
      <c r="A1712">
        <v>44.495087146376903</v>
      </c>
      <c r="B1712">
        <v>-111.335546961494</v>
      </c>
      <c r="C1712" t="s">
        <v>41</v>
      </c>
      <c r="D1712" t="s">
        <v>719</v>
      </c>
      <c r="F1712" s="21"/>
      <c r="G1712" s="16" t="str">
        <f>HYPERLINK("http://maps.google.com/maps?f=q&amp;hl=en&amp;geocode=&amp;q=44.4950871463769,-111.335546961494")</f>
        <v>http://maps.google.com/maps?f=q&amp;hl=en&amp;geocode=&amp;q=44.4950871463769,-111.335546961494</v>
      </c>
    </row>
    <row r="1713" spans="1:7" ht="15" x14ac:dyDescent="0.3">
      <c r="A1713">
        <v>31.693166610636599</v>
      </c>
      <c r="B1713">
        <v>-83.645837412754204</v>
      </c>
      <c r="C1713" t="s">
        <v>41</v>
      </c>
      <c r="D1713" t="s">
        <v>352</v>
      </c>
      <c r="F1713" s="21"/>
      <c r="G1713" s="16" t="str">
        <f>HYPERLINK("http://maps.google.com/maps?f=q&amp;hl=en&amp;geocode=&amp;q=31.6931666106366,-83.6458374127542")</f>
        <v>http://maps.google.com/maps?f=q&amp;hl=en&amp;geocode=&amp;q=31.6931666106366,-83.6458374127542</v>
      </c>
    </row>
    <row r="1714" spans="1:7" ht="15" x14ac:dyDescent="0.3">
      <c r="A1714">
        <v>39.967734999999998</v>
      </c>
      <c r="B1714">
        <v>-75.222679999999997</v>
      </c>
      <c r="C1714" t="s">
        <v>43</v>
      </c>
      <c r="D1714" t="s">
        <v>1279</v>
      </c>
      <c r="F1714" s="21"/>
      <c r="G1714" s="16" t="str">
        <f>HYPERLINK("http://maps.google.com/maps?f=q&amp;hl=en&amp;geocode=&amp;q=39.967735,-75.22268")</f>
        <v>http://maps.google.com/maps?f=q&amp;hl=en&amp;geocode=&amp;q=39.967735,-75.22268</v>
      </c>
    </row>
    <row r="1715" spans="1:7" ht="15" x14ac:dyDescent="0.3">
      <c r="A1715">
        <v>26.197099999999999</v>
      </c>
      <c r="B1715">
        <v>-80.268169999999998</v>
      </c>
      <c r="C1715" t="s">
        <v>43</v>
      </c>
      <c r="D1715" t="s">
        <v>1280</v>
      </c>
      <c r="F1715" s="21"/>
      <c r="G1715" s="16" t="str">
        <f>HYPERLINK("http://maps.google.com/maps?f=q&amp;hl=en&amp;geocode=&amp;q=26.1971,-80.26817")</f>
        <v>http://maps.google.com/maps?f=q&amp;hl=en&amp;geocode=&amp;q=26.1971,-80.26817</v>
      </c>
    </row>
    <row r="1716" spans="1:7" ht="15" x14ac:dyDescent="0.3">
      <c r="A1716">
        <v>41.149993206539698</v>
      </c>
      <c r="B1716">
        <v>-111.913570873949</v>
      </c>
      <c r="C1716" t="s">
        <v>41</v>
      </c>
      <c r="D1716" t="s">
        <v>782</v>
      </c>
      <c r="F1716" s="21"/>
      <c r="G1716" s="16" t="str">
        <f>HYPERLINK("http://maps.google.com/maps?f=q&amp;hl=en&amp;geocode=&amp;q=41.1499932065397,-111.913570873949")</f>
        <v>http://maps.google.com/maps?f=q&amp;hl=en&amp;geocode=&amp;q=41.1499932065397,-111.913570873949</v>
      </c>
    </row>
    <row r="1717" spans="1:7" ht="15" x14ac:dyDescent="0.3">
      <c r="A1717">
        <v>40.028939999999999</v>
      </c>
      <c r="B1717">
        <v>-75.153459999999995</v>
      </c>
      <c r="C1717" t="s">
        <v>43</v>
      </c>
      <c r="D1717" t="s">
        <v>1281</v>
      </c>
      <c r="F1717" s="21"/>
      <c r="G1717" s="16" t="str">
        <f>HYPERLINK("http://maps.google.com/maps?f=q&amp;hl=en&amp;geocode=&amp;q=40.02894,-75.15346")</f>
        <v>http://maps.google.com/maps?f=q&amp;hl=en&amp;geocode=&amp;q=40.02894,-75.15346</v>
      </c>
    </row>
    <row r="1718" spans="1:7" ht="15" x14ac:dyDescent="0.3">
      <c r="A1718">
        <v>41.0912475585938</v>
      </c>
      <c r="B1718">
        <v>-73.9227294921875</v>
      </c>
      <c r="C1718" t="s">
        <v>41</v>
      </c>
      <c r="D1718" t="s">
        <v>657</v>
      </c>
      <c r="F1718" s="21"/>
      <c r="G1718" s="16" t="str">
        <f>HYPERLINK("http://maps.google.com/maps?f=q&amp;hl=en&amp;geocode=&amp;q=41.0912475585938,-73.9227294921875")</f>
        <v>http://maps.google.com/maps?f=q&amp;hl=en&amp;geocode=&amp;q=41.0912475585938,-73.9227294921875</v>
      </c>
    </row>
    <row r="1719" spans="1:7" ht="15" x14ac:dyDescent="0.3">
      <c r="A1719">
        <v>39.745369956936102</v>
      </c>
      <c r="B1719">
        <v>-84.637328641982805</v>
      </c>
      <c r="C1719" t="s">
        <v>41</v>
      </c>
      <c r="D1719" t="s">
        <v>1282</v>
      </c>
      <c r="F1719" s="21"/>
      <c r="G1719" s="16" t="str">
        <f>HYPERLINK("http://maps.google.com/maps?f=q&amp;hl=en&amp;geocode=&amp;q=39.7453699569361,-84.6373286419828")</f>
        <v>http://maps.google.com/maps?f=q&amp;hl=en&amp;geocode=&amp;q=39.7453699569361,-84.6373286419828</v>
      </c>
    </row>
    <row r="1720" spans="1:7" ht="15" x14ac:dyDescent="0.3">
      <c r="A1720">
        <v>43.769410000000001</v>
      </c>
      <c r="B1720">
        <v>-88.453519999999997</v>
      </c>
      <c r="C1720" t="s">
        <v>41</v>
      </c>
      <c r="D1720" t="s">
        <v>1283</v>
      </c>
      <c r="F1720" s="21"/>
      <c r="G1720" s="16" t="str">
        <f>HYPERLINK("http://maps.google.com/maps?f=q&amp;hl=en&amp;geocode=&amp;q=43.76941,-88.45352")</f>
        <v>http://maps.google.com/maps?f=q&amp;hl=en&amp;geocode=&amp;q=43.76941,-88.45352</v>
      </c>
    </row>
    <row r="1721" spans="1:7" ht="15" x14ac:dyDescent="0.3">
      <c r="A1721">
        <v>35.180230000000002</v>
      </c>
      <c r="B1721">
        <v>-89.973579999999998</v>
      </c>
      <c r="C1721" t="s">
        <v>41</v>
      </c>
      <c r="D1721" t="s">
        <v>1284</v>
      </c>
      <c r="F1721" s="21"/>
      <c r="G1721" s="16" t="str">
        <f>HYPERLINK("http://maps.google.com/maps?f=q&amp;hl=en&amp;geocode=&amp;q=35.18023,-89.97358")</f>
        <v>http://maps.google.com/maps?f=q&amp;hl=en&amp;geocode=&amp;q=35.18023,-89.97358</v>
      </c>
    </row>
    <row r="1722" spans="1:7" ht="15" x14ac:dyDescent="0.3">
      <c r="A1722">
        <v>41.740640112089999</v>
      </c>
      <c r="B1722">
        <v>-111.81466358090999</v>
      </c>
      <c r="C1722" t="s">
        <v>41</v>
      </c>
      <c r="D1722" t="s">
        <v>1285</v>
      </c>
      <c r="F1722" s="21"/>
      <c r="G1722" s="16" t="str">
        <f>HYPERLINK("http://maps.google.com/maps?f=q&amp;hl=en&amp;geocode=&amp;q=41.74064011209,-111.81466358091")</f>
        <v>http://maps.google.com/maps?f=q&amp;hl=en&amp;geocode=&amp;q=41.74064011209,-111.81466358091</v>
      </c>
    </row>
    <row r="1723" spans="1:7" ht="15" x14ac:dyDescent="0.3">
      <c r="F1723" s="21"/>
      <c r="G1723" s="16"/>
    </row>
    <row r="1724" spans="1:7" ht="15" x14ac:dyDescent="0.3">
      <c r="A1724">
        <v>39.95655</v>
      </c>
      <c r="B1724">
        <v>-75.231679999999997</v>
      </c>
      <c r="C1724" t="s">
        <v>43</v>
      </c>
      <c r="D1724" t="s">
        <v>1286</v>
      </c>
      <c r="F1724" s="21"/>
      <c r="G1724" s="16" t="str">
        <f>HYPERLINK("http://maps.google.com/maps?f=q&amp;hl=en&amp;geocode=&amp;q=39.95655,-75.23168")</f>
        <v>http://maps.google.com/maps?f=q&amp;hl=en&amp;geocode=&amp;q=39.95655,-75.23168</v>
      </c>
    </row>
    <row r="1725" spans="1:7" ht="15" x14ac:dyDescent="0.3">
      <c r="A1725" t="s">
        <v>44</v>
      </c>
      <c r="B1725" t="s">
        <v>44</v>
      </c>
      <c r="C1725" t="s">
        <v>44</v>
      </c>
      <c r="D1725" t="s">
        <v>981</v>
      </c>
      <c r="F1725" s="21"/>
      <c r="G1725" s="16"/>
    </row>
    <row r="1726" spans="1:7" ht="15" x14ac:dyDescent="0.3">
      <c r="A1726">
        <v>24.5474730350371</v>
      </c>
      <c r="B1726">
        <v>-81.786494210662696</v>
      </c>
      <c r="C1726" t="s">
        <v>41</v>
      </c>
      <c r="D1726" t="s">
        <v>1287</v>
      </c>
      <c r="F1726" s="21"/>
      <c r="G1726" s="16" t="str">
        <f>HYPERLINK("http://maps.google.com/maps?f=q&amp;hl=en&amp;geocode=&amp;q=24.5474730350371,-81.7864942106627")</f>
        <v>http://maps.google.com/maps?f=q&amp;hl=en&amp;geocode=&amp;q=24.5474730350371,-81.7864942106627</v>
      </c>
    </row>
    <row r="1727" spans="1:7" ht="15" x14ac:dyDescent="0.3">
      <c r="A1727">
        <v>24.5474730350371</v>
      </c>
      <c r="B1727">
        <v>-81.786494210662696</v>
      </c>
      <c r="C1727" t="s">
        <v>41</v>
      </c>
      <c r="D1727" t="s">
        <v>1287</v>
      </c>
      <c r="F1727" s="21"/>
      <c r="G1727" s="16" t="str">
        <f>HYPERLINK("http://maps.google.com/maps?f=q&amp;hl=en&amp;geocode=&amp;q=24.5474730350371,-81.7864942106627")</f>
        <v>http://maps.google.com/maps?f=q&amp;hl=en&amp;geocode=&amp;q=24.5474730350371,-81.7864942106627</v>
      </c>
    </row>
    <row r="1728" spans="1:7" ht="15" x14ac:dyDescent="0.3">
      <c r="A1728">
        <v>38.590362627541303</v>
      </c>
      <c r="B1728">
        <v>-90.300391302176294</v>
      </c>
      <c r="C1728" t="s">
        <v>41</v>
      </c>
      <c r="D1728" t="s">
        <v>93</v>
      </c>
      <c r="F1728" s="21"/>
      <c r="G1728" s="16" t="str">
        <f>HYPERLINK("http://maps.google.com/maps?f=q&amp;hl=en&amp;geocode=&amp;q=38.5903626275413,-90.3003913021763")</f>
        <v>http://maps.google.com/maps?f=q&amp;hl=en&amp;geocode=&amp;q=38.5903626275413,-90.3003913021763</v>
      </c>
    </row>
    <row r="1729" spans="1:7" ht="15" x14ac:dyDescent="0.3">
      <c r="A1729">
        <v>36.015928310111001</v>
      </c>
      <c r="B1729">
        <v>-78.928323937418</v>
      </c>
      <c r="C1729" t="s">
        <v>41</v>
      </c>
      <c r="D1729" t="s">
        <v>1288</v>
      </c>
      <c r="F1729" s="21"/>
      <c r="G1729" s="16" t="str">
        <f>HYPERLINK("http://maps.google.com/maps?f=q&amp;hl=en&amp;geocode=&amp;q=36.015928310111,-78.928323937418")</f>
        <v>http://maps.google.com/maps?f=q&amp;hl=en&amp;geocode=&amp;q=36.015928310111,-78.928323937418</v>
      </c>
    </row>
    <row r="1730" spans="1:7" ht="15" x14ac:dyDescent="0.3">
      <c r="A1730">
        <v>39.950429999999997</v>
      </c>
      <c r="B1730">
        <v>-75.245199999999997</v>
      </c>
      <c r="C1730" t="s">
        <v>43</v>
      </c>
      <c r="D1730" t="s">
        <v>198</v>
      </c>
      <c r="F1730" s="21"/>
      <c r="G1730" s="16" t="str">
        <f>HYPERLINK("http://maps.google.com/maps?f=q&amp;hl=en&amp;geocode=&amp;q=39.95043,-75.2452")</f>
        <v>http://maps.google.com/maps?f=q&amp;hl=en&amp;geocode=&amp;q=39.95043,-75.2452</v>
      </c>
    </row>
    <row r="1731" spans="1:7" ht="15" x14ac:dyDescent="0.3">
      <c r="A1731">
        <v>36.015928310111001</v>
      </c>
      <c r="B1731">
        <v>-78.928323937418</v>
      </c>
      <c r="C1731" t="s">
        <v>41</v>
      </c>
      <c r="D1731" t="s">
        <v>1288</v>
      </c>
      <c r="F1731" s="21"/>
      <c r="G1731" s="16" t="str">
        <f>HYPERLINK("http://maps.google.com/maps?f=q&amp;hl=en&amp;geocode=&amp;q=36.015928310111,-78.928323937418")</f>
        <v>http://maps.google.com/maps?f=q&amp;hl=en&amp;geocode=&amp;q=36.015928310111,-78.928323937418</v>
      </c>
    </row>
    <row r="1732" spans="1:7" ht="15" x14ac:dyDescent="0.3">
      <c r="A1732">
        <v>32.648330688476598</v>
      </c>
      <c r="B1732">
        <v>-83.444557189941406</v>
      </c>
      <c r="C1732" t="s">
        <v>41</v>
      </c>
      <c r="D1732" t="s">
        <v>1289</v>
      </c>
      <c r="F1732" s="21"/>
      <c r="G1732" s="16" t="str">
        <f>HYPERLINK("http://maps.google.com/maps?f=q&amp;hl=en&amp;geocode=&amp;q=32.6483306884766,-83.4445571899414")</f>
        <v>http://maps.google.com/maps?f=q&amp;hl=en&amp;geocode=&amp;q=32.6483306884766,-83.4445571899414</v>
      </c>
    </row>
    <row r="1733" spans="1:7" ht="15" x14ac:dyDescent="0.3">
      <c r="A1733">
        <v>45.899297146376</v>
      </c>
      <c r="B1733">
        <v>-92.333725386355994</v>
      </c>
      <c r="C1733" t="s">
        <v>41</v>
      </c>
      <c r="D1733" t="s">
        <v>1290</v>
      </c>
      <c r="F1733" s="21"/>
      <c r="G1733" s="16" t="str">
        <f>HYPERLINK("http://maps.google.com/maps?f=q&amp;hl=en&amp;geocode=&amp;q=45.899297146376,-92.333725386356")</f>
        <v>http://maps.google.com/maps?f=q&amp;hl=en&amp;geocode=&amp;q=45.899297146376,-92.333725386356</v>
      </c>
    </row>
    <row r="1734" spans="1:7" ht="15" x14ac:dyDescent="0.3">
      <c r="A1734" t="s">
        <v>44</v>
      </c>
      <c r="B1734" t="s">
        <v>44</v>
      </c>
      <c r="C1734" t="s">
        <v>44</v>
      </c>
      <c r="D1734" t="s">
        <v>1004</v>
      </c>
      <c r="F1734" s="21"/>
      <c r="G1734" s="16"/>
    </row>
    <row r="1735" spans="1:7" ht="15" x14ac:dyDescent="0.3">
      <c r="A1735">
        <v>40.013988494872997</v>
      </c>
      <c r="B1735">
        <v>-75.303192138671903</v>
      </c>
      <c r="C1735" t="s">
        <v>41</v>
      </c>
      <c r="D1735" t="s">
        <v>1291</v>
      </c>
      <c r="F1735" s="21"/>
      <c r="G1735" s="16" t="str">
        <f>HYPERLINK("http://maps.google.com/maps?f=q&amp;hl=en&amp;geocode=&amp;q=40.013988494873,-75.3031921386719")</f>
        <v>http://maps.google.com/maps?f=q&amp;hl=en&amp;geocode=&amp;q=40.013988494873,-75.3031921386719</v>
      </c>
    </row>
    <row r="1736" spans="1:7" ht="15" x14ac:dyDescent="0.3">
      <c r="A1736">
        <v>40.016758861309803</v>
      </c>
      <c r="B1736">
        <v>-75.210418099833007</v>
      </c>
      <c r="C1736" t="s">
        <v>41</v>
      </c>
      <c r="D1736" t="s">
        <v>831</v>
      </c>
      <c r="F1736" s="21"/>
      <c r="G1736" s="16" t="str">
        <f>HYPERLINK("http://maps.google.com/maps?f=q&amp;hl=en&amp;geocode=&amp;q=40.0167588613098,-75.210418099833")</f>
        <v>http://maps.google.com/maps?f=q&amp;hl=en&amp;geocode=&amp;q=40.0167588613098,-75.210418099833</v>
      </c>
    </row>
    <row r="1737" spans="1:7" ht="15" x14ac:dyDescent="0.3">
      <c r="A1737">
        <v>39.640430000000002</v>
      </c>
      <c r="B1737">
        <v>-87.684380000000004</v>
      </c>
      <c r="C1737" t="s">
        <v>42</v>
      </c>
      <c r="D1737" t="s">
        <v>1292</v>
      </c>
      <c r="F1737" s="21"/>
      <c r="G1737" s="16" t="str">
        <f>HYPERLINK("http://maps.google.com/maps?f=q&amp;hl=en&amp;geocode=&amp;q=39.64043,-87.68438")</f>
        <v>http://maps.google.com/maps?f=q&amp;hl=en&amp;geocode=&amp;q=39.64043,-87.68438</v>
      </c>
    </row>
    <row r="1738" spans="1:7" ht="15" x14ac:dyDescent="0.3">
      <c r="A1738">
        <v>35.260009765625</v>
      </c>
      <c r="B1738">
        <v>-80.425880432128906</v>
      </c>
      <c r="C1738" t="s">
        <v>43</v>
      </c>
      <c r="D1738" t="s">
        <v>1293</v>
      </c>
      <c r="F1738" s="21"/>
      <c r="G1738" s="16" t="str">
        <f>HYPERLINK("http://maps.google.com/maps?f=q&amp;hl=en&amp;geocode=&amp;q=35.260009765625,-80.4258804321289")</f>
        <v>http://maps.google.com/maps?f=q&amp;hl=en&amp;geocode=&amp;q=35.260009765625,-80.4258804321289</v>
      </c>
    </row>
    <row r="1739" spans="1:7" ht="15" x14ac:dyDescent="0.3">
      <c r="A1739">
        <v>47.214340209960902</v>
      </c>
      <c r="B1739">
        <v>16.6243000030518</v>
      </c>
      <c r="C1739" t="s">
        <v>43</v>
      </c>
      <c r="D1739" t="s">
        <v>1294</v>
      </c>
      <c r="F1739" s="21"/>
      <c r="G1739" s="16" t="str">
        <f>HYPERLINK("http://maps.google.com/maps?f=q&amp;hl=en&amp;geocode=&amp;q=47.2143402099609,16.6243000030518")</f>
        <v>http://maps.google.com/maps?f=q&amp;hl=en&amp;geocode=&amp;q=47.2143402099609,16.6243000030518</v>
      </c>
    </row>
    <row r="1740" spans="1:7" ht="15" x14ac:dyDescent="0.3">
      <c r="A1740">
        <v>43.524909999999998</v>
      </c>
      <c r="B1740">
        <v>-84.196119999999993</v>
      </c>
      <c r="C1740" t="s">
        <v>41</v>
      </c>
      <c r="D1740" t="s">
        <v>1295</v>
      </c>
      <c r="F1740" s="21"/>
      <c r="G1740" s="16" t="str">
        <f>HYPERLINK("http://maps.google.com/maps?f=q&amp;hl=en&amp;geocode=&amp;q=43.52491,-84.19612")</f>
        <v>http://maps.google.com/maps?f=q&amp;hl=en&amp;geocode=&amp;q=43.52491,-84.19612</v>
      </c>
    </row>
    <row r="1741" spans="1:7" ht="15" x14ac:dyDescent="0.3">
      <c r="A1741">
        <v>39.018270000000001</v>
      </c>
      <c r="B1741">
        <v>-84.659059999999997</v>
      </c>
      <c r="C1741" t="s">
        <v>41</v>
      </c>
      <c r="D1741" t="s">
        <v>1296</v>
      </c>
      <c r="F1741" s="21"/>
      <c r="G1741" s="16" t="str">
        <f>HYPERLINK("http://maps.google.com/maps?f=q&amp;hl=en&amp;geocode=&amp;q=39.01827,-84.65906")</f>
        <v>http://maps.google.com/maps?f=q&amp;hl=en&amp;geocode=&amp;q=39.01827,-84.65906</v>
      </c>
    </row>
    <row r="1742" spans="1:7" ht="15" x14ac:dyDescent="0.3">
      <c r="A1742">
        <v>43.528829999999999</v>
      </c>
      <c r="B1742">
        <v>-116.5654</v>
      </c>
      <c r="C1742" t="s">
        <v>42</v>
      </c>
      <c r="D1742" t="s">
        <v>909</v>
      </c>
      <c r="F1742" s="21"/>
      <c r="G1742" s="16" t="str">
        <f>HYPERLINK("http://maps.google.com/maps?f=q&amp;hl=en&amp;geocode=&amp;q=43.52883,-116.5654")</f>
        <v>http://maps.google.com/maps?f=q&amp;hl=en&amp;geocode=&amp;q=43.52883,-116.5654</v>
      </c>
    </row>
    <row r="1743" spans="1:7" ht="15" x14ac:dyDescent="0.3">
      <c r="A1743">
        <v>54.841087341308601</v>
      </c>
      <c r="B1743">
        <v>11.161624908447299</v>
      </c>
      <c r="C1743" t="s">
        <v>41</v>
      </c>
      <c r="D1743" t="s">
        <v>1297</v>
      </c>
      <c r="F1743" s="21"/>
      <c r="G1743" s="16" t="str">
        <f>HYPERLINK("http://maps.google.com/maps?f=q&amp;hl=en&amp;geocode=&amp;q=54.8410873413086,11.1616249084473")</f>
        <v>http://maps.google.com/maps?f=q&amp;hl=en&amp;geocode=&amp;q=54.8410873413086,11.1616249084473</v>
      </c>
    </row>
    <row r="1744" spans="1:7" ht="15" x14ac:dyDescent="0.3">
      <c r="A1744">
        <v>48.398918151855497</v>
      </c>
      <c r="B1744">
        <v>-117.85504913330099</v>
      </c>
      <c r="C1744" t="s">
        <v>41</v>
      </c>
      <c r="D1744" t="s">
        <v>1298</v>
      </c>
      <c r="F1744" s="21"/>
      <c r="G1744" s="16" t="str">
        <f>HYPERLINK("http://maps.google.com/maps?f=q&amp;hl=en&amp;geocode=&amp;q=48.3989181518555,-117.855049133301")</f>
        <v>http://maps.google.com/maps?f=q&amp;hl=en&amp;geocode=&amp;q=48.3989181518555,-117.855049133301</v>
      </c>
    </row>
    <row r="1745" spans="1:7" ht="15" x14ac:dyDescent="0.3">
      <c r="A1745">
        <v>6.3330001831054696</v>
      </c>
      <c r="B1745">
        <v>72.583000183105497</v>
      </c>
      <c r="C1745" t="s">
        <v>41</v>
      </c>
      <c r="D1745" t="s">
        <v>1299</v>
      </c>
      <c r="F1745" s="21"/>
      <c r="G1745" s="16" t="str">
        <f>HYPERLINK("http://maps.google.com/maps?f=q&amp;hl=en&amp;geocode=&amp;q=6.33300018310547,72.5830001831055")</f>
        <v>http://maps.google.com/maps?f=q&amp;hl=en&amp;geocode=&amp;q=6.33300018310547,72.5830001831055</v>
      </c>
    </row>
    <row r="1746" spans="1:7" ht="15" x14ac:dyDescent="0.3">
      <c r="A1746">
        <v>32.741555576892402</v>
      </c>
      <c r="B1746">
        <v>-84.445517795477301</v>
      </c>
      <c r="C1746" t="s">
        <v>43</v>
      </c>
      <c r="D1746" t="s">
        <v>1300</v>
      </c>
      <c r="F1746" s="21"/>
      <c r="G1746" s="16" t="str">
        <f>HYPERLINK("http://maps.google.com/maps?f=q&amp;hl=en&amp;geocode=&amp;q=32.7415555768924,-84.4455177954773")</f>
        <v>http://maps.google.com/maps?f=q&amp;hl=en&amp;geocode=&amp;q=32.7415555768924,-84.4455177954773</v>
      </c>
    </row>
    <row r="1747" spans="1:7" ht="15" x14ac:dyDescent="0.3">
      <c r="A1747">
        <v>32.742293989215902</v>
      </c>
      <c r="B1747">
        <v>-84.445735823787999</v>
      </c>
      <c r="C1747" t="s">
        <v>42</v>
      </c>
      <c r="D1747" t="s">
        <v>1301</v>
      </c>
      <c r="F1747" s="21"/>
      <c r="G1747" s="16" t="str">
        <f>HYPERLINK("http://maps.google.com/maps?f=q&amp;hl=en&amp;geocode=&amp;q=32.7422939892159,-84.445735823788")</f>
        <v>http://maps.google.com/maps?f=q&amp;hl=en&amp;geocode=&amp;q=32.7422939892159,-84.445735823788</v>
      </c>
    </row>
    <row r="1748" spans="1:7" ht="15" x14ac:dyDescent="0.3">
      <c r="A1748">
        <v>32.742293989215902</v>
      </c>
      <c r="B1748">
        <v>-84.445735823787999</v>
      </c>
      <c r="C1748" t="s">
        <v>42</v>
      </c>
      <c r="D1748" t="s">
        <v>1301</v>
      </c>
      <c r="F1748" s="21"/>
      <c r="G1748" s="16" t="str">
        <f>HYPERLINK("http://maps.google.com/maps?f=q&amp;hl=en&amp;geocode=&amp;q=32.7422939892159,-84.445735823788")</f>
        <v>http://maps.google.com/maps?f=q&amp;hl=en&amp;geocode=&amp;q=32.7422939892159,-84.445735823788</v>
      </c>
    </row>
    <row r="1749" spans="1:7" ht="15" x14ac:dyDescent="0.3">
      <c r="A1749">
        <v>32.742293989215902</v>
      </c>
      <c r="B1749">
        <v>-84.445735823787999</v>
      </c>
      <c r="C1749" t="s">
        <v>42</v>
      </c>
      <c r="D1749" t="s">
        <v>1301</v>
      </c>
      <c r="F1749" s="21"/>
      <c r="G1749" s="16" t="str">
        <f>HYPERLINK("http://maps.google.com/maps?f=q&amp;hl=en&amp;geocode=&amp;q=32.7422939892159,-84.445735823788")</f>
        <v>http://maps.google.com/maps?f=q&amp;hl=en&amp;geocode=&amp;q=32.7422939892159,-84.445735823788</v>
      </c>
    </row>
    <row r="1750" spans="1:7" ht="15" x14ac:dyDescent="0.3">
      <c r="A1750">
        <v>36.80688</v>
      </c>
      <c r="B1750">
        <v>-76.415170000000003</v>
      </c>
      <c r="C1750" t="s">
        <v>41</v>
      </c>
      <c r="D1750" t="s">
        <v>1302</v>
      </c>
      <c r="F1750" s="21"/>
      <c r="G1750" s="16" t="str">
        <f>HYPERLINK("http://maps.google.com/maps?f=q&amp;hl=en&amp;geocode=&amp;q=36.80688,-76.41517")</f>
        <v>http://maps.google.com/maps?f=q&amp;hl=en&amp;geocode=&amp;q=36.80688,-76.41517</v>
      </c>
    </row>
    <row r="1751" spans="1:7" ht="15" x14ac:dyDescent="0.3">
      <c r="A1751">
        <v>40.039520000000003</v>
      </c>
      <c r="B1751">
        <v>-75.129829999999998</v>
      </c>
      <c r="C1751" t="s">
        <v>42</v>
      </c>
      <c r="D1751" t="s">
        <v>554</v>
      </c>
      <c r="F1751" s="21"/>
      <c r="G1751" s="16" t="str">
        <f>HYPERLINK("http://maps.google.com/maps?f=q&amp;hl=en&amp;geocode=&amp;q=40.03952,-75.12983")</f>
        <v>http://maps.google.com/maps?f=q&amp;hl=en&amp;geocode=&amp;q=40.03952,-75.12983</v>
      </c>
    </row>
    <row r="1752" spans="1:7" ht="15" x14ac:dyDescent="0.3">
      <c r="A1752">
        <v>39.0057983398438</v>
      </c>
      <c r="B1752">
        <v>-87.739601135253906</v>
      </c>
      <c r="C1752" t="s">
        <v>43</v>
      </c>
      <c r="D1752" t="s">
        <v>1303</v>
      </c>
      <c r="F1752" s="21"/>
      <c r="G1752" s="16" t="str">
        <f>HYPERLINK("http://maps.google.com/maps?f=q&amp;hl=en&amp;geocode=&amp;q=39.0057983398438,-87.7396011352539")</f>
        <v>http://maps.google.com/maps?f=q&amp;hl=en&amp;geocode=&amp;q=39.0057983398438,-87.7396011352539</v>
      </c>
    </row>
    <row r="1753" spans="1:7" ht="15" x14ac:dyDescent="0.3">
      <c r="A1753">
        <v>42.9018768815179</v>
      </c>
      <c r="B1753">
        <v>-85.797806155433193</v>
      </c>
      <c r="C1753" t="s">
        <v>41</v>
      </c>
      <c r="D1753" t="s">
        <v>1304</v>
      </c>
      <c r="F1753" s="21"/>
      <c r="G1753" s="16" t="str">
        <f>HYPERLINK("http://maps.google.com/maps?f=q&amp;hl=en&amp;geocode=&amp;q=42.9018768815179,-85.7978061554332")</f>
        <v>http://maps.google.com/maps?f=q&amp;hl=en&amp;geocode=&amp;q=42.9018768815179,-85.7978061554332</v>
      </c>
    </row>
    <row r="1754" spans="1:7" ht="15" x14ac:dyDescent="0.3">
      <c r="A1754">
        <v>39.912179999999999</v>
      </c>
      <c r="B1754">
        <v>-75.237070000000003</v>
      </c>
      <c r="C1754" t="s">
        <v>41</v>
      </c>
      <c r="D1754" t="s">
        <v>1305</v>
      </c>
      <c r="F1754" s="21"/>
      <c r="G1754" s="16" t="str">
        <f>HYPERLINK("http://maps.google.com/maps?f=q&amp;hl=en&amp;geocode=&amp;q=39.91218,-75.23707")</f>
        <v>http://maps.google.com/maps?f=q&amp;hl=en&amp;geocode=&amp;q=39.91218,-75.23707</v>
      </c>
    </row>
    <row r="1755" spans="1:7" ht="15" x14ac:dyDescent="0.3">
      <c r="A1755">
        <v>47.847194671630902</v>
      </c>
      <c r="B1755">
        <v>13.0851154327393</v>
      </c>
      <c r="C1755" t="s">
        <v>43</v>
      </c>
      <c r="D1755" t="s">
        <v>1306</v>
      </c>
      <c r="F1755" s="21"/>
      <c r="G1755" s="16" t="str">
        <f>HYPERLINK("http://maps.google.com/maps?f=q&amp;hl=en&amp;geocode=&amp;q=47.8471946716309,13.0851154327393")</f>
        <v>http://maps.google.com/maps?f=q&amp;hl=en&amp;geocode=&amp;q=47.8471946716309,13.0851154327393</v>
      </c>
    </row>
    <row r="1756" spans="1:7" ht="15" x14ac:dyDescent="0.3">
      <c r="A1756">
        <v>39.945576075498302</v>
      </c>
      <c r="B1756">
        <v>-75.222996503904398</v>
      </c>
      <c r="C1756" t="s">
        <v>41</v>
      </c>
      <c r="D1756" t="s">
        <v>1307</v>
      </c>
      <c r="F1756" s="21"/>
      <c r="G1756" s="16" t="str">
        <f>HYPERLINK("http://maps.google.com/maps?f=q&amp;hl=en&amp;geocode=&amp;q=39.9455760754983,-75.2229965039044")</f>
        <v>http://maps.google.com/maps?f=q&amp;hl=en&amp;geocode=&amp;q=39.9455760754983,-75.2229965039044</v>
      </c>
    </row>
    <row r="1757" spans="1:7" ht="15" x14ac:dyDescent="0.3">
      <c r="A1757">
        <v>34.901809692382798</v>
      </c>
      <c r="B1757">
        <v>-110.16008758544901</v>
      </c>
      <c r="C1757" t="s">
        <v>41</v>
      </c>
      <c r="D1757" t="s">
        <v>1308</v>
      </c>
      <c r="F1757" s="21"/>
      <c r="G1757" s="16" t="str">
        <f>HYPERLINK("http://maps.google.com/maps?f=q&amp;hl=en&amp;geocode=&amp;q=34.9018096923828,-110.160087585449")</f>
        <v>http://maps.google.com/maps?f=q&amp;hl=en&amp;geocode=&amp;q=34.9018096923828,-110.160087585449</v>
      </c>
    </row>
    <row r="1758" spans="1:7" ht="15" x14ac:dyDescent="0.3">
      <c r="A1758">
        <v>39.981029999999997</v>
      </c>
      <c r="B1758">
        <v>-75.110590000000002</v>
      </c>
      <c r="C1758" t="s">
        <v>41</v>
      </c>
      <c r="D1758" t="s">
        <v>1309</v>
      </c>
      <c r="F1758" s="21"/>
      <c r="G1758" s="16" t="str">
        <f>HYPERLINK("http://maps.google.com/maps?f=q&amp;hl=en&amp;geocode=&amp;q=39.98103,-75.11059")</f>
        <v>http://maps.google.com/maps?f=q&amp;hl=en&amp;geocode=&amp;q=39.98103,-75.11059</v>
      </c>
    </row>
    <row r="1759" spans="1:7" ht="15" x14ac:dyDescent="0.3">
      <c r="A1759">
        <v>39.982140000000001</v>
      </c>
      <c r="B1759">
        <v>-75.108360000000005</v>
      </c>
      <c r="C1759" t="s">
        <v>41</v>
      </c>
      <c r="D1759" t="s">
        <v>1310</v>
      </c>
      <c r="F1759" s="21"/>
      <c r="G1759" s="16" t="str">
        <f>HYPERLINK("http://maps.google.com/maps?f=q&amp;hl=en&amp;geocode=&amp;q=39.98214,-75.10836")</f>
        <v>http://maps.google.com/maps?f=q&amp;hl=en&amp;geocode=&amp;q=39.98214,-75.10836</v>
      </c>
    </row>
    <row r="1760" spans="1:7" ht="15" x14ac:dyDescent="0.3">
      <c r="A1760">
        <v>-36.952739999999999</v>
      </c>
      <c r="B1760">
        <v>140.74517</v>
      </c>
      <c r="C1760" t="s">
        <v>43</v>
      </c>
      <c r="D1760" t="s">
        <v>1311</v>
      </c>
      <c r="F1760" s="21"/>
      <c r="G1760" s="16" t="str">
        <f>HYPERLINK("http://maps.google.com/maps?f=q&amp;hl=en&amp;geocode=&amp;q=-36.95274,140.74517")</f>
        <v>http://maps.google.com/maps?f=q&amp;hl=en&amp;geocode=&amp;q=-36.95274,140.74517</v>
      </c>
    </row>
    <row r="1761" spans="1:7" ht="15" x14ac:dyDescent="0.3">
      <c r="A1761">
        <v>39.287439999999997</v>
      </c>
      <c r="B1761">
        <v>-76.572310000000002</v>
      </c>
      <c r="C1761" t="s">
        <v>42</v>
      </c>
      <c r="D1761" t="s">
        <v>1312</v>
      </c>
      <c r="F1761" s="21"/>
      <c r="G1761" s="16" t="str">
        <f>HYPERLINK("http://maps.google.com/maps?f=q&amp;hl=en&amp;geocode=&amp;q=39.28744,-76.57231")</f>
        <v>http://maps.google.com/maps?f=q&amp;hl=en&amp;geocode=&amp;q=39.28744,-76.57231</v>
      </c>
    </row>
    <row r="1762" spans="1:7" ht="15" x14ac:dyDescent="0.3">
      <c r="A1762" t="s">
        <v>44</v>
      </c>
      <c r="B1762" t="s">
        <v>44</v>
      </c>
      <c r="C1762" t="s">
        <v>44</v>
      </c>
      <c r="D1762" t="s">
        <v>1004</v>
      </c>
      <c r="F1762" s="21"/>
      <c r="G1762" s="16"/>
    </row>
    <row r="1763" spans="1:7" ht="15" x14ac:dyDescent="0.3">
      <c r="A1763">
        <v>41.570780318967898</v>
      </c>
      <c r="B1763">
        <v>-87.609949185375498</v>
      </c>
      <c r="C1763" t="s">
        <v>41</v>
      </c>
      <c r="D1763" t="s">
        <v>1313</v>
      </c>
      <c r="F1763" s="21"/>
      <c r="G1763" s="16" t="str">
        <f>HYPERLINK("http://maps.google.com/maps?f=q&amp;hl=en&amp;geocode=&amp;q=41.5707803189679,-87.6099491853755")</f>
        <v>http://maps.google.com/maps?f=q&amp;hl=en&amp;geocode=&amp;q=41.5707803189679,-87.6099491853755</v>
      </c>
    </row>
    <row r="1764" spans="1:7" ht="15" x14ac:dyDescent="0.3">
      <c r="A1764">
        <v>40.693229675292997</v>
      </c>
      <c r="B1764">
        <v>-78.9222412109375</v>
      </c>
      <c r="C1764" t="s">
        <v>41</v>
      </c>
      <c r="D1764" t="s">
        <v>1314</v>
      </c>
      <c r="F1764" s="21"/>
      <c r="G1764" s="16" t="str">
        <f>HYPERLINK("http://maps.google.com/maps?f=q&amp;hl=en&amp;geocode=&amp;q=40.693229675293,-78.9222412109375")</f>
        <v>http://maps.google.com/maps?f=q&amp;hl=en&amp;geocode=&amp;q=40.693229675293,-78.9222412109375</v>
      </c>
    </row>
    <row r="1765" spans="1:7" ht="15" x14ac:dyDescent="0.3">
      <c r="A1765">
        <v>39.074932710536402</v>
      </c>
      <c r="B1765">
        <v>-76.639414793483695</v>
      </c>
      <c r="C1765" t="s">
        <v>43</v>
      </c>
      <c r="D1765" t="s">
        <v>1315</v>
      </c>
      <c r="F1765" s="21"/>
      <c r="G1765" s="16" t="str">
        <f>HYPERLINK("http://maps.google.com/maps?f=q&amp;hl=en&amp;geocode=&amp;q=39.0749327105364,-76.6394147934837")</f>
        <v>http://maps.google.com/maps?f=q&amp;hl=en&amp;geocode=&amp;q=39.0749327105364,-76.6394147934837</v>
      </c>
    </row>
    <row r="1766" spans="1:7" ht="15" x14ac:dyDescent="0.3">
      <c r="A1766" t="s">
        <v>44</v>
      </c>
      <c r="B1766" t="s">
        <v>44</v>
      </c>
      <c r="C1766" t="s">
        <v>44</v>
      </c>
      <c r="D1766" t="s">
        <v>1316</v>
      </c>
      <c r="F1766" s="21"/>
      <c r="G1766" s="16"/>
    </row>
    <row r="1767" spans="1:7" ht="15" x14ac:dyDescent="0.3">
      <c r="A1767">
        <v>54.863219999999998</v>
      </c>
      <c r="B1767">
        <v>11.190390000000001</v>
      </c>
      <c r="C1767" t="s">
        <v>41</v>
      </c>
      <c r="D1767" t="s">
        <v>1317</v>
      </c>
      <c r="F1767" s="21"/>
      <c r="G1767" s="16" t="str">
        <f>HYPERLINK("http://maps.google.com/maps?f=q&amp;hl=en&amp;geocode=&amp;q=54.86322,11.19039")</f>
        <v>http://maps.google.com/maps?f=q&amp;hl=en&amp;geocode=&amp;q=54.86322,11.19039</v>
      </c>
    </row>
    <row r="1768" spans="1:7" ht="15" x14ac:dyDescent="0.3">
      <c r="A1768">
        <v>45.781402723110901</v>
      </c>
      <c r="B1768">
        <v>-89.101368688207401</v>
      </c>
      <c r="C1768" t="s">
        <v>41</v>
      </c>
      <c r="D1768" t="s">
        <v>1318</v>
      </c>
      <c r="F1768" s="21"/>
      <c r="G1768" s="16" t="str">
        <f>HYPERLINK("http://maps.google.com/maps?f=q&amp;hl=en&amp;geocode=&amp;q=45.7814027231109,-89.1013686882074")</f>
        <v>http://maps.google.com/maps?f=q&amp;hl=en&amp;geocode=&amp;q=45.7814027231109,-89.1013686882074</v>
      </c>
    </row>
    <row r="1769" spans="1:7" ht="15" x14ac:dyDescent="0.3">
      <c r="A1769">
        <v>37.193010000000001</v>
      </c>
      <c r="B1769">
        <v>-79.925550000000001</v>
      </c>
      <c r="C1769" t="s">
        <v>42</v>
      </c>
      <c r="D1769" t="s">
        <v>668</v>
      </c>
      <c r="F1769" s="21"/>
      <c r="G1769" s="16" t="str">
        <f>HYPERLINK("http://maps.google.com/maps?f=q&amp;hl=en&amp;geocode=&amp;q=37.19301,-79.92555")</f>
        <v>http://maps.google.com/maps?f=q&amp;hl=en&amp;geocode=&amp;q=37.19301,-79.92555</v>
      </c>
    </row>
    <row r="1770" spans="1:7" ht="15" x14ac:dyDescent="0.3">
      <c r="A1770" t="s">
        <v>44</v>
      </c>
      <c r="B1770" t="s">
        <v>44</v>
      </c>
      <c r="C1770" t="s">
        <v>44</v>
      </c>
      <c r="D1770" t="s">
        <v>1319</v>
      </c>
      <c r="F1770" s="21"/>
      <c r="G1770" s="16"/>
    </row>
    <row r="1771" spans="1:7" ht="15" x14ac:dyDescent="0.3">
      <c r="A1771" t="s">
        <v>44</v>
      </c>
      <c r="B1771" t="s">
        <v>44</v>
      </c>
      <c r="C1771" t="s">
        <v>44</v>
      </c>
      <c r="D1771" t="s">
        <v>1320</v>
      </c>
      <c r="F1771" s="21"/>
      <c r="G1771" s="16"/>
    </row>
    <row r="1772" spans="1:7" ht="15" x14ac:dyDescent="0.3">
      <c r="A1772" t="s">
        <v>44</v>
      </c>
      <c r="B1772" t="s">
        <v>44</v>
      </c>
      <c r="C1772" t="s">
        <v>44</v>
      </c>
      <c r="D1772" t="s">
        <v>1319</v>
      </c>
      <c r="F1772" s="21"/>
      <c r="G1772" s="16"/>
    </row>
    <row r="1773" spans="1:7" ht="15" x14ac:dyDescent="0.3">
      <c r="A1773">
        <v>39.923259999999999</v>
      </c>
      <c r="B1773">
        <v>-75.154910000000001</v>
      </c>
      <c r="C1773" t="s">
        <v>43</v>
      </c>
      <c r="D1773" t="s">
        <v>1321</v>
      </c>
      <c r="F1773" s="21"/>
      <c r="G1773" s="16" t="str">
        <f>HYPERLINK("http://maps.google.com/maps?f=q&amp;hl=en&amp;geocode=&amp;q=39.92326,-75.15491")</f>
        <v>http://maps.google.com/maps?f=q&amp;hl=en&amp;geocode=&amp;q=39.92326,-75.15491</v>
      </c>
    </row>
    <row r="1774" spans="1:7" ht="15" x14ac:dyDescent="0.3">
      <c r="A1774">
        <v>37.224409999999999</v>
      </c>
      <c r="B1774">
        <v>-113.28737</v>
      </c>
      <c r="C1774" t="s">
        <v>42</v>
      </c>
      <c r="D1774" t="s">
        <v>1322</v>
      </c>
      <c r="F1774" s="21"/>
      <c r="G1774" s="16" t="str">
        <f>HYPERLINK("http://maps.google.com/maps?f=q&amp;hl=en&amp;geocode=&amp;q=37.22441,-113.28737")</f>
        <v>http://maps.google.com/maps?f=q&amp;hl=en&amp;geocode=&amp;q=37.22441,-113.28737</v>
      </c>
    </row>
    <row r="1775" spans="1:7" ht="15" x14ac:dyDescent="0.3">
      <c r="A1775">
        <v>36.0928392462611</v>
      </c>
      <c r="B1775">
        <v>-89.306252110303404</v>
      </c>
      <c r="C1775" t="s">
        <v>43</v>
      </c>
      <c r="D1775" t="s">
        <v>1323</v>
      </c>
      <c r="F1775" s="21"/>
      <c r="G1775" s="16" t="str">
        <f>HYPERLINK("http://maps.google.com/maps?f=q&amp;hl=en&amp;geocode=&amp;q=36.0928392462611,-89.3062521103034")</f>
        <v>http://maps.google.com/maps?f=q&amp;hl=en&amp;geocode=&amp;q=36.0928392462611,-89.3062521103034</v>
      </c>
    </row>
    <row r="1776" spans="1:7" ht="15" x14ac:dyDescent="0.3">
      <c r="A1776">
        <v>39.972929999999998</v>
      </c>
      <c r="B1776">
        <v>-75.237970000000004</v>
      </c>
      <c r="C1776" t="s">
        <v>43</v>
      </c>
      <c r="D1776" t="s">
        <v>1324</v>
      </c>
      <c r="F1776" s="21"/>
      <c r="G1776" s="16" t="str">
        <f>HYPERLINK("http://maps.google.com/maps?f=q&amp;hl=en&amp;geocode=&amp;q=39.97293,-75.23797")</f>
        <v>http://maps.google.com/maps?f=q&amp;hl=en&amp;geocode=&amp;q=39.97293,-75.23797</v>
      </c>
    </row>
    <row r="1777" spans="1:7" ht="15" x14ac:dyDescent="0.3">
      <c r="A1777">
        <v>39.028579999999998</v>
      </c>
      <c r="B1777">
        <v>-94.562049999999999</v>
      </c>
      <c r="C1777" t="s">
        <v>43</v>
      </c>
      <c r="D1777" t="s">
        <v>1109</v>
      </c>
      <c r="F1777" s="21"/>
      <c r="G1777" s="16" t="str">
        <f>HYPERLINK("http://maps.google.com/maps?f=q&amp;hl=en&amp;geocode=&amp;q=39.02858,-94.56205")</f>
        <v>http://maps.google.com/maps?f=q&amp;hl=en&amp;geocode=&amp;q=39.02858,-94.56205</v>
      </c>
    </row>
    <row r="1778" spans="1:7" ht="15" x14ac:dyDescent="0.3">
      <c r="A1778">
        <v>50.723228454589801</v>
      </c>
      <c r="B1778">
        <v>4.6152939796447798</v>
      </c>
      <c r="C1778" t="s">
        <v>43</v>
      </c>
      <c r="D1778" t="s">
        <v>1325</v>
      </c>
      <c r="F1778" s="21"/>
      <c r="G1778" s="16" t="str">
        <f>HYPERLINK("http://maps.google.com/maps?f=q&amp;hl=en&amp;geocode=&amp;q=50.7232284545898,4.61529397964478")</f>
        <v>http://maps.google.com/maps?f=q&amp;hl=en&amp;geocode=&amp;q=50.7232284545898,4.61529397964478</v>
      </c>
    </row>
    <row r="1779" spans="1:7" ht="15" x14ac:dyDescent="0.3">
      <c r="A1779" t="s">
        <v>44</v>
      </c>
      <c r="B1779" t="s">
        <v>44</v>
      </c>
      <c r="C1779" t="s">
        <v>44</v>
      </c>
      <c r="D1779" t="s">
        <v>1326</v>
      </c>
      <c r="F1779" s="21"/>
      <c r="G1779" s="16"/>
    </row>
    <row r="1780" spans="1:7" ht="15" x14ac:dyDescent="0.3">
      <c r="A1780">
        <v>29.9280733825941</v>
      </c>
      <c r="B1780">
        <v>-90.016037978788503</v>
      </c>
      <c r="C1780" t="s">
        <v>41</v>
      </c>
      <c r="D1780" t="s">
        <v>1327</v>
      </c>
      <c r="F1780" s="21"/>
      <c r="G1780" s="16" t="str">
        <f>HYPERLINK("http://maps.google.com/maps?f=q&amp;hl=en&amp;geocode=&amp;q=29.9280733825941,-90.0160379787885")</f>
        <v>http://maps.google.com/maps?f=q&amp;hl=en&amp;geocode=&amp;q=29.9280733825941,-90.0160379787885</v>
      </c>
    </row>
    <row r="1781" spans="1:7" ht="15" x14ac:dyDescent="0.3">
      <c r="A1781">
        <v>32.833759999999998</v>
      </c>
      <c r="B1781">
        <v>-96.767750000000007</v>
      </c>
      <c r="C1781" t="s">
        <v>41</v>
      </c>
      <c r="D1781" t="s">
        <v>568</v>
      </c>
      <c r="F1781" s="21"/>
      <c r="G1781" s="16" t="str">
        <f>HYPERLINK("http://maps.google.com/maps?f=q&amp;hl=en&amp;geocode=&amp;q=32.83376,-96.76775")</f>
        <v>http://maps.google.com/maps?f=q&amp;hl=en&amp;geocode=&amp;q=32.83376,-96.76775</v>
      </c>
    </row>
    <row r="1782" spans="1:7" ht="15" x14ac:dyDescent="0.3">
      <c r="A1782">
        <v>39.997729999999997</v>
      </c>
      <c r="B1782">
        <v>-75.11985</v>
      </c>
      <c r="C1782" t="s">
        <v>41</v>
      </c>
      <c r="D1782" t="s">
        <v>1328</v>
      </c>
      <c r="F1782" s="21"/>
      <c r="G1782" s="16" t="str">
        <f>HYPERLINK("http://maps.google.com/maps?f=q&amp;hl=en&amp;geocode=&amp;q=39.99773,-75.11985")</f>
        <v>http://maps.google.com/maps?f=q&amp;hl=en&amp;geocode=&amp;q=39.99773,-75.11985</v>
      </c>
    </row>
    <row r="1783" spans="1:7" ht="15" x14ac:dyDescent="0.3">
      <c r="A1783">
        <v>41.1077880859375</v>
      </c>
      <c r="B1783">
        <v>-74.133483886718807</v>
      </c>
      <c r="C1783" t="s">
        <v>41</v>
      </c>
      <c r="D1783" t="s">
        <v>570</v>
      </c>
      <c r="F1783" s="21"/>
      <c r="G1783" s="16" t="str">
        <f>HYPERLINK("http://maps.google.com/maps?f=q&amp;hl=en&amp;geocode=&amp;q=41.1077880859375,-74.1334838867188")</f>
        <v>http://maps.google.com/maps?f=q&amp;hl=en&amp;geocode=&amp;q=41.1077880859375,-74.1334838867188</v>
      </c>
    </row>
    <row r="1784" spans="1:7" ht="15" x14ac:dyDescent="0.3">
      <c r="A1784">
        <v>41.906560578169398</v>
      </c>
      <c r="B1784">
        <v>-83.574876021431095</v>
      </c>
      <c r="C1784" t="s">
        <v>41</v>
      </c>
      <c r="D1784" t="s">
        <v>248</v>
      </c>
      <c r="F1784" s="21"/>
      <c r="G1784" s="16" t="str">
        <f>HYPERLINK("http://maps.google.com/maps?f=q&amp;hl=en&amp;geocode=&amp;q=41.9065605781694,-83.5748760214311")</f>
        <v>http://maps.google.com/maps?f=q&amp;hl=en&amp;geocode=&amp;q=41.9065605781694,-83.5748760214311</v>
      </c>
    </row>
    <row r="1785" spans="1:7" ht="15" x14ac:dyDescent="0.3">
      <c r="A1785" t="s">
        <v>44</v>
      </c>
      <c r="B1785" t="s">
        <v>44</v>
      </c>
      <c r="C1785" t="s">
        <v>44</v>
      </c>
      <c r="D1785" t="s">
        <v>1048</v>
      </c>
      <c r="F1785" s="21"/>
      <c r="G1785" s="16"/>
    </row>
    <row r="1786" spans="1:7" ht="15" x14ac:dyDescent="0.3">
      <c r="A1786">
        <v>39.927100000000003</v>
      </c>
      <c r="B1786">
        <v>-75.155659999999997</v>
      </c>
      <c r="C1786" t="s">
        <v>42</v>
      </c>
      <c r="D1786" t="s">
        <v>1329</v>
      </c>
      <c r="F1786" s="21"/>
      <c r="G1786" s="16" t="str">
        <f>HYPERLINK("http://maps.google.com/maps?f=q&amp;hl=en&amp;geocode=&amp;q=39.9271,-75.15566")</f>
        <v>http://maps.google.com/maps?f=q&amp;hl=en&amp;geocode=&amp;q=39.9271,-75.15566</v>
      </c>
    </row>
    <row r="1787" spans="1:7" ht="15" x14ac:dyDescent="0.3">
      <c r="A1787">
        <v>39.4432563781738</v>
      </c>
      <c r="B1787">
        <v>-98.957336425781307</v>
      </c>
      <c r="C1787" t="s">
        <v>43</v>
      </c>
      <c r="D1787" t="s">
        <v>1330</v>
      </c>
      <c r="F1787" s="21"/>
      <c r="G1787" s="16" t="str">
        <f>HYPERLINK("http://maps.google.com/maps?f=q&amp;hl=en&amp;geocode=&amp;q=39.4432563781738,-98.9573364257813")</f>
        <v>http://maps.google.com/maps?f=q&amp;hl=en&amp;geocode=&amp;q=39.4432563781738,-98.9573364257813</v>
      </c>
    </row>
    <row r="1788" spans="1:7" ht="15" x14ac:dyDescent="0.3">
      <c r="A1788">
        <v>52.6822319030762</v>
      </c>
      <c r="B1788">
        <v>0.13165999948978399</v>
      </c>
      <c r="C1788" t="s">
        <v>41</v>
      </c>
      <c r="D1788" t="s">
        <v>1331</v>
      </c>
      <c r="F1788" s="21"/>
      <c r="G1788" s="16" t="str">
        <f>HYPERLINK("http://maps.google.com/maps?f=q&amp;hl=en&amp;geocode=&amp;q=52.6822319030762,0.131659999489784")</f>
        <v>http://maps.google.com/maps?f=q&amp;hl=en&amp;geocode=&amp;q=52.6822319030762,0.131659999489784</v>
      </c>
    </row>
    <row r="1789" spans="1:7" ht="15" x14ac:dyDescent="0.3">
      <c r="A1789">
        <v>7.4225702285766602</v>
      </c>
      <c r="B1789">
        <v>79.919921875</v>
      </c>
      <c r="C1789" t="s">
        <v>43</v>
      </c>
      <c r="D1789" t="s">
        <v>1332</v>
      </c>
      <c r="F1789" s="21"/>
      <c r="G1789" s="16" t="str">
        <f>HYPERLINK("http://maps.google.com/maps?f=q&amp;hl=en&amp;geocode=&amp;q=7.42257022857666,79.919921875")</f>
        <v>http://maps.google.com/maps?f=q&amp;hl=en&amp;geocode=&amp;q=7.42257022857666,79.919921875</v>
      </c>
    </row>
    <row r="1790" spans="1:7" ht="15" x14ac:dyDescent="0.3">
      <c r="A1790">
        <v>38.973060607910199</v>
      </c>
      <c r="B1790">
        <v>-95.236526489257798</v>
      </c>
      <c r="C1790" t="s">
        <v>43</v>
      </c>
      <c r="D1790" t="s">
        <v>1271</v>
      </c>
      <c r="F1790" s="21"/>
      <c r="G1790" s="16" t="str">
        <f>HYPERLINK("http://maps.google.com/maps?f=q&amp;hl=en&amp;geocode=&amp;q=38.9730606079102,-95.2365264892578")</f>
        <v>http://maps.google.com/maps?f=q&amp;hl=en&amp;geocode=&amp;q=38.9730606079102,-95.2365264892578</v>
      </c>
    </row>
    <row r="1791" spans="1:7" ht="15" x14ac:dyDescent="0.3">
      <c r="A1791" t="s">
        <v>44</v>
      </c>
      <c r="B1791" t="s">
        <v>44</v>
      </c>
      <c r="C1791" t="s">
        <v>44</v>
      </c>
      <c r="D1791" t="s">
        <v>1004</v>
      </c>
      <c r="F1791" s="21"/>
      <c r="G1791" s="16"/>
    </row>
    <row r="1792" spans="1:7" ht="15" x14ac:dyDescent="0.3">
      <c r="A1792">
        <v>48.267347063651897</v>
      </c>
      <c r="B1792">
        <v>-97.470142070667507</v>
      </c>
      <c r="C1792" t="s">
        <v>41</v>
      </c>
      <c r="D1792" t="s">
        <v>693</v>
      </c>
      <c r="F1792" s="21"/>
      <c r="G1792" s="16" t="str">
        <f>HYPERLINK("http://maps.google.com/maps?f=q&amp;hl=en&amp;geocode=&amp;q=48.2673470636519,-97.4701420706675")</f>
        <v>http://maps.google.com/maps?f=q&amp;hl=en&amp;geocode=&amp;q=48.2673470636519,-97.4701420706675</v>
      </c>
    </row>
    <row r="1793" spans="1:7" ht="15" x14ac:dyDescent="0.3">
      <c r="A1793">
        <v>19.019824981689499</v>
      </c>
      <c r="B1793">
        <v>-70.792854309082003</v>
      </c>
      <c r="C1793" t="s">
        <v>43</v>
      </c>
      <c r="D1793" t="s">
        <v>1333</v>
      </c>
      <c r="F1793" s="21"/>
      <c r="G1793" s="16" t="str">
        <f>HYPERLINK("http://maps.google.com/maps?f=q&amp;hl=en&amp;geocode=&amp;q=19.0198249816895,-70.792854309082")</f>
        <v>http://maps.google.com/maps?f=q&amp;hl=en&amp;geocode=&amp;q=19.0198249816895,-70.792854309082</v>
      </c>
    </row>
    <row r="1794" spans="1:7" ht="15" x14ac:dyDescent="0.3">
      <c r="A1794">
        <v>50.424399999999999</v>
      </c>
      <c r="B1794">
        <v>4.4586300000000003</v>
      </c>
      <c r="C1794" t="s">
        <v>41</v>
      </c>
      <c r="D1794" t="s">
        <v>1334</v>
      </c>
      <c r="F1794" s="21"/>
      <c r="G1794" s="16" t="str">
        <f>HYPERLINK("http://maps.google.com/maps?f=q&amp;hl=en&amp;geocode=&amp;q=50.4244,4.45863")</f>
        <v>http://maps.google.com/maps?f=q&amp;hl=en&amp;geocode=&amp;q=50.4244,4.45863</v>
      </c>
    </row>
    <row r="1795" spans="1:7" ht="15" x14ac:dyDescent="0.3">
      <c r="A1795">
        <v>39.95655</v>
      </c>
      <c r="B1795">
        <v>-75.231679999999997</v>
      </c>
      <c r="C1795" t="s">
        <v>43</v>
      </c>
      <c r="D1795" t="s">
        <v>1286</v>
      </c>
      <c r="F1795" s="21"/>
      <c r="G1795" s="16" t="str">
        <f>HYPERLINK("http://maps.google.com/maps?f=q&amp;hl=en&amp;geocode=&amp;q=39.95655,-75.23168")</f>
        <v>http://maps.google.com/maps?f=q&amp;hl=en&amp;geocode=&amp;q=39.95655,-75.23168</v>
      </c>
    </row>
    <row r="1796" spans="1:7" ht="15" x14ac:dyDescent="0.3">
      <c r="A1796">
        <v>29.9780340312583</v>
      </c>
      <c r="B1796">
        <v>-81.8199708589149</v>
      </c>
      <c r="C1796" t="s">
        <v>41</v>
      </c>
      <c r="D1796" t="s">
        <v>1335</v>
      </c>
      <c r="F1796" s="21"/>
      <c r="G1796" s="16" t="str">
        <f>HYPERLINK("http://maps.google.com/maps?f=q&amp;hl=en&amp;geocode=&amp;q=29.9780340312583,-81.8199708589149")</f>
        <v>http://maps.google.com/maps?f=q&amp;hl=en&amp;geocode=&amp;q=29.9780340312583,-81.8199708589149</v>
      </c>
    </row>
    <row r="1797" spans="1:7" ht="15" x14ac:dyDescent="0.3">
      <c r="A1797">
        <v>41.513409140216801</v>
      </c>
      <c r="B1797">
        <v>-78.232849891054798</v>
      </c>
      <c r="C1797" t="s">
        <v>41</v>
      </c>
      <c r="D1797" t="s">
        <v>1336</v>
      </c>
      <c r="F1797" s="21"/>
      <c r="G1797" s="16" t="str">
        <f>HYPERLINK("http://maps.google.com/maps?f=q&amp;hl=en&amp;geocode=&amp;q=41.5134091402168,-78.2328498910548")</f>
        <v>http://maps.google.com/maps?f=q&amp;hl=en&amp;geocode=&amp;q=41.5134091402168,-78.2328498910548</v>
      </c>
    </row>
    <row r="1798" spans="1:7" ht="15" x14ac:dyDescent="0.3">
      <c r="A1798">
        <v>42.997422656800801</v>
      </c>
      <c r="B1798">
        <v>-95.623939346082395</v>
      </c>
      <c r="C1798" t="s">
        <v>41</v>
      </c>
      <c r="D1798" t="s">
        <v>71</v>
      </c>
      <c r="F1798" s="21"/>
      <c r="G1798" s="16" t="str">
        <f>HYPERLINK("http://maps.google.com/maps?f=q&amp;hl=en&amp;geocode=&amp;q=42.9974226568008,-95.6239393460824")</f>
        <v>http://maps.google.com/maps?f=q&amp;hl=en&amp;geocode=&amp;q=42.9974226568008,-95.6239393460824</v>
      </c>
    </row>
    <row r="1799" spans="1:7" ht="15" x14ac:dyDescent="0.3">
      <c r="A1799">
        <v>39.916739999999997</v>
      </c>
      <c r="B1799">
        <v>-75.231570000000005</v>
      </c>
      <c r="C1799" t="s">
        <v>41</v>
      </c>
      <c r="D1799" t="s">
        <v>928</v>
      </c>
      <c r="F1799" s="21"/>
      <c r="G1799" s="16" t="str">
        <f>HYPERLINK("http://maps.google.com/maps?f=q&amp;hl=en&amp;geocode=&amp;q=39.91674,-75.23157")</f>
        <v>http://maps.google.com/maps?f=q&amp;hl=en&amp;geocode=&amp;q=39.91674,-75.23157</v>
      </c>
    </row>
    <row r="1800" spans="1:7" ht="15" x14ac:dyDescent="0.3">
      <c r="A1800">
        <v>39.957689999999999</v>
      </c>
      <c r="B1800">
        <v>-75.245699999999999</v>
      </c>
      <c r="C1800" t="s">
        <v>43</v>
      </c>
      <c r="D1800" t="s">
        <v>1337</v>
      </c>
      <c r="F1800" s="21"/>
      <c r="G1800" s="16" t="str">
        <f>HYPERLINK("http://maps.google.com/maps?f=q&amp;hl=en&amp;geocode=&amp;q=39.95769,-75.2457")</f>
        <v>http://maps.google.com/maps?f=q&amp;hl=en&amp;geocode=&amp;q=39.95769,-75.2457</v>
      </c>
    </row>
    <row r="1801" spans="1:7" ht="15" x14ac:dyDescent="0.3">
      <c r="A1801">
        <v>39.957689999999999</v>
      </c>
      <c r="B1801">
        <v>-75.245699999999999</v>
      </c>
      <c r="C1801" t="s">
        <v>43</v>
      </c>
      <c r="D1801" t="s">
        <v>1337</v>
      </c>
      <c r="F1801" s="21"/>
      <c r="G1801" s="16" t="str">
        <f>HYPERLINK("http://maps.google.com/maps?f=q&amp;hl=en&amp;geocode=&amp;q=39.95769,-75.2457")</f>
        <v>http://maps.google.com/maps?f=q&amp;hl=en&amp;geocode=&amp;q=39.95769,-75.2457</v>
      </c>
    </row>
    <row r="1802" spans="1:7" ht="15" x14ac:dyDescent="0.3">
      <c r="A1802">
        <v>39.015439999999998</v>
      </c>
      <c r="B1802">
        <v>-94.587130000000002</v>
      </c>
      <c r="C1802" t="s">
        <v>43</v>
      </c>
      <c r="D1802" t="s">
        <v>1338</v>
      </c>
      <c r="F1802" s="21"/>
      <c r="G1802" s="16" t="str">
        <f>HYPERLINK("http://maps.google.com/maps?f=q&amp;hl=en&amp;geocode=&amp;q=39.01544,-94.58713")</f>
        <v>http://maps.google.com/maps?f=q&amp;hl=en&amp;geocode=&amp;q=39.01544,-94.58713</v>
      </c>
    </row>
    <row r="1803" spans="1:7" ht="15" x14ac:dyDescent="0.3">
      <c r="A1803">
        <v>52.371040344238303</v>
      </c>
      <c r="B1803">
        <v>-2.7162001132965101</v>
      </c>
      <c r="C1803" t="s">
        <v>43</v>
      </c>
      <c r="D1803" t="s">
        <v>1278</v>
      </c>
      <c r="F1803" s="21"/>
      <c r="G1803" s="16" t="str">
        <f>HYPERLINK("http://maps.google.com/maps?f=q&amp;hl=en&amp;geocode=&amp;q=52.3710403442383,-2.71620011329651")</f>
        <v>http://maps.google.com/maps?f=q&amp;hl=en&amp;geocode=&amp;q=52.3710403442383,-2.71620011329651</v>
      </c>
    </row>
    <row r="1804" spans="1:7" ht="15" x14ac:dyDescent="0.3">
      <c r="A1804">
        <v>29.266027687184099</v>
      </c>
      <c r="B1804">
        <v>-81.046165426360204</v>
      </c>
      <c r="C1804" t="s">
        <v>41</v>
      </c>
      <c r="D1804" t="s">
        <v>1339</v>
      </c>
      <c r="F1804" s="21"/>
      <c r="G1804" s="16" t="str">
        <f>HYPERLINK("http://maps.google.com/maps?f=q&amp;hl=en&amp;geocode=&amp;q=29.2660276871841,-81.0461654263602")</f>
        <v>http://maps.google.com/maps?f=q&amp;hl=en&amp;geocode=&amp;q=29.2660276871841,-81.0461654263602</v>
      </c>
    </row>
    <row r="1805" spans="1:7" ht="15" x14ac:dyDescent="0.3">
      <c r="A1805">
        <v>33.348439783019003</v>
      </c>
      <c r="B1805">
        <v>-98.606133829428501</v>
      </c>
      <c r="C1805" t="s">
        <v>41</v>
      </c>
      <c r="D1805" t="s">
        <v>1340</v>
      </c>
      <c r="F1805" s="21"/>
      <c r="G1805" s="16" t="str">
        <f>HYPERLINK("http://maps.google.com/maps?f=q&amp;hl=en&amp;geocode=&amp;q=33.348439783019,-98.6061338294285")</f>
        <v>http://maps.google.com/maps?f=q&amp;hl=en&amp;geocode=&amp;q=33.348439783019,-98.6061338294285</v>
      </c>
    </row>
    <row r="1806" spans="1:7" ht="15" x14ac:dyDescent="0.3">
      <c r="A1806">
        <v>41.649540000000002</v>
      </c>
      <c r="B1806">
        <v>-83.585999999999999</v>
      </c>
      <c r="C1806" t="s">
        <v>41</v>
      </c>
      <c r="D1806" t="s">
        <v>1083</v>
      </c>
      <c r="F1806" s="21"/>
      <c r="G1806" s="16" t="str">
        <f>HYPERLINK("http://maps.google.com/maps?f=q&amp;hl=en&amp;geocode=&amp;q=41.64954,-83.586")</f>
        <v>http://maps.google.com/maps?f=q&amp;hl=en&amp;geocode=&amp;q=41.64954,-83.586</v>
      </c>
    </row>
    <row r="1807" spans="1:7" ht="15" x14ac:dyDescent="0.3">
      <c r="A1807">
        <v>37.016419999999997</v>
      </c>
      <c r="B1807">
        <v>-97.041730000000001</v>
      </c>
      <c r="C1807" t="s">
        <v>42</v>
      </c>
      <c r="D1807" t="s">
        <v>717</v>
      </c>
      <c r="F1807" s="21"/>
      <c r="G1807" s="16" t="str">
        <f>HYPERLINK("http://maps.google.com/maps?f=q&amp;hl=en&amp;geocode=&amp;q=37.01642,-97.04173")</f>
        <v>http://maps.google.com/maps?f=q&amp;hl=en&amp;geocode=&amp;q=37.01642,-97.04173</v>
      </c>
    </row>
    <row r="1808" spans="1:7" ht="15" x14ac:dyDescent="0.3">
      <c r="A1808">
        <v>43.030147376797203</v>
      </c>
      <c r="B1808">
        <v>-95.624093098731393</v>
      </c>
      <c r="C1808" t="s">
        <v>41</v>
      </c>
      <c r="D1808" t="s">
        <v>1341</v>
      </c>
      <c r="F1808" s="21"/>
      <c r="G1808" s="16" t="str">
        <f>HYPERLINK("http://maps.google.com/maps?f=q&amp;hl=en&amp;geocode=&amp;q=43.0301473767972,-95.6240930987314")</f>
        <v>http://maps.google.com/maps?f=q&amp;hl=en&amp;geocode=&amp;q=43.0301473767972,-95.6240930987314</v>
      </c>
    </row>
    <row r="1809" spans="1:7" ht="15" x14ac:dyDescent="0.3">
      <c r="A1809">
        <v>43.026452978160499</v>
      </c>
      <c r="B1809">
        <v>-95.623947972903807</v>
      </c>
      <c r="C1809" t="s">
        <v>41</v>
      </c>
      <c r="D1809" t="s">
        <v>79</v>
      </c>
      <c r="F1809" s="21"/>
      <c r="G1809" s="16" t="str">
        <f>HYPERLINK("http://maps.google.com/maps?f=q&amp;hl=en&amp;geocode=&amp;q=43.0264529781605,-95.6239479729038")</f>
        <v>http://maps.google.com/maps?f=q&amp;hl=en&amp;geocode=&amp;q=43.0264529781605,-95.6239479729038</v>
      </c>
    </row>
    <row r="1810" spans="1:7" ht="15" x14ac:dyDescent="0.3">
      <c r="A1810">
        <v>31.317085994179699</v>
      </c>
      <c r="B1810">
        <v>-90.467736810399202</v>
      </c>
      <c r="C1810" t="s">
        <v>43</v>
      </c>
      <c r="D1810" t="s">
        <v>1342</v>
      </c>
      <c r="F1810" s="21"/>
      <c r="G1810" s="16" t="str">
        <f>HYPERLINK("http://maps.google.com/maps?f=q&amp;hl=en&amp;geocode=&amp;q=31.3170859941797,-90.4677368103992")</f>
        <v>http://maps.google.com/maps?f=q&amp;hl=en&amp;geocode=&amp;q=31.3170859941797,-90.4677368103992</v>
      </c>
    </row>
    <row r="1811" spans="1:7" ht="15" x14ac:dyDescent="0.3">
      <c r="A1811">
        <v>40.026240000000001</v>
      </c>
      <c r="B1811">
        <v>-75.13646</v>
      </c>
      <c r="C1811" t="s">
        <v>42</v>
      </c>
      <c r="D1811" t="s">
        <v>1343</v>
      </c>
      <c r="F1811" s="21"/>
      <c r="G1811" s="16" t="str">
        <f>HYPERLINK("http://maps.google.com/maps?f=q&amp;hl=en&amp;geocode=&amp;q=40.02624,-75.13646")</f>
        <v>http://maps.google.com/maps?f=q&amp;hl=en&amp;geocode=&amp;q=40.02624,-75.13646</v>
      </c>
    </row>
    <row r="1812" spans="1:7" ht="15" x14ac:dyDescent="0.3">
      <c r="A1812">
        <v>40.103818047251899</v>
      </c>
      <c r="B1812">
        <v>-80.068173552991198</v>
      </c>
      <c r="C1812" t="s">
        <v>43</v>
      </c>
      <c r="D1812" t="s">
        <v>1344</v>
      </c>
      <c r="F1812" s="21"/>
      <c r="G1812" s="16" t="str">
        <f>HYPERLINK("http://maps.google.com/maps?f=q&amp;hl=en&amp;geocode=&amp;q=40.1038180472519,-80.0681735529912")</f>
        <v>http://maps.google.com/maps?f=q&amp;hl=en&amp;geocode=&amp;q=40.1038180472519,-80.0681735529912</v>
      </c>
    </row>
    <row r="1813" spans="1:7" ht="15" x14ac:dyDescent="0.3">
      <c r="A1813">
        <v>40.310450703028501</v>
      </c>
      <c r="B1813">
        <v>-78.322363777872894</v>
      </c>
      <c r="C1813" t="s">
        <v>41</v>
      </c>
      <c r="D1813" t="s">
        <v>524</v>
      </c>
      <c r="F1813" s="21"/>
      <c r="G1813" s="16" t="str">
        <f>HYPERLINK("http://maps.google.com/maps?f=q&amp;hl=en&amp;geocode=&amp;q=40.3104507030285,-78.3223637778729")</f>
        <v>http://maps.google.com/maps?f=q&amp;hl=en&amp;geocode=&amp;q=40.3104507030285,-78.3223637778729</v>
      </c>
    </row>
    <row r="1814" spans="1:7" ht="15" x14ac:dyDescent="0.3">
      <c r="A1814">
        <v>30.293893311247501</v>
      </c>
      <c r="B1814">
        <v>-95.456363795351706</v>
      </c>
      <c r="C1814" t="s">
        <v>41</v>
      </c>
      <c r="D1814" t="s">
        <v>1345</v>
      </c>
      <c r="F1814" s="21"/>
      <c r="G1814" s="16" t="str">
        <f>HYPERLINK("http://maps.google.com/maps?f=q&amp;hl=en&amp;geocode=&amp;q=30.2938933112475,-95.4563637953517")</f>
        <v>http://maps.google.com/maps?f=q&amp;hl=en&amp;geocode=&amp;q=30.2938933112475,-95.4563637953517</v>
      </c>
    </row>
    <row r="1815" spans="1:7" ht="15" x14ac:dyDescent="0.3">
      <c r="A1815">
        <v>32.833759999999998</v>
      </c>
      <c r="B1815">
        <v>-96.767750000000007</v>
      </c>
      <c r="C1815" t="s">
        <v>41</v>
      </c>
      <c r="D1815" t="s">
        <v>568</v>
      </c>
      <c r="F1815" s="21"/>
      <c r="G1815" s="16" t="str">
        <f>HYPERLINK("http://maps.google.com/maps?f=q&amp;hl=en&amp;geocode=&amp;q=32.83376,-96.76775")</f>
        <v>http://maps.google.com/maps?f=q&amp;hl=en&amp;geocode=&amp;q=32.83376,-96.76775</v>
      </c>
    </row>
    <row r="1816" spans="1:7" ht="15" x14ac:dyDescent="0.3">
      <c r="A1816">
        <v>36.337464273838897</v>
      </c>
      <c r="B1816">
        <v>-89.161859063854394</v>
      </c>
      <c r="C1816" t="s">
        <v>41</v>
      </c>
      <c r="D1816" t="s">
        <v>1346</v>
      </c>
      <c r="F1816" s="21"/>
      <c r="G1816" s="16" t="str">
        <f>HYPERLINK("http://maps.google.com/maps?f=q&amp;hl=en&amp;geocode=&amp;q=36.3374642738389,-89.1618590638544")</f>
        <v>http://maps.google.com/maps?f=q&amp;hl=en&amp;geocode=&amp;q=36.3374642738389,-89.1618590638544</v>
      </c>
    </row>
    <row r="1817" spans="1:7" ht="15" x14ac:dyDescent="0.3">
      <c r="A1817">
        <v>40.042913682806997</v>
      </c>
      <c r="B1817">
        <v>-75.099776722602996</v>
      </c>
      <c r="C1817" t="s">
        <v>41</v>
      </c>
      <c r="D1817" t="s">
        <v>1347</v>
      </c>
      <c r="F1817" s="21"/>
      <c r="G1817" s="16" t="str">
        <f>HYPERLINK("http://maps.google.com/maps?f=q&amp;hl=en&amp;geocode=&amp;q=40.042913682807,-75.099776722603")</f>
        <v>http://maps.google.com/maps?f=q&amp;hl=en&amp;geocode=&amp;q=40.042913682807,-75.099776722603</v>
      </c>
    </row>
    <row r="1818" spans="1:7" ht="15" x14ac:dyDescent="0.3">
      <c r="A1818">
        <v>39.953850000000003</v>
      </c>
      <c r="B1818">
        <v>-75.246650000000002</v>
      </c>
      <c r="C1818" t="s">
        <v>41</v>
      </c>
      <c r="D1818" t="s">
        <v>740</v>
      </c>
      <c r="F1818" s="21"/>
      <c r="G1818" s="16" t="str">
        <f>HYPERLINK("http://maps.google.com/maps?f=q&amp;hl=en&amp;geocode=&amp;q=39.95385,-75.24665")</f>
        <v>http://maps.google.com/maps?f=q&amp;hl=en&amp;geocode=&amp;q=39.95385,-75.24665</v>
      </c>
    </row>
    <row r="1819" spans="1:7" ht="15" x14ac:dyDescent="0.3">
      <c r="A1819">
        <v>40.044710000000002</v>
      </c>
      <c r="B1819">
        <v>-75.066879999999998</v>
      </c>
      <c r="C1819" t="s">
        <v>41</v>
      </c>
      <c r="D1819" t="s">
        <v>1246</v>
      </c>
      <c r="F1819" s="21"/>
      <c r="G1819" s="16" t="str">
        <f>HYPERLINK("http://maps.google.com/maps?f=q&amp;hl=en&amp;geocode=&amp;q=40.04471,-75.06688")</f>
        <v>http://maps.google.com/maps?f=q&amp;hl=en&amp;geocode=&amp;q=40.04471,-75.06688</v>
      </c>
    </row>
    <row r="1820" spans="1:7" ht="15" x14ac:dyDescent="0.3">
      <c r="A1820">
        <v>51.508678436279297</v>
      </c>
      <c r="B1820">
        <v>-0.14388999342918399</v>
      </c>
      <c r="C1820" t="s">
        <v>41</v>
      </c>
      <c r="D1820" t="s">
        <v>1348</v>
      </c>
      <c r="F1820" s="21"/>
      <c r="G1820" s="16" t="str">
        <f>HYPERLINK("http://maps.google.com/maps?f=q&amp;hl=en&amp;geocode=&amp;q=51.5086784362793,-0.143889993429184")</f>
        <v>http://maps.google.com/maps?f=q&amp;hl=en&amp;geocode=&amp;q=51.5086784362793,-0.143889993429184</v>
      </c>
    </row>
    <row r="1821" spans="1:7" ht="15" x14ac:dyDescent="0.3">
      <c r="A1821">
        <v>43.221794662153897</v>
      </c>
      <c r="B1821">
        <v>-95.862410029039694</v>
      </c>
      <c r="C1821" t="s">
        <v>41</v>
      </c>
      <c r="D1821" t="s">
        <v>1349</v>
      </c>
      <c r="F1821" s="21"/>
      <c r="G1821" s="16" t="str">
        <f>HYPERLINK("http://maps.google.com/maps?f=q&amp;hl=en&amp;geocode=&amp;q=43.2217946621539,-95.8624100290397")</f>
        <v>http://maps.google.com/maps?f=q&amp;hl=en&amp;geocode=&amp;q=43.2217946621539,-95.8624100290397</v>
      </c>
    </row>
    <row r="1822" spans="1:7" ht="15" x14ac:dyDescent="0.3">
      <c r="A1822" t="s">
        <v>44</v>
      </c>
      <c r="B1822" t="s">
        <v>44</v>
      </c>
      <c r="C1822" t="s">
        <v>44</v>
      </c>
      <c r="D1822" t="s">
        <v>1350</v>
      </c>
      <c r="F1822" s="21"/>
      <c r="G1822" s="16"/>
    </row>
    <row r="1823" spans="1:7" ht="15" x14ac:dyDescent="0.3">
      <c r="A1823">
        <v>32.384909999999998</v>
      </c>
      <c r="B1823">
        <v>-86.193430000000006</v>
      </c>
      <c r="C1823" t="s">
        <v>42</v>
      </c>
      <c r="D1823" t="s">
        <v>1351</v>
      </c>
      <c r="F1823" s="21"/>
      <c r="G1823" s="16" t="str">
        <f>HYPERLINK("http://maps.google.com/maps?f=q&amp;hl=en&amp;geocode=&amp;q=32.38491,-86.19343")</f>
        <v>http://maps.google.com/maps?f=q&amp;hl=en&amp;geocode=&amp;q=32.38491,-86.19343</v>
      </c>
    </row>
    <row r="1824" spans="1:7" ht="15" x14ac:dyDescent="0.3">
      <c r="A1824" t="s">
        <v>44</v>
      </c>
      <c r="B1824" t="s">
        <v>44</v>
      </c>
      <c r="C1824" t="s">
        <v>44</v>
      </c>
      <c r="D1824" t="s">
        <v>1350</v>
      </c>
      <c r="F1824" s="21"/>
      <c r="G1824" s="16"/>
    </row>
    <row r="1825" spans="1:7" ht="15" x14ac:dyDescent="0.3">
      <c r="A1825" t="s">
        <v>44</v>
      </c>
      <c r="B1825" t="s">
        <v>44</v>
      </c>
      <c r="C1825" t="s">
        <v>44</v>
      </c>
      <c r="D1825" t="s">
        <v>1352</v>
      </c>
      <c r="F1825" s="21"/>
      <c r="G1825" s="16"/>
    </row>
    <row r="1826" spans="1:7" ht="15" x14ac:dyDescent="0.3">
      <c r="A1826">
        <v>44.641788482666001</v>
      </c>
      <c r="B1826">
        <v>-89.736740112304702</v>
      </c>
      <c r="C1826" t="s">
        <v>41</v>
      </c>
      <c r="D1826" t="s">
        <v>1353</v>
      </c>
      <c r="F1826" s="21"/>
      <c r="G1826" s="16" t="str">
        <f>HYPERLINK("http://maps.google.com/maps?f=q&amp;hl=en&amp;geocode=&amp;q=44.641788482666,-89.7367401123047")</f>
        <v>http://maps.google.com/maps?f=q&amp;hl=en&amp;geocode=&amp;q=44.641788482666,-89.7367401123047</v>
      </c>
    </row>
    <row r="1827" spans="1:7" ht="15" x14ac:dyDescent="0.3">
      <c r="A1827">
        <v>55.459780000000002</v>
      </c>
      <c r="B1827">
        <v>11.20115</v>
      </c>
      <c r="C1827" t="s">
        <v>41</v>
      </c>
      <c r="D1827" t="s">
        <v>757</v>
      </c>
      <c r="F1827" s="21"/>
      <c r="G1827" s="16" t="str">
        <f>HYPERLINK("http://maps.google.com/maps?f=q&amp;hl=en&amp;geocode=&amp;q=55.45978,11.20115")</f>
        <v>http://maps.google.com/maps?f=q&amp;hl=en&amp;geocode=&amp;q=55.45978,11.20115</v>
      </c>
    </row>
    <row r="1828" spans="1:7" ht="15" x14ac:dyDescent="0.3">
      <c r="A1828" t="s">
        <v>44</v>
      </c>
      <c r="B1828" t="s">
        <v>44</v>
      </c>
      <c r="C1828" t="s">
        <v>44</v>
      </c>
      <c r="D1828" t="s">
        <v>1354</v>
      </c>
      <c r="F1828" s="21"/>
      <c r="G1828" s="16"/>
    </row>
    <row r="1829" spans="1:7" ht="15" x14ac:dyDescent="0.3">
      <c r="A1829" t="s">
        <v>44</v>
      </c>
      <c r="B1829" t="s">
        <v>44</v>
      </c>
      <c r="C1829" t="s">
        <v>44</v>
      </c>
      <c r="D1829" t="s">
        <v>1354</v>
      </c>
      <c r="F1829" s="21"/>
      <c r="G1829" s="16"/>
    </row>
    <row r="1830" spans="1:7" ht="15" x14ac:dyDescent="0.3">
      <c r="A1830">
        <v>49.515388488769503</v>
      </c>
      <c r="B1830">
        <v>6.1144890785217303</v>
      </c>
      <c r="C1830" t="s">
        <v>41</v>
      </c>
      <c r="D1830" t="s">
        <v>1355</v>
      </c>
      <c r="F1830" s="21"/>
      <c r="G1830" s="16" t="str">
        <f>HYPERLINK("http://maps.google.com/maps?f=q&amp;hl=en&amp;geocode=&amp;q=49.5153884887695,6.11448907852173")</f>
        <v>http://maps.google.com/maps?f=q&amp;hl=en&amp;geocode=&amp;q=49.5153884887695,6.11448907852173</v>
      </c>
    </row>
    <row r="1831" spans="1:7" ht="15" x14ac:dyDescent="0.3">
      <c r="A1831">
        <v>49.521774291992202</v>
      </c>
      <c r="B1831">
        <v>6.11081886291504</v>
      </c>
      <c r="C1831" t="s">
        <v>41</v>
      </c>
      <c r="D1831" t="s">
        <v>1356</v>
      </c>
      <c r="F1831" s="21"/>
      <c r="G1831" s="16" t="str">
        <f>HYPERLINK("http://maps.google.com/maps?f=q&amp;hl=en&amp;geocode=&amp;q=49.5217742919922,6.11081886291504")</f>
        <v>http://maps.google.com/maps?f=q&amp;hl=en&amp;geocode=&amp;q=49.5217742919922,6.11081886291504</v>
      </c>
    </row>
    <row r="1832" spans="1:7" ht="15" x14ac:dyDescent="0.3">
      <c r="A1832">
        <v>32.859409999999997</v>
      </c>
      <c r="B1832">
        <v>-117.19738</v>
      </c>
      <c r="C1832" t="s">
        <v>42</v>
      </c>
      <c r="D1832" t="s">
        <v>1357</v>
      </c>
      <c r="F1832" s="21"/>
      <c r="G1832" s="16" t="str">
        <f>HYPERLINK("http://maps.google.com/maps?f=q&amp;hl=en&amp;geocode=&amp;q=32.85941,-117.19738")</f>
        <v>http://maps.google.com/maps?f=q&amp;hl=en&amp;geocode=&amp;q=32.85941,-117.19738</v>
      </c>
    </row>
    <row r="1833" spans="1:7" ht="15" x14ac:dyDescent="0.3">
      <c r="A1833">
        <v>40.309269608683202</v>
      </c>
      <c r="B1833">
        <v>-78.318082809230006</v>
      </c>
      <c r="C1833" t="s">
        <v>41</v>
      </c>
      <c r="D1833" t="s">
        <v>784</v>
      </c>
      <c r="F1833" s="21"/>
      <c r="G1833" s="16" t="str">
        <f>HYPERLINK("http://maps.google.com/maps?f=q&amp;hl=en&amp;geocode=&amp;q=40.3092696086832,-78.31808280923")</f>
        <v>http://maps.google.com/maps?f=q&amp;hl=en&amp;geocode=&amp;q=40.3092696086832,-78.31808280923</v>
      </c>
    </row>
    <row r="1834" spans="1:7" ht="15" x14ac:dyDescent="0.3">
      <c r="A1834">
        <v>38.947154998779297</v>
      </c>
      <c r="B1834">
        <v>-8.9184045791625994</v>
      </c>
      <c r="C1834" t="s">
        <v>41</v>
      </c>
      <c r="D1834" t="s">
        <v>446</v>
      </c>
      <c r="F1834" s="21"/>
      <c r="G1834" s="16" t="str">
        <f>HYPERLINK("http://maps.google.com/maps?f=q&amp;hl=en&amp;geocode=&amp;q=38.9471549987793,-8.9184045791626")</f>
        <v>http://maps.google.com/maps?f=q&amp;hl=en&amp;geocode=&amp;q=38.9471549987793,-8.9184045791626</v>
      </c>
    </row>
    <row r="1835" spans="1:7" ht="15" x14ac:dyDescent="0.3">
      <c r="A1835">
        <v>44.2924218194307</v>
      </c>
      <c r="B1835">
        <v>-83.4812649017056</v>
      </c>
      <c r="C1835" t="s">
        <v>41</v>
      </c>
      <c r="D1835" t="s">
        <v>1358</v>
      </c>
      <c r="F1835" s="21"/>
      <c r="G1835" s="16" t="str">
        <f>HYPERLINK("http://maps.google.com/maps?f=q&amp;hl=en&amp;geocode=&amp;q=44.2924218194307,-83.4812649017056")</f>
        <v>http://maps.google.com/maps?f=q&amp;hl=en&amp;geocode=&amp;q=44.2924218194307,-83.4812649017056</v>
      </c>
    </row>
    <row r="1836" spans="1:7" ht="15" x14ac:dyDescent="0.3">
      <c r="A1836">
        <v>41.808364328351097</v>
      </c>
      <c r="B1836">
        <v>-74.7420691467794</v>
      </c>
      <c r="C1836" t="s">
        <v>41</v>
      </c>
      <c r="D1836" t="s">
        <v>1359</v>
      </c>
      <c r="F1836" s="21"/>
      <c r="G1836" s="16" t="str">
        <f>HYPERLINK("http://maps.google.com/maps?f=q&amp;hl=en&amp;geocode=&amp;q=41.8083643283511,-74.7420691467794")</f>
        <v>http://maps.google.com/maps?f=q&amp;hl=en&amp;geocode=&amp;q=41.8083643283511,-74.7420691467794</v>
      </c>
    </row>
    <row r="1837" spans="1:7" ht="15" x14ac:dyDescent="0.3">
      <c r="A1837">
        <v>42.736513714122502</v>
      </c>
      <c r="B1837">
        <v>-75.218642867432607</v>
      </c>
      <c r="C1837" t="s">
        <v>41</v>
      </c>
      <c r="D1837" t="s">
        <v>1360</v>
      </c>
      <c r="F1837" s="21"/>
      <c r="G1837" s="16" t="str">
        <f>HYPERLINK("http://maps.google.com/maps?f=q&amp;hl=en&amp;geocode=&amp;q=42.7365137141225,-75.2186428674326")</f>
        <v>http://maps.google.com/maps?f=q&amp;hl=en&amp;geocode=&amp;q=42.7365137141225,-75.2186428674326</v>
      </c>
    </row>
    <row r="1838" spans="1:7" ht="15" x14ac:dyDescent="0.3">
      <c r="A1838">
        <v>-32.476999900000003</v>
      </c>
      <c r="B1838">
        <v>115.78574</v>
      </c>
      <c r="C1838" t="s">
        <v>41</v>
      </c>
      <c r="D1838" t="s">
        <v>306</v>
      </c>
      <c r="F1838" s="21"/>
      <c r="G1838" s="16" t="str">
        <f>HYPERLINK("http://maps.google.com/maps?f=q&amp;hl=en&amp;geocode=&amp;q=-32.4769999,115.78574")</f>
        <v>http://maps.google.com/maps?f=q&amp;hl=en&amp;geocode=&amp;q=-32.4769999,115.78574</v>
      </c>
    </row>
    <row r="1839" spans="1:7" ht="15" x14ac:dyDescent="0.3">
      <c r="A1839">
        <v>-37.747</v>
      </c>
      <c r="B1839">
        <v>142.02574000000001</v>
      </c>
      <c r="C1839" t="s">
        <v>41</v>
      </c>
      <c r="D1839" t="s">
        <v>1119</v>
      </c>
      <c r="F1839" s="21"/>
      <c r="G1839" s="16" t="str">
        <f>HYPERLINK("http://maps.google.com/maps?f=q&amp;hl=en&amp;geocode=&amp;q=-37.747,142.02574")</f>
        <v>http://maps.google.com/maps?f=q&amp;hl=en&amp;geocode=&amp;q=-37.747,142.02574</v>
      </c>
    </row>
    <row r="1840" spans="1:7" ht="15" x14ac:dyDescent="0.3">
      <c r="A1840">
        <v>48.399572582243302</v>
      </c>
      <c r="B1840">
        <v>-99.195855137731698</v>
      </c>
      <c r="C1840" t="s">
        <v>41</v>
      </c>
      <c r="D1840" t="s">
        <v>1361</v>
      </c>
      <c r="F1840" s="21"/>
      <c r="G1840" s="16" t="str">
        <f>HYPERLINK("http://maps.google.com/maps?f=q&amp;hl=en&amp;geocode=&amp;q=48.3995725822433,-99.1958551377317")</f>
        <v>http://maps.google.com/maps?f=q&amp;hl=en&amp;geocode=&amp;q=48.3995725822433,-99.1958551377317</v>
      </c>
    </row>
    <row r="1841" spans="1:7" ht="15" x14ac:dyDescent="0.3">
      <c r="A1841">
        <v>36.039760000000001</v>
      </c>
      <c r="B1841">
        <v>-83.827209999999994</v>
      </c>
      <c r="C1841" t="s">
        <v>41</v>
      </c>
      <c r="D1841" t="s">
        <v>1362</v>
      </c>
      <c r="F1841" s="21"/>
      <c r="G1841" s="16" t="str">
        <f>HYPERLINK("http://maps.google.com/maps?f=q&amp;hl=en&amp;geocode=&amp;q=36.03976,-83.82721")</f>
        <v>http://maps.google.com/maps?f=q&amp;hl=en&amp;geocode=&amp;q=36.03976,-83.82721</v>
      </c>
    </row>
    <row r="1842" spans="1:7" ht="15" x14ac:dyDescent="0.3">
      <c r="A1842">
        <v>40.393252853590802</v>
      </c>
      <c r="B1842">
        <v>-91.586079040398403</v>
      </c>
      <c r="C1842" t="s">
        <v>41</v>
      </c>
      <c r="D1842" t="s">
        <v>567</v>
      </c>
      <c r="F1842" s="21"/>
      <c r="G1842" s="16" t="str">
        <f>HYPERLINK("http://maps.google.com/maps?f=q&amp;hl=en&amp;geocode=&amp;q=40.3932528535908,-91.5860790403984")</f>
        <v>http://maps.google.com/maps?f=q&amp;hl=en&amp;geocode=&amp;q=40.3932528535908,-91.5860790403984</v>
      </c>
    </row>
    <row r="1843" spans="1:7" ht="15" x14ac:dyDescent="0.3">
      <c r="A1843">
        <v>40.054490000000001</v>
      </c>
      <c r="B1843">
        <v>-87.632000000000005</v>
      </c>
      <c r="C1843" t="s">
        <v>42</v>
      </c>
      <c r="D1843" t="s">
        <v>1363</v>
      </c>
      <c r="F1843" s="21"/>
      <c r="G1843" s="16" t="str">
        <f>HYPERLINK("http://maps.google.com/maps?f=q&amp;hl=en&amp;geocode=&amp;q=40.05449,-87.632")</f>
        <v>http://maps.google.com/maps?f=q&amp;hl=en&amp;geocode=&amp;q=40.05449,-87.632</v>
      </c>
    </row>
    <row r="1844" spans="1:7" ht="15" x14ac:dyDescent="0.3">
      <c r="A1844" t="s">
        <v>44</v>
      </c>
      <c r="B1844" t="s">
        <v>44</v>
      </c>
      <c r="C1844" t="s">
        <v>44</v>
      </c>
      <c r="D1844" t="s">
        <v>1364</v>
      </c>
      <c r="F1844" s="21"/>
      <c r="G1844" s="16"/>
    </row>
    <row r="1845" spans="1:7" ht="15" x14ac:dyDescent="0.3">
      <c r="A1845">
        <v>40.933140795233903</v>
      </c>
      <c r="B1845">
        <v>-90.403989948185796</v>
      </c>
      <c r="C1845" t="s">
        <v>41</v>
      </c>
      <c r="D1845" t="s">
        <v>1365</v>
      </c>
      <c r="F1845" s="21"/>
      <c r="G1845" s="16" t="str">
        <f>HYPERLINK("http://maps.google.com/maps?f=q&amp;hl=en&amp;geocode=&amp;q=40.9331407952339,-90.4039899481858")</f>
        <v>http://maps.google.com/maps?f=q&amp;hl=en&amp;geocode=&amp;q=40.9331407952339,-90.4039899481858</v>
      </c>
    </row>
    <row r="1846" spans="1:7" ht="15" x14ac:dyDescent="0.3">
      <c r="A1846">
        <v>39.927389269643797</v>
      </c>
      <c r="B1846">
        <v>-75.177396257644702</v>
      </c>
      <c r="C1846" t="s">
        <v>41</v>
      </c>
      <c r="D1846" t="s">
        <v>1366</v>
      </c>
      <c r="F1846" s="21"/>
      <c r="G1846" s="16" t="str">
        <f>HYPERLINK("http://maps.google.com/maps?f=q&amp;hl=en&amp;geocode=&amp;q=39.9273892696438,-75.1773962576447")</f>
        <v>http://maps.google.com/maps?f=q&amp;hl=en&amp;geocode=&amp;q=39.9273892696438,-75.1773962576447</v>
      </c>
    </row>
    <row r="1847" spans="1:7" ht="15" x14ac:dyDescent="0.3">
      <c r="A1847">
        <v>39.955840000000002</v>
      </c>
      <c r="B1847">
        <v>-75.241249999999994</v>
      </c>
      <c r="C1847" t="s">
        <v>43</v>
      </c>
      <c r="D1847" t="s">
        <v>1367</v>
      </c>
      <c r="F1847" s="21"/>
      <c r="G1847" s="16" t="str">
        <f>HYPERLINK("http://maps.google.com/maps?f=q&amp;hl=en&amp;geocode=&amp;q=39.95584,-75.24125")</f>
        <v>http://maps.google.com/maps?f=q&amp;hl=en&amp;geocode=&amp;q=39.95584,-75.24125</v>
      </c>
    </row>
    <row r="1848" spans="1:7" ht="15" x14ac:dyDescent="0.3">
      <c r="A1848">
        <v>29.140590667724599</v>
      </c>
      <c r="B1848">
        <v>-8.9533882141113299</v>
      </c>
      <c r="C1848" t="s">
        <v>41</v>
      </c>
      <c r="D1848" t="s">
        <v>353</v>
      </c>
      <c r="F1848" s="21"/>
      <c r="G1848" s="16" t="str">
        <f>HYPERLINK("http://maps.google.com/maps?f=q&amp;hl=en&amp;geocode=&amp;q=29.1405906677246,-8.95338821411133")</f>
        <v>http://maps.google.com/maps?f=q&amp;hl=en&amp;geocode=&amp;q=29.1405906677246,-8.95338821411133</v>
      </c>
    </row>
    <row r="1849" spans="1:7" ht="15" x14ac:dyDescent="0.3">
      <c r="A1849">
        <v>39.996949999999998</v>
      </c>
      <c r="B1849">
        <v>-75.119749999999996</v>
      </c>
      <c r="C1849" t="s">
        <v>41</v>
      </c>
      <c r="D1849" t="s">
        <v>1368</v>
      </c>
      <c r="F1849" s="21"/>
      <c r="G1849" s="16" t="str">
        <f>HYPERLINK("http://maps.google.com/maps?f=q&amp;hl=en&amp;geocode=&amp;q=39.99695,-75.11975")</f>
        <v>http://maps.google.com/maps?f=q&amp;hl=en&amp;geocode=&amp;q=39.99695,-75.11975</v>
      </c>
    </row>
    <row r="1850" spans="1:7" ht="15" x14ac:dyDescent="0.3">
      <c r="A1850">
        <v>39.955950000000001</v>
      </c>
      <c r="B1850">
        <v>-75.231790000000004</v>
      </c>
      <c r="C1850" t="s">
        <v>43</v>
      </c>
      <c r="D1850" t="s">
        <v>1369</v>
      </c>
      <c r="F1850" s="21"/>
      <c r="G1850" s="16" t="str">
        <f>HYPERLINK("http://maps.google.com/maps?f=q&amp;hl=en&amp;geocode=&amp;q=39.95595,-75.23179")</f>
        <v>http://maps.google.com/maps?f=q&amp;hl=en&amp;geocode=&amp;q=39.95595,-75.23179</v>
      </c>
    </row>
    <row r="1851" spans="1:7" ht="15" x14ac:dyDescent="0.3">
      <c r="F1851" s="21"/>
      <c r="G1851" s="16"/>
    </row>
    <row r="1852" spans="1:7" ht="15" x14ac:dyDescent="0.3">
      <c r="A1852">
        <v>42.773414148992501</v>
      </c>
      <c r="B1852">
        <v>-75.809365406795393</v>
      </c>
      <c r="C1852" t="s">
        <v>41</v>
      </c>
      <c r="D1852" t="s">
        <v>1370</v>
      </c>
      <c r="F1852" s="21"/>
      <c r="G1852" s="16" t="str">
        <f>HYPERLINK("http://maps.google.com/maps?f=q&amp;hl=en&amp;geocode=&amp;q=42.7734141489925,-75.8093654067954")</f>
        <v>http://maps.google.com/maps?f=q&amp;hl=en&amp;geocode=&amp;q=42.7734141489925,-75.8093654067954</v>
      </c>
    </row>
    <row r="1853" spans="1:7" ht="15" x14ac:dyDescent="0.3">
      <c r="A1853">
        <v>39.408640426969697</v>
      </c>
      <c r="B1853">
        <v>-84.564936027412003</v>
      </c>
      <c r="C1853" t="s">
        <v>43</v>
      </c>
      <c r="D1853" t="s">
        <v>1371</v>
      </c>
      <c r="F1853" s="21"/>
      <c r="G1853" s="16" t="str">
        <f>HYPERLINK("http://maps.google.com/maps?f=q&amp;hl=en&amp;geocode=&amp;q=39.4086404269697,-84.564936027412")</f>
        <v>http://maps.google.com/maps?f=q&amp;hl=en&amp;geocode=&amp;q=39.4086404269697,-84.564936027412</v>
      </c>
    </row>
    <row r="1854" spans="1:7" ht="15" x14ac:dyDescent="0.3">
      <c r="A1854">
        <v>40.310877630831698</v>
      </c>
      <c r="B1854">
        <v>-78.323730967948194</v>
      </c>
      <c r="C1854" t="s">
        <v>41</v>
      </c>
      <c r="D1854" t="s">
        <v>340</v>
      </c>
      <c r="F1854" s="21"/>
      <c r="G1854" s="16" t="str">
        <f>HYPERLINK("http://maps.google.com/maps?f=q&amp;hl=en&amp;geocode=&amp;q=40.3108776308317,-78.3237309679482")</f>
        <v>http://maps.google.com/maps?f=q&amp;hl=en&amp;geocode=&amp;q=40.3108776308317,-78.3237309679482</v>
      </c>
    </row>
    <row r="1855" spans="1:7" ht="15" x14ac:dyDescent="0.3">
      <c r="A1855">
        <v>42.736513714122502</v>
      </c>
      <c r="B1855">
        <v>-75.218642867432607</v>
      </c>
      <c r="C1855" t="s">
        <v>41</v>
      </c>
      <c r="D1855" t="s">
        <v>1360</v>
      </c>
      <c r="F1855" s="21"/>
      <c r="G1855" s="16" t="str">
        <f>HYPERLINK("http://maps.google.com/maps?f=q&amp;hl=en&amp;geocode=&amp;q=42.7365137141225,-75.2186428674326")</f>
        <v>http://maps.google.com/maps?f=q&amp;hl=en&amp;geocode=&amp;q=42.7365137141225,-75.2186428674326</v>
      </c>
    </row>
    <row r="1856" spans="1:7" ht="15" x14ac:dyDescent="0.3">
      <c r="A1856">
        <v>38.725276947021499</v>
      </c>
      <c r="B1856">
        <v>-77.047775268554702</v>
      </c>
      <c r="C1856" t="s">
        <v>41</v>
      </c>
      <c r="D1856" t="s">
        <v>334</v>
      </c>
      <c r="F1856" s="21"/>
      <c r="G1856" s="16" t="str">
        <f>HYPERLINK("http://maps.google.com/maps?f=q&amp;hl=en&amp;geocode=&amp;q=38.7252769470215,-77.0477752685547")</f>
        <v>http://maps.google.com/maps?f=q&amp;hl=en&amp;geocode=&amp;q=38.7252769470215,-77.0477752685547</v>
      </c>
    </row>
    <row r="1857" spans="1:7" ht="15" x14ac:dyDescent="0.3">
      <c r="A1857">
        <v>-28.342119216918899</v>
      </c>
      <c r="B1857">
        <v>152.00799560546901</v>
      </c>
      <c r="C1857" t="s">
        <v>43</v>
      </c>
      <c r="D1857" t="s">
        <v>1372</v>
      </c>
      <c r="F1857" s="21"/>
      <c r="G1857" s="16" t="str">
        <f>HYPERLINK("http://maps.google.com/maps?f=q&amp;hl=en&amp;geocode=&amp;q=-28.3421192169189,152.007995605469")</f>
        <v>http://maps.google.com/maps?f=q&amp;hl=en&amp;geocode=&amp;q=-28.3421192169189,152.007995605469</v>
      </c>
    </row>
    <row r="1858" spans="1:7" ht="15" x14ac:dyDescent="0.3">
      <c r="A1858" t="s">
        <v>44</v>
      </c>
      <c r="B1858" t="s">
        <v>44</v>
      </c>
      <c r="C1858" t="s">
        <v>44</v>
      </c>
      <c r="D1858" t="s">
        <v>1373</v>
      </c>
      <c r="F1858" s="21"/>
      <c r="G1858" s="16"/>
    </row>
    <row r="1859" spans="1:7" ht="15" x14ac:dyDescent="0.3">
      <c r="A1859">
        <v>41.740640112089999</v>
      </c>
      <c r="B1859">
        <v>-111.81466358090999</v>
      </c>
      <c r="C1859" t="s">
        <v>41</v>
      </c>
      <c r="D1859" t="s">
        <v>1285</v>
      </c>
      <c r="F1859" s="21"/>
      <c r="G1859" s="16" t="str">
        <f>HYPERLINK("http://maps.google.com/maps?f=q&amp;hl=en&amp;geocode=&amp;q=41.74064011209,-111.81466358091")</f>
        <v>http://maps.google.com/maps?f=q&amp;hl=en&amp;geocode=&amp;q=41.74064011209,-111.81466358091</v>
      </c>
    </row>
    <row r="1860" spans="1:7" ht="15" x14ac:dyDescent="0.3">
      <c r="A1860">
        <v>39.950969999999998</v>
      </c>
      <c r="B1860">
        <v>-75.222560000000001</v>
      </c>
      <c r="C1860" t="s">
        <v>41</v>
      </c>
      <c r="D1860" t="s">
        <v>665</v>
      </c>
      <c r="F1860" s="21"/>
      <c r="G1860" s="16" t="str">
        <f>HYPERLINK("http://maps.google.com/maps?f=q&amp;hl=en&amp;geocode=&amp;q=39.95097,-75.22256")</f>
        <v>http://maps.google.com/maps?f=q&amp;hl=en&amp;geocode=&amp;q=39.95097,-75.22256</v>
      </c>
    </row>
    <row r="1861" spans="1:7" ht="15" x14ac:dyDescent="0.3">
      <c r="A1861">
        <v>46.948429107666001</v>
      </c>
      <c r="B1861">
        <v>7.4404602050781303</v>
      </c>
      <c r="C1861" t="s">
        <v>43</v>
      </c>
      <c r="D1861" t="s">
        <v>1374</v>
      </c>
      <c r="F1861" s="21"/>
      <c r="G1861" s="16" t="str">
        <f>HYPERLINK("http://maps.google.com/maps?f=q&amp;hl=en&amp;geocode=&amp;q=46.948429107666,7.44046020507813")</f>
        <v>http://maps.google.com/maps?f=q&amp;hl=en&amp;geocode=&amp;q=46.948429107666,7.44046020507813</v>
      </c>
    </row>
    <row r="1862" spans="1:7" ht="15" x14ac:dyDescent="0.3">
      <c r="A1862">
        <v>38.031969406850102</v>
      </c>
      <c r="B1862">
        <v>-87.495693725228705</v>
      </c>
      <c r="C1862" t="s">
        <v>41</v>
      </c>
      <c r="D1862" t="s">
        <v>1375</v>
      </c>
      <c r="F1862" s="21"/>
      <c r="G1862" s="16" t="str">
        <f>HYPERLINK("http://maps.google.com/maps?f=q&amp;hl=en&amp;geocode=&amp;q=38.0319694068501,-87.4956937252287")</f>
        <v>http://maps.google.com/maps?f=q&amp;hl=en&amp;geocode=&amp;q=38.0319694068501,-87.4956937252287</v>
      </c>
    </row>
    <row r="1863" spans="1:7" ht="15" x14ac:dyDescent="0.3">
      <c r="A1863">
        <v>43.013414375470397</v>
      </c>
      <c r="B1863">
        <v>-89.485916319857495</v>
      </c>
      <c r="C1863" t="s">
        <v>43</v>
      </c>
      <c r="D1863" t="s">
        <v>1376</v>
      </c>
      <c r="F1863" s="21"/>
      <c r="G1863" s="16" t="str">
        <f>HYPERLINK("http://maps.google.com/maps?f=q&amp;hl=en&amp;geocode=&amp;q=43.0134143754704,-89.4859163198575")</f>
        <v>http://maps.google.com/maps?f=q&amp;hl=en&amp;geocode=&amp;q=43.0134143754704,-89.4859163198575</v>
      </c>
    </row>
    <row r="1864" spans="1:7" ht="15" x14ac:dyDescent="0.3">
      <c r="A1864">
        <v>29.94772</v>
      </c>
      <c r="B1864">
        <v>-93.937799999999996</v>
      </c>
      <c r="C1864" t="s">
        <v>41</v>
      </c>
      <c r="D1864" t="s">
        <v>772</v>
      </c>
      <c r="F1864" s="21"/>
      <c r="G1864" s="16" t="str">
        <f>HYPERLINK("http://maps.google.com/maps?f=q&amp;hl=en&amp;geocode=&amp;q=29.94772,-93.9378")</f>
        <v>http://maps.google.com/maps?f=q&amp;hl=en&amp;geocode=&amp;q=29.94772,-93.9378</v>
      </c>
    </row>
    <row r="1865" spans="1:7" ht="15" x14ac:dyDescent="0.3">
      <c r="A1865">
        <v>40.035719999999998</v>
      </c>
      <c r="B1865">
        <v>-75.070629999999994</v>
      </c>
      <c r="C1865" t="s">
        <v>41</v>
      </c>
      <c r="D1865" t="s">
        <v>760</v>
      </c>
      <c r="F1865" s="21"/>
      <c r="G1865" s="16" t="str">
        <f>HYPERLINK("http://maps.google.com/maps?f=q&amp;hl=en&amp;geocode=&amp;q=40.03572,-75.07063")</f>
        <v>http://maps.google.com/maps?f=q&amp;hl=en&amp;geocode=&amp;q=40.03572,-75.07063</v>
      </c>
    </row>
    <row r="1866" spans="1:7" ht="15" x14ac:dyDescent="0.3">
      <c r="A1866">
        <v>33.845049316670597</v>
      </c>
      <c r="B1866">
        <v>-94.756748741946694</v>
      </c>
      <c r="C1866" t="s">
        <v>42</v>
      </c>
      <c r="D1866" t="s">
        <v>1377</v>
      </c>
      <c r="F1866" s="21"/>
      <c r="G1866" s="16" t="str">
        <f>HYPERLINK("http://maps.google.com/maps?f=q&amp;hl=en&amp;geocode=&amp;q=33.8450493166706,-94.7567487419467")</f>
        <v>http://maps.google.com/maps?f=q&amp;hl=en&amp;geocode=&amp;q=33.8450493166706,-94.7567487419467</v>
      </c>
    </row>
    <row r="1867" spans="1:7" ht="15" x14ac:dyDescent="0.3">
      <c r="A1867">
        <v>40.035719999999998</v>
      </c>
      <c r="B1867">
        <v>-75.070629999999994</v>
      </c>
      <c r="C1867" t="s">
        <v>41</v>
      </c>
      <c r="D1867" t="s">
        <v>760</v>
      </c>
      <c r="F1867" s="21"/>
      <c r="G1867" s="16" t="str">
        <f>HYPERLINK("http://maps.google.com/maps?f=q&amp;hl=en&amp;geocode=&amp;q=40.03572,-75.07063")</f>
        <v>http://maps.google.com/maps?f=q&amp;hl=en&amp;geocode=&amp;q=40.03572,-75.07063</v>
      </c>
    </row>
    <row r="1868" spans="1:7" ht="15" x14ac:dyDescent="0.3">
      <c r="A1868">
        <v>55.637459999999997</v>
      </c>
      <c r="B1868">
        <v>12.06845</v>
      </c>
      <c r="C1868" t="s">
        <v>41</v>
      </c>
      <c r="D1868" t="s">
        <v>1378</v>
      </c>
      <c r="F1868" s="21"/>
      <c r="G1868" s="16" t="str">
        <f>HYPERLINK("http://maps.google.com/maps?f=q&amp;hl=en&amp;geocode=&amp;q=55.63746,12.06845")</f>
        <v>http://maps.google.com/maps?f=q&amp;hl=en&amp;geocode=&amp;q=55.63746,12.06845</v>
      </c>
    </row>
    <row r="1869" spans="1:7" ht="15" x14ac:dyDescent="0.3">
      <c r="A1869">
        <v>55.637459999999997</v>
      </c>
      <c r="B1869">
        <v>12.06845</v>
      </c>
      <c r="C1869" t="s">
        <v>41</v>
      </c>
      <c r="D1869" t="s">
        <v>1378</v>
      </c>
      <c r="F1869" s="21"/>
      <c r="G1869" s="16" t="str">
        <f>HYPERLINK("http://maps.google.com/maps?f=q&amp;hl=en&amp;geocode=&amp;q=55.63746,12.06845")</f>
        <v>http://maps.google.com/maps?f=q&amp;hl=en&amp;geocode=&amp;q=55.63746,12.06845</v>
      </c>
    </row>
    <row r="1870" spans="1:7" ht="15" x14ac:dyDescent="0.3">
      <c r="A1870">
        <v>55.637459999999997</v>
      </c>
      <c r="B1870">
        <v>12.06845</v>
      </c>
      <c r="C1870" t="s">
        <v>41</v>
      </c>
      <c r="D1870" t="s">
        <v>1378</v>
      </c>
      <c r="F1870" s="21"/>
      <c r="G1870" s="16" t="str">
        <f>HYPERLINK("http://maps.google.com/maps?f=q&amp;hl=en&amp;geocode=&amp;q=55.63746,12.06845")</f>
        <v>http://maps.google.com/maps?f=q&amp;hl=en&amp;geocode=&amp;q=55.63746,12.06845</v>
      </c>
    </row>
    <row r="1871" spans="1:7" ht="15" x14ac:dyDescent="0.3">
      <c r="A1871">
        <v>33.595798061973802</v>
      </c>
      <c r="B1871">
        <v>-80.348062178185401</v>
      </c>
      <c r="C1871" t="s">
        <v>41</v>
      </c>
      <c r="D1871" t="s">
        <v>1379</v>
      </c>
      <c r="F1871" s="21"/>
      <c r="G1871" s="16" t="str">
        <f>HYPERLINK("http://maps.google.com/maps?f=q&amp;hl=en&amp;geocode=&amp;q=33.5957980619738,-80.3480621781854")</f>
        <v>http://maps.google.com/maps?f=q&amp;hl=en&amp;geocode=&amp;q=33.5957980619738,-80.3480621781854</v>
      </c>
    </row>
    <row r="1872" spans="1:7" ht="15" x14ac:dyDescent="0.3">
      <c r="A1872">
        <v>45.634151458740199</v>
      </c>
      <c r="B1872">
        <v>-84.782386779785199</v>
      </c>
      <c r="C1872" t="s">
        <v>43</v>
      </c>
      <c r="D1872" t="s">
        <v>1380</v>
      </c>
      <c r="F1872" s="21"/>
      <c r="G1872" s="16" t="str">
        <f>HYPERLINK("http://maps.google.com/maps?f=q&amp;hl=en&amp;geocode=&amp;q=45.6341514587402,-84.7823867797852")</f>
        <v>http://maps.google.com/maps?f=q&amp;hl=en&amp;geocode=&amp;q=45.6341514587402,-84.7823867797852</v>
      </c>
    </row>
    <row r="1873" spans="1:7" ht="15" x14ac:dyDescent="0.3">
      <c r="A1873">
        <v>49.603744506835902</v>
      </c>
      <c r="B1873">
        <v>6.1197071075439498</v>
      </c>
      <c r="C1873" t="s">
        <v>43</v>
      </c>
      <c r="D1873" t="s">
        <v>1381</v>
      </c>
      <c r="F1873" s="21"/>
      <c r="G1873" s="16" t="str">
        <f>HYPERLINK("http://maps.google.com/maps?f=q&amp;hl=en&amp;geocode=&amp;q=49.6037445068359,6.11970710754395")</f>
        <v>http://maps.google.com/maps?f=q&amp;hl=en&amp;geocode=&amp;q=49.6037445068359,6.11970710754395</v>
      </c>
    </row>
    <row r="1874" spans="1:7" ht="15" x14ac:dyDescent="0.3">
      <c r="A1874">
        <v>39.921779999999998</v>
      </c>
      <c r="B1874">
        <v>-75.231719999999996</v>
      </c>
      <c r="C1874" t="s">
        <v>41</v>
      </c>
      <c r="D1874" t="s">
        <v>1382</v>
      </c>
      <c r="F1874" s="21"/>
      <c r="G1874" s="16" t="str">
        <f>HYPERLINK("http://maps.google.com/maps?f=q&amp;hl=en&amp;geocode=&amp;q=39.92178,-75.23172")</f>
        <v>http://maps.google.com/maps?f=q&amp;hl=en&amp;geocode=&amp;q=39.92178,-75.23172</v>
      </c>
    </row>
    <row r="1875" spans="1:7" ht="15" x14ac:dyDescent="0.3">
      <c r="A1875">
        <v>-32.476999900000003</v>
      </c>
      <c r="B1875">
        <v>115.78574</v>
      </c>
      <c r="C1875" t="s">
        <v>41</v>
      </c>
      <c r="D1875" t="s">
        <v>306</v>
      </c>
      <c r="F1875" s="21"/>
      <c r="G1875" s="16" t="str">
        <f>HYPERLINK("http://maps.google.com/maps?f=q&amp;hl=en&amp;geocode=&amp;q=-32.4769999,115.78574")</f>
        <v>http://maps.google.com/maps?f=q&amp;hl=en&amp;geocode=&amp;q=-32.4769999,115.78574</v>
      </c>
    </row>
    <row r="1876" spans="1:7" ht="15" x14ac:dyDescent="0.3">
      <c r="A1876">
        <v>50.068752288818402</v>
      </c>
      <c r="B1876">
        <v>-85.828125</v>
      </c>
      <c r="C1876" t="s">
        <v>41</v>
      </c>
      <c r="D1876" t="s">
        <v>1383</v>
      </c>
      <c r="F1876" s="21"/>
      <c r="G1876" s="16" t="str">
        <f>HYPERLINK("http://maps.google.com/maps?f=q&amp;hl=en&amp;geocode=&amp;q=50.0687522888184,-85.828125")</f>
        <v>http://maps.google.com/maps?f=q&amp;hl=en&amp;geocode=&amp;q=50.0687522888184,-85.828125</v>
      </c>
    </row>
    <row r="1877" spans="1:7" ht="15" x14ac:dyDescent="0.3">
      <c r="A1877">
        <v>43.950703005504899</v>
      </c>
      <c r="B1877">
        <v>-85.652317611043699</v>
      </c>
      <c r="C1877" t="s">
        <v>43</v>
      </c>
      <c r="D1877" t="s">
        <v>1384</v>
      </c>
      <c r="F1877" s="21"/>
      <c r="G1877" s="16" t="str">
        <f>HYPERLINK("http://maps.google.com/maps?f=q&amp;hl=en&amp;geocode=&amp;q=43.9507030055049,-85.6523176110437")</f>
        <v>http://maps.google.com/maps?f=q&amp;hl=en&amp;geocode=&amp;q=43.9507030055049,-85.6523176110437</v>
      </c>
    </row>
    <row r="1878" spans="1:7" ht="15" x14ac:dyDescent="0.3">
      <c r="A1878">
        <v>43.950987915007403</v>
      </c>
      <c r="B1878">
        <v>-85.652445062880901</v>
      </c>
      <c r="C1878" t="s">
        <v>43</v>
      </c>
      <c r="D1878" t="s">
        <v>1385</v>
      </c>
      <c r="F1878" s="21"/>
      <c r="G1878" s="16" t="str">
        <f>HYPERLINK("http://maps.google.com/maps?f=q&amp;hl=en&amp;geocode=&amp;q=43.9509879150074,-85.6524450628809")</f>
        <v>http://maps.google.com/maps?f=q&amp;hl=en&amp;geocode=&amp;q=43.9509879150074,-85.6524450628809</v>
      </c>
    </row>
    <row r="1879" spans="1:7" ht="15" x14ac:dyDescent="0.3">
      <c r="A1879" t="s">
        <v>44</v>
      </c>
      <c r="B1879" t="s">
        <v>44</v>
      </c>
      <c r="C1879" t="s">
        <v>44</v>
      </c>
      <c r="D1879" t="s">
        <v>1386</v>
      </c>
      <c r="F1879" s="21"/>
      <c r="G1879" s="16"/>
    </row>
    <row r="1880" spans="1:7" ht="15" x14ac:dyDescent="0.3">
      <c r="A1880">
        <v>37.143846590189199</v>
      </c>
      <c r="B1880">
        <v>-113.46708971964</v>
      </c>
      <c r="C1880" t="s">
        <v>42</v>
      </c>
      <c r="D1880" t="s">
        <v>1387</v>
      </c>
      <c r="F1880" s="21"/>
      <c r="G1880" s="16" t="str">
        <f>HYPERLINK("http://maps.google.com/maps?f=q&amp;hl=en&amp;geocode=&amp;q=37.1438465901892,-113.46708971964")</f>
        <v>http://maps.google.com/maps?f=q&amp;hl=en&amp;geocode=&amp;q=37.1438465901892,-113.46708971964</v>
      </c>
    </row>
    <row r="1881" spans="1:7" ht="15" x14ac:dyDescent="0.3">
      <c r="A1881">
        <v>39.982322710324198</v>
      </c>
      <c r="B1881">
        <v>-75.107711965104798</v>
      </c>
      <c r="C1881" t="s">
        <v>41</v>
      </c>
      <c r="D1881" t="s">
        <v>1388</v>
      </c>
      <c r="F1881" s="21"/>
      <c r="G1881" s="16" t="str">
        <f>HYPERLINK("http://maps.google.com/maps?f=q&amp;hl=en&amp;geocode=&amp;q=39.9823227103242,-75.1077119651048")</f>
        <v>http://maps.google.com/maps?f=q&amp;hl=en&amp;geocode=&amp;q=39.9823227103242,-75.1077119651048</v>
      </c>
    </row>
    <row r="1882" spans="1:7" ht="15" x14ac:dyDescent="0.3">
      <c r="A1882">
        <v>39.138280000000002</v>
      </c>
      <c r="B1882">
        <v>-84.604230000000001</v>
      </c>
      <c r="C1882" t="s">
        <v>41</v>
      </c>
      <c r="D1882" t="s">
        <v>1389</v>
      </c>
      <c r="F1882" s="21"/>
      <c r="G1882" s="16" t="str">
        <f>HYPERLINK("http://maps.google.com/maps?f=q&amp;hl=en&amp;geocode=&amp;q=39.13828,-84.60423")</f>
        <v>http://maps.google.com/maps?f=q&amp;hl=en&amp;geocode=&amp;q=39.13828,-84.60423</v>
      </c>
    </row>
    <row r="1883" spans="1:7" ht="15" x14ac:dyDescent="0.3">
      <c r="A1883">
        <v>33.625079999999997</v>
      </c>
      <c r="B1883">
        <v>-112.20246</v>
      </c>
      <c r="C1883" t="s">
        <v>42</v>
      </c>
      <c r="D1883" t="s">
        <v>1390</v>
      </c>
      <c r="F1883" s="21"/>
      <c r="G1883" s="16" t="str">
        <f>HYPERLINK("http://maps.google.com/maps?f=q&amp;hl=en&amp;geocode=&amp;q=33.62508,-112.20246")</f>
        <v>http://maps.google.com/maps?f=q&amp;hl=en&amp;geocode=&amp;q=33.62508,-112.20246</v>
      </c>
    </row>
    <row r="1884" spans="1:7" ht="15" x14ac:dyDescent="0.3">
      <c r="A1884">
        <v>39.964840000000002</v>
      </c>
      <c r="B1884">
        <v>-75.220160000000007</v>
      </c>
      <c r="C1884" t="s">
        <v>43</v>
      </c>
      <c r="D1884" t="s">
        <v>1391</v>
      </c>
      <c r="F1884" s="21"/>
      <c r="G1884" s="16" t="str">
        <f>HYPERLINK("http://maps.google.com/maps?f=q&amp;hl=en&amp;geocode=&amp;q=39.96484,-75.22016")</f>
        <v>http://maps.google.com/maps?f=q&amp;hl=en&amp;geocode=&amp;q=39.96484,-75.22016</v>
      </c>
    </row>
    <row r="1885" spans="1:7" ht="15" x14ac:dyDescent="0.3">
      <c r="A1885">
        <v>44.091279999999998</v>
      </c>
      <c r="B1885">
        <v>-87.689800000000005</v>
      </c>
      <c r="C1885" t="s">
        <v>42</v>
      </c>
      <c r="D1885" t="s">
        <v>1392</v>
      </c>
      <c r="F1885" s="21"/>
      <c r="G1885" s="16" t="str">
        <f>HYPERLINK("http://maps.google.com/maps?f=q&amp;hl=en&amp;geocode=&amp;q=44.09128,-87.6898")</f>
        <v>http://maps.google.com/maps?f=q&amp;hl=en&amp;geocode=&amp;q=44.09128,-87.6898</v>
      </c>
    </row>
    <row r="1886" spans="1:7" ht="15" x14ac:dyDescent="0.3">
      <c r="A1886">
        <v>32.731765711343101</v>
      </c>
      <c r="B1886">
        <v>-96.802896546082096</v>
      </c>
      <c r="C1886" t="s">
        <v>41</v>
      </c>
      <c r="D1886" t="s">
        <v>1393</v>
      </c>
      <c r="F1886" s="21"/>
      <c r="G1886" s="16" t="str">
        <f>HYPERLINK("http://maps.google.com/maps?f=q&amp;hl=en&amp;geocode=&amp;q=32.7317657113431,-96.8028965460821")</f>
        <v>http://maps.google.com/maps?f=q&amp;hl=en&amp;geocode=&amp;q=32.7317657113431,-96.8028965460821</v>
      </c>
    </row>
    <row r="1887" spans="1:7" ht="15" x14ac:dyDescent="0.3">
      <c r="A1887">
        <v>42.999576568603501</v>
      </c>
      <c r="B1887">
        <v>-107.551513671875</v>
      </c>
      <c r="C1887" t="s">
        <v>41</v>
      </c>
      <c r="D1887" t="s">
        <v>1394</v>
      </c>
      <c r="F1887" s="21"/>
      <c r="G1887" s="16" t="str">
        <f>HYPERLINK("http://maps.google.com/maps?f=q&amp;hl=en&amp;geocode=&amp;q=42.9995765686035,-107.551513671875")</f>
        <v>http://maps.google.com/maps?f=q&amp;hl=en&amp;geocode=&amp;q=42.9995765686035,-107.551513671875</v>
      </c>
    </row>
    <row r="1888" spans="1:7" ht="15" x14ac:dyDescent="0.3">
      <c r="A1888">
        <v>39.925559999999997</v>
      </c>
      <c r="B1888">
        <v>-75.226389999999995</v>
      </c>
      <c r="C1888" t="s">
        <v>43</v>
      </c>
      <c r="D1888" t="s">
        <v>1395</v>
      </c>
      <c r="F1888" s="21"/>
      <c r="G1888" s="16" t="str">
        <f>HYPERLINK("http://maps.google.com/maps?f=q&amp;hl=en&amp;geocode=&amp;q=39.92556,-75.22639")</f>
        <v>http://maps.google.com/maps?f=q&amp;hl=en&amp;geocode=&amp;q=39.92556,-75.22639</v>
      </c>
    </row>
    <row r="1889" spans="1:7" ht="15" x14ac:dyDescent="0.3">
      <c r="A1889">
        <v>40.241729999999997</v>
      </c>
      <c r="B1889">
        <v>-74.750420000000005</v>
      </c>
      <c r="C1889" t="s">
        <v>41</v>
      </c>
      <c r="D1889" t="s">
        <v>1396</v>
      </c>
      <c r="F1889" s="21"/>
      <c r="G1889" s="16" t="str">
        <f>HYPERLINK("http://maps.google.com/maps?f=q&amp;hl=en&amp;geocode=&amp;q=40.24173,-74.75042")</f>
        <v>http://maps.google.com/maps?f=q&amp;hl=en&amp;geocode=&amp;q=40.24173,-74.75042</v>
      </c>
    </row>
    <row r="1890" spans="1:7" ht="15" x14ac:dyDescent="0.3">
      <c r="A1890">
        <v>36.383634418760103</v>
      </c>
      <c r="B1890">
        <v>-78.635280298519305</v>
      </c>
      <c r="C1890" t="s">
        <v>41</v>
      </c>
      <c r="D1890" t="s">
        <v>51</v>
      </c>
      <c r="F1890" s="21"/>
      <c r="G1890" s="16" t="str">
        <f>HYPERLINK("http://maps.google.com/maps?f=q&amp;hl=en&amp;geocode=&amp;q=36.3836344187601,-78.6352802985193")</f>
        <v>http://maps.google.com/maps?f=q&amp;hl=en&amp;geocode=&amp;q=36.3836344187601,-78.6352802985193</v>
      </c>
    </row>
    <row r="1891" spans="1:7" ht="15" x14ac:dyDescent="0.3">
      <c r="A1891">
        <v>36.383634418760103</v>
      </c>
      <c r="B1891">
        <v>-78.635280298519305</v>
      </c>
      <c r="C1891" t="s">
        <v>41</v>
      </c>
      <c r="D1891" t="s">
        <v>51</v>
      </c>
      <c r="F1891" s="21"/>
      <c r="G1891" s="16" t="str">
        <f>HYPERLINK("http://maps.google.com/maps?f=q&amp;hl=en&amp;geocode=&amp;q=36.3836344187601,-78.6352802985193")</f>
        <v>http://maps.google.com/maps?f=q&amp;hl=en&amp;geocode=&amp;q=36.3836344187601,-78.6352802985193</v>
      </c>
    </row>
    <row r="1892" spans="1:7" ht="15" x14ac:dyDescent="0.3">
      <c r="A1892">
        <v>40.520401646089397</v>
      </c>
      <c r="B1892">
        <v>-75.429209751738796</v>
      </c>
      <c r="C1892" t="s">
        <v>41</v>
      </c>
      <c r="D1892" t="s">
        <v>1397</v>
      </c>
      <c r="F1892" s="21"/>
      <c r="G1892" s="16" t="str">
        <f>HYPERLINK("http://maps.google.com/maps?f=q&amp;hl=en&amp;geocode=&amp;q=40.5204016460894,-75.4292097517388")</f>
        <v>http://maps.google.com/maps?f=q&amp;hl=en&amp;geocode=&amp;q=40.5204016460894,-75.4292097517388</v>
      </c>
    </row>
    <row r="1893" spans="1:7" ht="15" x14ac:dyDescent="0.3">
      <c r="A1893">
        <v>39.916694521793801</v>
      </c>
      <c r="B1893">
        <v>-75.2321048535252</v>
      </c>
      <c r="C1893" t="s">
        <v>43</v>
      </c>
      <c r="D1893" t="s">
        <v>1398</v>
      </c>
      <c r="F1893" s="21"/>
      <c r="G1893" s="16" t="str">
        <f>HYPERLINK("http://maps.google.com/maps?f=q&amp;hl=en&amp;geocode=&amp;q=39.9166945217938,-75.2321048535252")</f>
        <v>http://maps.google.com/maps?f=q&amp;hl=en&amp;geocode=&amp;q=39.9166945217938,-75.2321048535252</v>
      </c>
    </row>
    <row r="1894" spans="1:7" ht="15" x14ac:dyDescent="0.3">
      <c r="A1894">
        <v>39.952125000000002</v>
      </c>
      <c r="B1894">
        <v>-75.234705000000005</v>
      </c>
      <c r="C1894" t="s">
        <v>43</v>
      </c>
      <c r="D1894" t="s">
        <v>1399</v>
      </c>
      <c r="F1894" s="21"/>
      <c r="G1894" s="16" t="str">
        <f>HYPERLINK("http://maps.google.com/maps?f=q&amp;hl=en&amp;geocode=&amp;q=39.952125,-75.234705")</f>
        <v>http://maps.google.com/maps?f=q&amp;hl=en&amp;geocode=&amp;q=39.952125,-75.234705</v>
      </c>
    </row>
    <row r="1895" spans="1:7" ht="15" x14ac:dyDescent="0.3">
      <c r="A1895" t="s">
        <v>44</v>
      </c>
      <c r="B1895" t="s">
        <v>44</v>
      </c>
      <c r="C1895" t="s">
        <v>44</v>
      </c>
      <c r="D1895" t="s">
        <v>1400</v>
      </c>
      <c r="F1895" s="21"/>
      <c r="G1895" s="16"/>
    </row>
    <row r="1896" spans="1:7" ht="15" x14ac:dyDescent="0.3">
      <c r="A1896" t="s">
        <v>44</v>
      </c>
      <c r="B1896" t="s">
        <v>44</v>
      </c>
      <c r="C1896" t="s">
        <v>44</v>
      </c>
      <c r="D1896" t="s">
        <v>1401</v>
      </c>
      <c r="F1896" s="21"/>
      <c r="G1896" s="16"/>
    </row>
    <row r="1897" spans="1:7" ht="15" x14ac:dyDescent="0.3">
      <c r="A1897">
        <v>50.413559900000003</v>
      </c>
      <c r="B1897">
        <v>4.4393700000000003</v>
      </c>
      <c r="C1897" t="s">
        <v>41</v>
      </c>
      <c r="D1897" t="s">
        <v>544</v>
      </c>
      <c r="F1897" s="21"/>
      <c r="G1897" s="16" t="str">
        <f>HYPERLINK("http://maps.google.com/maps?f=q&amp;hl=en&amp;geocode=&amp;q=50.4135599,4.43937")</f>
        <v>http://maps.google.com/maps?f=q&amp;hl=en&amp;geocode=&amp;q=50.4135599,4.43937</v>
      </c>
    </row>
    <row r="1898" spans="1:7" ht="15" x14ac:dyDescent="0.3">
      <c r="A1898">
        <v>39.072290000000002</v>
      </c>
      <c r="B1898">
        <v>-94.677199999999999</v>
      </c>
      <c r="C1898" t="s">
        <v>42</v>
      </c>
      <c r="D1898" t="s">
        <v>1402</v>
      </c>
      <c r="F1898" s="21"/>
      <c r="G1898" s="16" t="str">
        <f>HYPERLINK("http://maps.google.com/maps?f=q&amp;hl=en&amp;geocode=&amp;q=39.07229,-94.6772")</f>
        <v>http://maps.google.com/maps?f=q&amp;hl=en&amp;geocode=&amp;q=39.07229,-94.6772</v>
      </c>
    </row>
    <row r="1899" spans="1:7" ht="15" x14ac:dyDescent="0.3">
      <c r="A1899">
        <v>46.591297149658203</v>
      </c>
      <c r="B1899">
        <v>6.9318680763244602</v>
      </c>
      <c r="C1899" t="s">
        <v>41</v>
      </c>
      <c r="D1899" t="s">
        <v>1403</v>
      </c>
      <c r="F1899" s="21"/>
      <c r="G1899" s="16" t="str">
        <f>HYPERLINK("http://maps.google.com/maps?f=q&amp;hl=en&amp;geocode=&amp;q=46.5912971496582,6.93186807632446")</f>
        <v>http://maps.google.com/maps?f=q&amp;hl=en&amp;geocode=&amp;q=46.5912971496582,6.93186807632446</v>
      </c>
    </row>
    <row r="1900" spans="1:7" ht="15" x14ac:dyDescent="0.3">
      <c r="A1900">
        <v>39.95402</v>
      </c>
      <c r="B1900">
        <v>-75.23836</v>
      </c>
      <c r="C1900" t="s">
        <v>43</v>
      </c>
      <c r="D1900" t="s">
        <v>1404</v>
      </c>
      <c r="F1900" s="21"/>
      <c r="G1900" s="16" t="str">
        <f>HYPERLINK("http://maps.google.com/maps?f=q&amp;hl=en&amp;geocode=&amp;q=39.95402,-75.23836")</f>
        <v>http://maps.google.com/maps?f=q&amp;hl=en&amp;geocode=&amp;q=39.95402,-75.23836</v>
      </c>
    </row>
    <row r="1901" spans="1:7" ht="15" x14ac:dyDescent="0.3">
      <c r="A1901">
        <v>29.140590667724599</v>
      </c>
      <c r="B1901">
        <v>-8.9533882141113299</v>
      </c>
      <c r="C1901" t="s">
        <v>41</v>
      </c>
      <c r="D1901" t="s">
        <v>1405</v>
      </c>
      <c r="F1901" s="21"/>
      <c r="G1901" s="16" t="str">
        <f>HYPERLINK("http://maps.google.com/maps?f=q&amp;hl=en&amp;geocode=&amp;q=29.1405906677246,-8.95338821411133")</f>
        <v>http://maps.google.com/maps?f=q&amp;hl=en&amp;geocode=&amp;q=29.1405906677246,-8.95338821411133</v>
      </c>
    </row>
    <row r="1902" spans="1:7" ht="15" x14ac:dyDescent="0.3">
      <c r="A1902">
        <v>29.5771102423803</v>
      </c>
      <c r="B1902">
        <v>-98.377419192505101</v>
      </c>
      <c r="C1902" t="s">
        <v>43</v>
      </c>
      <c r="D1902" t="s">
        <v>1406</v>
      </c>
      <c r="F1902" s="21"/>
      <c r="G1902" s="16" t="str">
        <f>HYPERLINK("http://maps.google.com/maps?f=q&amp;hl=en&amp;geocode=&amp;q=29.5771102423803,-98.3774191925051")</f>
        <v>http://maps.google.com/maps?f=q&amp;hl=en&amp;geocode=&amp;q=29.5771102423803,-98.3774191925051</v>
      </c>
    </row>
    <row r="1903" spans="1:7" ht="15" x14ac:dyDescent="0.3">
      <c r="A1903">
        <v>29.5771102423803</v>
      </c>
      <c r="B1903">
        <v>-98.377419192505101</v>
      </c>
      <c r="C1903" t="s">
        <v>43</v>
      </c>
      <c r="D1903" t="s">
        <v>1406</v>
      </c>
      <c r="F1903" s="21"/>
      <c r="G1903" s="16" t="str">
        <f>HYPERLINK("http://maps.google.com/maps?f=q&amp;hl=en&amp;geocode=&amp;q=29.5771102423803,-98.3774191925051")</f>
        <v>http://maps.google.com/maps?f=q&amp;hl=en&amp;geocode=&amp;q=29.5771102423803,-98.3774191925051</v>
      </c>
    </row>
    <row r="1904" spans="1:7" ht="15" x14ac:dyDescent="0.3">
      <c r="A1904">
        <v>29.5771102423803</v>
      </c>
      <c r="B1904">
        <v>-98.377419192505101</v>
      </c>
      <c r="C1904" t="s">
        <v>43</v>
      </c>
      <c r="D1904" t="s">
        <v>1406</v>
      </c>
      <c r="F1904" s="21"/>
      <c r="G1904" s="16" t="str">
        <f>HYPERLINK("http://maps.google.com/maps?f=q&amp;hl=en&amp;geocode=&amp;q=29.5771102423803,-98.3774191925051")</f>
        <v>http://maps.google.com/maps?f=q&amp;hl=en&amp;geocode=&amp;q=29.5771102423803,-98.3774191925051</v>
      </c>
    </row>
    <row r="1905" spans="1:7" ht="15" x14ac:dyDescent="0.3">
      <c r="A1905">
        <v>29.5771102423803</v>
      </c>
      <c r="B1905">
        <v>-98.377419192505101</v>
      </c>
      <c r="C1905" t="s">
        <v>43</v>
      </c>
      <c r="D1905" t="s">
        <v>1406</v>
      </c>
      <c r="F1905" s="21"/>
      <c r="G1905" s="16" t="str">
        <f>HYPERLINK("http://maps.google.com/maps?f=q&amp;hl=en&amp;geocode=&amp;q=29.5771102423803,-98.3774191925051")</f>
        <v>http://maps.google.com/maps?f=q&amp;hl=en&amp;geocode=&amp;q=29.5771102423803,-98.3774191925051</v>
      </c>
    </row>
    <row r="1906" spans="1:7" ht="15" x14ac:dyDescent="0.3">
      <c r="A1906">
        <v>29.5771102423803</v>
      </c>
      <c r="B1906">
        <v>-98.377419192505101</v>
      </c>
      <c r="C1906" t="s">
        <v>43</v>
      </c>
      <c r="D1906" t="s">
        <v>1406</v>
      </c>
      <c r="F1906" s="21"/>
      <c r="G1906" s="16" t="str">
        <f>HYPERLINK("http://maps.google.com/maps?f=q&amp;hl=en&amp;geocode=&amp;q=29.5771102423803,-98.3774191925051")</f>
        <v>http://maps.google.com/maps?f=q&amp;hl=en&amp;geocode=&amp;q=29.5771102423803,-98.3774191925051</v>
      </c>
    </row>
    <row r="1907" spans="1:7" ht="15" x14ac:dyDescent="0.3">
      <c r="A1907">
        <v>29.5771102423803</v>
      </c>
      <c r="B1907">
        <v>-98.377419192505101</v>
      </c>
      <c r="C1907" t="s">
        <v>43</v>
      </c>
      <c r="D1907" t="s">
        <v>1406</v>
      </c>
      <c r="F1907" s="21"/>
      <c r="G1907" s="16" t="str">
        <f>HYPERLINK("http://maps.google.com/maps?f=q&amp;hl=en&amp;geocode=&amp;q=29.5771102423803,-98.3774191925051")</f>
        <v>http://maps.google.com/maps?f=q&amp;hl=en&amp;geocode=&amp;q=29.5771102423803,-98.3774191925051</v>
      </c>
    </row>
    <row r="1908" spans="1:7" ht="15" x14ac:dyDescent="0.3">
      <c r="A1908">
        <v>39.014539999999997</v>
      </c>
      <c r="B1908">
        <v>-94.582589999999996</v>
      </c>
      <c r="C1908" t="s">
        <v>43</v>
      </c>
      <c r="D1908" t="s">
        <v>1205</v>
      </c>
      <c r="F1908" s="21"/>
      <c r="G1908" s="16" t="str">
        <f>HYPERLINK("http://maps.google.com/maps?f=q&amp;hl=en&amp;geocode=&amp;q=39.01454,-94.58259")</f>
        <v>http://maps.google.com/maps?f=q&amp;hl=en&amp;geocode=&amp;q=39.01454,-94.58259</v>
      </c>
    </row>
    <row r="1909" spans="1:7" ht="15" x14ac:dyDescent="0.3">
      <c r="A1909">
        <v>59.475051879882798</v>
      </c>
      <c r="B1909">
        <v>8.4036817550659197</v>
      </c>
      <c r="C1909" t="s">
        <v>43</v>
      </c>
      <c r="D1909" t="s">
        <v>1407</v>
      </c>
      <c r="F1909" s="21"/>
      <c r="G1909" s="16" t="str">
        <f>HYPERLINK("http://maps.google.com/maps?f=q&amp;hl=en&amp;geocode=&amp;q=59.4750518798828,8.40368175506592")</f>
        <v>http://maps.google.com/maps?f=q&amp;hl=en&amp;geocode=&amp;q=59.4750518798828,8.40368175506592</v>
      </c>
    </row>
    <row r="1910" spans="1:7" ht="15" x14ac:dyDescent="0.3">
      <c r="A1910">
        <v>38.626148099320403</v>
      </c>
      <c r="B1910">
        <v>-90.318080189122796</v>
      </c>
      <c r="C1910" t="s">
        <v>41</v>
      </c>
      <c r="D1910" t="s">
        <v>1408</v>
      </c>
      <c r="F1910" s="21"/>
      <c r="G1910" s="16" t="str">
        <f>HYPERLINK("http://maps.google.com/maps?f=q&amp;hl=en&amp;geocode=&amp;q=38.6261480993204,-90.3180801891228")</f>
        <v>http://maps.google.com/maps?f=q&amp;hl=en&amp;geocode=&amp;q=38.6261480993204,-90.3180801891228</v>
      </c>
    </row>
    <row r="1911" spans="1:7" ht="15" x14ac:dyDescent="0.3">
      <c r="A1911">
        <v>38.626148099320403</v>
      </c>
      <c r="B1911">
        <v>-90.318080189122796</v>
      </c>
      <c r="C1911" t="s">
        <v>41</v>
      </c>
      <c r="D1911" t="s">
        <v>1408</v>
      </c>
      <c r="F1911" s="21"/>
      <c r="G1911" s="16" t="str">
        <f>HYPERLINK("http://maps.google.com/maps?f=q&amp;hl=en&amp;geocode=&amp;q=38.6261480993204,-90.3180801891228")</f>
        <v>http://maps.google.com/maps?f=q&amp;hl=en&amp;geocode=&amp;q=38.6261480993204,-90.3180801891228</v>
      </c>
    </row>
    <row r="1912" spans="1:7" ht="15" x14ac:dyDescent="0.3">
      <c r="A1912">
        <v>30.327950000000001</v>
      </c>
      <c r="B1912">
        <v>-89.361540000000005</v>
      </c>
      <c r="C1912" t="s">
        <v>43</v>
      </c>
      <c r="D1912" t="s">
        <v>1409</v>
      </c>
      <c r="F1912" s="21"/>
      <c r="G1912" s="16" t="str">
        <f>HYPERLINK("http://maps.google.com/maps?f=q&amp;hl=en&amp;geocode=&amp;q=30.32795,-89.36154")</f>
        <v>http://maps.google.com/maps?f=q&amp;hl=en&amp;geocode=&amp;q=30.32795,-89.36154</v>
      </c>
    </row>
    <row r="1913" spans="1:7" ht="15" x14ac:dyDescent="0.3">
      <c r="A1913">
        <v>41.314399999999999</v>
      </c>
      <c r="B1913">
        <v>-98.387609999999995</v>
      </c>
      <c r="C1913" t="s">
        <v>42</v>
      </c>
      <c r="D1913" t="s">
        <v>1268</v>
      </c>
      <c r="F1913" s="21"/>
      <c r="G1913" s="16" t="str">
        <f>HYPERLINK("http://maps.google.com/maps?f=q&amp;hl=en&amp;geocode=&amp;q=41.3144,-98.38761")</f>
        <v>http://maps.google.com/maps?f=q&amp;hl=en&amp;geocode=&amp;q=41.3144,-98.38761</v>
      </c>
    </row>
    <row r="1914" spans="1:7" ht="15" x14ac:dyDescent="0.3">
      <c r="A1914">
        <v>40.054671506450497</v>
      </c>
      <c r="B1914">
        <v>-75.070422343377999</v>
      </c>
      <c r="C1914" t="s">
        <v>41</v>
      </c>
      <c r="D1914" t="s">
        <v>1410</v>
      </c>
      <c r="F1914" s="21"/>
      <c r="G1914" s="16" t="str">
        <f>HYPERLINK("http://maps.google.com/maps?f=q&amp;hl=en&amp;geocode=&amp;q=40.0546715064505,-75.070422343378")</f>
        <v>http://maps.google.com/maps?f=q&amp;hl=en&amp;geocode=&amp;q=40.0546715064505,-75.070422343378</v>
      </c>
    </row>
    <row r="1915" spans="1:7" ht="15" x14ac:dyDescent="0.3">
      <c r="A1915">
        <v>42.999576568603501</v>
      </c>
      <c r="B1915">
        <v>-107.551513671875</v>
      </c>
      <c r="C1915" t="s">
        <v>41</v>
      </c>
      <c r="D1915" t="s">
        <v>1411</v>
      </c>
      <c r="F1915" s="21"/>
      <c r="G1915" s="16" t="str">
        <f>HYPERLINK("http://maps.google.com/maps?f=q&amp;hl=en&amp;geocode=&amp;q=42.9995765686035,-107.551513671875")</f>
        <v>http://maps.google.com/maps?f=q&amp;hl=en&amp;geocode=&amp;q=42.9995765686035,-107.551513671875</v>
      </c>
    </row>
    <row r="1916" spans="1:7" ht="15" x14ac:dyDescent="0.3">
      <c r="A1916">
        <v>47.37574</v>
      </c>
      <c r="B1916">
        <v>7.35372</v>
      </c>
      <c r="C1916" t="s">
        <v>41</v>
      </c>
      <c r="D1916" t="s">
        <v>1412</v>
      </c>
      <c r="F1916" s="21"/>
      <c r="G1916" s="16" t="str">
        <f>HYPERLINK("http://maps.google.com/maps?f=q&amp;hl=en&amp;geocode=&amp;q=47.37574,7.35372")</f>
        <v>http://maps.google.com/maps?f=q&amp;hl=en&amp;geocode=&amp;q=47.37574,7.35372</v>
      </c>
    </row>
    <row r="1917" spans="1:7" ht="15" x14ac:dyDescent="0.3">
      <c r="A1917">
        <v>39.916495490041399</v>
      </c>
      <c r="B1917">
        <v>-75.232393828591896</v>
      </c>
      <c r="C1917" t="s">
        <v>43</v>
      </c>
      <c r="D1917" t="s">
        <v>1413</v>
      </c>
      <c r="F1917" s="21"/>
      <c r="G1917" s="16" t="str">
        <f>HYPERLINK("http://maps.google.com/maps?f=q&amp;hl=en&amp;geocode=&amp;q=39.9164954900414,-75.2323938285919")</f>
        <v>http://maps.google.com/maps?f=q&amp;hl=en&amp;geocode=&amp;q=39.9164954900414,-75.2323938285919</v>
      </c>
    </row>
    <row r="1918" spans="1:7" ht="15" x14ac:dyDescent="0.3">
      <c r="A1918">
        <v>37.087566548691697</v>
      </c>
      <c r="B1918">
        <v>-93.332141395555396</v>
      </c>
      <c r="C1918" t="s">
        <v>41</v>
      </c>
      <c r="D1918" t="s">
        <v>1414</v>
      </c>
      <c r="F1918" s="21"/>
      <c r="G1918" s="16" t="str">
        <f>HYPERLINK("http://maps.google.com/maps?f=q&amp;hl=en&amp;geocode=&amp;q=37.0875665486917,-93.3321413955554")</f>
        <v>http://maps.google.com/maps?f=q&amp;hl=en&amp;geocode=&amp;q=37.0875665486917,-93.3321413955554</v>
      </c>
    </row>
    <row r="1919" spans="1:7" ht="15" x14ac:dyDescent="0.3">
      <c r="A1919">
        <v>35.260009765625</v>
      </c>
      <c r="B1919">
        <v>-80.425880432128906</v>
      </c>
      <c r="C1919" t="s">
        <v>43</v>
      </c>
      <c r="D1919" t="s">
        <v>1415</v>
      </c>
      <c r="F1919" s="21"/>
      <c r="G1919" s="16" t="str">
        <f>HYPERLINK("http://maps.google.com/maps?f=q&amp;hl=en&amp;geocode=&amp;q=35.260009765625,-80.4258804321289")</f>
        <v>http://maps.google.com/maps?f=q&amp;hl=en&amp;geocode=&amp;q=35.260009765625,-80.4258804321289</v>
      </c>
    </row>
    <row r="1920" spans="1:7" ht="15" x14ac:dyDescent="0.3">
      <c r="A1920">
        <v>29.52234</v>
      </c>
      <c r="B1920">
        <v>-98.608329999999995</v>
      </c>
      <c r="C1920" t="s">
        <v>42</v>
      </c>
      <c r="D1920" t="s">
        <v>1416</v>
      </c>
      <c r="F1920" s="21"/>
      <c r="G1920" s="16" t="str">
        <f>HYPERLINK("http://maps.google.com/maps?f=q&amp;hl=en&amp;geocode=&amp;q=29.52234,-98.60833")</f>
        <v>http://maps.google.com/maps?f=q&amp;hl=en&amp;geocode=&amp;q=29.52234,-98.60833</v>
      </c>
    </row>
    <row r="1921" spans="1:7" ht="15" x14ac:dyDescent="0.3">
      <c r="A1921">
        <v>39.942720000000001</v>
      </c>
      <c r="B1921">
        <v>-75.22672</v>
      </c>
      <c r="C1921" t="s">
        <v>41</v>
      </c>
      <c r="D1921" t="s">
        <v>1417</v>
      </c>
      <c r="F1921" s="21"/>
      <c r="G1921" s="16" t="str">
        <f>HYPERLINK("http://maps.google.com/maps?f=q&amp;hl=en&amp;geocode=&amp;q=39.94272,-75.22672")</f>
        <v>http://maps.google.com/maps?f=q&amp;hl=en&amp;geocode=&amp;q=39.94272,-75.22672</v>
      </c>
    </row>
    <row r="1922" spans="1:7" ht="15" x14ac:dyDescent="0.3">
      <c r="A1922">
        <v>44.721395178934003</v>
      </c>
      <c r="B1922">
        <v>-83.424266769054498</v>
      </c>
      <c r="C1922" t="s">
        <v>43</v>
      </c>
      <c r="D1922" t="s">
        <v>1418</v>
      </c>
      <c r="F1922" s="21"/>
      <c r="G1922" s="16" t="str">
        <f>HYPERLINK("http://maps.google.com/maps?f=q&amp;hl=en&amp;geocode=&amp;q=44.721395178934,-83.4242667690545")</f>
        <v>http://maps.google.com/maps?f=q&amp;hl=en&amp;geocode=&amp;q=44.721395178934,-83.4242667690545</v>
      </c>
    </row>
    <row r="1923" spans="1:7" ht="15" x14ac:dyDescent="0.3">
      <c r="A1923">
        <v>51.523796081542997</v>
      </c>
      <c r="B1923">
        <v>5.95916795730591</v>
      </c>
      <c r="C1923" t="s">
        <v>43</v>
      </c>
      <c r="D1923" t="s">
        <v>1419</v>
      </c>
      <c r="F1923" s="21"/>
      <c r="G1923" s="16" t="str">
        <f>HYPERLINK("http://maps.google.com/maps?f=q&amp;hl=en&amp;geocode=&amp;q=51.523796081543,5.95916795730591")</f>
        <v>http://maps.google.com/maps?f=q&amp;hl=en&amp;geocode=&amp;q=51.523796081543,5.95916795730591</v>
      </c>
    </row>
    <row r="1924" spans="1:7" ht="15" x14ac:dyDescent="0.3">
      <c r="A1924">
        <v>39.950429999999997</v>
      </c>
      <c r="B1924">
        <v>-75.245199999999997</v>
      </c>
      <c r="C1924" t="s">
        <v>43</v>
      </c>
      <c r="D1924" t="s">
        <v>198</v>
      </c>
      <c r="F1924" s="21"/>
      <c r="G1924" s="16" t="str">
        <f>HYPERLINK("http://maps.google.com/maps?f=q&amp;hl=en&amp;geocode=&amp;q=39.95043,-75.2452")</f>
        <v>http://maps.google.com/maps?f=q&amp;hl=en&amp;geocode=&amp;q=39.95043,-75.2452</v>
      </c>
    </row>
    <row r="1925" spans="1:7" ht="15" x14ac:dyDescent="0.3">
      <c r="A1925">
        <v>39.95543</v>
      </c>
      <c r="B1925">
        <v>-75.247110000000006</v>
      </c>
      <c r="C1925" t="s">
        <v>42</v>
      </c>
      <c r="D1925" t="s">
        <v>1420</v>
      </c>
      <c r="F1925" s="21"/>
      <c r="G1925" s="16" t="str">
        <f>HYPERLINK("http://maps.google.com/maps?f=q&amp;hl=en&amp;geocode=&amp;q=39.95543,-75.24711")</f>
        <v>http://maps.google.com/maps?f=q&amp;hl=en&amp;geocode=&amp;q=39.95543,-75.24711</v>
      </c>
    </row>
    <row r="1926" spans="1:7" ht="15" x14ac:dyDescent="0.3">
      <c r="A1926">
        <v>33.775170000000003</v>
      </c>
      <c r="B1926">
        <v>-84.175640000000001</v>
      </c>
      <c r="C1926" t="s">
        <v>42</v>
      </c>
      <c r="D1926" t="s">
        <v>1421</v>
      </c>
      <c r="F1926" s="21"/>
      <c r="G1926" s="16" t="str">
        <f>HYPERLINK("http://maps.google.com/maps?f=q&amp;hl=en&amp;geocode=&amp;q=33.77517,-84.17564")</f>
        <v>http://maps.google.com/maps?f=q&amp;hl=en&amp;geocode=&amp;q=33.77517,-84.17564</v>
      </c>
    </row>
    <row r="1927" spans="1:7" ht="15" x14ac:dyDescent="0.3">
      <c r="A1927">
        <v>40.055979999999998</v>
      </c>
      <c r="B1927">
        <v>-75.055959999999999</v>
      </c>
      <c r="C1927" t="s">
        <v>43</v>
      </c>
      <c r="D1927" t="s">
        <v>1422</v>
      </c>
      <c r="F1927" s="21"/>
      <c r="G1927" s="16" t="str">
        <f>HYPERLINK("http://maps.google.com/maps?f=q&amp;hl=en&amp;geocode=&amp;q=40.05598,-75.05596")</f>
        <v>http://maps.google.com/maps?f=q&amp;hl=en&amp;geocode=&amp;q=40.05598,-75.05596</v>
      </c>
    </row>
    <row r="1928" spans="1:7" ht="15" x14ac:dyDescent="0.3">
      <c r="A1928">
        <v>51.406185150146499</v>
      </c>
      <c r="B1928">
        <v>5.2386980056762704</v>
      </c>
      <c r="C1928" t="s">
        <v>43</v>
      </c>
      <c r="D1928" t="s">
        <v>1423</v>
      </c>
      <c r="F1928" s="21"/>
      <c r="G1928" s="16" t="str">
        <f>HYPERLINK("http://maps.google.com/maps?f=q&amp;hl=en&amp;geocode=&amp;q=51.4061851501465,5.23869800567627")</f>
        <v>http://maps.google.com/maps?f=q&amp;hl=en&amp;geocode=&amp;q=51.4061851501465,5.23869800567627</v>
      </c>
    </row>
    <row r="1929" spans="1:7" ht="15" x14ac:dyDescent="0.3">
      <c r="A1929">
        <v>-34.859650000000002</v>
      </c>
      <c r="B1929">
        <v>138.50916000000001</v>
      </c>
      <c r="C1929" t="s">
        <v>41</v>
      </c>
      <c r="D1929" t="s">
        <v>1424</v>
      </c>
      <c r="F1929" s="21"/>
      <c r="G1929" s="16" t="str">
        <f>HYPERLINK("http://maps.google.com/maps?f=q&amp;hl=en&amp;geocode=&amp;q=-34.85965,138.50916")</f>
        <v>http://maps.google.com/maps?f=q&amp;hl=en&amp;geocode=&amp;q=-34.85965,138.50916</v>
      </c>
    </row>
    <row r="1930" spans="1:7" ht="15" x14ac:dyDescent="0.3">
      <c r="A1930">
        <v>40.048180000000002</v>
      </c>
      <c r="B1930">
        <v>-75.102999999999994</v>
      </c>
      <c r="C1930" t="s">
        <v>41</v>
      </c>
      <c r="D1930" t="s">
        <v>966</v>
      </c>
      <c r="F1930" s="21"/>
      <c r="G1930" s="16" t="str">
        <f>HYPERLINK("http://maps.google.com/maps?f=q&amp;hl=en&amp;geocode=&amp;q=40.04818,-75.103")</f>
        <v>http://maps.google.com/maps?f=q&amp;hl=en&amp;geocode=&amp;q=40.04818,-75.103</v>
      </c>
    </row>
    <row r="1931" spans="1:7" ht="15" x14ac:dyDescent="0.3">
      <c r="A1931">
        <v>39.943330000000003</v>
      </c>
      <c r="B1931">
        <v>-75.210840000000005</v>
      </c>
      <c r="C1931" t="s">
        <v>43</v>
      </c>
      <c r="D1931" t="s">
        <v>1425</v>
      </c>
      <c r="F1931" s="21"/>
      <c r="G1931" s="16" t="str">
        <f>HYPERLINK("http://maps.google.com/maps?f=q&amp;hl=en&amp;geocode=&amp;q=39.94333,-75.21084")</f>
        <v>http://maps.google.com/maps?f=q&amp;hl=en&amp;geocode=&amp;q=39.94333,-75.21084</v>
      </c>
    </row>
    <row r="1932" spans="1:7" ht="15" x14ac:dyDescent="0.3">
      <c r="A1932">
        <v>39.920034553313897</v>
      </c>
      <c r="B1932">
        <v>-75.230253062950098</v>
      </c>
      <c r="C1932" t="s">
        <v>43</v>
      </c>
      <c r="D1932" t="s">
        <v>1426</v>
      </c>
      <c r="F1932" s="21"/>
      <c r="G1932" s="16" t="str">
        <f>HYPERLINK("http://maps.google.com/maps?f=q&amp;hl=en&amp;geocode=&amp;q=39.9200345533139,-75.2302530629501")</f>
        <v>http://maps.google.com/maps?f=q&amp;hl=en&amp;geocode=&amp;q=39.9200345533139,-75.2302530629501</v>
      </c>
    </row>
    <row r="1933" spans="1:7" ht="15" x14ac:dyDescent="0.3">
      <c r="A1933">
        <v>43.742222893534802</v>
      </c>
      <c r="B1933">
        <v>-75.520030787302701</v>
      </c>
      <c r="C1933" t="s">
        <v>41</v>
      </c>
      <c r="D1933" t="s">
        <v>1427</v>
      </c>
      <c r="F1933" s="21"/>
      <c r="G1933" s="16" t="str">
        <f>HYPERLINK("http://maps.google.com/maps?f=q&amp;hl=en&amp;geocode=&amp;q=43.7422228935348,-75.5200307873027")</f>
        <v>http://maps.google.com/maps?f=q&amp;hl=en&amp;geocode=&amp;q=43.7422228935348,-75.5200307873027</v>
      </c>
    </row>
    <row r="1934" spans="1:7" ht="15" x14ac:dyDescent="0.3">
      <c r="A1934">
        <v>41.8324992385893</v>
      </c>
      <c r="B1934">
        <v>-86.402658724638499</v>
      </c>
      <c r="C1934" t="s">
        <v>43</v>
      </c>
      <c r="D1934" t="s">
        <v>1428</v>
      </c>
      <c r="F1934" s="21"/>
      <c r="G1934" s="16" t="str">
        <f>HYPERLINK("http://maps.google.com/maps?f=q&amp;hl=en&amp;geocode=&amp;q=41.8324992385893,-86.4026587246385")</f>
        <v>http://maps.google.com/maps?f=q&amp;hl=en&amp;geocode=&amp;q=41.8324992385893,-86.4026587246385</v>
      </c>
    </row>
    <row r="1935" spans="1:7" ht="15" x14ac:dyDescent="0.3">
      <c r="A1935">
        <v>40.779430389404297</v>
      </c>
      <c r="B1935">
        <v>-7.1032009124755904</v>
      </c>
      <c r="C1935" t="s">
        <v>43</v>
      </c>
      <c r="D1935" t="s">
        <v>174</v>
      </c>
      <c r="F1935" s="21"/>
      <c r="G1935" s="16" t="str">
        <f>HYPERLINK("http://maps.google.com/maps?f=q&amp;hl=en&amp;geocode=&amp;q=40.7794303894043,-7.10320091247559")</f>
        <v>http://maps.google.com/maps?f=q&amp;hl=en&amp;geocode=&amp;q=40.7794303894043,-7.10320091247559</v>
      </c>
    </row>
    <row r="1936" spans="1:7" ht="15" x14ac:dyDescent="0.3">
      <c r="A1936" t="s">
        <v>44</v>
      </c>
      <c r="B1936" t="s">
        <v>44</v>
      </c>
      <c r="C1936" t="s">
        <v>44</v>
      </c>
      <c r="D1936" t="s">
        <v>1429</v>
      </c>
      <c r="F1936" s="21"/>
      <c r="G1936" s="16"/>
    </row>
    <row r="1937" spans="1:7" ht="15" x14ac:dyDescent="0.3">
      <c r="A1937">
        <v>47.583026453802098</v>
      </c>
      <c r="B1937">
        <v>-92.3013729587163</v>
      </c>
      <c r="C1937" t="s">
        <v>41</v>
      </c>
      <c r="D1937" t="s">
        <v>1011</v>
      </c>
      <c r="F1937" s="21"/>
      <c r="G1937" s="16" t="str">
        <f>HYPERLINK("http://maps.google.com/maps?f=q&amp;hl=en&amp;geocode=&amp;q=47.5830264538021,-92.3013729587163")</f>
        <v>http://maps.google.com/maps?f=q&amp;hl=en&amp;geocode=&amp;q=47.5830264538021,-92.3013729587163</v>
      </c>
    </row>
    <row r="1938" spans="1:7" ht="15" x14ac:dyDescent="0.3">
      <c r="A1938">
        <v>48.146690368652301</v>
      </c>
      <c r="B1938">
        <v>-2.2678999900817902</v>
      </c>
      <c r="C1938" t="s">
        <v>41</v>
      </c>
      <c r="D1938" t="s">
        <v>1430</v>
      </c>
      <c r="F1938" s="21"/>
      <c r="G1938" s="16" t="str">
        <f>HYPERLINK("http://maps.google.com/maps?f=q&amp;hl=en&amp;geocode=&amp;q=48.1466903686523,-2.26789999008179")</f>
        <v>http://maps.google.com/maps?f=q&amp;hl=en&amp;geocode=&amp;q=48.1466903686523,-2.26789999008179</v>
      </c>
    </row>
    <row r="1939" spans="1:7" ht="15" x14ac:dyDescent="0.3">
      <c r="A1939" t="s">
        <v>44</v>
      </c>
      <c r="B1939" t="s">
        <v>44</v>
      </c>
      <c r="C1939" t="s">
        <v>44</v>
      </c>
      <c r="D1939" t="s">
        <v>1431</v>
      </c>
      <c r="F1939" s="21"/>
      <c r="G1939" s="16"/>
    </row>
    <row r="1940" spans="1:7" ht="15" x14ac:dyDescent="0.3">
      <c r="A1940">
        <v>33.509351713305001</v>
      </c>
      <c r="B1940">
        <v>-87.034648356446198</v>
      </c>
      <c r="C1940" t="s">
        <v>41</v>
      </c>
      <c r="D1940" t="s">
        <v>1432</v>
      </c>
      <c r="F1940" s="21"/>
      <c r="G1940" s="16" t="str">
        <f>HYPERLINK("http://maps.google.com/maps?f=q&amp;hl=en&amp;geocode=&amp;q=33.509351713305,-87.0346483564462")</f>
        <v>http://maps.google.com/maps?f=q&amp;hl=en&amp;geocode=&amp;q=33.509351713305,-87.0346483564462</v>
      </c>
    </row>
    <row r="1941" spans="1:7" ht="15" x14ac:dyDescent="0.3">
      <c r="A1941">
        <v>49.4726371765137</v>
      </c>
      <c r="B1941">
        <v>-2.4496390819549601</v>
      </c>
      <c r="C1941" t="s">
        <v>41</v>
      </c>
      <c r="D1941" t="s">
        <v>1433</v>
      </c>
      <c r="F1941" s="21"/>
      <c r="G1941" s="16" t="str">
        <f>HYPERLINK("http://maps.google.com/maps?f=q&amp;hl=en&amp;geocode=&amp;q=49.4726371765137,-2.44963908195496")</f>
        <v>http://maps.google.com/maps?f=q&amp;hl=en&amp;geocode=&amp;q=49.4726371765137,-2.44963908195496</v>
      </c>
    </row>
    <row r="1942" spans="1:7" ht="15" x14ac:dyDescent="0.3">
      <c r="A1942">
        <v>39.925139999999999</v>
      </c>
      <c r="B1942">
        <v>-75.235380000000006</v>
      </c>
      <c r="C1942" t="s">
        <v>41</v>
      </c>
      <c r="D1942" t="s">
        <v>54</v>
      </c>
      <c r="F1942" s="21"/>
      <c r="G1942" s="16" t="str">
        <f>HYPERLINK("http://maps.google.com/maps?f=q&amp;hl=en&amp;geocode=&amp;q=39.92514,-75.23538")</f>
        <v>http://maps.google.com/maps?f=q&amp;hl=en&amp;geocode=&amp;q=39.92514,-75.23538</v>
      </c>
    </row>
    <row r="1943" spans="1:7" ht="15" x14ac:dyDescent="0.3">
      <c r="A1943">
        <v>37.506080627441399</v>
      </c>
      <c r="B1943">
        <v>-76.387100219726605</v>
      </c>
      <c r="C1943" t="s">
        <v>41</v>
      </c>
      <c r="D1943" t="s">
        <v>1434</v>
      </c>
      <c r="F1943" s="21"/>
      <c r="G1943" s="16" t="str">
        <f>HYPERLINK("http://maps.google.com/maps?f=q&amp;hl=en&amp;geocode=&amp;q=37.5060806274414,-76.3871002197266")</f>
        <v>http://maps.google.com/maps?f=q&amp;hl=en&amp;geocode=&amp;q=37.5060806274414,-76.3871002197266</v>
      </c>
    </row>
    <row r="1944" spans="1:7" ht="15" x14ac:dyDescent="0.3">
      <c r="A1944">
        <v>40.182891845703097</v>
      </c>
      <c r="B1944">
        <v>-74.024337768554702</v>
      </c>
      <c r="C1944" t="s">
        <v>41</v>
      </c>
      <c r="D1944" t="s">
        <v>1435</v>
      </c>
      <c r="F1944" s="21"/>
      <c r="G1944" s="16" t="str">
        <f>HYPERLINK("http://maps.google.com/maps?f=q&amp;hl=en&amp;geocode=&amp;q=40.1828918457031,-74.0243377685547")</f>
        <v>http://maps.google.com/maps?f=q&amp;hl=en&amp;geocode=&amp;q=40.1828918457031,-74.0243377685547</v>
      </c>
    </row>
    <row r="1945" spans="1:7" ht="15" x14ac:dyDescent="0.3">
      <c r="A1945">
        <v>40.182891845703097</v>
      </c>
      <c r="B1945">
        <v>-74.024337768554702</v>
      </c>
      <c r="C1945" t="s">
        <v>41</v>
      </c>
      <c r="D1945" t="s">
        <v>1435</v>
      </c>
      <c r="F1945" s="21"/>
      <c r="G1945" s="16" t="str">
        <f>HYPERLINK("http://maps.google.com/maps?f=q&amp;hl=en&amp;geocode=&amp;q=40.1828918457031,-74.0243377685547")</f>
        <v>http://maps.google.com/maps?f=q&amp;hl=en&amp;geocode=&amp;q=40.1828918457031,-74.0243377685547</v>
      </c>
    </row>
    <row r="1946" spans="1:7" ht="15" x14ac:dyDescent="0.3">
      <c r="A1946">
        <v>36.8596629825497</v>
      </c>
      <c r="B1946">
        <v>-76.175172408802396</v>
      </c>
      <c r="C1946" t="s">
        <v>41</v>
      </c>
      <c r="D1946" t="s">
        <v>1436</v>
      </c>
      <c r="F1946" s="21"/>
      <c r="G1946" s="16" t="str">
        <f>HYPERLINK("http://maps.google.com/maps?f=q&amp;hl=en&amp;geocode=&amp;q=36.8596629825497,-76.1751724088024")</f>
        <v>http://maps.google.com/maps?f=q&amp;hl=en&amp;geocode=&amp;q=36.8596629825497,-76.1751724088024</v>
      </c>
    </row>
    <row r="1947" spans="1:7" ht="15" x14ac:dyDescent="0.3">
      <c r="A1947">
        <v>-35.394449999999999</v>
      </c>
      <c r="B1947">
        <v>138.46156999999999</v>
      </c>
      <c r="C1947" t="s">
        <v>41</v>
      </c>
      <c r="D1947" t="s">
        <v>1437</v>
      </c>
      <c r="F1947" s="21"/>
      <c r="G1947" s="16" t="str">
        <f>HYPERLINK("http://maps.google.com/maps?f=q&amp;hl=en&amp;geocode=&amp;q=-35.39445,138.46157")</f>
        <v>http://maps.google.com/maps?f=q&amp;hl=en&amp;geocode=&amp;q=-35.39445,138.46157</v>
      </c>
    </row>
    <row r="1948" spans="1:7" ht="15" x14ac:dyDescent="0.3">
      <c r="A1948">
        <v>31.7996674108199</v>
      </c>
      <c r="B1948">
        <v>-81.649656385510596</v>
      </c>
      <c r="C1948" t="s">
        <v>41</v>
      </c>
      <c r="D1948" t="s">
        <v>1438</v>
      </c>
      <c r="F1948" s="21"/>
      <c r="G1948" s="16" t="str">
        <f>HYPERLINK("http://maps.google.com/maps?f=q&amp;hl=en&amp;geocode=&amp;q=31.7996674108199,-81.6496563855106")</f>
        <v>http://maps.google.com/maps?f=q&amp;hl=en&amp;geocode=&amp;q=31.7996674108199,-81.6496563855106</v>
      </c>
    </row>
    <row r="1949" spans="1:7" ht="15" x14ac:dyDescent="0.3">
      <c r="A1949" t="s">
        <v>44</v>
      </c>
      <c r="B1949" t="s">
        <v>44</v>
      </c>
      <c r="C1949" t="s">
        <v>44</v>
      </c>
      <c r="D1949" t="s">
        <v>1439</v>
      </c>
      <c r="F1949" s="21"/>
      <c r="G1949" s="16"/>
    </row>
    <row r="1950" spans="1:7" ht="15" x14ac:dyDescent="0.3">
      <c r="A1950" t="s">
        <v>44</v>
      </c>
      <c r="B1950" t="s">
        <v>44</v>
      </c>
      <c r="C1950" t="s">
        <v>44</v>
      </c>
      <c r="D1950" t="s">
        <v>1439</v>
      </c>
      <c r="F1950" s="21"/>
      <c r="G1950" s="16"/>
    </row>
    <row r="1951" spans="1:7" ht="15" x14ac:dyDescent="0.3">
      <c r="A1951">
        <v>14.5481986999512</v>
      </c>
      <c r="B1951">
        <v>121.08669281005901</v>
      </c>
      <c r="C1951" t="s">
        <v>43</v>
      </c>
      <c r="D1951" t="s">
        <v>1440</v>
      </c>
      <c r="F1951" s="21"/>
      <c r="G1951" s="16" t="str">
        <f>HYPERLINK("http://maps.google.com/maps?f=q&amp;hl=en&amp;geocode=&amp;q=14.5481986999512,121.086692810059")</f>
        <v>http://maps.google.com/maps?f=q&amp;hl=en&amp;geocode=&amp;q=14.5481986999512,121.086692810059</v>
      </c>
    </row>
    <row r="1952" spans="1:7" ht="15" x14ac:dyDescent="0.3">
      <c r="A1952">
        <v>32.777828031886301</v>
      </c>
      <c r="B1952">
        <v>-117.252418122289</v>
      </c>
      <c r="C1952" t="s">
        <v>41</v>
      </c>
      <c r="D1952" t="s">
        <v>1441</v>
      </c>
      <c r="F1952" s="21"/>
      <c r="G1952" s="16" t="str">
        <f>HYPERLINK("http://maps.google.com/maps?f=q&amp;hl=en&amp;geocode=&amp;q=32.7778280318863,-117.252418122289")</f>
        <v>http://maps.google.com/maps?f=q&amp;hl=en&amp;geocode=&amp;q=32.7778280318863,-117.252418122289</v>
      </c>
    </row>
    <row r="1953" spans="1:7" ht="15" x14ac:dyDescent="0.3">
      <c r="A1953">
        <v>32.777828031886301</v>
      </c>
      <c r="B1953">
        <v>-117.252418122289</v>
      </c>
      <c r="C1953" t="s">
        <v>41</v>
      </c>
      <c r="D1953" t="s">
        <v>1441</v>
      </c>
      <c r="F1953" s="21"/>
      <c r="G1953" s="16" t="str">
        <f>HYPERLINK("http://maps.google.com/maps?f=q&amp;hl=en&amp;geocode=&amp;q=32.7778280318863,-117.252418122289")</f>
        <v>http://maps.google.com/maps?f=q&amp;hl=en&amp;geocode=&amp;q=32.7778280318863,-117.252418122289</v>
      </c>
    </row>
    <row r="1954" spans="1:7" ht="15" x14ac:dyDescent="0.3">
      <c r="A1954">
        <v>32.777828031886301</v>
      </c>
      <c r="B1954">
        <v>-117.252418122289</v>
      </c>
      <c r="C1954" t="s">
        <v>41</v>
      </c>
      <c r="D1954" t="s">
        <v>1441</v>
      </c>
      <c r="F1954" s="21"/>
      <c r="G1954" s="16" t="str">
        <f>HYPERLINK("http://maps.google.com/maps?f=q&amp;hl=en&amp;geocode=&amp;q=32.7778280318863,-117.252418122289")</f>
        <v>http://maps.google.com/maps?f=q&amp;hl=en&amp;geocode=&amp;q=32.7778280318863,-117.252418122289</v>
      </c>
    </row>
    <row r="1955" spans="1:7" ht="15" x14ac:dyDescent="0.3">
      <c r="A1955">
        <v>32.777828031886301</v>
      </c>
      <c r="B1955">
        <v>-117.252418122289</v>
      </c>
      <c r="C1955" t="s">
        <v>41</v>
      </c>
      <c r="D1955" t="s">
        <v>1441</v>
      </c>
      <c r="F1955" s="21"/>
      <c r="G1955" s="16" t="str">
        <f>HYPERLINK("http://maps.google.com/maps?f=q&amp;hl=en&amp;geocode=&amp;q=32.7778280318863,-117.252418122289")</f>
        <v>http://maps.google.com/maps?f=q&amp;hl=en&amp;geocode=&amp;q=32.7778280318863,-117.252418122289</v>
      </c>
    </row>
    <row r="1956" spans="1:7" ht="15" x14ac:dyDescent="0.3">
      <c r="A1956">
        <v>41.527271270752003</v>
      </c>
      <c r="B1956">
        <v>-99.811103820800795</v>
      </c>
      <c r="C1956" t="s">
        <v>41</v>
      </c>
      <c r="D1956" t="s">
        <v>1442</v>
      </c>
      <c r="F1956" s="21"/>
      <c r="G1956" s="16" t="str">
        <f>HYPERLINK("http://maps.google.com/maps?f=q&amp;hl=en&amp;geocode=&amp;q=41.527271270752,-99.8111038208008")</f>
        <v>http://maps.google.com/maps?f=q&amp;hl=en&amp;geocode=&amp;q=41.527271270752,-99.8111038208008</v>
      </c>
    </row>
    <row r="1957" spans="1:7" ht="15" x14ac:dyDescent="0.3">
      <c r="A1957">
        <v>43.227091482242798</v>
      </c>
      <c r="B1957">
        <v>-95.862456960670201</v>
      </c>
      <c r="C1957" t="s">
        <v>41</v>
      </c>
      <c r="D1957" t="s">
        <v>1443</v>
      </c>
      <c r="F1957" s="21"/>
      <c r="G1957" s="16" t="str">
        <f>HYPERLINK("http://maps.google.com/maps?f=q&amp;hl=en&amp;geocode=&amp;q=43.2270914822428,-95.8624569606702")</f>
        <v>http://maps.google.com/maps?f=q&amp;hl=en&amp;geocode=&amp;q=43.2270914822428,-95.8624569606702</v>
      </c>
    </row>
    <row r="1958" spans="1:7" ht="15" x14ac:dyDescent="0.3">
      <c r="A1958">
        <v>43.227091482242798</v>
      </c>
      <c r="B1958">
        <v>-95.862456960670201</v>
      </c>
      <c r="C1958" t="s">
        <v>41</v>
      </c>
      <c r="D1958" t="s">
        <v>1443</v>
      </c>
      <c r="F1958" s="21"/>
      <c r="G1958" s="16" t="str">
        <f>HYPERLINK("http://maps.google.com/maps?f=q&amp;hl=en&amp;geocode=&amp;q=43.2270914822428,-95.8624569606702")</f>
        <v>http://maps.google.com/maps?f=q&amp;hl=en&amp;geocode=&amp;q=43.2270914822428,-95.8624569606702</v>
      </c>
    </row>
    <row r="1959" spans="1:7" ht="15" x14ac:dyDescent="0.3">
      <c r="A1959">
        <v>37.143846590189199</v>
      </c>
      <c r="B1959">
        <v>-113.46708971964</v>
      </c>
      <c r="C1959" t="s">
        <v>42</v>
      </c>
      <c r="D1959" t="s">
        <v>1387</v>
      </c>
      <c r="F1959" s="21"/>
      <c r="G1959" s="16" t="str">
        <f>HYPERLINK("http://maps.google.com/maps?f=q&amp;hl=en&amp;geocode=&amp;q=37.1438465901892,-113.46708971964")</f>
        <v>http://maps.google.com/maps?f=q&amp;hl=en&amp;geocode=&amp;q=37.1438465901892,-113.46708971964</v>
      </c>
    </row>
    <row r="1960" spans="1:7" ht="15" x14ac:dyDescent="0.3">
      <c r="A1960">
        <v>37.193010000000001</v>
      </c>
      <c r="B1960">
        <v>-79.925550000000001</v>
      </c>
      <c r="C1960" t="s">
        <v>43</v>
      </c>
      <c r="D1960" t="s">
        <v>1444</v>
      </c>
      <c r="F1960" s="21"/>
      <c r="G1960" s="16" t="str">
        <f>HYPERLINK("http://maps.google.com/maps?f=q&amp;hl=en&amp;geocode=&amp;q=37.19301,-79.92555")</f>
        <v>http://maps.google.com/maps?f=q&amp;hl=en&amp;geocode=&amp;q=37.19301,-79.92555</v>
      </c>
    </row>
    <row r="1961" spans="1:7" ht="15" x14ac:dyDescent="0.3">
      <c r="A1961">
        <v>39.014429999999997</v>
      </c>
      <c r="B1961">
        <v>-84.656819999999996</v>
      </c>
      <c r="C1961" t="s">
        <v>41</v>
      </c>
      <c r="D1961" t="s">
        <v>1445</v>
      </c>
      <c r="F1961" s="21"/>
      <c r="G1961" s="16" t="str">
        <f>HYPERLINK("http://maps.google.com/maps?f=q&amp;hl=en&amp;geocode=&amp;q=39.01443,-84.65682")</f>
        <v>http://maps.google.com/maps?f=q&amp;hl=en&amp;geocode=&amp;q=39.01443,-84.65682</v>
      </c>
    </row>
    <row r="1962" spans="1:7" ht="15" x14ac:dyDescent="0.3">
      <c r="A1962">
        <v>50.427330017089801</v>
      </c>
      <c r="B1962">
        <v>4.9008412361145002</v>
      </c>
      <c r="C1962" t="s">
        <v>43</v>
      </c>
      <c r="D1962" t="s">
        <v>1446</v>
      </c>
      <c r="F1962" s="21"/>
      <c r="G1962" s="16" t="str">
        <f>HYPERLINK("http://maps.google.com/maps?f=q&amp;hl=en&amp;geocode=&amp;q=50.4273300170898,4.9008412361145")</f>
        <v>http://maps.google.com/maps?f=q&amp;hl=en&amp;geocode=&amp;q=50.4273300170898,4.9008412361145</v>
      </c>
    </row>
    <row r="1963" spans="1:7" ht="15" x14ac:dyDescent="0.3">
      <c r="A1963">
        <v>38.8337445848953</v>
      </c>
      <c r="B1963">
        <v>-104.83727964105</v>
      </c>
      <c r="C1963" t="s">
        <v>41</v>
      </c>
      <c r="D1963" t="s">
        <v>1447</v>
      </c>
      <c r="F1963" s="21"/>
      <c r="G1963" s="16" t="str">
        <f>HYPERLINK("http://maps.google.com/maps?f=q&amp;hl=en&amp;geocode=&amp;q=38.8337445848953,-104.83727964105")</f>
        <v>http://maps.google.com/maps?f=q&amp;hl=en&amp;geocode=&amp;q=38.8337445848953,-104.83727964105</v>
      </c>
    </row>
    <row r="1964" spans="1:7" ht="15" x14ac:dyDescent="0.3">
      <c r="A1964">
        <v>39.4432563781738</v>
      </c>
      <c r="B1964">
        <v>-98.957336425781307</v>
      </c>
      <c r="C1964" t="s">
        <v>43</v>
      </c>
      <c r="D1964" t="s">
        <v>1448</v>
      </c>
      <c r="F1964" s="21"/>
      <c r="G1964" s="16" t="str">
        <f>HYPERLINK("http://maps.google.com/maps?f=q&amp;hl=en&amp;geocode=&amp;q=39.4432563781738,-98.9573364257813")</f>
        <v>http://maps.google.com/maps?f=q&amp;hl=en&amp;geocode=&amp;q=39.4432563781738,-98.9573364257813</v>
      </c>
    </row>
    <row r="1965" spans="1:7" ht="15" x14ac:dyDescent="0.3">
      <c r="A1965" t="s">
        <v>44</v>
      </c>
      <c r="B1965" t="s">
        <v>44</v>
      </c>
      <c r="C1965" t="s">
        <v>44</v>
      </c>
      <c r="D1965" t="s">
        <v>1449</v>
      </c>
      <c r="F1965" s="21"/>
      <c r="G1965" s="16"/>
    </row>
    <row r="1966" spans="1:7" ht="15" x14ac:dyDescent="0.3">
      <c r="A1966">
        <v>39.073410000000003</v>
      </c>
      <c r="B1966">
        <v>-94.543450000000007</v>
      </c>
      <c r="C1966" t="s">
        <v>42</v>
      </c>
      <c r="D1966" t="s">
        <v>1450</v>
      </c>
      <c r="F1966" s="21"/>
      <c r="G1966" s="16" t="str">
        <f>HYPERLINK("http://maps.google.com/maps?f=q&amp;hl=en&amp;geocode=&amp;q=39.07341,-94.54345")</f>
        <v>http://maps.google.com/maps?f=q&amp;hl=en&amp;geocode=&amp;q=39.07341,-94.54345</v>
      </c>
    </row>
    <row r="1967" spans="1:7" ht="15" x14ac:dyDescent="0.3">
      <c r="A1967">
        <v>39.036619999999999</v>
      </c>
      <c r="B1967">
        <v>-94.586070000000007</v>
      </c>
      <c r="C1967" t="s">
        <v>43</v>
      </c>
      <c r="D1967" t="s">
        <v>1451</v>
      </c>
      <c r="F1967" s="21"/>
      <c r="G1967" s="16" t="str">
        <f>HYPERLINK("http://maps.google.com/maps?f=q&amp;hl=en&amp;geocode=&amp;q=39.03662,-94.58607")</f>
        <v>http://maps.google.com/maps?f=q&amp;hl=en&amp;geocode=&amp;q=39.03662,-94.58607</v>
      </c>
    </row>
    <row r="1968" spans="1:7" ht="15" x14ac:dyDescent="0.3">
      <c r="A1968">
        <v>39.987336506266601</v>
      </c>
      <c r="B1968">
        <v>-75.098128812827298</v>
      </c>
      <c r="C1968" t="s">
        <v>41</v>
      </c>
      <c r="D1968" t="s">
        <v>1452</v>
      </c>
      <c r="F1968" s="21"/>
      <c r="G1968" s="16" t="str">
        <f>HYPERLINK("http://maps.google.com/maps?f=q&amp;hl=en&amp;geocode=&amp;q=39.9873365062666,-75.0981288128273")</f>
        <v>http://maps.google.com/maps?f=q&amp;hl=en&amp;geocode=&amp;q=39.9873365062666,-75.0981288128273</v>
      </c>
    </row>
    <row r="1969" spans="1:7" ht="15" x14ac:dyDescent="0.3">
      <c r="A1969">
        <v>39.9536720964674</v>
      </c>
      <c r="B1969">
        <v>-75.241227235137202</v>
      </c>
      <c r="C1969" t="s">
        <v>41</v>
      </c>
      <c r="D1969" t="s">
        <v>195</v>
      </c>
      <c r="F1969" s="21"/>
      <c r="G1969" s="16" t="str">
        <f>HYPERLINK("http://maps.google.com/maps?f=q&amp;hl=en&amp;geocode=&amp;q=39.9536720964674,-75.2412272351372")</f>
        <v>http://maps.google.com/maps?f=q&amp;hl=en&amp;geocode=&amp;q=39.9536720964674,-75.2412272351372</v>
      </c>
    </row>
    <row r="1970" spans="1:7" ht="15" x14ac:dyDescent="0.3">
      <c r="A1970">
        <v>45.837741851806598</v>
      </c>
      <c r="B1970">
        <v>25.005935668945298</v>
      </c>
      <c r="C1970" t="s">
        <v>41</v>
      </c>
      <c r="D1970" t="s">
        <v>789</v>
      </c>
      <c r="F1970" s="21"/>
      <c r="G1970" s="16" t="str">
        <f>HYPERLINK("http://maps.google.com/maps?f=q&amp;hl=en&amp;geocode=&amp;q=45.8377418518066,25.0059356689453")</f>
        <v>http://maps.google.com/maps?f=q&amp;hl=en&amp;geocode=&amp;q=45.8377418518066,25.0059356689453</v>
      </c>
    </row>
    <row r="1971" spans="1:7" ht="15" x14ac:dyDescent="0.3">
      <c r="A1971">
        <v>7.2021198272705096</v>
      </c>
      <c r="B1971">
        <v>126.53334808349599</v>
      </c>
      <c r="C1971" t="s">
        <v>41</v>
      </c>
      <c r="D1971" t="s">
        <v>1453</v>
      </c>
      <c r="F1971" s="21"/>
      <c r="G1971" s="16" t="str">
        <f>HYPERLINK("http://maps.google.com/maps?f=q&amp;hl=en&amp;geocode=&amp;q=7.20211982727051,126.533348083496")</f>
        <v>http://maps.google.com/maps?f=q&amp;hl=en&amp;geocode=&amp;q=7.20211982727051,126.533348083496</v>
      </c>
    </row>
    <row r="1972" spans="1:7" ht="15" x14ac:dyDescent="0.3">
      <c r="A1972">
        <v>31.275762557983398</v>
      </c>
      <c r="B1972">
        <v>36.8283882141113</v>
      </c>
      <c r="C1972" t="s">
        <v>43</v>
      </c>
      <c r="D1972" t="s">
        <v>1454</v>
      </c>
      <c r="F1972" s="21"/>
      <c r="G1972" s="16" t="str">
        <f>HYPERLINK("http://maps.google.com/maps?f=q&amp;hl=en&amp;geocode=&amp;q=31.2757625579834,36.8283882141113")</f>
        <v>http://maps.google.com/maps?f=q&amp;hl=en&amp;geocode=&amp;q=31.2757625579834,36.8283882141113</v>
      </c>
    </row>
    <row r="1973" spans="1:7" ht="15" x14ac:dyDescent="0.3">
      <c r="A1973" t="s">
        <v>44</v>
      </c>
      <c r="B1973" t="s">
        <v>44</v>
      </c>
      <c r="C1973" t="s">
        <v>44</v>
      </c>
      <c r="D1973" t="s">
        <v>1455</v>
      </c>
      <c r="F1973" s="21"/>
      <c r="G1973" s="16"/>
    </row>
    <row r="1974" spans="1:7" ht="15" x14ac:dyDescent="0.3">
      <c r="A1974">
        <v>40.077453973659402</v>
      </c>
      <c r="B1974">
        <v>-79.019723302813503</v>
      </c>
      <c r="C1974" t="s">
        <v>41</v>
      </c>
      <c r="D1974" t="s">
        <v>1456</v>
      </c>
      <c r="F1974" s="21"/>
      <c r="G1974" s="16" t="str">
        <f>HYPERLINK("http://maps.google.com/maps?f=q&amp;hl=en&amp;geocode=&amp;q=40.0774539736594,-79.0197233028135")</f>
        <v>http://maps.google.com/maps?f=q&amp;hl=en&amp;geocode=&amp;q=40.0774539736594,-79.0197233028135</v>
      </c>
    </row>
    <row r="1975" spans="1:7" ht="15" x14ac:dyDescent="0.3">
      <c r="A1975">
        <v>39.923819999999999</v>
      </c>
      <c r="B1975">
        <v>-75.237229999999997</v>
      </c>
      <c r="C1975" t="s">
        <v>41</v>
      </c>
      <c r="D1975" t="s">
        <v>1457</v>
      </c>
      <c r="F1975" s="21"/>
      <c r="G1975" s="16" t="str">
        <f>HYPERLINK("http://maps.google.com/maps?f=q&amp;hl=en&amp;geocode=&amp;q=39.92382,-75.23723")</f>
        <v>http://maps.google.com/maps?f=q&amp;hl=en&amp;geocode=&amp;q=39.92382,-75.23723</v>
      </c>
    </row>
    <row r="1976" spans="1:7" ht="15" x14ac:dyDescent="0.3">
      <c r="A1976">
        <v>40.682014363871197</v>
      </c>
      <c r="B1976">
        <v>-73.581303279347793</v>
      </c>
      <c r="C1976" t="s">
        <v>41</v>
      </c>
      <c r="D1976" t="s">
        <v>1458</v>
      </c>
      <c r="F1976" s="21"/>
      <c r="G1976" s="16" t="str">
        <f>HYPERLINK("http://maps.google.com/maps?f=q&amp;hl=en&amp;geocode=&amp;q=40.6820143638712,-73.5813032793478")</f>
        <v>http://maps.google.com/maps?f=q&amp;hl=en&amp;geocode=&amp;q=40.6820143638712,-73.5813032793478</v>
      </c>
    </row>
    <row r="1977" spans="1:7" ht="15" x14ac:dyDescent="0.3">
      <c r="A1977">
        <v>39.992179999999998</v>
      </c>
      <c r="B1977">
        <v>-75.100999999999999</v>
      </c>
      <c r="C1977" t="s">
        <v>41</v>
      </c>
      <c r="D1977" t="s">
        <v>716</v>
      </c>
      <c r="F1977" s="21"/>
      <c r="G1977" s="16" t="str">
        <f>HYPERLINK("http://maps.google.com/maps?f=q&amp;hl=en&amp;geocode=&amp;q=39.99218,-75.101")</f>
        <v>http://maps.google.com/maps?f=q&amp;hl=en&amp;geocode=&amp;q=39.99218,-75.101</v>
      </c>
    </row>
    <row r="1978" spans="1:7" ht="15" x14ac:dyDescent="0.3">
      <c r="A1978">
        <v>-43.518806457519503</v>
      </c>
      <c r="B1978">
        <v>172.36830139160199</v>
      </c>
      <c r="C1978" t="s">
        <v>41</v>
      </c>
      <c r="D1978" t="s">
        <v>1459</v>
      </c>
      <c r="F1978" s="21"/>
      <c r="G1978" s="16" t="str">
        <f>HYPERLINK("http://maps.google.com/maps?f=q&amp;hl=en&amp;geocode=&amp;q=-43.5188064575195,172.368301391602")</f>
        <v>http://maps.google.com/maps?f=q&amp;hl=en&amp;geocode=&amp;q=-43.5188064575195,172.368301391602</v>
      </c>
    </row>
    <row r="1979" spans="1:7" ht="15" x14ac:dyDescent="0.3">
      <c r="A1979">
        <v>55.631740000000001</v>
      </c>
      <c r="B1979">
        <v>12.164870000000001</v>
      </c>
      <c r="C1979" t="s">
        <v>41</v>
      </c>
      <c r="D1979" t="s">
        <v>1460</v>
      </c>
      <c r="F1979" s="21"/>
      <c r="G1979" s="16" t="str">
        <f>HYPERLINK("http://maps.google.com/maps?f=q&amp;hl=en&amp;geocode=&amp;q=55.63174,12.16487")</f>
        <v>http://maps.google.com/maps?f=q&amp;hl=en&amp;geocode=&amp;q=55.63174,12.16487</v>
      </c>
    </row>
    <row r="1980" spans="1:7" ht="15" x14ac:dyDescent="0.3">
      <c r="A1980">
        <v>40.392982593796098</v>
      </c>
      <c r="B1980">
        <v>-91.585960959838502</v>
      </c>
      <c r="C1980" t="s">
        <v>41</v>
      </c>
      <c r="D1980" t="s">
        <v>1461</v>
      </c>
      <c r="F1980" s="21"/>
      <c r="G1980" s="16" t="str">
        <f>HYPERLINK("http://maps.google.com/maps?f=q&amp;hl=en&amp;geocode=&amp;q=40.3929825937961,-91.5859609598385")</f>
        <v>http://maps.google.com/maps?f=q&amp;hl=en&amp;geocode=&amp;q=40.3929825937961,-91.5859609598385</v>
      </c>
    </row>
    <row r="1981" spans="1:7" ht="15" x14ac:dyDescent="0.3">
      <c r="A1981">
        <v>37.595080000000003</v>
      </c>
      <c r="B1981">
        <v>-77.493709999999993</v>
      </c>
      <c r="C1981" t="s">
        <v>41</v>
      </c>
      <c r="D1981" t="s">
        <v>1462</v>
      </c>
      <c r="F1981" s="21"/>
      <c r="G1981" s="16" t="str">
        <f>HYPERLINK("http://maps.google.com/maps?f=q&amp;hl=en&amp;geocode=&amp;q=37.59508,-77.49371")</f>
        <v>http://maps.google.com/maps?f=q&amp;hl=en&amp;geocode=&amp;q=37.59508,-77.49371</v>
      </c>
    </row>
    <row r="1982" spans="1:7" ht="15" x14ac:dyDescent="0.3">
      <c r="A1982" t="s">
        <v>44</v>
      </c>
      <c r="B1982" t="s">
        <v>44</v>
      </c>
      <c r="C1982" t="s">
        <v>44</v>
      </c>
      <c r="D1982" t="s">
        <v>1463</v>
      </c>
      <c r="F1982" s="21"/>
      <c r="G1982" s="16"/>
    </row>
    <row r="1983" spans="1:7" ht="15" x14ac:dyDescent="0.3">
      <c r="A1983" t="s">
        <v>44</v>
      </c>
      <c r="B1983" t="s">
        <v>44</v>
      </c>
      <c r="C1983" t="s">
        <v>44</v>
      </c>
      <c r="D1983" t="s">
        <v>1463</v>
      </c>
      <c r="F1983" s="21"/>
      <c r="G1983" s="16"/>
    </row>
    <row r="1984" spans="1:7" ht="15" x14ac:dyDescent="0.3">
      <c r="A1984">
        <v>31.883710000000001</v>
      </c>
      <c r="B1984">
        <v>-102.49551</v>
      </c>
      <c r="C1984" t="s">
        <v>41</v>
      </c>
      <c r="D1984" t="s">
        <v>119</v>
      </c>
      <c r="F1984" s="21"/>
      <c r="G1984" s="16" t="str">
        <f>HYPERLINK("http://maps.google.com/maps?f=q&amp;hl=en&amp;geocode=&amp;q=31.88371,-102.49551")</f>
        <v>http://maps.google.com/maps?f=q&amp;hl=en&amp;geocode=&amp;q=31.88371,-102.49551</v>
      </c>
    </row>
    <row r="1985" spans="1:7" ht="15" x14ac:dyDescent="0.3">
      <c r="A1985">
        <v>39.625340000000001</v>
      </c>
      <c r="B1985">
        <v>-79.949749999999995</v>
      </c>
      <c r="C1985" t="s">
        <v>43</v>
      </c>
      <c r="D1985" t="s">
        <v>1464</v>
      </c>
      <c r="F1985" s="21"/>
      <c r="G1985" s="16" t="str">
        <f>HYPERLINK("http://maps.google.com/maps?f=q&amp;hl=en&amp;geocode=&amp;q=39.62534,-79.94975")</f>
        <v>http://maps.google.com/maps?f=q&amp;hl=en&amp;geocode=&amp;q=39.62534,-79.94975</v>
      </c>
    </row>
    <row r="1986" spans="1:7" ht="15" x14ac:dyDescent="0.3">
      <c r="A1986">
        <v>32.723753651566199</v>
      </c>
      <c r="B1986">
        <v>-96.831882505105895</v>
      </c>
      <c r="C1986" t="s">
        <v>41</v>
      </c>
      <c r="D1986" t="s">
        <v>1465</v>
      </c>
      <c r="F1986" s="21"/>
      <c r="G1986" s="16" t="str">
        <f>HYPERLINK("http://maps.google.com/maps?f=q&amp;hl=en&amp;geocode=&amp;q=32.7237536515662,-96.8318825051059")</f>
        <v>http://maps.google.com/maps?f=q&amp;hl=en&amp;geocode=&amp;q=32.7237536515662,-96.8318825051059</v>
      </c>
    </row>
    <row r="1987" spans="1:7" ht="15" x14ac:dyDescent="0.3">
      <c r="A1987">
        <v>42.4211838777669</v>
      </c>
      <c r="B1987">
        <v>-76.492153618799193</v>
      </c>
      <c r="C1987" t="s">
        <v>41</v>
      </c>
      <c r="D1987" t="s">
        <v>146</v>
      </c>
      <c r="F1987" s="21"/>
      <c r="G1987" s="16" t="str">
        <f>HYPERLINK("http://maps.google.com/maps?f=q&amp;hl=en&amp;geocode=&amp;q=42.4211838777669,-76.4921536187992")</f>
        <v>http://maps.google.com/maps?f=q&amp;hl=en&amp;geocode=&amp;q=42.4211838777669,-76.4921536187992</v>
      </c>
    </row>
    <row r="1988" spans="1:7" ht="15" x14ac:dyDescent="0.3">
      <c r="A1988">
        <v>45.781402723110901</v>
      </c>
      <c r="B1988">
        <v>-89.101368688207401</v>
      </c>
      <c r="C1988" t="s">
        <v>41</v>
      </c>
      <c r="D1988" t="s">
        <v>1318</v>
      </c>
      <c r="F1988" s="21"/>
      <c r="G1988" s="16" t="str">
        <f>HYPERLINK("http://maps.google.com/maps?f=q&amp;hl=en&amp;geocode=&amp;q=45.7814027231109,-89.1013686882074")</f>
        <v>http://maps.google.com/maps?f=q&amp;hl=en&amp;geocode=&amp;q=45.7814027231109,-89.1013686882074</v>
      </c>
    </row>
    <row r="1989" spans="1:7" ht="15" x14ac:dyDescent="0.3">
      <c r="A1989">
        <v>40.0413639639387</v>
      </c>
      <c r="B1989">
        <v>-75.0787673622998</v>
      </c>
      <c r="C1989" t="s">
        <v>41</v>
      </c>
      <c r="D1989" t="s">
        <v>1466</v>
      </c>
      <c r="F1989" s="21"/>
      <c r="G1989" s="16" t="str">
        <f>HYPERLINK("http://maps.google.com/maps?f=q&amp;hl=en&amp;geocode=&amp;q=40.0413639639387,-75.0787673622998")</f>
        <v>http://maps.google.com/maps?f=q&amp;hl=en&amp;geocode=&amp;q=40.0413639639387,-75.0787673622998</v>
      </c>
    </row>
    <row r="1990" spans="1:7" ht="15" x14ac:dyDescent="0.3">
      <c r="A1990">
        <v>13.3421745300293</v>
      </c>
      <c r="B1990">
        <v>121.187538146973</v>
      </c>
      <c r="C1990" t="s">
        <v>43</v>
      </c>
      <c r="D1990" t="s">
        <v>1467</v>
      </c>
      <c r="F1990" s="21"/>
      <c r="G1990" s="16" t="str">
        <f>HYPERLINK("http://maps.google.com/maps?f=q&amp;hl=en&amp;geocode=&amp;q=13.3421745300293,121.187538146973")</f>
        <v>http://maps.google.com/maps?f=q&amp;hl=en&amp;geocode=&amp;q=13.3421745300293,121.187538146973</v>
      </c>
    </row>
    <row r="1991" spans="1:7" ht="15" x14ac:dyDescent="0.3">
      <c r="A1991">
        <v>40.681510000000003</v>
      </c>
      <c r="B1991">
        <v>-74.200869999999995</v>
      </c>
      <c r="C1991" t="s">
        <v>41</v>
      </c>
      <c r="D1991" t="s">
        <v>1468</v>
      </c>
      <c r="F1991" s="21"/>
      <c r="G1991" s="16" t="str">
        <f>HYPERLINK("http://maps.google.com/maps?f=q&amp;hl=en&amp;geocode=&amp;q=40.68151,-74.20087")</f>
        <v>http://maps.google.com/maps?f=q&amp;hl=en&amp;geocode=&amp;q=40.68151,-74.20087</v>
      </c>
    </row>
    <row r="1992" spans="1:7" ht="15" x14ac:dyDescent="0.3">
      <c r="A1992">
        <v>-35.394449999999999</v>
      </c>
      <c r="B1992">
        <v>138.46156999999999</v>
      </c>
      <c r="C1992" t="s">
        <v>41</v>
      </c>
      <c r="D1992" t="s">
        <v>1469</v>
      </c>
      <c r="F1992" s="21"/>
      <c r="G1992" s="16" t="str">
        <f>HYPERLINK("http://maps.google.com/maps?f=q&amp;hl=en&amp;geocode=&amp;q=-35.39445,138.46157")</f>
        <v>http://maps.google.com/maps?f=q&amp;hl=en&amp;geocode=&amp;q=-35.39445,138.46157</v>
      </c>
    </row>
    <row r="1993" spans="1:7" ht="15" x14ac:dyDescent="0.3">
      <c r="A1993">
        <v>40.044710000000002</v>
      </c>
      <c r="B1993">
        <v>-75.066879999999998</v>
      </c>
      <c r="C1993" t="s">
        <v>41</v>
      </c>
      <c r="D1993" t="s">
        <v>1246</v>
      </c>
      <c r="F1993" s="21"/>
      <c r="G1993" s="16" t="str">
        <f>HYPERLINK("http://maps.google.com/maps?f=q&amp;hl=en&amp;geocode=&amp;q=40.04471,-75.06688")</f>
        <v>http://maps.google.com/maps?f=q&amp;hl=en&amp;geocode=&amp;q=40.04471,-75.06688</v>
      </c>
    </row>
    <row r="1994" spans="1:7" ht="15" x14ac:dyDescent="0.3">
      <c r="A1994">
        <v>40.646520000000002</v>
      </c>
      <c r="B1994">
        <v>-111.9388</v>
      </c>
      <c r="C1994" t="s">
        <v>42</v>
      </c>
      <c r="D1994" t="s">
        <v>1256</v>
      </c>
      <c r="F1994" s="21"/>
      <c r="G1994" s="16" t="str">
        <f>HYPERLINK("http://maps.google.com/maps?f=q&amp;hl=en&amp;geocode=&amp;q=40.64652,-111.9388")</f>
        <v>http://maps.google.com/maps?f=q&amp;hl=en&amp;geocode=&amp;q=40.64652,-111.9388</v>
      </c>
    </row>
    <row r="1995" spans="1:7" ht="15" x14ac:dyDescent="0.3">
      <c r="A1995">
        <v>48.198421489240602</v>
      </c>
      <c r="B1995">
        <v>-117.791041165786</v>
      </c>
      <c r="C1995" t="s">
        <v>41</v>
      </c>
      <c r="D1995" t="s">
        <v>1470</v>
      </c>
      <c r="F1995" s="21"/>
      <c r="G1995" s="16" t="str">
        <f>HYPERLINK("http://maps.google.com/maps?f=q&amp;hl=en&amp;geocode=&amp;q=48.1984214892406,-117.791041165786")</f>
        <v>http://maps.google.com/maps?f=q&amp;hl=en&amp;geocode=&amp;q=48.1984214892406,-117.791041165786</v>
      </c>
    </row>
    <row r="1996" spans="1:7" ht="15" x14ac:dyDescent="0.3">
      <c r="A1996">
        <v>-36.718856811523402</v>
      </c>
      <c r="B1996">
        <v>142.19622802734401</v>
      </c>
      <c r="C1996" t="s">
        <v>43</v>
      </c>
      <c r="D1996" t="s">
        <v>1471</v>
      </c>
      <c r="F1996" s="21"/>
      <c r="G1996" s="16" t="str">
        <f>HYPERLINK("http://maps.google.com/maps?f=q&amp;hl=en&amp;geocode=&amp;q=-36.7188568115234,142.196228027344")</f>
        <v>http://maps.google.com/maps?f=q&amp;hl=en&amp;geocode=&amp;q=-36.7188568115234,142.196228027344</v>
      </c>
    </row>
    <row r="1997" spans="1:7" ht="15" x14ac:dyDescent="0.3">
      <c r="A1997" t="s">
        <v>44</v>
      </c>
      <c r="B1997" t="s">
        <v>44</v>
      </c>
      <c r="C1997" t="s">
        <v>44</v>
      </c>
      <c r="D1997" t="s">
        <v>1472</v>
      </c>
      <c r="F1997" s="21"/>
      <c r="G1997" s="16"/>
    </row>
    <row r="1998" spans="1:7" ht="15" x14ac:dyDescent="0.3">
      <c r="A1998" t="s">
        <v>44</v>
      </c>
      <c r="B1998" t="s">
        <v>44</v>
      </c>
      <c r="C1998" t="s">
        <v>44</v>
      </c>
      <c r="D1998" t="s">
        <v>1473</v>
      </c>
      <c r="F1998" s="21"/>
      <c r="G1998" s="16"/>
    </row>
    <row r="1999" spans="1:7" ht="15" x14ac:dyDescent="0.3">
      <c r="A1999">
        <v>41.5089111328125</v>
      </c>
      <c r="B1999">
        <v>-87.073318481445298</v>
      </c>
      <c r="C1999" t="s">
        <v>43</v>
      </c>
      <c r="D1999" t="s">
        <v>1474</v>
      </c>
      <c r="F1999" s="21"/>
      <c r="G1999" s="16" t="str">
        <f>HYPERLINK("http://maps.google.com/maps?f=q&amp;hl=en&amp;geocode=&amp;q=41.5089111328125,-87.0733184814453")</f>
        <v>http://maps.google.com/maps?f=q&amp;hl=en&amp;geocode=&amp;q=41.5089111328125,-87.0733184814453</v>
      </c>
    </row>
    <row r="2000" spans="1:7" ht="15" x14ac:dyDescent="0.3">
      <c r="A2000">
        <v>39.984630000000003</v>
      </c>
      <c r="B2000">
        <v>-75.107839999999996</v>
      </c>
      <c r="C2000" t="s">
        <v>41</v>
      </c>
      <c r="D2000" t="s">
        <v>1475</v>
      </c>
      <c r="F2000" s="21"/>
      <c r="G2000" s="16" t="str">
        <f>HYPERLINK("http://maps.google.com/maps?f=q&amp;hl=en&amp;geocode=&amp;q=39.98463,-75.10784")</f>
        <v>http://maps.google.com/maps?f=q&amp;hl=en&amp;geocode=&amp;q=39.98463,-75.10784</v>
      </c>
    </row>
    <row r="2001" spans="1:7" ht="15" x14ac:dyDescent="0.3">
      <c r="A2001">
        <v>-28.342119216918899</v>
      </c>
      <c r="B2001">
        <v>152.00799560546901</v>
      </c>
      <c r="C2001" t="s">
        <v>43</v>
      </c>
      <c r="D2001" t="s">
        <v>1372</v>
      </c>
      <c r="F2001" s="21"/>
      <c r="G2001" s="16" t="str">
        <f>HYPERLINK("http://maps.google.com/maps?f=q&amp;hl=en&amp;geocode=&amp;q=-28.3421192169189,152.007995605469")</f>
        <v>http://maps.google.com/maps?f=q&amp;hl=en&amp;geocode=&amp;q=-28.3421192169189,152.007995605469</v>
      </c>
    </row>
    <row r="2002" spans="1:7" ht="15" x14ac:dyDescent="0.3">
      <c r="A2002">
        <v>45.268642425537102</v>
      </c>
      <c r="B2002">
        <v>-110.023239135742</v>
      </c>
      <c r="C2002" t="s">
        <v>41</v>
      </c>
      <c r="D2002" t="s">
        <v>1476</v>
      </c>
      <c r="F2002" s="21"/>
      <c r="G2002" s="16" t="str">
        <f>HYPERLINK("http://maps.google.com/maps?f=q&amp;hl=en&amp;geocode=&amp;q=45.2686424255371,-110.023239135742")</f>
        <v>http://maps.google.com/maps?f=q&amp;hl=en&amp;geocode=&amp;q=45.2686424255371,-110.023239135742</v>
      </c>
    </row>
    <row r="2003" spans="1:7" ht="15" x14ac:dyDescent="0.3">
      <c r="A2003">
        <v>29.9780340312583</v>
      </c>
      <c r="B2003">
        <v>-81.8199708589149</v>
      </c>
      <c r="C2003" t="s">
        <v>41</v>
      </c>
      <c r="D2003" t="s">
        <v>1335</v>
      </c>
      <c r="F2003" s="21"/>
      <c r="G2003" s="16" t="str">
        <f>HYPERLINK("http://maps.google.com/maps?f=q&amp;hl=en&amp;geocode=&amp;q=29.9780340312583,-81.8199708589149")</f>
        <v>http://maps.google.com/maps?f=q&amp;hl=en&amp;geocode=&amp;q=29.9780340312583,-81.8199708589149</v>
      </c>
    </row>
    <row r="2004" spans="1:7" ht="15" x14ac:dyDescent="0.3">
      <c r="A2004">
        <v>37.006450000000001</v>
      </c>
      <c r="B2004">
        <v>-85.395020000000002</v>
      </c>
      <c r="C2004" t="s">
        <v>42</v>
      </c>
      <c r="D2004" t="s">
        <v>1477</v>
      </c>
      <c r="F2004" s="21"/>
      <c r="G2004" s="16" t="str">
        <f>HYPERLINK("http://maps.google.com/maps?f=q&amp;hl=en&amp;geocode=&amp;q=37.00645,-85.39502")</f>
        <v>http://maps.google.com/maps?f=q&amp;hl=en&amp;geocode=&amp;q=37.00645,-85.39502</v>
      </c>
    </row>
    <row r="2005" spans="1:7" ht="15" x14ac:dyDescent="0.3">
      <c r="A2005">
        <v>33.3486030752712</v>
      </c>
      <c r="B2005">
        <v>-98.606133829529398</v>
      </c>
      <c r="C2005" t="s">
        <v>41</v>
      </c>
      <c r="D2005" t="s">
        <v>1478</v>
      </c>
      <c r="F2005" s="21"/>
      <c r="G2005" s="16" t="str">
        <f>HYPERLINK("http://maps.google.com/maps?f=q&amp;hl=en&amp;geocode=&amp;q=33.3486030752712,-98.6061338295294")</f>
        <v>http://maps.google.com/maps?f=q&amp;hl=en&amp;geocode=&amp;q=33.3486030752712,-98.6061338295294</v>
      </c>
    </row>
    <row r="2006" spans="1:7" ht="15" x14ac:dyDescent="0.3">
      <c r="A2006">
        <v>40.1778330916123</v>
      </c>
      <c r="B2006">
        <v>-85.4254102056573</v>
      </c>
      <c r="C2006" t="s">
        <v>41</v>
      </c>
      <c r="D2006" t="s">
        <v>1479</v>
      </c>
      <c r="F2006" s="21"/>
      <c r="G2006" s="16" t="str">
        <f>HYPERLINK("http://maps.google.com/maps?f=q&amp;hl=en&amp;geocode=&amp;q=40.1778330916123,-85.4254102056573")</f>
        <v>http://maps.google.com/maps?f=q&amp;hl=en&amp;geocode=&amp;q=40.1778330916123,-85.4254102056573</v>
      </c>
    </row>
    <row r="2007" spans="1:7" ht="15" x14ac:dyDescent="0.3">
      <c r="A2007">
        <v>39.924098249446899</v>
      </c>
      <c r="B2007">
        <v>-75.236173156249393</v>
      </c>
      <c r="C2007" t="s">
        <v>43</v>
      </c>
      <c r="D2007" t="s">
        <v>125</v>
      </c>
      <c r="F2007" s="21"/>
      <c r="G2007" s="16" t="str">
        <f>HYPERLINK("http://maps.google.com/maps?f=q&amp;hl=en&amp;geocode=&amp;q=39.9240982494469,-75.2361731562494")</f>
        <v>http://maps.google.com/maps?f=q&amp;hl=en&amp;geocode=&amp;q=39.9240982494469,-75.2361731562494</v>
      </c>
    </row>
    <row r="2008" spans="1:7" ht="15" x14ac:dyDescent="0.3">
      <c r="A2008">
        <v>37.193010000000001</v>
      </c>
      <c r="B2008">
        <v>-79.925550000000001</v>
      </c>
      <c r="C2008" t="s">
        <v>43</v>
      </c>
      <c r="D2008" t="s">
        <v>118</v>
      </c>
      <c r="F2008" s="21"/>
      <c r="G2008" s="16" t="str">
        <f>HYPERLINK("http://maps.google.com/maps?f=q&amp;hl=en&amp;geocode=&amp;q=37.19301,-79.92555")</f>
        <v>http://maps.google.com/maps?f=q&amp;hl=en&amp;geocode=&amp;q=37.19301,-79.92555</v>
      </c>
    </row>
    <row r="2009" spans="1:7" ht="15" x14ac:dyDescent="0.3">
      <c r="A2009">
        <v>33.110443983454097</v>
      </c>
      <c r="B2009">
        <v>-96.639503004148906</v>
      </c>
      <c r="C2009" t="s">
        <v>41</v>
      </c>
      <c r="D2009" t="s">
        <v>1480</v>
      </c>
      <c r="F2009" s="21"/>
      <c r="G2009" s="16" t="str">
        <f>HYPERLINK("http://maps.google.com/maps?f=q&amp;hl=en&amp;geocode=&amp;q=33.1104439834541,-96.6395030041489")</f>
        <v>http://maps.google.com/maps?f=q&amp;hl=en&amp;geocode=&amp;q=33.1104439834541,-96.6395030041489</v>
      </c>
    </row>
    <row r="2010" spans="1:7" ht="15" x14ac:dyDescent="0.3">
      <c r="A2010">
        <v>38.707741855237799</v>
      </c>
      <c r="B2010">
        <v>-90.271877813569702</v>
      </c>
      <c r="C2010" t="s">
        <v>41</v>
      </c>
      <c r="D2010" t="s">
        <v>785</v>
      </c>
      <c r="F2010" s="21"/>
      <c r="G2010" s="16" t="str">
        <f>HYPERLINK("http://maps.google.com/maps?f=q&amp;hl=en&amp;geocode=&amp;q=38.7077418552378,-90.2718778135697")</f>
        <v>http://maps.google.com/maps?f=q&amp;hl=en&amp;geocode=&amp;q=38.7077418552378,-90.2718778135697</v>
      </c>
    </row>
    <row r="2011" spans="1:7" ht="15" x14ac:dyDescent="0.3">
      <c r="A2011">
        <v>38.707741855237799</v>
      </c>
      <c r="B2011">
        <v>-90.271877813569702</v>
      </c>
      <c r="C2011" t="s">
        <v>41</v>
      </c>
      <c r="D2011" t="s">
        <v>785</v>
      </c>
      <c r="F2011" s="21"/>
      <c r="G2011" s="16" t="str">
        <f>HYPERLINK("http://maps.google.com/maps?f=q&amp;hl=en&amp;geocode=&amp;q=38.7077418552378,-90.2718778135697")</f>
        <v>http://maps.google.com/maps?f=q&amp;hl=en&amp;geocode=&amp;q=38.7077418552378,-90.2718778135697</v>
      </c>
    </row>
    <row r="2012" spans="1:7" ht="15" x14ac:dyDescent="0.3">
      <c r="A2012">
        <v>36.744827562864998</v>
      </c>
      <c r="B2012">
        <v>-94.408402190291298</v>
      </c>
      <c r="C2012" t="s">
        <v>43</v>
      </c>
      <c r="D2012" t="s">
        <v>1481</v>
      </c>
      <c r="F2012" s="21"/>
      <c r="G2012" s="16" t="str">
        <f>HYPERLINK("http://maps.google.com/maps?f=q&amp;hl=en&amp;geocode=&amp;q=36.744827562865,-94.4084021902913")</f>
        <v>http://maps.google.com/maps?f=q&amp;hl=en&amp;geocode=&amp;q=36.744827562865,-94.4084021902913</v>
      </c>
    </row>
    <row r="2013" spans="1:7" ht="15" x14ac:dyDescent="0.3">
      <c r="A2013">
        <v>-5.5385999679565403</v>
      </c>
      <c r="B2013">
        <v>150.131591796875</v>
      </c>
      <c r="C2013" t="s">
        <v>41</v>
      </c>
      <c r="D2013" t="s">
        <v>1482</v>
      </c>
      <c r="F2013" s="21"/>
      <c r="G2013" s="16" t="str">
        <f>HYPERLINK("http://maps.google.com/maps?f=q&amp;hl=en&amp;geocode=&amp;q=-5.53859996795654,150.131591796875")</f>
        <v>http://maps.google.com/maps?f=q&amp;hl=en&amp;geocode=&amp;q=-5.53859996795654,150.131591796875</v>
      </c>
    </row>
    <row r="2014" spans="1:7" ht="15" x14ac:dyDescent="0.3">
      <c r="A2014">
        <v>32.8161223034068</v>
      </c>
      <c r="B2014">
        <v>-117.268811141499</v>
      </c>
      <c r="C2014" t="s">
        <v>41</v>
      </c>
      <c r="D2014" t="s">
        <v>114</v>
      </c>
      <c r="F2014" s="21"/>
      <c r="G2014" s="16" t="str">
        <f>HYPERLINK("http://maps.google.com/maps?f=q&amp;hl=en&amp;geocode=&amp;q=32.8161223034068,-117.268811141499")</f>
        <v>http://maps.google.com/maps?f=q&amp;hl=en&amp;geocode=&amp;q=32.8161223034068,-117.268811141499</v>
      </c>
    </row>
    <row r="2015" spans="1:7" ht="15" x14ac:dyDescent="0.3">
      <c r="A2015" t="s">
        <v>44</v>
      </c>
      <c r="B2015" t="s">
        <v>44</v>
      </c>
      <c r="C2015" t="s">
        <v>44</v>
      </c>
      <c r="D2015" t="s">
        <v>1483</v>
      </c>
      <c r="F2015" s="21"/>
      <c r="G2015" s="16"/>
    </row>
    <row r="2016" spans="1:7" ht="15" x14ac:dyDescent="0.3">
      <c r="A2016">
        <v>50.587699890136697</v>
      </c>
      <c r="B2016">
        <v>4.32674217224121</v>
      </c>
      <c r="C2016" t="s">
        <v>43</v>
      </c>
      <c r="D2016" t="s">
        <v>1484</v>
      </c>
      <c r="F2016" s="21"/>
      <c r="G2016" s="16" t="str">
        <f>HYPERLINK("http://maps.google.com/maps?f=q&amp;hl=en&amp;geocode=&amp;q=50.5876998901367,4.32674217224121")</f>
        <v>http://maps.google.com/maps?f=q&amp;hl=en&amp;geocode=&amp;q=50.5876998901367,4.32674217224121</v>
      </c>
    </row>
    <row r="2017" spans="1:7" ht="15" x14ac:dyDescent="0.3">
      <c r="A2017" t="s">
        <v>44</v>
      </c>
      <c r="B2017" t="s">
        <v>44</v>
      </c>
      <c r="C2017" t="s">
        <v>44</v>
      </c>
      <c r="D2017" t="s">
        <v>1485</v>
      </c>
      <c r="F2017" s="21"/>
      <c r="G2017" s="16"/>
    </row>
    <row r="2018" spans="1:7" ht="15" x14ac:dyDescent="0.3">
      <c r="A2018">
        <v>42.21284</v>
      </c>
      <c r="B2018">
        <v>-71.839799999999997</v>
      </c>
      <c r="C2018" t="s">
        <v>41</v>
      </c>
      <c r="D2018" t="s">
        <v>1486</v>
      </c>
      <c r="F2018" s="21"/>
      <c r="G2018" s="16" t="str">
        <f>HYPERLINK("http://maps.google.com/maps?f=q&amp;hl=en&amp;geocode=&amp;q=42.21284,-71.8398")</f>
        <v>http://maps.google.com/maps?f=q&amp;hl=en&amp;geocode=&amp;q=42.21284,-71.8398</v>
      </c>
    </row>
    <row r="2019" spans="1:7" ht="15" x14ac:dyDescent="0.3">
      <c r="A2019">
        <v>43.049706216103701</v>
      </c>
      <c r="B2019">
        <v>-83.719397930507199</v>
      </c>
      <c r="C2019" t="s">
        <v>41</v>
      </c>
      <c r="D2019" t="s">
        <v>232</v>
      </c>
      <c r="F2019" s="21"/>
      <c r="G2019" s="16" t="str">
        <f>HYPERLINK("http://maps.google.com/maps?f=q&amp;hl=en&amp;geocode=&amp;q=43.0497062161037,-83.7193979305072")</f>
        <v>http://maps.google.com/maps?f=q&amp;hl=en&amp;geocode=&amp;q=43.0497062161037,-83.7193979305072</v>
      </c>
    </row>
    <row r="2020" spans="1:7" ht="15" x14ac:dyDescent="0.3">
      <c r="A2020">
        <v>41.094470000000001</v>
      </c>
      <c r="B2020">
        <v>-111.92325</v>
      </c>
      <c r="C2020" t="s">
        <v>42</v>
      </c>
      <c r="D2020" t="s">
        <v>1487</v>
      </c>
      <c r="F2020" s="21"/>
      <c r="G2020" s="16" t="str">
        <f>HYPERLINK("http://maps.google.com/maps?f=q&amp;hl=en&amp;geocode=&amp;q=41.09447,-111.92325")</f>
        <v>http://maps.google.com/maps?f=q&amp;hl=en&amp;geocode=&amp;q=41.09447,-111.92325</v>
      </c>
    </row>
    <row r="2021" spans="1:7" ht="15" x14ac:dyDescent="0.3">
      <c r="A2021">
        <v>40.006929999999997</v>
      </c>
      <c r="B2021">
        <v>-75.107900000000001</v>
      </c>
      <c r="C2021" t="s">
        <v>41</v>
      </c>
      <c r="D2021" t="s">
        <v>1488</v>
      </c>
      <c r="F2021" s="21"/>
      <c r="G2021" s="16" t="str">
        <f>HYPERLINK("http://maps.google.com/maps?f=q&amp;hl=en&amp;geocode=&amp;q=40.00693,-75.1079")</f>
        <v>http://maps.google.com/maps?f=q&amp;hl=en&amp;geocode=&amp;q=40.00693,-75.1079</v>
      </c>
    </row>
    <row r="2022" spans="1:7" ht="15" x14ac:dyDescent="0.3">
      <c r="A2022" t="s">
        <v>44</v>
      </c>
      <c r="B2022" t="s">
        <v>44</v>
      </c>
      <c r="C2022" t="s">
        <v>44</v>
      </c>
      <c r="D2022" t="s">
        <v>1489</v>
      </c>
      <c r="F2022" s="21"/>
      <c r="G2022" s="16"/>
    </row>
    <row r="2023" spans="1:7" ht="15" x14ac:dyDescent="0.3">
      <c r="A2023">
        <v>36.501468027726602</v>
      </c>
      <c r="B2023">
        <v>-116.427908619893</v>
      </c>
      <c r="C2023" t="s">
        <v>41</v>
      </c>
      <c r="D2023" t="s">
        <v>1490</v>
      </c>
      <c r="F2023" s="21"/>
      <c r="G2023" s="16" t="str">
        <f>HYPERLINK("http://maps.google.com/maps?f=q&amp;hl=en&amp;geocode=&amp;q=36.5014680277266,-116.427908619893")</f>
        <v>http://maps.google.com/maps?f=q&amp;hl=en&amp;geocode=&amp;q=36.5014680277266,-116.427908619893</v>
      </c>
    </row>
    <row r="2024" spans="1:7" ht="15" x14ac:dyDescent="0.3">
      <c r="A2024">
        <v>38.939419999999998</v>
      </c>
      <c r="B2024">
        <v>-77.074969999999993</v>
      </c>
      <c r="C2024" t="s">
        <v>41</v>
      </c>
      <c r="D2024" t="s">
        <v>1491</v>
      </c>
      <c r="F2024" s="21"/>
      <c r="G2024" s="16" t="str">
        <f>HYPERLINK("http://maps.google.com/maps?f=q&amp;hl=en&amp;geocode=&amp;q=38.93942,-77.07497")</f>
        <v>http://maps.google.com/maps?f=q&amp;hl=en&amp;geocode=&amp;q=38.93942,-77.07497</v>
      </c>
    </row>
    <row r="2025" spans="1:7" ht="15" x14ac:dyDescent="0.3">
      <c r="A2025">
        <v>42.257129999999997</v>
      </c>
      <c r="B2025">
        <v>-88.819670000000002</v>
      </c>
      <c r="C2025" t="s">
        <v>41</v>
      </c>
      <c r="D2025" t="s">
        <v>830</v>
      </c>
      <c r="F2025" s="21"/>
      <c r="G2025" s="16" t="str">
        <f>HYPERLINK("http://maps.google.com/maps?f=q&amp;hl=en&amp;geocode=&amp;q=42.25713,-88.81967")</f>
        <v>http://maps.google.com/maps?f=q&amp;hl=en&amp;geocode=&amp;q=42.25713,-88.81967</v>
      </c>
    </row>
    <row r="2026" spans="1:7" ht="15" x14ac:dyDescent="0.3">
      <c r="A2026">
        <v>29.320360183715799</v>
      </c>
      <c r="B2026">
        <v>-96.099159240722699</v>
      </c>
      <c r="C2026" t="s">
        <v>43</v>
      </c>
      <c r="D2026" t="s">
        <v>1492</v>
      </c>
      <c r="F2026" s="21"/>
      <c r="G2026" s="16" t="str">
        <f>HYPERLINK("http://maps.google.com/maps?f=q&amp;hl=en&amp;geocode=&amp;q=29.3203601837158,-96.0991592407227")</f>
        <v>http://maps.google.com/maps?f=q&amp;hl=en&amp;geocode=&amp;q=29.3203601837158,-96.0991592407227</v>
      </c>
    </row>
    <row r="2027" spans="1:7" ht="15" x14ac:dyDescent="0.3">
      <c r="A2027">
        <v>39.988019999999999</v>
      </c>
      <c r="B2027">
        <v>-75.237470000000002</v>
      </c>
      <c r="C2027" t="s">
        <v>43</v>
      </c>
      <c r="D2027" t="s">
        <v>1493</v>
      </c>
      <c r="F2027" s="21"/>
      <c r="G2027" s="16" t="str">
        <f>HYPERLINK("http://maps.google.com/maps?f=q&amp;hl=en&amp;geocode=&amp;q=39.98802,-75.23747")</f>
        <v>http://maps.google.com/maps?f=q&amp;hl=en&amp;geocode=&amp;q=39.98802,-75.23747</v>
      </c>
    </row>
    <row r="2028" spans="1:7" ht="15" x14ac:dyDescent="0.3">
      <c r="A2028">
        <v>39.988019999999999</v>
      </c>
      <c r="B2028">
        <v>-75.237470000000002</v>
      </c>
      <c r="C2028" t="s">
        <v>43</v>
      </c>
      <c r="D2028" t="s">
        <v>1493</v>
      </c>
      <c r="F2028" s="21"/>
      <c r="G2028" s="16" t="str">
        <f>HYPERLINK("http://maps.google.com/maps?f=q&amp;hl=en&amp;geocode=&amp;q=39.98802,-75.23747")</f>
        <v>http://maps.google.com/maps?f=q&amp;hl=en&amp;geocode=&amp;q=39.98802,-75.23747</v>
      </c>
    </row>
    <row r="2029" spans="1:7" ht="15" x14ac:dyDescent="0.3">
      <c r="A2029">
        <v>39.950189999999999</v>
      </c>
      <c r="B2029">
        <v>-75.233009999999993</v>
      </c>
      <c r="C2029" t="s">
        <v>43</v>
      </c>
      <c r="D2029" t="s">
        <v>1494</v>
      </c>
      <c r="F2029" s="21"/>
      <c r="G2029" s="16" t="str">
        <f>HYPERLINK("http://maps.google.com/maps?f=q&amp;hl=en&amp;geocode=&amp;q=39.95019,-75.23301")</f>
        <v>http://maps.google.com/maps?f=q&amp;hl=en&amp;geocode=&amp;q=39.95019,-75.23301</v>
      </c>
    </row>
    <row r="2030" spans="1:7" ht="15" x14ac:dyDescent="0.3">
      <c r="A2030" t="s">
        <v>44</v>
      </c>
      <c r="B2030" t="s">
        <v>44</v>
      </c>
      <c r="C2030" t="s">
        <v>44</v>
      </c>
      <c r="D2030" t="s">
        <v>1495</v>
      </c>
      <c r="F2030" s="21"/>
      <c r="G2030" s="16"/>
    </row>
    <row r="2031" spans="1:7" ht="15" x14ac:dyDescent="0.3">
      <c r="A2031" t="s">
        <v>44</v>
      </c>
      <c r="B2031" t="s">
        <v>44</v>
      </c>
      <c r="C2031" t="s">
        <v>44</v>
      </c>
      <c r="D2031" t="s">
        <v>1496</v>
      </c>
      <c r="F2031" s="21"/>
      <c r="G2031" s="16"/>
    </row>
    <row r="2032" spans="1:7" ht="15" x14ac:dyDescent="0.3">
      <c r="A2032" t="s">
        <v>44</v>
      </c>
      <c r="B2032" t="s">
        <v>44</v>
      </c>
      <c r="C2032" t="s">
        <v>44</v>
      </c>
      <c r="D2032" t="s">
        <v>1497</v>
      </c>
      <c r="F2032" s="21"/>
      <c r="G2032" s="16"/>
    </row>
    <row r="2033" spans="1:7" ht="15" x14ac:dyDescent="0.3">
      <c r="A2033">
        <v>41.5089111328125</v>
      </c>
      <c r="B2033">
        <v>-87.073318481445298</v>
      </c>
      <c r="C2033" t="s">
        <v>43</v>
      </c>
      <c r="D2033" t="s">
        <v>1498</v>
      </c>
      <c r="F2033" s="21"/>
      <c r="G2033" s="16" t="str">
        <f>HYPERLINK("http://maps.google.com/maps?f=q&amp;hl=en&amp;geocode=&amp;q=41.5089111328125,-87.0733184814453")</f>
        <v>http://maps.google.com/maps?f=q&amp;hl=en&amp;geocode=&amp;q=41.5089111328125,-87.0733184814453</v>
      </c>
    </row>
    <row r="2034" spans="1:7" ht="15" x14ac:dyDescent="0.3">
      <c r="A2034">
        <v>39.957450000000001</v>
      </c>
      <c r="B2034">
        <v>-75.243729999999999</v>
      </c>
      <c r="C2034" t="s">
        <v>43</v>
      </c>
      <c r="D2034" t="s">
        <v>1499</v>
      </c>
      <c r="F2034" s="21"/>
      <c r="G2034" s="16" t="str">
        <f>HYPERLINK("http://maps.google.com/maps?f=q&amp;hl=en&amp;geocode=&amp;q=39.95745,-75.24373")</f>
        <v>http://maps.google.com/maps?f=q&amp;hl=en&amp;geocode=&amp;q=39.95745,-75.24373</v>
      </c>
    </row>
    <row r="2035" spans="1:7" ht="15" x14ac:dyDescent="0.3">
      <c r="A2035" t="s">
        <v>44</v>
      </c>
      <c r="B2035" t="s">
        <v>44</v>
      </c>
      <c r="C2035" t="s">
        <v>44</v>
      </c>
      <c r="D2035" t="s">
        <v>1500</v>
      </c>
      <c r="F2035" s="21"/>
      <c r="G2035" s="16"/>
    </row>
    <row r="2036" spans="1:7" ht="15" x14ac:dyDescent="0.3">
      <c r="A2036">
        <v>47.667839050292997</v>
      </c>
      <c r="B2036">
        <v>13.172150611877401</v>
      </c>
      <c r="C2036" t="s">
        <v>41</v>
      </c>
      <c r="D2036" t="s">
        <v>1501</v>
      </c>
      <c r="F2036" s="21"/>
      <c r="G2036" s="16" t="str">
        <f>HYPERLINK("http://maps.google.com/maps?f=q&amp;hl=en&amp;geocode=&amp;q=47.667839050293,13.1721506118774")</f>
        <v>http://maps.google.com/maps?f=q&amp;hl=en&amp;geocode=&amp;q=47.667839050293,13.1721506118774</v>
      </c>
    </row>
    <row r="2037" spans="1:7" ht="15" x14ac:dyDescent="0.3">
      <c r="A2037">
        <v>39.972439999999999</v>
      </c>
      <c r="B2037">
        <v>-75.253249999999994</v>
      </c>
      <c r="C2037" t="s">
        <v>43</v>
      </c>
      <c r="D2037" t="s">
        <v>438</v>
      </c>
      <c r="F2037" s="21"/>
      <c r="G2037" s="16" t="str">
        <f>HYPERLINK("http://maps.google.com/maps?f=q&amp;hl=en&amp;geocode=&amp;q=39.97244,-75.25325")</f>
        <v>http://maps.google.com/maps?f=q&amp;hl=en&amp;geocode=&amp;q=39.97244,-75.25325</v>
      </c>
    </row>
    <row r="2038" spans="1:7" ht="15" x14ac:dyDescent="0.3">
      <c r="A2038">
        <v>32.034367000000003</v>
      </c>
      <c r="B2038">
        <v>-81.086528999999999</v>
      </c>
      <c r="C2038" t="s">
        <v>41</v>
      </c>
      <c r="D2038" t="s">
        <v>1502</v>
      </c>
      <c r="F2038" s="21"/>
      <c r="G2038" s="16" t="str">
        <f>HYPERLINK("http://maps.google.com/maps?f=q&amp;hl=en&amp;geocode=&amp;q=32.034367,-81.086529")</f>
        <v>http://maps.google.com/maps?f=q&amp;hl=en&amp;geocode=&amp;q=32.034367,-81.086529</v>
      </c>
    </row>
    <row r="2039" spans="1:7" ht="15" x14ac:dyDescent="0.3">
      <c r="A2039">
        <v>35.887450000000001</v>
      </c>
      <c r="B2039">
        <v>-78.946380000000005</v>
      </c>
      <c r="C2039" t="s">
        <v>43</v>
      </c>
      <c r="D2039" t="s">
        <v>1503</v>
      </c>
      <c r="F2039" s="21"/>
      <c r="G2039" s="16" t="str">
        <f>HYPERLINK("http://maps.google.com/maps?f=q&amp;hl=en&amp;geocode=&amp;q=35.88745,-78.94638")</f>
        <v>http://maps.google.com/maps?f=q&amp;hl=en&amp;geocode=&amp;q=35.88745,-78.94638</v>
      </c>
    </row>
    <row r="2040" spans="1:7" ht="15" x14ac:dyDescent="0.3">
      <c r="A2040">
        <v>39.952060000000003</v>
      </c>
      <c r="B2040">
        <v>-75.205569999999994</v>
      </c>
      <c r="C2040" t="s">
        <v>43</v>
      </c>
      <c r="D2040" t="s">
        <v>1504</v>
      </c>
      <c r="F2040" s="21"/>
      <c r="G2040" s="16" t="str">
        <f>HYPERLINK("http://maps.google.com/maps?f=q&amp;hl=en&amp;geocode=&amp;q=39.95206,-75.20557")</f>
        <v>http://maps.google.com/maps?f=q&amp;hl=en&amp;geocode=&amp;q=39.95206,-75.20557</v>
      </c>
    </row>
    <row r="2041" spans="1:7" ht="15" x14ac:dyDescent="0.3">
      <c r="A2041">
        <v>43.950703005504899</v>
      </c>
      <c r="B2041">
        <v>-85.652317611043699</v>
      </c>
      <c r="C2041" t="s">
        <v>43</v>
      </c>
      <c r="D2041" t="s">
        <v>1384</v>
      </c>
      <c r="F2041" s="21"/>
      <c r="G2041" s="16" t="str">
        <f>HYPERLINK("http://maps.google.com/maps?f=q&amp;hl=en&amp;geocode=&amp;q=43.9507030055049,-85.6523176110437")</f>
        <v>http://maps.google.com/maps?f=q&amp;hl=en&amp;geocode=&amp;q=43.9507030055049,-85.6523176110437</v>
      </c>
    </row>
    <row r="2042" spans="1:7" ht="15" x14ac:dyDescent="0.3">
      <c r="A2042">
        <v>40.460018157958999</v>
      </c>
      <c r="B2042">
        <v>-78.591552734375</v>
      </c>
      <c r="C2042" t="s">
        <v>43</v>
      </c>
      <c r="D2042" t="s">
        <v>1505</v>
      </c>
      <c r="F2042" s="21"/>
      <c r="G2042" s="16" t="str">
        <f>HYPERLINK("http://maps.google.com/maps?f=q&amp;hl=en&amp;geocode=&amp;q=40.460018157959,-78.591552734375")</f>
        <v>http://maps.google.com/maps?f=q&amp;hl=en&amp;geocode=&amp;q=40.460018157959,-78.591552734375</v>
      </c>
    </row>
    <row r="2043" spans="1:7" ht="15" x14ac:dyDescent="0.3">
      <c r="A2043">
        <v>40.042020000000001</v>
      </c>
      <c r="B2043">
        <v>-75.080160000000006</v>
      </c>
      <c r="C2043" t="s">
        <v>41</v>
      </c>
      <c r="D2043" t="s">
        <v>1506</v>
      </c>
      <c r="F2043" s="21"/>
      <c r="G2043" s="16" t="str">
        <f>HYPERLINK("http://maps.google.com/maps?f=q&amp;hl=en&amp;geocode=&amp;q=40.04202,-75.08016")</f>
        <v>http://maps.google.com/maps?f=q&amp;hl=en&amp;geocode=&amp;q=40.04202,-75.08016</v>
      </c>
    </row>
    <row r="2044" spans="1:7" ht="15" x14ac:dyDescent="0.3">
      <c r="A2044">
        <v>40.040489999999998</v>
      </c>
      <c r="B2044">
        <v>-75.081569999999999</v>
      </c>
      <c r="C2044" t="s">
        <v>41</v>
      </c>
      <c r="D2044" t="s">
        <v>1507</v>
      </c>
      <c r="F2044" s="21"/>
      <c r="G2044" s="16" t="str">
        <f>HYPERLINK("http://maps.google.com/maps?f=q&amp;hl=en&amp;geocode=&amp;q=40.04049,-75.08157")</f>
        <v>http://maps.google.com/maps?f=q&amp;hl=en&amp;geocode=&amp;q=40.04049,-75.08157</v>
      </c>
    </row>
    <row r="2045" spans="1:7" ht="15" x14ac:dyDescent="0.3">
      <c r="A2045">
        <v>31.0280545662789</v>
      </c>
      <c r="B2045">
        <v>-87.523582701406198</v>
      </c>
      <c r="C2045" t="s">
        <v>41</v>
      </c>
      <c r="D2045" t="s">
        <v>1508</v>
      </c>
      <c r="F2045" s="21"/>
      <c r="G2045" s="16" t="str">
        <f>HYPERLINK("http://maps.google.com/maps?f=q&amp;hl=en&amp;geocode=&amp;q=31.0280545662789,-87.5235827014062")</f>
        <v>http://maps.google.com/maps?f=q&amp;hl=en&amp;geocode=&amp;q=31.0280545662789,-87.5235827014062</v>
      </c>
    </row>
    <row r="2046" spans="1:7" ht="15" x14ac:dyDescent="0.3">
      <c r="A2046">
        <v>40.660210007906599</v>
      </c>
      <c r="B2046">
        <v>-73.936689720819203</v>
      </c>
      <c r="C2046" t="s">
        <v>41</v>
      </c>
      <c r="D2046" t="s">
        <v>1509</v>
      </c>
      <c r="F2046" s="21"/>
      <c r="G2046" s="16" t="str">
        <f>HYPERLINK("http://maps.google.com/maps?f=q&amp;hl=en&amp;geocode=&amp;q=40.6602100079066,-73.9366897208192")</f>
        <v>http://maps.google.com/maps?f=q&amp;hl=en&amp;geocode=&amp;q=40.6602100079066,-73.9366897208192</v>
      </c>
    </row>
    <row r="2047" spans="1:7" ht="15" x14ac:dyDescent="0.3">
      <c r="A2047">
        <v>41.649540000000002</v>
      </c>
      <c r="B2047">
        <v>-83.585999999999999</v>
      </c>
      <c r="C2047" t="s">
        <v>41</v>
      </c>
      <c r="D2047" t="s">
        <v>1083</v>
      </c>
      <c r="F2047" s="21"/>
      <c r="G2047" s="16" t="str">
        <f>HYPERLINK("http://maps.google.com/maps?f=q&amp;hl=en&amp;geocode=&amp;q=41.64954,-83.586")</f>
        <v>http://maps.google.com/maps?f=q&amp;hl=en&amp;geocode=&amp;q=41.64954,-83.586</v>
      </c>
    </row>
    <row r="2048" spans="1:7" ht="15" x14ac:dyDescent="0.3">
      <c r="A2048">
        <v>41.649540000000002</v>
      </c>
      <c r="B2048">
        <v>-83.585999999999999</v>
      </c>
      <c r="C2048" t="s">
        <v>41</v>
      </c>
      <c r="D2048" t="s">
        <v>1083</v>
      </c>
      <c r="F2048" s="21"/>
      <c r="G2048" s="16" t="str">
        <f>HYPERLINK("http://maps.google.com/maps?f=q&amp;hl=en&amp;geocode=&amp;q=41.64954,-83.586")</f>
        <v>http://maps.google.com/maps?f=q&amp;hl=en&amp;geocode=&amp;q=41.64954,-83.586</v>
      </c>
    </row>
    <row r="2049" spans="1:7" ht="15" x14ac:dyDescent="0.3">
      <c r="A2049">
        <v>39.970880000000001</v>
      </c>
      <c r="B2049">
        <v>-75.23066</v>
      </c>
      <c r="C2049" t="s">
        <v>43</v>
      </c>
      <c r="D2049" t="s">
        <v>1510</v>
      </c>
      <c r="F2049" s="21"/>
      <c r="G2049" s="16" t="str">
        <f>HYPERLINK("http://maps.google.com/maps?f=q&amp;hl=en&amp;geocode=&amp;q=39.97088,-75.23066")</f>
        <v>http://maps.google.com/maps?f=q&amp;hl=en&amp;geocode=&amp;q=39.97088,-75.23066</v>
      </c>
    </row>
    <row r="2050" spans="1:7" ht="15" x14ac:dyDescent="0.3">
      <c r="A2050" t="s">
        <v>44</v>
      </c>
      <c r="B2050" t="s">
        <v>44</v>
      </c>
      <c r="C2050" t="s">
        <v>44</v>
      </c>
      <c r="D2050" t="s">
        <v>1511</v>
      </c>
      <c r="F2050" s="21"/>
      <c r="G2050" s="16"/>
    </row>
    <row r="2051" spans="1:7" ht="15" x14ac:dyDescent="0.3">
      <c r="A2051">
        <v>48.433300018310497</v>
      </c>
      <c r="B2051">
        <v>16.049999237060501</v>
      </c>
      <c r="C2051" t="s">
        <v>41</v>
      </c>
      <c r="D2051" t="s">
        <v>1512</v>
      </c>
      <c r="F2051" s="21"/>
      <c r="G2051" s="16" t="str">
        <f>HYPERLINK("http://maps.google.com/maps?f=q&amp;hl=en&amp;geocode=&amp;q=48.4333000183105,16.0499992370605")</f>
        <v>http://maps.google.com/maps?f=q&amp;hl=en&amp;geocode=&amp;q=48.4333000183105,16.0499992370605</v>
      </c>
    </row>
    <row r="2052" spans="1:7" ht="15" x14ac:dyDescent="0.3">
      <c r="A2052">
        <v>-31.950477600097699</v>
      </c>
      <c r="B2052">
        <v>115.86053466796901</v>
      </c>
      <c r="C2052" t="s">
        <v>43</v>
      </c>
      <c r="D2052" t="s">
        <v>1513</v>
      </c>
      <c r="F2052" s="21"/>
      <c r="G2052" s="16" t="str">
        <f>HYPERLINK("http://maps.google.com/maps?f=q&amp;hl=en&amp;geocode=&amp;q=-31.9504776000977,115.860534667969")</f>
        <v>http://maps.google.com/maps?f=q&amp;hl=en&amp;geocode=&amp;q=-31.9504776000977,115.860534667969</v>
      </c>
    </row>
    <row r="2053" spans="1:7" ht="15" x14ac:dyDescent="0.3">
      <c r="A2053">
        <v>42.402494397223599</v>
      </c>
      <c r="B2053">
        <v>-88.500788723946101</v>
      </c>
      <c r="C2053" t="s">
        <v>41</v>
      </c>
      <c r="D2053" t="s">
        <v>1514</v>
      </c>
      <c r="F2053" s="21"/>
      <c r="G2053" s="16" t="str">
        <f>HYPERLINK("http://maps.google.com/maps?f=q&amp;hl=en&amp;geocode=&amp;q=42.4024943972236,-88.5007887239461")</f>
        <v>http://maps.google.com/maps?f=q&amp;hl=en&amp;geocode=&amp;q=42.4024943972236,-88.5007887239461</v>
      </c>
    </row>
    <row r="2054" spans="1:7" ht="15" x14ac:dyDescent="0.3">
      <c r="A2054" t="s">
        <v>44</v>
      </c>
      <c r="B2054" t="s">
        <v>44</v>
      </c>
      <c r="C2054" t="s">
        <v>44</v>
      </c>
      <c r="D2054" t="s">
        <v>374</v>
      </c>
      <c r="F2054" s="21"/>
      <c r="G2054" s="16"/>
    </row>
    <row r="2055" spans="1:7" ht="15" x14ac:dyDescent="0.3">
      <c r="A2055">
        <v>35.912856292574702</v>
      </c>
      <c r="B2055">
        <v>-87.382759947609998</v>
      </c>
      <c r="C2055" t="s">
        <v>41</v>
      </c>
      <c r="D2055" t="s">
        <v>1515</v>
      </c>
      <c r="F2055" s="21"/>
      <c r="G2055" s="16" t="str">
        <f>HYPERLINK("http://maps.google.com/maps?f=q&amp;hl=en&amp;geocode=&amp;q=35.9128562925747,-87.38275994761")</f>
        <v>http://maps.google.com/maps?f=q&amp;hl=en&amp;geocode=&amp;q=35.9128562925747,-87.38275994761</v>
      </c>
    </row>
    <row r="2056" spans="1:7" ht="15" x14ac:dyDescent="0.3">
      <c r="A2056">
        <v>37.651084421146301</v>
      </c>
      <c r="B2056">
        <v>-97.492516788765101</v>
      </c>
      <c r="C2056" t="s">
        <v>41</v>
      </c>
      <c r="D2056" t="s">
        <v>1516</v>
      </c>
      <c r="F2056" s="21"/>
      <c r="G2056" s="16" t="str">
        <f>HYPERLINK("http://maps.google.com/maps?f=q&amp;hl=en&amp;geocode=&amp;q=37.6510844211463,-97.4925167887651")</f>
        <v>http://maps.google.com/maps?f=q&amp;hl=en&amp;geocode=&amp;q=37.6510844211463,-97.4925167887651</v>
      </c>
    </row>
    <row r="2057" spans="1:7" ht="15" x14ac:dyDescent="0.3">
      <c r="A2057">
        <v>39.911706093644703</v>
      </c>
      <c r="B2057">
        <v>-75.239026495784202</v>
      </c>
      <c r="C2057" t="s">
        <v>43</v>
      </c>
      <c r="D2057" t="s">
        <v>561</v>
      </c>
      <c r="F2057" s="21"/>
      <c r="G2057" s="16" t="str">
        <f>HYPERLINK("http://maps.google.com/maps?f=q&amp;hl=en&amp;geocode=&amp;q=39.9117060936447,-75.2390264957842")</f>
        <v>http://maps.google.com/maps?f=q&amp;hl=en&amp;geocode=&amp;q=39.9117060936447,-75.2390264957842</v>
      </c>
    </row>
    <row r="2058" spans="1:7" ht="15" x14ac:dyDescent="0.3">
      <c r="A2058">
        <v>-32.237697601318402</v>
      </c>
      <c r="B2058">
        <v>138.57736206054699</v>
      </c>
      <c r="C2058" t="s">
        <v>41</v>
      </c>
      <c r="D2058" t="s">
        <v>1517</v>
      </c>
      <c r="F2058" s="21"/>
      <c r="G2058" s="16" t="str">
        <f>HYPERLINK("http://maps.google.com/maps?f=q&amp;hl=en&amp;geocode=&amp;q=-32.2376976013184,138.577362060547")</f>
        <v>http://maps.google.com/maps?f=q&amp;hl=en&amp;geocode=&amp;q=-32.2376976013184,138.577362060547</v>
      </c>
    </row>
    <row r="2059" spans="1:7" ht="15" x14ac:dyDescent="0.3">
      <c r="A2059">
        <v>49.518180847167997</v>
      </c>
      <c r="B2059">
        <v>5.8978409767150897</v>
      </c>
      <c r="C2059" t="s">
        <v>41</v>
      </c>
      <c r="D2059" t="s">
        <v>1518</v>
      </c>
      <c r="F2059" s="21"/>
      <c r="G2059" s="16" t="str">
        <f>HYPERLINK("http://maps.google.com/maps?f=q&amp;hl=en&amp;geocode=&amp;q=49.518180847168,5.89784097671509")</f>
        <v>http://maps.google.com/maps?f=q&amp;hl=en&amp;geocode=&amp;q=49.518180847168,5.89784097671509</v>
      </c>
    </row>
    <row r="2060" spans="1:7" ht="15" x14ac:dyDescent="0.3">
      <c r="A2060">
        <v>34.944358086944099</v>
      </c>
      <c r="B2060">
        <v>-90.082611513264695</v>
      </c>
      <c r="C2060" t="s">
        <v>42</v>
      </c>
      <c r="D2060" t="s">
        <v>1519</v>
      </c>
      <c r="F2060" s="21"/>
      <c r="G2060" s="16" t="str">
        <f>HYPERLINK("http://maps.google.com/maps?f=q&amp;hl=en&amp;geocode=&amp;q=34.9443580869441,-90.0826115132647")</f>
        <v>http://maps.google.com/maps?f=q&amp;hl=en&amp;geocode=&amp;q=34.9443580869441,-90.0826115132647</v>
      </c>
    </row>
    <row r="2061" spans="1:7" ht="15" x14ac:dyDescent="0.3">
      <c r="A2061">
        <v>36.097679999999997</v>
      </c>
      <c r="B2061">
        <v>-75.711500000000001</v>
      </c>
      <c r="C2061" t="s">
        <v>41</v>
      </c>
      <c r="D2061" t="s">
        <v>1520</v>
      </c>
      <c r="F2061" s="21"/>
      <c r="G2061" s="16" t="str">
        <f>HYPERLINK("http://maps.google.com/maps?f=q&amp;hl=en&amp;geocode=&amp;q=36.09768,-75.7115")</f>
        <v>http://maps.google.com/maps?f=q&amp;hl=en&amp;geocode=&amp;q=36.09768,-75.7115</v>
      </c>
    </row>
    <row r="2062" spans="1:7" ht="15" x14ac:dyDescent="0.3">
      <c r="A2062">
        <v>29.369879999999998</v>
      </c>
      <c r="B2062">
        <v>-95.354900000000001</v>
      </c>
      <c r="C2062" t="s">
        <v>41</v>
      </c>
      <c r="D2062" t="s">
        <v>1521</v>
      </c>
      <c r="F2062" s="21"/>
      <c r="G2062" s="16" t="str">
        <f>HYPERLINK("http://maps.google.com/maps?f=q&amp;hl=en&amp;geocode=&amp;q=29.36988,-95.3549")</f>
        <v>http://maps.google.com/maps?f=q&amp;hl=en&amp;geocode=&amp;q=29.36988,-95.3549</v>
      </c>
    </row>
    <row r="2063" spans="1:7" ht="15" x14ac:dyDescent="0.3">
      <c r="A2063">
        <v>49.615043640136697</v>
      </c>
      <c r="B2063">
        <v>6.2599840164184597</v>
      </c>
      <c r="C2063" t="s">
        <v>41</v>
      </c>
      <c r="D2063" t="s">
        <v>1522</v>
      </c>
      <c r="F2063" s="21"/>
      <c r="G2063" s="16" t="str">
        <f>HYPERLINK("http://maps.google.com/maps?f=q&amp;hl=en&amp;geocode=&amp;q=49.6150436401367,6.25998401641846")</f>
        <v>http://maps.google.com/maps?f=q&amp;hl=en&amp;geocode=&amp;q=49.6150436401367,6.25998401641846</v>
      </c>
    </row>
    <row r="2064" spans="1:7" ht="15" x14ac:dyDescent="0.3">
      <c r="A2064">
        <v>39.996954737656701</v>
      </c>
      <c r="B2064">
        <v>-75.117221959843704</v>
      </c>
      <c r="C2064" t="s">
        <v>41</v>
      </c>
      <c r="D2064" t="s">
        <v>521</v>
      </c>
      <c r="F2064" s="21"/>
      <c r="G2064" s="16" t="str">
        <f>HYPERLINK("http://maps.google.com/maps?f=q&amp;hl=en&amp;geocode=&amp;q=39.9969547376567,-75.1172219598437")</f>
        <v>http://maps.google.com/maps?f=q&amp;hl=en&amp;geocode=&amp;q=39.9969547376567,-75.1172219598437</v>
      </c>
    </row>
    <row r="2065" spans="1:7" ht="15" x14ac:dyDescent="0.3">
      <c r="A2065">
        <v>41.016536227324401</v>
      </c>
      <c r="B2065">
        <v>-83.677931209680096</v>
      </c>
      <c r="C2065" t="s">
        <v>41</v>
      </c>
      <c r="D2065" t="s">
        <v>1523</v>
      </c>
      <c r="F2065" s="21"/>
      <c r="G2065" s="16" t="str">
        <f>HYPERLINK("http://maps.google.com/maps?f=q&amp;hl=en&amp;geocode=&amp;q=41.0165362273244,-83.6779312096801")</f>
        <v>http://maps.google.com/maps?f=q&amp;hl=en&amp;geocode=&amp;q=41.0165362273244,-83.6779312096801</v>
      </c>
    </row>
    <row r="2066" spans="1:7" ht="15" x14ac:dyDescent="0.3">
      <c r="A2066">
        <v>13.25</v>
      </c>
      <c r="B2066">
        <v>-61.200000762939503</v>
      </c>
      <c r="C2066" t="s">
        <v>41</v>
      </c>
      <c r="D2066" t="s">
        <v>1524</v>
      </c>
      <c r="F2066" s="21"/>
      <c r="G2066" s="16" t="str">
        <f>HYPERLINK("http://maps.google.com/maps?f=q&amp;hl=en&amp;geocode=&amp;q=13.25,-61.2000007629395")</f>
        <v>http://maps.google.com/maps?f=q&amp;hl=en&amp;geocode=&amp;q=13.25,-61.2000007629395</v>
      </c>
    </row>
    <row r="2067" spans="1:7" ht="15" x14ac:dyDescent="0.3">
      <c r="A2067">
        <v>40.05556</v>
      </c>
      <c r="B2067">
        <v>-75.053129999999996</v>
      </c>
      <c r="C2067" t="s">
        <v>41</v>
      </c>
      <c r="D2067" t="s">
        <v>1525</v>
      </c>
      <c r="F2067" s="21"/>
      <c r="G2067" s="16" t="str">
        <f>HYPERLINK("http://maps.google.com/maps?f=q&amp;hl=en&amp;geocode=&amp;q=40.05556,-75.05313")</f>
        <v>http://maps.google.com/maps?f=q&amp;hl=en&amp;geocode=&amp;q=40.05556,-75.05313</v>
      </c>
    </row>
    <row r="2068" spans="1:7" ht="15" x14ac:dyDescent="0.3">
      <c r="A2068">
        <v>41.016536227324401</v>
      </c>
      <c r="B2068">
        <v>-83.677931209680096</v>
      </c>
      <c r="C2068" t="s">
        <v>41</v>
      </c>
      <c r="D2068" t="s">
        <v>1523</v>
      </c>
      <c r="F2068" s="21"/>
      <c r="G2068" s="16" t="str">
        <f>HYPERLINK("http://maps.google.com/maps?f=q&amp;hl=en&amp;geocode=&amp;q=41.0165362273244,-83.6779312096801")</f>
        <v>http://maps.google.com/maps?f=q&amp;hl=en&amp;geocode=&amp;q=41.0165362273244,-83.6779312096801</v>
      </c>
    </row>
    <row r="2069" spans="1:7" ht="15" x14ac:dyDescent="0.3">
      <c r="A2069">
        <v>39.985349999999997</v>
      </c>
      <c r="B2069">
        <v>-75.10145</v>
      </c>
      <c r="C2069" t="s">
        <v>41</v>
      </c>
      <c r="D2069" t="s">
        <v>1526</v>
      </c>
      <c r="F2069" s="21"/>
      <c r="G2069" s="16" t="str">
        <f>HYPERLINK("http://maps.google.com/maps?f=q&amp;hl=en&amp;geocode=&amp;q=39.98535,-75.10145")</f>
        <v>http://maps.google.com/maps?f=q&amp;hl=en&amp;geocode=&amp;q=39.98535,-75.10145</v>
      </c>
    </row>
    <row r="2070" spans="1:7" ht="15" x14ac:dyDescent="0.3">
      <c r="A2070">
        <v>34.456626034833498</v>
      </c>
      <c r="B2070">
        <v>-86.687488645470793</v>
      </c>
      <c r="C2070" t="s">
        <v>42</v>
      </c>
      <c r="D2070" t="s">
        <v>1527</v>
      </c>
      <c r="F2070" s="21"/>
      <c r="G2070" s="16" t="str">
        <f>HYPERLINK("http://maps.google.com/maps?f=q&amp;hl=en&amp;geocode=&amp;q=34.4566260348335,-86.6874886454708")</f>
        <v>http://maps.google.com/maps?f=q&amp;hl=en&amp;geocode=&amp;q=34.4566260348335,-86.6874886454708</v>
      </c>
    </row>
    <row r="2071" spans="1:7" ht="15" x14ac:dyDescent="0.3">
      <c r="A2071">
        <v>39.916809999999998</v>
      </c>
      <c r="B2071">
        <v>-75.230509999999995</v>
      </c>
      <c r="C2071" t="s">
        <v>41</v>
      </c>
      <c r="D2071" t="s">
        <v>962</v>
      </c>
      <c r="F2071" s="21"/>
      <c r="G2071" s="16" t="str">
        <f>HYPERLINK("http://maps.google.com/maps?f=q&amp;hl=en&amp;geocode=&amp;q=39.91681,-75.23051")</f>
        <v>http://maps.google.com/maps?f=q&amp;hl=en&amp;geocode=&amp;q=39.91681,-75.23051</v>
      </c>
    </row>
    <row r="2072" spans="1:7" ht="15" x14ac:dyDescent="0.3">
      <c r="A2072">
        <v>26.4091701507568</v>
      </c>
      <c r="B2072">
        <v>-97.788848876953097</v>
      </c>
      <c r="C2072" t="s">
        <v>43</v>
      </c>
      <c r="D2072" t="s">
        <v>1528</v>
      </c>
      <c r="F2072" s="21"/>
      <c r="G2072" s="16" t="str">
        <f>HYPERLINK("http://maps.google.com/maps?f=q&amp;hl=en&amp;geocode=&amp;q=26.4091701507568,-97.7888488769531")</f>
        <v>http://maps.google.com/maps?f=q&amp;hl=en&amp;geocode=&amp;q=26.4091701507568,-97.7888488769531</v>
      </c>
    </row>
    <row r="2073" spans="1:7" ht="15" x14ac:dyDescent="0.3">
      <c r="A2073">
        <v>33.625079999999997</v>
      </c>
      <c r="B2073">
        <v>-112.20246</v>
      </c>
      <c r="C2073" t="s">
        <v>42</v>
      </c>
      <c r="D2073" t="s">
        <v>1390</v>
      </c>
      <c r="F2073" s="21"/>
      <c r="G2073" s="16" t="str">
        <f>HYPERLINK("http://maps.google.com/maps?f=q&amp;hl=en&amp;geocode=&amp;q=33.62508,-112.20246")</f>
        <v>http://maps.google.com/maps?f=q&amp;hl=en&amp;geocode=&amp;q=33.62508,-112.20246</v>
      </c>
    </row>
    <row r="2074" spans="1:7" ht="15" x14ac:dyDescent="0.3">
      <c r="A2074">
        <v>39.684371948242202</v>
      </c>
      <c r="B2074">
        <v>21.8974094390869</v>
      </c>
      <c r="C2074" t="s">
        <v>41</v>
      </c>
      <c r="D2074" t="s">
        <v>1529</v>
      </c>
      <c r="F2074" s="21"/>
      <c r="G2074" s="16" t="str">
        <f>HYPERLINK("http://maps.google.com/maps?f=q&amp;hl=en&amp;geocode=&amp;q=39.6843719482422,21.8974094390869")</f>
        <v>http://maps.google.com/maps?f=q&amp;hl=en&amp;geocode=&amp;q=39.6843719482422,21.8974094390869</v>
      </c>
    </row>
    <row r="2075" spans="1:7" ht="15" x14ac:dyDescent="0.3">
      <c r="A2075">
        <v>40.055979999999998</v>
      </c>
      <c r="B2075">
        <v>-75.055959999999999</v>
      </c>
      <c r="C2075" t="s">
        <v>43</v>
      </c>
      <c r="D2075" t="s">
        <v>1422</v>
      </c>
      <c r="F2075" s="21"/>
      <c r="G2075" s="16" t="str">
        <f>HYPERLINK("http://maps.google.com/maps?f=q&amp;hl=en&amp;geocode=&amp;q=40.05598,-75.05596")</f>
        <v>http://maps.google.com/maps?f=q&amp;hl=en&amp;geocode=&amp;q=40.05598,-75.05596</v>
      </c>
    </row>
    <row r="2076" spans="1:7" ht="15" x14ac:dyDescent="0.3">
      <c r="A2076">
        <v>-31.964845657348601</v>
      </c>
      <c r="B2076">
        <v>115.895874023438</v>
      </c>
      <c r="C2076" t="s">
        <v>41</v>
      </c>
      <c r="D2076" t="s">
        <v>129</v>
      </c>
      <c r="F2076" s="21"/>
      <c r="G2076" s="16" t="str">
        <f>HYPERLINK("http://maps.google.com/maps?f=q&amp;hl=en&amp;geocode=&amp;q=-31.9648456573486,115.895874023438")</f>
        <v>http://maps.google.com/maps?f=q&amp;hl=en&amp;geocode=&amp;q=-31.9648456573486,115.895874023438</v>
      </c>
    </row>
    <row r="2077" spans="1:7" ht="15" x14ac:dyDescent="0.3">
      <c r="A2077">
        <v>31.05528</v>
      </c>
      <c r="B2077">
        <v>-97.696939999999998</v>
      </c>
      <c r="C2077" t="s">
        <v>41</v>
      </c>
      <c r="D2077" t="s">
        <v>187</v>
      </c>
      <c r="F2077" s="21"/>
      <c r="G2077" s="16" t="str">
        <f>HYPERLINK("http://maps.google.com/maps?f=q&amp;hl=en&amp;geocode=&amp;q=31.05528,-97.69694")</f>
        <v>http://maps.google.com/maps?f=q&amp;hl=en&amp;geocode=&amp;q=31.05528,-97.69694</v>
      </c>
    </row>
    <row r="2078" spans="1:7" ht="15" x14ac:dyDescent="0.3">
      <c r="A2078">
        <v>40.043667744318597</v>
      </c>
      <c r="B2078">
        <v>-75.067613701435505</v>
      </c>
      <c r="C2078" t="s">
        <v>41</v>
      </c>
      <c r="D2078" t="s">
        <v>1530</v>
      </c>
      <c r="F2078" s="21"/>
      <c r="G2078" s="16" t="str">
        <f>HYPERLINK("http://maps.google.com/maps?f=q&amp;hl=en&amp;geocode=&amp;q=40.0436677443186,-75.0676137014355")</f>
        <v>http://maps.google.com/maps?f=q&amp;hl=en&amp;geocode=&amp;q=40.0436677443186,-75.0676137014355</v>
      </c>
    </row>
    <row r="2079" spans="1:7" ht="15" x14ac:dyDescent="0.3">
      <c r="A2079">
        <v>29.583952285976601</v>
      </c>
      <c r="B2079">
        <v>-95.479528683276499</v>
      </c>
      <c r="C2079" t="s">
        <v>43</v>
      </c>
      <c r="D2079" t="s">
        <v>168</v>
      </c>
      <c r="F2079" s="21"/>
      <c r="G2079" s="16" t="str">
        <f>HYPERLINK("http://maps.google.com/maps?f=q&amp;hl=en&amp;geocode=&amp;q=29.5839522859766,-95.4795286832765")</f>
        <v>http://maps.google.com/maps?f=q&amp;hl=en&amp;geocode=&amp;q=29.5839522859766,-95.4795286832765</v>
      </c>
    </row>
    <row r="2080" spans="1:7" ht="15" x14ac:dyDescent="0.3">
      <c r="A2080">
        <v>39.913172191835798</v>
      </c>
      <c r="B2080">
        <v>-75.236960195573801</v>
      </c>
      <c r="C2080" t="s">
        <v>43</v>
      </c>
      <c r="D2080" t="s">
        <v>1531</v>
      </c>
      <c r="F2080" s="21"/>
      <c r="G2080" s="16" t="str">
        <f>HYPERLINK("http://maps.google.com/maps?f=q&amp;hl=en&amp;geocode=&amp;q=39.9131721918358,-75.2369601955738")</f>
        <v>http://maps.google.com/maps?f=q&amp;hl=en&amp;geocode=&amp;q=39.9131721918358,-75.2369601955738</v>
      </c>
    </row>
    <row r="2081" spans="1:7" ht="15" x14ac:dyDescent="0.3">
      <c r="A2081" t="s">
        <v>44</v>
      </c>
      <c r="B2081" t="s">
        <v>44</v>
      </c>
      <c r="C2081" t="s">
        <v>44</v>
      </c>
      <c r="D2081" t="s">
        <v>1532</v>
      </c>
      <c r="F2081" s="21"/>
      <c r="G2081" s="16"/>
    </row>
    <row r="2082" spans="1:7" ht="15" x14ac:dyDescent="0.3">
      <c r="A2082" t="s">
        <v>44</v>
      </c>
      <c r="B2082" t="s">
        <v>44</v>
      </c>
      <c r="C2082" t="s">
        <v>44</v>
      </c>
      <c r="D2082" t="s">
        <v>1533</v>
      </c>
      <c r="F2082" s="21"/>
      <c r="G2082" s="16"/>
    </row>
    <row r="2083" spans="1:7" ht="15" x14ac:dyDescent="0.3">
      <c r="A2083">
        <v>40.248370000000001</v>
      </c>
      <c r="B2083">
        <v>-74.862530000000007</v>
      </c>
      <c r="C2083" t="s">
        <v>41</v>
      </c>
      <c r="D2083" t="s">
        <v>1534</v>
      </c>
      <c r="F2083" s="21"/>
      <c r="G2083" s="16" t="str">
        <f>HYPERLINK("http://maps.google.com/maps?f=q&amp;hl=en&amp;geocode=&amp;q=40.24837,-74.86253")</f>
        <v>http://maps.google.com/maps?f=q&amp;hl=en&amp;geocode=&amp;q=40.24837,-74.86253</v>
      </c>
    </row>
    <row r="2084" spans="1:7" ht="15" x14ac:dyDescent="0.3">
      <c r="A2084" t="s">
        <v>44</v>
      </c>
      <c r="B2084" t="s">
        <v>44</v>
      </c>
      <c r="C2084" t="s">
        <v>44</v>
      </c>
      <c r="D2084" t="s">
        <v>1535</v>
      </c>
      <c r="F2084" s="21"/>
      <c r="G2084" s="16"/>
    </row>
    <row r="2085" spans="1:7" ht="15" x14ac:dyDescent="0.3">
      <c r="A2085">
        <v>39.934837238386898</v>
      </c>
      <c r="B2085">
        <v>-75.219888984845895</v>
      </c>
      <c r="C2085" t="s">
        <v>41</v>
      </c>
      <c r="D2085" t="s">
        <v>1536</v>
      </c>
      <c r="F2085" s="21"/>
      <c r="G2085" s="16" t="str">
        <f>HYPERLINK("http://maps.google.com/maps?f=q&amp;hl=en&amp;geocode=&amp;q=39.9348372383869,-75.2198889848459")</f>
        <v>http://maps.google.com/maps?f=q&amp;hl=en&amp;geocode=&amp;q=39.9348372383869,-75.2198889848459</v>
      </c>
    </row>
    <row r="2086" spans="1:7" ht="15" x14ac:dyDescent="0.3">
      <c r="A2086">
        <v>47.128330230712898</v>
      </c>
      <c r="B2086">
        <v>4.2197799682617196</v>
      </c>
      <c r="C2086" t="s">
        <v>41</v>
      </c>
      <c r="D2086" t="s">
        <v>804</v>
      </c>
      <c r="F2086" s="21"/>
      <c r="G2086" s="16" t="str">
        <f>HYPERLINK("http://maps.google.com/maps?f=q&amp;hl=en&amp;geocode=&amp;q=47.1283302307129,4.21977996826172")</f>
        <v>http://maps.google.com/maps?f=q&amp;hl=en&amp;geocode=&amp;q=47.1283302307129,4.21977996826172</v>
      </c>
    </row>
    <row r="2087" spans="1:7" ht="15" x14ac:dyDescent="0.3">
      <c r="A2087">
        <v>45.373465059936898</v>
      </c>
      <c r="B2087">
        <v>-84.793850327650503</v>
      </c>
      <c r="C2087" t="s">
        <v>41</v>
      </c>
      <c r="D2087" t="s">
        <v>1537</v>
      </c>
      <c r="F2087" s="21"/>
      <c r="G2087" s="16" t="str">
        <f>HYPERLINK("http://maps.google.com/maps?f=q&amp;hl=en&amp;geocode=&amp;q=45.3734650599369,-84.7938503276505")</f>
        <v>http://maps.google.com/maps?f=q&amp;hl=en&amp;geocode=&amp;q=45.3734650599369,-84.7938503276505</v>
      </c>
    </row>
    <row r="2088" spans="1:7" ht="15" x14ac:dyDescent="0.3">
      <c r="A2088">
        <v>49.618484497070298</v>
      </c>
      <c r="B2088">
        <v>6.1199059486389196</v>
      </c>
      <c r="C2088" t="s">
        <v>41</v>
      </c>
      <c r="D2088" t="s">
        <v>1538</v>
      </c>
      <c r="F2088" s="21"/>
      <c r="G2088" s="16" t="str">
        <f>HYPERLINK("http://maps.google.com/maps?f=q&amp;hl=en&amp;geocode=&amp;q=49.6184844970703,6.11990594863892")</f>
        <v>http://maps.google.com/maps?f=q&amp;hl=en&amp;geocode=&amp;q=49.6184844970703,6.11990594863892</v>
      </c>
    </row>
    <row r="2089" spans="1:7" ht="15" x14ac:dyDescent="0.3">
      <c r="A2089">
        <v>49.638317108154297</v>
      </c>
      <c r="B2089">
        <v>6.1351060867309597</v>
      </c>
      <c r="C2089" t="s">
        <v>43</v>
      </c>
      <c r="D2089" t="s">
        <v>1539</v>
      </c>
      <c r="F2089" s="21"/>
      <c r="G2089" s="16" t="str">
        <f>HYPERLINK("http://maps.google.com/maps?f=q&amp;hl=en&amp;geocode=&amp;q=49.6383171081543,6.13510608673096")</f>
        <v>http://maps.google.com/maps?f=q&amp;hl=en&amp;geocode=&amp;q=49.6383171081543,6.13510608673096</v>
      </c>
    </row>
    <row r="2090" spans="1:7" ht="15" x14ac:dyDescent="0.3">
      <c r="A2090">
        <v>31.840019999999999</v>
      </c>
      <c r="B2090">
        <v>-102.34585</v>
      </c>
      <c r="C2090" t="s">
        <v>42</v>
      </c>
      <c r="D2090" t="s">
        <v>1540</v>
      </c>
      <c r="F2090" s="21"/>
      <c r="G2090" s="16" t="str">
        <f>HYPERLINK("http://maps.google.com/maps?f=q&amp;hl=en&amp;geocode=&amp;q=31.84002,-102.34585")</f>
        <v>http://maps.google.com/maps?f=q&amp;hl=en&amp;geocode=&amp;q=31.84002,-102.34585</v>
      </c>
    </row>
    <row r="2091" spans="1:7" ht="15" x14ac:dyDescent="0.3">
      <c r="A2091" t="s">
        <v>44</v>
      </c>
      <c r="B2091" t="s">
        <v>44</v>
      </c>
      <c r="C2091" t="s">
        <v>44</v>
      </c>
      <c r="D2091" t="s">
        <v>1541</v>
      </c>
      <c r="F2091" s="21"/>
      <c r="G2091" s="16"/>
    </row>
    <row r="2092" spans="1:7" ht="15" x14ac:dyDescent="0.3">
      <c r="A2092">
        <v>34.2037449663028</v>
      </c>
      <c r="B2092">
        <v>-110.015804172915</v>
      </c>
      <c r="C2092" t="s">
        <v>41</v>
      </c>
      <c r="D2092" t="s">
        <v>1542</v>
      </c>
      <c r="F2092" s="21"/>
      <c r="G2092" s="16" t="str">
        <f>HYPERLINK("http://maps.google.com/maps?f=q&amp;hl=en&amp;geocode=&amp;q=34.2037449663028,-110.015804172915")</f>
        <v>http://maps.google.com/maps?f=q&amp;hl=en&amp;geocode=&amp;q=34.2037449663028,-110.015804172915</v>
      </c>
    </row>
    <row r="2093" spans="1:7" ht="15" x14ac:dyDescent="0.3">
      <c r="A2093">
        <v>42.832415529968998</v>
      </c>
      <c r="B2093">
        <v>-77.381095667409696</v>
      </c>
      <c r="C2093" t="s">
        <v>41</v>
      </c>
      <c r="D2093" t="s">
        <v>221</v>
      </c>
      <c r="F2093" s="21"/>
      <c r="G2093" s="16" t="str">
        <f>HYPERLINK("http://maps.google.com/maps?f=q&amp;hl=en&amp;geocode=&amp;q=42.832415529969,-77.3810956674097")</f>
        <v>http://maps.google.com/maps?f=q&amp;hl=en&amp;geocode=&amp;q=42.832415529969,-77.3810956674097</v>
      </c>
    </row>
    <row r="2094" spans="1:7" ht="15" x14ac:dyDescent="0.3">
      <c r="A2094">
        <v>34.2037449663028</v>
      </c>
      <c r="B2094">
        <v>-110.015804172915</v>
      </c>
      <c r="C2094" t="s">
        <v>41</v>
      </c>
      <c r="D2094" t="s">
        <v>1542</v>
      </c>
      <c r="F2094" s="21"/>
      <c r="G2094" s="16" t="str">
        <f>HYPERLINK("http://maps.google.com/maps?f=q&amp;hl=en&amp;geocode=&amp;q=34.2037449663028,-110.015804172915")</f>
        <v>http://maps.google.com/maps?f=q&amp;hl=en&amp;geocode=&amp;q=34.2037449663028,-110.015804172915</v>
      </c>
    </row>
    <row r="2095" spans="1:7" ht="15" x14ac:dyDescent="0.3">
      <c r="A2095">
        <v>34.2037449663028</v>
      </c>
      <c r="B2095">
        <v>-110.015804172915</v>
      </c>
      <c r="C2095" t="s">
        <v>41</v>
      </c>
      <c r="D2095" t="s">
        <v>1542</v>
      </c>
      <c r="F2095" s="21"/>
      <c r="G2095" s="16" t="str">
        <f>HYPERLINK("http://maps.google.com/maps?f=q&amp;hl=en&amp;geocode=&amp;q=34.2037449663028,-110.015804172915")</f>
        <v>http://maps.google.com/maps?f=q&amp;hl=en&amp;geocode=&amp;q=34.2037449663028,-110.015804172915</v>
      </c>
    </row>
    <row r="2096" spans="1:7" ht="15" x14ac:dyDescent="0.3">
      <c r="A2096">
        <v>34.2037449663028</v>
      </c>
      <c r="B2096">
        <v>-110.015804172915</v>
      </c>
      <c r="C2096" t="s">
        <v>41</v>
      </c>
      <c r="D2096" t="s">
        <v>1542</v>
      </c>
      <c r="F2096" s="21"/>
      <c r="G2096" s="16" t="str">
        <f>HYPERLINK("http://maps.google.com/maps?f=q&amp;hl=en&amp;geocode=&amp;q=34.2037449663028,-110.015804172915")</f>
        <v>http://maps.google.com/maps?f=q&amp;hl=en&amp;geocode=&amp;q=34.2037449663028,-110.015804172915</v>
      </c>
    </row>
    <row r="2097" spans="1:7" ht="15" x14ac:dyDescent="0.3">
      <c r="A2097" t="s">
        <v>44</v>
      </c>
      <c r="B2097" t="s">
        <v>44</v>
      </c>
      <c r="C2097" t="s">
        <v>44</v>
      </c>
      <c r="D2097" t="s">
        <v>1541</v>
      </c>
      <c r="F2097" s="21"/>
      <c r="G2097" s="16"/>
    </row>
    <row r="2098" spans="1:7" ht="15" x14ac:dyDescent="0.3">
      <c r="A2098" t="s">
        <v>44</v>
      </c>
      <c r="B2098" t="s">
        <v>44</v>
      </c>
      <c r="C2098" t="s">
        <v>44</v>
      </c>
      <c r="D2098" t="s">
        <v>1541</v>
      </c>
      <c r="F2098" s="21"/>
      <c r="G2098" s="16"/>
    </row>
    <row r="2099" spans="1:7" ht="15" x14ac:dyDescent="0.3">
      <c r="A2099">
        <v>39.912579999999998</v>
      </c>
      <c r="B2099">
        <v>-75.241240000000005</v>
      </c>
      <c r="C2099" t="s">
        <v>41</v>
      </c>
      <c r="D2099" t="s">
        <v>1064</v>
      </c>
      <c r="F2099" s="21"/>
      <c r="G2099" s="16" t="str">
        <f>HYPERLINK("http://maps.google.com/maps?f=q&amp;hl=en&amp;geocode=&amp;q=39.91258,-75.24124")</f>
        <v>http://maps.google.com/maps?f=q&amp;hl=en&amp;geocode=&amp;q=39.91258,-75.24124</v>
      </c>
    </row>
    <row r="2100" spans="1:7" ht="15" x14ac:dyDescent="0.3">
      <c r="A2100" t="s">
        <v>44</v>
      </c>
      <c r="B2100" t="s">
        <v>44</v>
      </c>
      <c r="C2100" t="s">
        <v>44</v>
      </c>
      <c r="D2100" t="s">
        <v>1543</v>
      </c>
      <c r="F2100" s="21"/>
      <c r="G2100" s="16"/>
    </row>
    <row r="2101" spans="1:7" ht="15" x14ac:dyDescent="0.3">
      <c r="A2101">
        <v>33.348439783019003</v>
      </c>
      <c r="B2101">
        <v>-98.606133829428501</v>
      </c>
      <c r="C2101" t="s">
        <v>41</v>
      </c>
      <c r="D2101" t="s">
        <v>1340</v>
      </c>
      <c r="F2101" s="21"/>
      <c r="G2101" s="16" t="str">
        <f>HYPERLINK("http://maps.google.com/maps?f=q&amp;hl=en&amp;geocode=&amp;q=33.348439783019,-98.6061338294285")</f>
        <v>http://maps.google.com/maps?f=q&amp;hl=en&amp;geocode=&amp;q=33.348439783019,-98.6061338294285</v>
      </c>
    </row>
    <row r="2102" spans="1:7" ht="15" x14ac:dyDescent="0.3">
      <c r="A2102">
        <v>47.440086364746101</v>
      </c>
      <c r="B2102">
        <v>8.6257095336914098</v>
      </c>
      <c r="C2102" t="s">
        <v>43</v>
      </c>
      <c r="D2102" t="s">
        <v>1544</v>
      </c>
      <c r="F2102" s="21"/>
      <c r="G2102" s="16" t="str">
        <f>HYPERLINK("http://maps.google.com/maps?f=q&amp;hl=en&amp;geocode=&amp;q=47.4400863647461,8.62570953369141")</f>
        <v>http://maps.google.com/maps?f=q&amp;hl=en&amp;geocode=&amp;q=47.4400863647461,8.62570953369141</v>
      </c>
    </row>
    <row r="2103" spans="1:7" ht="15" x14ac:dyDescent="0.3">
      <c r="A2103">
        <v>42.999576568603501</v>
      </c>
      <c r="B2103">
        <v>-107.551513671875</v>
      </c>
      <c r="C2103" t="s">
        <v>41</v>
      </c>
      <c r="D2103" t="s">
        <v>1545</v>
      </c>
      <c r="F2103" s="21"/>
      <c r="G2103" s="16" t="str">
        <f>HYPERLINK("http://maps.google.com/maps?f=q&amp;hl=en&amp;geocode=&amp;q=42.9995765686035,-107.551513671875")</f>
        <v>http://maps.google.com/maps?f=q&amp;hl=en&amp;geocode=&amp;q=42.9995765686035,-107.551513671875</v>
      </c>
    </row>
    <row r="2104" spans="1:7" ht="15" x14ac:dyDescent="0.3">
      <c r="A2104">
        <v>32.082128345023101</v>
      </c>
      <c r="B2104">
        <v>-83.800420693663796</v>
      </c>
      <c r="C2104" t="s">
        <v>41</v>
      </c>
      <c r="D2104" t="s">
        <v>1546</v>
      </c>
      <c r="F2104" s="21"/>
      <c r="G2104" s="16" t="str">
        <f>HYPERLINK("http://maps.google.com/maps?f=q&amp;hl=en&amp;geocode=&amp;q=32.0821283450231,-83.8004206936638")</f>
        <v>http://maps.google.com/maps?f=q&amp;hl=en&amp;geocode=&amp;q=32.0821283450231,-83.8004206936638</v>
      </c>
    </row>
    <row r="2105" spans="1:7" ht="15" x14ac:dyDescent="0.3">
      <c r="A2105">
        <v>39.657283386561303</v>
      </c>
      <c r="B2105">
        <v>-105.03650963604601</v>
      </c>
      <c r="C2105" t="s">
        <v>41</v>
      </c>
      <c r="D2105" t="s">
        <v>1547</v>
      </c>
      <c r="F2105" s="21"/>
      <c r="G2105" s="16" t="str">
        <f>HYPERLINK("http://maps.google.com/maps?f=q&amp;hl=en&amp;geocode=&amp;q=39.6572833865613,-105.036509636046")</f>
        <v>http://maps.google.com/maps?f=q&amp;hl=en&amp;geocode=&amp;q=39.6572833865613,-105.036509636046</v>
      </c>
    </row>
    <row r="2106" spans="1:7" ht="15" x14ac:dyDescent="0.3">
      <c r="A2106">
        <v>45.557419136583697</v>
      </c>
      <c r="B2106">
        <v>-92.284345342059893</v>
      </c>
      <c r="C2106" t="s">
        <v>41</v>
      </c>
      <c r="D2106" t="s">
        <v>1548</v>
      </c>
      <c r="F2106" s="21"/>
      <c r="G2106" s="16" t="str">
        <f>HYPERLINK("http://maps.google.com/maps?f=q&amp;hl=en&amp;geocode=&amp;q=45.5574191365837,-92.2843453420599")</f>
        <v>http://maps.google.com/maps?f=q&amp;hl=en&amp;geocode=&amp;q=45.5574191365837,-92.2843453420599</v>
      </c>
    </row>
    <row r="2107" spans="1:7" ht="15" x14ac:dyDescent="0.3">
      <c r="A2107">
        <v>39.916694521793801</v>
      </c>
      <c r="B2107">
        <v>-75.2321048535252</v>
      </c>
      <c r="C2107" t="s">
        <v>43</v>
      </c>
      <c r="D2107" t="s">
        <v>1398</v>
      </c>
      <c r="F2107" s="21"/>
      <c r="G2107" s="16" t="str">
        <f>HYPERLINK("http://maps.google.com/maps?f=q&amp;hl=en&amp;geocode=&amp;q=39.9166945217938,-75.2321048535252")</f>
        <v>http://maps.google.com/maps?f=q&amp;hl=en&amp;geocode=&amp;q=39.9166945217938,-75.2321048535252</v>
      </c>
    </row>
    <row r="2108" spans="1:7" ht="15" x14ac:dyDescent="0.3">
      <c r="A2108">
        <v>39.916480042826798</v>
      </c>
      <c r="B2108">
        <v>-75.232415955746006</v>
      </c>
      <c r="C2108" t="s">
        <v>43</v>
      </c>
      <c r="D2108" t="s">
        <v>802</v>
      </c>
      <c r="F2108" s="21"/>
      <c r="G2108" s="16" t="str">
        <f>HYPERLINK("http://maps.google.com/maps?f=q&amp;hl=en&amp;geocode=&amp;q=39.9164800428268,-75.232415955746")</f>
        <v>http://maps.google.com/maps?f=q&amp;hl=en&amp;geocode=&amp;q=39.9164800428268,-75.232415955746</v>
      </c>
    </row>
    <row r="2109" spans="1:7" ht="15" x14ac:dyDescent="0.3">
      <c r="A2109">
        <v>44.091279999999998</v>
      </c>
      <c r="B2109">
        <v>-87.689800000000005</v>
      </c>
      <c r="C2109" t="s">
        <v>42</v>
      </c>
      <c r="D2109" t="s">
        <v>1392</v>
      </c>
      <c r="F2109" s="21"/>
      <c r="G2109" s="16" t="str">
        <f>HYPERLINK("http://maps.google.com/maps?f=q&amp;hl=en&amp;geocode=&amp;q=44.09128,-87.6898")</f>
        <v>http://maps.google.com/maps?f=q&amp;hl=en&amp;geocode=&amp;q=44.09128,-87.6898</v>
      </c>
    </row>
    <row r="2110" spans="1:7" ht="15" x14ac:dyDescent="0.3">
      <c r="A2110">
        <v>29.784228064219</v>
      </c>
      <c r="B2110">
        <v>-82.006526341027694</v>
      </c>
      <c r="C2110" t="s">
        <v>41</v>
      </c>
      <c r="D2110" t="s">
        <v>1549</v>
      </c>
      <c r="F2110" s="21"/>
      <c r="G2110" s="16" t="str">
        <f>HYPERLINK("http://maps.google.com/maps?f=q&amp;hl=en&amp;geocode=&amp;q=29.784228064219,-82.0065263410277")</f>
        <v>http://maps.google.com/maps?f=q&amp;hl=en&amp;geocode=&amp;q=29.784228064219,-82.0065263410277</v>
      </c>
    </row>
    <row r="2111" spans="1:7" ht="15" x14ac:dyDescent="0.3">
      <c r="A2111">
        <v>40.5088500976563</v>
      </c>
      <c r="B2111">
        <v>-78.637031555175795</v>
      </c>
      <c r="C2111" t="s">
        <v>43</v>
      </c>
      <c r="D2111" t="s">
        <v>1550</v>
      </c>
      <c r="F2111" s="21"/>
      <c r="G2111" s="16" t="str">
        <f>HYPERLINK("http://maps.google.com/maps?f=q&amp;hl=en&amp;geocode=&amp;q=40.5088500976563,-78.6370315551758")</f>
        <v>http://maps.google.com/maps?f=q&amp;hl=en&amp;geocode=&amp;q=40.5088500976563,-78.6370315551758</v>
      </c>
    </row>
    <row r="2112" spans="1:7" ht="15" x14ac:dyDescent="0.3">
      <c r="A2112">
        <v>39.954340000000002</v>
      </c>
      <c r="B2112">
        <v>-75.224029999999999</v>
      </c>
      <c r="C2112" t="s">
        <v>43</v>
      </c>
      <c r="D2112" t="s">
        <v>1551</v>
      </c>
      <c r="F2112" s="21"/>
      <c r="G2112" s="16" t="str">
        <f>HYPERLINK("http://maps.google.com/maps?f=q&amp;hl=en&amp;geocode=&amp;q=39.95434,-75.22403")</f>
        <v>http://maps.google.com/maps?f=q&amp;hl=en&amp;geocode=&amp;q=39.95434,-75.22403</v>
      </c>
    </row>
    <row r="2113" spans="1:7" ht="15" x14ac:dyDescent="0.3">
      <c r="A2113">
        <v>40.050510000000003</v>
      </c>
      <c r="B2113">
        <v>-75.080789999999993</v>
      </c>
      <c r="C2113" t="s">
        <v>41</v>
      </c>
      <c r="D2113" t="s">
        <v>1552</v>
      </c>
      <c r="F2113" s="21"/>
      <c r="G2113" s="16" t="str">
        <f>HYPERLINK("http://maps.google.com/maps?f=q&amp;hl=en&amp;geocode=&amp;q=40.05051,-75.08079")</f>
        <v>http://maps.google.com/maps?f=q&amp;hl=en&amp;geocode=&amp;q=40.05051,-75.08079</v>
      </c>
    </row>
    <row r="2114" spans="1:7" ht="15" x14ac:dyDescent="0.3">
      <c r="A2114">
        <v>-34.7183647155762</v>
      </c>
      <c r="B2114">
        <v>138.63497924804699</v>
      </c>
      <c r="C2114" t="s">
        <v>41</v>
      </c>
      <c r="D2114" t="s">
        <v>1553</v>
      </c>
      <c r="F2114" s="21"/>
      <c r="G2114" s="16" t="str">
        <f>HYPERLINK("http://maps.google.com/maps?f=q&amp;hl=en&amp;geocode=&amp;q=-34.7183647155762,138.634979248047")</f>
        <v>http://maps.google.com/maps?f=q&amp;hl=en&amp;geocode=&amp;q=-34.7183647155762,138.634979248047</v>
      </c>
    </row>
    <row r="2115" spans="1:7" ht="15" x14ac:dyDescent="0.3">
      <c r="A2115" t="s">
        <v>44</v>
      </c>
      <c r="B2115" t="s">
        <v>44</v>
      </c>
      <c r="C2115" t="s">
        <v>44</v>
      </c>
      <c r="D2115" t="s">
        <v>1554</v>
      </c>
      <c r="F2115" s="21"/>
      <c r="G2115" s="16"/>
    </row>
    <row r="2116" spans="1:7" ht="15" x14ac:dyDescent="0.3">
      <c r="A2116">
        <v>39.693474149294801</v>
      </c>
      <c r="B2116">
        <v>-84.118671277588902</v>
      </c>
      <c r="C2116" t="s">
        <v>41</v>
      </c>
      <c r="D2116" t="s">
        <v>206</v>
      </c>
      <c r="F2116" s="21"/>
      <c r="G2116" s="16" t="str">
        <f>HYPERLINK("http://maps.google.com/maps?f=q&amp;hl=en&amp;geocode=&amp;q=39.6934741492948,-84.1186712775889")</f>
        <v>http://maps.google.com/maps?f=q&amp;hl=en&amp;geocode=&amp;q=39.6934741492948,-84.1186712775889</v>
      </c>
    </row>
    <row r="2117" spans="1:7" ht="15" x14ac:dyDescent="0.3">
      <c r="A2117" t="s">
        <v>44</v>
      </c>
      <c r="B2117" t="s">
        <v>44</v>
      </c>
      <c r="C2117" t="s">
        <v>44</v>
      </c>
      <c r="D2117" t="s">
        <v>227</v>
      </c>
      <c r="F2117" s="21"/>
      <c r="G2117" s="16"/>
    </row>
    <row r="2118" spans="1:7" ht="15" x14ac:dyDescent="0.3">
      <c r="A2118">
        <v>40.723880767822301</v>
      </c>
      <c r="B2118">
        <v>-73.703208923339801</v>
      </c>
      <c r="C2118" t="s">
        <v>43</v>
      </c>
      <c r="D2118" t="s">
        <v>1555</v>
      </c>
      <c r="F2118" s="21"/>
      <c r="G2118" s="16" t="str">
        <f>HYPERLINK("http://maps.google.com/maps?f=q&amp;hl=en&amp;geocode=&amp;q=40.7238807678223,-73.7032089233398")</f>
        <v>http://maps.google.com/maps?f=q&amp;hl=en&amp;geocode=&amp;q=40.7238807678223,-73.7032089233398</v>
      </c>
    </row>
    <row r="2119" spans="1:7" ht="15" x14ac:dyDescent="0.3">
      <c r="A2119">
        <v>38.590362627541303</v>
      </c>
      <c r="B2119">
        <v>-90.300391302176294</v>
      </c>
      <c r="C2119" t="s">
        <v>41</v>
      </c>
      <c r="D2119" t="s">
        <v>93</v>
      </c>
      <c r="F2119" s="21"/>
      <c r="G2119" s="16" t="str">
        <f>HYPERLINK("http://maps.google.com/maps?f=q&amp;hl=en&amp;geocode=&amp;q=38.5903626275413,-90.3003913021763")</f>
        <v>http://maps.google.com/maps?f=q&amp;hl=en&amp;geocode=&amp;q=38.5903626275413,-90.3003913021763</v>
      </c>
    </row>
    <row r="2120" spans="1:7" ht="15" x14ac:dyDescent="0.3">
      <c r="A2120" t="s">
        <v>44</v>
      </c>
      <c r="B2120" t="s">
        <v>44</v>
      </c>
      <c r="C2120" t="s">
        <v>44</v>
      </c>
      <c r="D2120" t="s">
        <v>1556</v>
      </c>
      <c r="F2120" s="21"/>
      <c r="G2120" s="16"/>
    </row>
    <row r="2121" spans="1:7" ht="15" x14ac:dyDescent="0.3">
      <c r="A2121">
        <v>30.662615959618901</v>
      </c>
      <c r="B2121">
        <v>-84.984127523496994</v>
      </c>
      <c r="C2121" t="s">
        <v>41</v>
      </c>
      <c r="D2121" t="s">
        <v>1557</v>
      </c>
      <c r="F2121" s="21"/>
      <c r="G2121" s="16" t="str">
        <f>HYPERLINK("http://maps.google.com/maps?f=q&amp;hl=en&amp;geocode=&amp;q=30.6626159596189,-84.984127523497")</f>
        <v>http://maps.google.com/maps?f=q&amp;hl=en&amp;geocode=&amp;q=30.6626159596189,-84.984127523497</v>
      </c>
    </row>
    <row r="2122" spans="1:7" ht="15" x14ac:dyDescent="0.3">
      <c r="A2122">
        <v>42.978549999999998</v>
      </c>
      <c r="B2122">
        <v>-79.25273</v>
      </c>
      <c r="C2122" t="s">
        <v>41</v>
      </c>
      <c r="D2122" t="s">
        <v>1558</v>
      </c>
      <c r="F2122" s="21"/>
      <c r="G2122" s="16" t="str">
        <f>HYPERLINK("http://maps.google.com/maps?f=q&amp;hl=en&amp;geocode=&amp;q=42.97855,-79.25273")</f>
        <v>http://maps.google.com/maps?f=q&amp;hl=en&amp;geocode=&amp;q=42.97855,-79.25273</v>
      </c>
    </row>
    <row r="2123" spans="1:7" ht="15" x14ac:dyDescent="0.3">
      <c r="A2123">
        <v>42.7791938781738</v>
      </c>
      <c r="B2123">
        <v>-73.691421508789105</v>
      </c>
      <c r="C2123" t="s">
        <v>43</v>
      </c>
      <c r="D2123" t="s">
        <v>1559</v>
      </c>
      <c r="F2123" s="21"/>
      <c r="G2123" s="16" t="str">
        <f>HYPERLINK("http://maps.google.com/maps?f=q&amp;hl=en&amp;geocode=&amp;q=42.7791938781738,-73.6914215087891")</f>
        <v>http://maps.google.com/maps?f=q&amp;hl=en&amp;geocode=&amp;q=42.7791938781738,-73.6914215087891</v>
      </c>
    </row>
    <row r="2124" spans="1:7" ht="15" x14ac:dyDescent="0.3">
      <c r="A2124">
        <v>42.7791938781738</v>
      </c>
      <c r="B2124">
        <v>-73.691421508789105</v>
      </c>
      <c r="C2124" t="s">
        <v>43</v>
      </c>
      <c r="D2124" t="s">
        <v>1559</v>
      </c>
      <c r="F2124" s="21"/>
      <c r="G2124" s="16" t="str">
        <f>HYPERLINK("http://maps.google.com/maps?f=q&amp;hl=en&amp;geocode=&amp;q=42.7791938781738,-73.6914215087891")</f>
        <v>http://maps.google.com/maps?f=q&amp;hl=en&amp;geocode=&amp;q=42.7791938781738,-73.6914215087891</v>
      </c>
    </row>
    <row r="2125" spans="1:7" ht="15" x14ac:dyDescent="0.3">
      <c r="A2125">
        <v>48.026901245117202</v>
      </c>
      <c r="B2125">
        <v>3.6677799224853498</v>
      </c>
      <c r="C2125" t="s">
        <v>43</v>
      </c>
      <c r="D2125" t="s">
        <v>551</v>
      </c>
      <c r="F2125" s="21"/>
      <c r="G2125" s="16" t="str">
        <f>HYPERLINK("http://maps.google.com/maps?f=q&amp;hl=en&amp;geocode=&amp;q=48.0269012451172,3.66777992248535")</f>
        <v>http://maps.google.com/maps?f=q&amp;hl=en&amp;geocode=&amp;q=48.0269012451172,3.66777992248535</v>
      </c>
    </row>
    <row r="2126" spans="1:7" ht="15" x14ac:dyDescent="0.3">
      <c r="A2126">
        <v>28.151019999999999</v>
      </c>
      <c r="B2126">
        <v>-82.459609999999998</v>
      </c>
      <c r="C2126" t="s">
        <v>42</v>
      </c>
      <c r="D2126" t="s">
        <v>1560</v>
      </c>
      <c r="F2126" s="21"/>
      <c r="G2126" s="16" t="str">
        <f>HYPERLINK("http://maps.google.com/maps?f=q&amp;hl=en&amp;geocode=&amp;q=28.15102,-82.45961")</f>
        <v>http://maps.google.com/maps?f=q&amp;hl=en&amp;geocode=&amp;q=28.15102,-82.45961</v>
      </c>
    </row>
    <row r="2127" spans="1:7" ht="15" x14ac:dyDescent="0.3">
      <c r="A2127">
        <v>48.026901245117202</v>
      </c>
      <c r="B2127">
        <v>3.6677799224853498</v>
      </c>
      <c r="C2127" t="s">
        <v>43</v>
      </c>
      <c r="D2127" t="s">
        <v>551</v>
      </c>
      <c r="F2127" s="21"/>
      <c r="G2127" s="16" t="str">
        <f>HYPERLINK("http://maps.google.com/maps?f=q&amp;hl=en&amp;geocode=&amp;q=48.0269012451172,3.66777992248535")</f>
        <v>http://maps.google.com/maps?f=q&amp;hl=en&amp;geocode=&amp;q=48.0269012451172,3.66777992248535</v>
      </c>
    </row>
    <row r="2128" spans="1:7" ht="15" x14ac:dyDescent="0.3">
      <c r="A2128">
        <v>42.7791938781738</v>
      </c>
      <c r="B2128">
        <v>-73.691421508789105</v>
      </c>
      <c r="C2128" t="s">
        <v>43</v>
      </c>
      <c r="D2128" t="s">
        <v>1561</v>
      </c>
      <c r="F2128" s="21"/>
      <c r="G2128" s="16" t="str">
        <f>HYPERLINK("http://maps.google.com/maps?f=q&amp;hl=en&amp;geocode=&amp;q=42.7791938781738,-73.6914215087891")</f>
        <v>http://maps.google.com/maps?f=q&amp;hl=en&amp;geocode=&amp;q=42.7791938781738,-73.6914215087891</v>
      </c>
    </row>
    <row r="2129" spans="1:7" ht="15" x14ac:dyDescent="0.3">
      <c r="A2129">
        <v>34.440930000000002</v>
      </c>
      <c r="B2129">
        <v>-85.720590000000001</v>
      </c>
      <c r="C2129" t="s">
        <v>42</v>
      </c>
      <c r="D2129" t="s">
        <v>1033</v>
      </c>
      <c r="F2129" s="21"/>
      <c r="G2129" s="16" t="str">
        <f>HYPERLINK("http://maps.google.com/maps?f=q&amp;hl=en&amp;geocode=&amp;q=34.44093,-85.72059")</f>
        <v>http://maps.google.com/maps?f=q&amp;hl=en&amp;geocode=&amp;q=34.44093,-85.72059</v>
      </c>
    </row>
    <row r="2130" spans="1:7" ht="15" x14ac:dyDescent="0.3">
      <c r="A2130">
        <v>26.236509999999999</v>
      </c>
      <c r="B2130">
        <v>-80.213440000000006</v>
      </c>
      <c r="C2130" t="s">
        <v>43</v>
      </c>
      <c r="D2130" t="s">
        <v>1562</v>
      </c>
      <c r="F2130" s="21"/>
      <c r="G2130" s="16" t="str">
        <f>HYPERLINK("http://maps.google.com/maps?f=q&amp;hl=en&amp;geocode=&amp;q=26.23651,-80.21344")</f>
        <v>http://maps.google.com/maps?f=q&amp;hl=en&amp;geocode=&amp;q=26.23651,-80.21344</v>
      </c>
    </row>
    <row r="2131" spans="1:7" ht="15" x14ac:dyDescent="0.3">
      <c r="A2131">
        <v>38.387948305112801</v>
      </c>
      <c r="B2131">
        <v>-75.063472717493795</v>
      </c>
      <c r="C2131" t="s">
        <v>41</v>
      </c>
      <c r="D2131" t="s">
        <v>1563</v>
      </c>
      <c r="F2131" s="21"/>
      <c r="G2131" s="16" t="str">
        <f>HYPERLINK("http://maps.google.com/maps?f=q&amp;hl=en&amp;geocode=&amp;q=38.3879483051128,-75.0634727174938")</f>
        <v>http://maps.google.com/maps?f=q&amp;hl=en&amp;geocode=&amp;q=38.3879483051128,-75.0634727174938</v>
      </c>
    </row>
    <row r="2132" spans="1:7" ht="15" x14ac:dyDescent="0.3">
      <c r="A2132">
        <v>47.582173579922198</v>
      </c>
      <c r="B2132">
        <v>-92.301947949828204</v>
      </c>
      <c r="C2132" t="s">
        <v>41</v>
      </c>
      <c r="D2132" t="s">
        <v>1564</v>
      </c>
      <c r="F2132" s="21"/>
      <c r="G2132" s="16" t="str">
        <f>HYPERLINK("http://maps.google.com/maps?f=q&amp;hl=en&amp;geocode=&amp;q=47.5821735799222,-92.3019479498282")</f>
        <v>http://maps.google.com/maps?f=q&amp;hl=en&amp;geocode=&amp;q=47.5821735799222,-92.3019479498282</v>
      </c>
    </row>
    <row r="2133" spans="1:7" ht="15" x14ac:dyDescent="0.3">
      <c r="A2133" t="s">
        <v>44</v>
      </c>
      <c r="B2133" t="s">
        <v>44</v>
      </c>
      <c r="C2133" t="s">
        <v>44</v>
      </c>
      <c r="D2133" t="s">
        <v>1565</v>
      </c>
      <c r="F2133" s="21"/>
      <c r="G2133" s="16"/>
    </row>
    <row r="2134" spans="1:7" ht="15" x14ac:dyDescent="0.3">
      <c r="A2134">
        <v>34.440930000000002</v>
      </c>
      <c r="B2134">
        <v>-85.720590000000001</v>
      </c>
      <c r="C2134" t="s">
        <v>42</v>
      </c>
      <c r="D2134" t="s">
        <v>1033</v>
      </c>
      <c r="F2134" s="21"/>
      <c r="G2134" s="16" t="str">
        <f>HYPERLINK("http://maps.google.com/maps?f=q&amp;hl=en&amp;geocode=&amp;q=34.44093,-85.72059")</f>
        <v>http://maps.google.com/maps?f=q&amp;hl=en&amp;geocode=&amp;q=34.44093,-85.72059</v>
      </c>
    </row>
    <row r="2135" spans="1:7" ht="15" x14ac:dyDescent="0.3">
      <c r="A2135" t="s">
        <v>44</v>
      </c>
      <c r="B2135" t="s">
        <v>44</v>
      </c>
      <c r="C2135" t="s">
        <v>44</v>
      </c>
      <c r="D2135" t="s">
        <v>1566</v>
      </c>
      <c r="F2135" s="21"/>
      <c r="G2135" s="16"/>
    </row>
    <row r="2136" spans="1:7" ht="15" x14ac:dyDescent="0.3">
      <c r="A2136">
        <v>34.440930000000002</v>
      </c>
      <c r="B2136">
        <v>-85.720590000000001</v>
      </c>
      <c r="C2136" t="s">
        <v>42</v>
      </c>
      <c r="D2136" t="s">
        <v>1033</v>
      </c>
      <c r="F2136" s="21"/>
      <c r="G2136" s="16" t="str">
        <f>HYPERLINK("http://maps.google.com/maps?f=q&amp;hl=en&amp;geocode=&amp;q=34.44093,-85.72059")</f>
        <v>http://maps.google.com/maps?f=q&amp;hl=en&amp;geocode=&amp;q=34.44093,-85.72059</v>
      </c>
    </row>
    <row r="2137" spans="1:7" ht="15" x14ac:dyDescent="0.3">
      <c r="A2137">
        <v>40.044840000000001</v>
      </c>
      <c r="B2137">
        <v>-75.120609999999999</v>
      </c>
      <c r="C2137" t="s">
        <v>41</v>
      </c>
      <c r="D2137" t="s">
        <v>1567</v>
      </c>
      <c r="F2137" s="21"/>
      <c r="G2137" s="16" t="str">
        <f>HYPERLINK("http://maps.google.com/maps?f=q&amp;hl=en&amp;geocode=&amp;q=40.04484,-75.12061")</f>
        <v>http://maps.google.com/maps?f=q&amp;hl=en&amp;geocode=&amp;q=40.04484,-75.12061</v>
      </c>
    </row>
    <row r="2138" spans="1:7" ht="15" x14ac:dyDescent="0.3">
      <c r="A2138">
        <v>40.044879999999999</v>
      </c>
      <c r="B2138">
        <v>-75.120869999999996</v>
      </c>
      <c r="C2138" t="s">
        <v>41</v>
      </c>
      <c r="D2138" t="s">
        <v>1568</v>
      </c>
      <c r="F2138" s="21"/>
      <c r="G2138" s="16" t="str">
        <f>HYPERLINK("http://maps.google.com/maps?f=q&amp;hl=en&amp;geocode=&amp;q=40.04488,-75.12087")</f>
        <v>http://maps.google.com/maps?f=q&amp;hl=en&amp;geocode=&amp;q=40.04488,-75.12087</v>
      </c>
    </row>
    <row r="2139" spans="1:7" ht="15" x14ac:dyDescent="0.3">
      <c r="A2139">
        <v>40.044870000000003</v>
      </c>
      <c r="B2139">
        <v>-75.120810000000006</v>
      </c>
      <c r="C2139" t="s">
        <v>41</v>
      </c>
      <c r="D2139" t="s">
        <v>1569</v>
      </c>
      <c r="F2139" s="21"/>
      <c r="G2139" s="16" t="str">
        <f>HYPERLINK("http://maps.google.com/maps?f=q&amp;hl=en&amp;geocode=&amp;q=40.04487,-75.12081")</f>
        <v>http://maps.google.com/maps?f=q&amp;hl=en&amp;geocode=&amp;q=40.04487,-75.12081</v>
      </c>
    </row>
    <row r="2140" spans="1:7" ht="15" x14ac:dyDescent="0.3">
      <c r="A2140">
        <v>40.045090000000002</v>
      </c>
      <c r="B2140">
        <v>-75.122659999999996</v>
      </c>
      <c r="C2140" t="s">
        <v>41</v>
      </c>
      <c r="D2140" t="s">
        <v>1570</v>
      </c>
      <c r="F2140" s="21"/>
      <c r="G2140" s="16" t="str">
        <f>HYPERLINK("http://maps.google.com/maps?f=q&amp;hl=en&amp;geocode=&amp;q=40.04509,-75.12266")</f>
        <v>http://maps.google.com/maps?f=q&amp;hl=en&amp;geocode=&amp;q=40.04509,-75.12266</v>
      </c>
    </row>
    <row r="2141" spans="1:7" ht="15" x14ac:dyDescent="0.3">
      <c r="A2141">
        <v>39.926870000000001</v>
      </c>
      <c r="B2141">
        <v>-75.235010000000003</v>
      </c>
      <c r="C2141" t="s">
        <v>41</v>
      </c>
      <c r="D2141" t="s">
        <v>1571</v>
      </c>
      <c r="F2141" s="21"/>
      <c r="G2141" s="16" t="str">
        <f>HYPERLINK("http://maps.google.com/maps?f=q&amp;hl=en&amp;geocode=&amp;q=39.92687,-75.23501")</f>
        <v>http://maps.google.com/maps?f=q&amp;hl=en&amp;geocode=&amp;q=39.92687,-75.23501</v>
      </c>
    </row>
    <row r="2142" spans="1:7" ht="15" x14ac:dyDescent="0.3">
      <c r="A2142" t="s">
        <v>44</v>
      </c>
      <c r="B2142" t="s">
        <v>44</v>
      </c>
      <c r="C2142" t="s">
        <v>44</v>
      </c>
      <c r="D2142" t="s">
        <v>1572</v>
      </c>
      <c r="F2142" s="21"/>
      <c r="G2142" s="16"/>
    </row>
    <row r="2143" spans="1:7" ht="15" x14ac:dyDescent="0.3">
      <c r="A2143" t="s">
        <v>44</v>
      </c>
      <c r="B2143" t="s">
        <v>44</v>
      </c>
      <c r="C2143" t="s">
        <v>44</v>
      </c>
      <c r="D2143" t="s">
        <v>1573</v>
      </c>
      <c r="F2143" s="21"/>
      <c r="G2143" s="16"/>
    </row>
    <row r="2144" spans="1:7" ht="15" x14ac:dyDescent="0.3">
      <c r="A2144">
        <v>38.945934322480298</v>
      </c>
      <c r="B2144">
        <v>-119.756636127649</v>
      </c>
      <c r="C2144" t="s">
        <v>42</v>
      </c>
      <c r="D2144" t="s">
        <v>1574</v>
      </c>
      <c r="F2144" s="21"/>
      <c r="G2144" s="16" t="str">
        <f>HYPERLINK("http://maps.google.com/maps?f=q&amp;hl=en&amp;geocode=&amp;q=38.9459343224803,-119.756636127649")</f>
        <v>http://maps.google.com/maps?f=q&amp;hl=en&amp;geocode=&amp;q=38.9459343224803,-119.756636127649</v>
      </c>
    </row>
    <row r="2145" spans="1:7" ht="15" x14ac:dyDescent="0.3">
      <c r="A2145">
        <v>39.801922048236698</v>
      </c>
      <c r="B2145">
        <v>-89.621379194895198</v>
      </c>
      <c r="C2145" t="s">
        <v>43</v>
      </c>
      <c r="D2145" t="s">
        <v>1575</v>
      </c>
      <c r="F2145" s="21"/>
      <c r="G2145" s="16" t="str">
        <f>HYPERLINK("http://maps.google.com/maps?f=q&amp;hl=en&amp;geocode=&amp;q=39.8019220482367,-89.6213791948952")</f>
        <v>http://maps.google.com/maps?f=q&amp;hl=en&amp;geocode=&amp;q=39.8019220482367,-89.6213791948952</v>
      </c>
    </row>
    <row r="2146" spans="1:7" ht="15" x14ac:dyDescent="0.3">
      <c r="A2146">
        <v>33.348494213769797</v>
      </c>
      <c r="B2146">
        <v>-98.606133829462095</v>
      </c>
      <c r="C2146" t="s">
        <v>41</v>
      </c>
      <c r="D2146" t="s">
        <v>1576</v>
      </c>
      <c r="F2146" s="21"/>
      <c r="G2146" s="16" t="str">
        <f>HYPERLINK("http://maps.google.com/maps?f=q&amp;hl=en&amp;geocode=&amp;q=33.3484942137698,-98.6061338294621")</f>
        <v>http://maps.google.com/maps?f=q&amp;hl=en&amp;geocode=&amp;q=33.3484942137698,-98.6061338294621</v>
      </c>
    </row>
    <row r="2147" spans="1:7" ht="15" x14ac:dyDescent="0.3">
      <c r="A2147">
        <v>41.151001632089297</v>
      </c>
      <c r="B2147">
        <v>-111.912130374272</v>
      </c>
      <c r="C2147" t="s">
        <v>41</v>
      </c>
      <c r="D2147" t="s">
        <v>1577</v>
      </c>
      <c r="F2147" s="21"/>
      <c r="G2147" s="16" t="str">
        <f>HYPERLINK("http://maps.google.com/maps?f=q&amp;hl=en&amp;geocode=&amp;q=41.1510016320893,-111.912130374272")</f>
        <v>http://maps.google.com/maps?f=q&amp;hl=en&amp;geocode=&amp;q=41.1510016320893,-111.912130374272</v>
      </c>
    </row>
    <row r="2148" spans="1:7" ht="15" x14ac:dyDescent="0.3">
      <c r="A2148">
        <v>39.036619999999999</v>
      </c>
      <c r="B2148">
        <v>-94.586070000000007</v>
      </c>
      <c r="C2148" t="s">
        <v>43</v>
      </c>
      <c r="D2148" t="s">
        <v>1451</v>
      </c>
      <c r="F2148" s="21"/>
      <c r="G2148" s="16" t="str">
        <f>HYPERLINK("http://maps.google.com/maps?f=q&amp;hl=en&amp;geocode=&amp;q=39.03662,-94.58607")</f>
        <v>http://maps.google.com/maps?f=q&amp;hl=en&amp;geocode=&amp;q=39.03662,-94.58607</v>
      </c>
    </row>
    <row r="2149" spans="1:7" ht="15" x14ac:dyDescent="0.3">
      <c r="A2149">
        <v>39.950519999999997</v>
      </c>
      <c r="B2149">
        <v>-75.220789999999994</v>
      </c>
      <c r="C2149" t="s">
        <v>43</v>
      </c>
      <c r="D2149" t="s">
        <v>1578</v>
      </c>
      <c r="F2149" s="21"/>
      <c r="G2149" s="16" t="str">
        <f>HYPERLINK("http://maps.google.com/maps?f=q&amp;hl=en&amp;geocode=&amp;q=39.95052,-75.22079")</f>
        <v>http://maps.google.com/maps?f=q&amp;hl=en&amp;geocode=&amp;q=39.95052,-75.22079</v>
      </c>
    </row>
    <row r="2150" spans="1:7" ht="15" x14ac:dyDescent="0.3">
      <c r="A2150">
        <v>39.952030000000001</v>
      </c>
      <c r="B2150">
        <v>-75.220479999999995</v>
      </c>
      <c r="C2150" t="s">
        <v>43</v>
      </c>
      <c r="D2150" t="s">
        <v>1579</v>
      </c>
      <c r="F2150" s="21"/>
      <c r="G2150" s="16" t="str">
        <f>HYPERLINK("http://maps.google.com/maps?f=q&amp;hl=en&amp;geocode=&amp;q=39.95203,-75.22048")</f>
        <v>http://maps.google.com/maps?f=q&amp;hl=en&amp;geocode=&amp;q=39.95203,-75.22048</v>
      </c>
    </row>
    <row r="2151" spans="1:7" ht="15" x14ac:dyDescent="0.3">
      <c r="A2151">
        <v>39.965299999999999</v>
      </c>
      <c r="B2151">
        <v>-75.242080000000001</v>
      </c>
      <c r="C2151" t="s">
        <v>42</v>
      </c>
      <c r="D2151" t="s">
        <v>1580</v>
      </c>
      <c r="F2151" s="21"/>
      <c r="G2151" s="16" t="str">
        <f>HYPERLINK("http://maps.google.com/maps?f=q&amp;hl=en&amp;geocode=&amp;q=39.9653,-75.24208")</f>
        <v>http://maps.google.com/maps?f=q&amp;hl=en&amp;geocode=&amp;q=39.9653,-75.24208</v>
      </c>
    </row>
    <row r="2152" spans="1:7" ht="15" x14ac:dyDescent="0.3">
      <c r="A2152">
        <v>40.1876522252294</v>
      </c>
      <c r="B2152">
        <v>-94.335565942308605</v>
      </c>
      <c r="C2152" t="s">
        <v>41</v>
      </c>
      <c r="D2152" t="s">
        <v>1581</v>
      </c>
      <c r="F2152" s="21"/>
      <c r="G2152" s="16" t="str">
        <f>HYPERLINK("http://maps.google.com/maps?f=q&amp;hl=en&amp;geocode=&amp;q=40.1876522252294,-94.3355659423086")</f>
        <v>http://maps.google.com/maps?f=q&amp;hl=en&amp;geocode=&amp;q=40.1876522252294,-94.3355659423086</v>
      </c>
    </row>
    <row r="2153" spans="1:7" ht="15" x14ac:dyDescent="0.3">
      <c r="A2153" t="s">
        <v>44</v>
      </c>
      <c r="B2153" t="s">
        <v>44</v>
      </c>
      <c r="C2153" t="s">
        <v>44</v>
      </c>
      <c r="D2153" t="s">
        <v>1582</v>
      </c>
      <c r="F2153" s="21"/>
      <c r="G2153" s="16"/>
    </row>
    <row r="2154" spans="1:7" ht="15" x14ac:dyDescent="0.3">
      <c r="A2154">
        <v>38.798560000000002</v>
      </c>
      <c r="B2154">
        <v>-90.20908</v>
      </c>
      <c r="C2154" t="s">
        <v>43</v>
      </c>
      <c r="D2154" t="s">
        <v>1583</v>
      </c>
      <c r="F2154" s="21"/>
      <c r="G2154" s="16" t="str">
        <f>HYPERLINK("http://maps.google.com/maps?f=q&amp;hl=en&amp;geocode=&amp;q=38.79856,-90.20908")</f>
        <v>http://maps.google.com/maps?f=q&amp;hl=en&amp;geocode=&amp;q=38.79856,-90.20908</v>
      </c>
    </row>
    <row r="2155" spans="1:7" ht="15" x14ac:dyDescent="0.3">
      <c r="A2155">
        <v>34.274926077825597</v>
      </c>
      <c r="B2155">
        <v>-85.182046376414505</v>
      </c>
      <c r="C2155" t="s">
        <v>43</v>
      </c>
      <c r="D2155" t="s">
        <v>1584</v>
      </c>
      <c r="F2155" s="21"/>
      <c r="G2155" s="16" t="str">
        <f>HYPERLINK("http://maps.google.com/maps?f=q&amp;hl=en&amp;geocode=&amp;q=34.2749260778256,-85.1820463764145")</f>
        <v>http://maps.google.com/maps?f=q&amp;hl=en&amp;geocode=&amp;q=34.2749260778256,-85.1820463764145</v>
      </c>
    </row>
    <row r="2156" spans="1:7" ht="15" x14ac:dyDescent="0.3">
      <c r="A2156">
        <v>39.920034553313897</v>
      </c>
      <c r="B2156">
        <v>-75.230253062950098</v>
      </c>
      <c r="C2156" t="s">
        <v>43</v>
      </c>
      <c r="D2156" t="s">
        <v>1426</v>
      </c>
      <c r="F2156" s="21"/>
      <c r="G2156" s="16" t="str">
        <f>HYPERLINK("http://maps.google.com/maps?f=q&amp;hl=en&amp;geocode=&amp;q=39.9200345533139,-75.2302530629501")</f>
        <v>http://maps.google.com/maps?f=q&amp;hl=en&amp;geocode=&amp;q=39.9200345533139,-75.2302530629501</v>
      </c>
    </row>
    <row r="2157" spans="1:7" ht="15" x14ac:dyDescent="0.3">
      <c r="A2157">
        <v>38.842887146380001</v>
      </c>
      <c r="B2157">
        <v>-89.966782267509601</v>
      </c>
      <c r="C2157" t="s">
        <v>41</v>
      </c>
      <c r="D2157" t="s">
        <v>1585</v>
      </c>
      <c r="F2157" s="21"/>
      <c r="G2157" s="16" t="str">
        <f>HYPERLINK("http://maps.google.com/maps?f=q&amp;hl=en&amp;geocode=&amp;q=38.84288714638,-89.9667822675096")</f>
        <v>http://maps.google.com/maps?f=q&amp;hl=en&amp;geocode=&amp;q=38.84288714638,-89.9667822675096</v>
      </c>
    </row>
    <row r="2158" spans="1:7" ht="15" x14ac:dyDescent="0.3">
      <c r="A2158">
        <v>43.013394966800298</v>
      </c>
      <c r="B2158">
        <v>-89.488597564513299</v>
      </c>
      <c r="C2158" t="s">
        <v>41</v>
      </c>
      <c r="D2158" t="s">
        <v>1586</v>
      </c>
      <c r="F2158" s="21"/>
      <c r="G2158" s="16" t="str">
        <f>HYPERLINK("http://maps.google.com/maps?f=q&amp;hl=en&amp;geocode=&amp;q=43.0133949668003,-89.4885975645133")</f>
        <v>http://maps.google.com/maps?f=q&amp;hl=en&amp;geocode=&amp;q=43.0133949668003,-89.4885975645133</v>
      </c>
    </row>
    <row r="2159" spans="1:7" ht="15" x14ac:dyDescent="0.3">
      <c r="A2159" t="s">
        <v>44</v>
      </c>
      <c r="B2159" t="s">
        <v>44</v>
      </c>
      <c r="C2159" t="s">
        <v>44</v>
      </c>
      <c r="D2159" t="s">
        <v>1587</v>
      </c>
      <c r="F2159" s="21"/>
      <c r="G2159" s="16"/>
    </row>
    <row r="2160" spans="1:7" ht="15" x14ac:dyDescent="0.3">
      <c r="A2160" t="s">
        <v>44</v>
      </c>
      <c r="B2160" t="s">
        <v>44</v>
      </c>
      <c r="C2160" t="s">
        <v>44</v>
      </c>
      <c r="D2160" t="s">
        <v>1588</v>
      </c>
      <c r="F2160" s="21"/>
      <c r="G2160" s="16"/>
    </row>
    <row r="2161" spans="1:7" ht="15" x14ac:dyDescent="0.3">
      <c r="A2161">
        <v>35.428350000000002</v>
      </c>
      <c r="B2161">
        <v>-97.134460000000004</v>
      </c>
      <c r="C2161" t="s">
        <v>42</v>
      </c>
      <c r="D2161" t="s">
        <v>276</v>
      </c>
      <c r="F2161" s="21"/>
      <c r="G2161" s="16" t="str">
        <f>HYPERLINK("http://maps.google.com/maps?f=q&amp;hl=en&amp;geocode=&amp;q=35.42835,-97.13446")</f>
        <v>http://maps.google.com/maps?f=q&amp;hl=en&amp;geocode=&amp;q=35.42835,-97.13446</v>
      </c>
    </row>
    <row r="2162" spans="1:7" ht="15" x14ac:dyDescent="0.3">
      <c r="A2162">
        <v>38.383310000000002</v>
      </c>
      <c r="B2162">
        <v>-96.150630000000007</v>
      </c>
      <c r="C2162" t="s">
        <v>42</v>
      </c>
      <c r="D2162" t="s">
        <v>1589</v>
      </c>
      <c r="F2162" s="21"/>
      <c r="G2162" s="16" t="str">
        <f>HYPERLINK("http://maps.google.com/maps?f=q&amp;hl=en&amp;geocode=&amp;q=38.38331,-96.15063")</f>
        <v>http://maps.google.com/maps?f=q&amp;hl=en&amp;geocode=&amp;q=38.38331,-96.15063</v>
      </c>
    </row>
    <row r="2163" spans="1:7" ht="15" x14ac:dyDescent="0.3">
      <c r="A2163">
        <v>36.178058624267599</v>
      </c>
      <c r="B2163">
        <v>51.865829467773402</v>
      </c>
      <c r="C2163" t="s">
        <v>41</v>
      </c>
      <c r="D2163" t="s">
        <v>1590</v>
      </c>
      <c r="F2163" s="21"/>
      <c r="G2163" s="16" t="str">
        <f>HYPERLINK("http://maps.google.com/maps?f=q&amp;hl=en&amp;geocode=&amp;q=36.1780586242676,51.8658294677734")</f>
        <v>http://maps.google.com/maps?f=q&amp;hl=en&amp;geocode=&amp;q=36.1780586242676,51.8658294677734</v>
      </c>
    </row>
    <row r="2164" spans="1:7" ht="15" x14ac:dyDescent="0.3">
      <c r="A2164">
        <v>45.535679999999999</v>
      </c>
      <c r="B2164">
        <v>-122.92128</v>
      </c>
      <c r="C2164" t="s">
        <v>42</v>
      </c>
      <c r="D2164" t="s">
        <v>1591</v>
      </c>
      <c r="F2164" s="21"/>
      <c r="G2164" s="16" t="str">
        <f>HYPERLINK("http://maps.google.com/maps?f=q&amp;hl=en&amp;geocode=&amp;q=45.53568,-122.92128")</f>
        <v>http://maps.google.com/maps?f=q&amp;hl=en&amp;geocode=&amp;q=45.53568,-122.92128</v>
      </c>
    </row>
    <row r="2165" spans="1:7" ht="15" x14ac:dyDescent="0.3">
      <c r="A2165">
        <v>35.979579999999999</v>
      </c>
      <c r="B2165">
        <v>-83.921941000000004</v>
      </c>
      <c r="C2165" t="s">
        <v>41</v>
      </c>
      <c r="D2165" t="s">
        <v>1592</v>
      </c>
      <c r="F2165" s="21"/>
      <c r="G2165" s="16" t="str">
        <f>HYPERLINK("http://maps.google.com/maps?f=q&amp;hl=en&amp;geocode=&amp;q=35.97958,-83.921941")</f>
        <v>http://maps.google.com/maps?f=q&amp;hl=en&amp;geocode=&amp;q=35.97958,-83.921941</v>
      </c>
    </row>
    <row r="2166" spans="1:7" ht="15" x14ac:dyDescent="0.3">
      <c r="A2166">
        <v>39.912840000000003</v>
      </c>
      <c r="B2166">
        <v>-75.240949999999998</v>
      </c>
      <c r="C2166" t="s">
        <v>41</v>
      </c>
      <c r="D2166" t="s">
        <v>1593</v>
      </c>
      <c r="F2166" s="21"/>
      <c r="G2166" s="16" t="str">
        <f>HYPERLINK("http://maps.google.com/maps?f=q&amp;hl=en&amp;geocode=&amp;q=39.91284,-75.24095")</f>
        <v>http://maps.google.com/maps?f=q&amp;hl=en&amp;geocode=&amp;q=39.91284,-75.24095</v>
      </c>
    </row>
    <row r="2167" spans="1:7" ht="15" x14ac:dyDescent="0.3">
      <c r="A2167">
        <v>36.178058624267599</v>
      </c>
      <c r="B2167">
        <v>51.865829467773402</v>
      </c>
      <c r="C2167" t="s">
        <v>41</v>
      </c>
      <c r="D2167" t="s">
        <v>1590</v>
      </c>
      <c r="F2167" s="21"/>
      <c r="G2167" s="16" t="str">
        <f>HYPERLINK("http://maps.google.com/maps?f=q&amp;hl=en&amp;geocode=&amp;q=36.1780586242676,51.8658294677734")</f>
        <v>http://maps.google.com/maps?f=q&amp;hl=en&amp;geocode=&amp;q=36.1780586242676,51.8658294677734</v>
      </c>
    </row>
    <row r="2168" spans="1:7" ht="15" x14ac:dyDescent="0.3">
      <c r="A2168">
        <v>39.970030000000001</v>
      </c>
      <c r="B2168">
        <v>-75.236599999999996</v>
      </c>
      <c r="C2168" t="s">
        <v>41</v>
      </c>
      <c r="D2168" t="s">
        <v>1594</v>
      </c>
      <c r="F2168" s="21"/>
      <c r="G2168" s="16" t="str">
        <f>HYPERLINK("http://maps.google.com/maps?f=q&amp;hl=en&amp;geocode=&amp;q=39.97003,-75.2366")</f>
        <v>http://maps.google.com/maps?f=q&amp;hl=en&amp;geocode=&amp;q=39.97003,-75.2366</v>
      </c>
    </row>
    <row r="2169" spans="1:7" ht="15" x14ac:dyDescent="0.3">
      <c r="A2169">
        <v>39.970649999999999</v>
      </c>
      <c r="B2169">
        <v>-75.234800000000007</v>
      </c>
      <c r="C2169" t="s">
        <v>41</v>
      </c>
      <c r="D2169" t="s">
        <v>1595</v>
      </c>
      <c r="F2169" s="21"/>
      <c r="G2169" s="16" t="str">
        <f>HYPERLINK("http://maps.google.com/maps?f=q&amp;hl=en&amp;geocode=&amp;q=39.97065,-75.2348")</f>
        <v>http://maps.google.com/maps?f=q&amp;hl=en&amp;geocode=&amp;q=39.97065,-75.2348</v>
      </c>
    </row>
    <row r="2170" spans="1:7" ht="15" x14ac:dyDescent="0.3">
      <c r="A2170">
        <v>29.962510000000002</v>
      </c>
      <c r="B2170">
        <v>-95.302170000000004</v>
      </c>
      <c r="C2170" t="s">
        <v>43</v>
      </c>
      <c r="D2170" t="s">
        <v>1596</v>
      </c>
      <c r="F2170" s="21"/>
      <c r="G2170" s="16" t="str">
        <f>HYPERLINK("http://maps.google.com/maps?f=q&amp;hl=en&amp;geocode=&amp;q=29.96251,-95.30217")</f>
        <v>http://maps.google.com/maps?f=q&amp;hl=en&amp;geocode=&amp;q=29.96251,-95.30217</v>
      </c>
    </row>
    <row r="2171" spans="1:7" ht="15" x14ac:dyDescent="0.3">
      <c r="A2171">
        <v>39.4793759317472</v>
      </c>
      <c r="B2171">
        <v>-74.696653854570002</v>
      </c>
      <c r="C2171" t="s">
        <v>43</v>
      </c>
      <c r="D2171" t="s">
        <v>1597</v>
      </c>
      <c r="F2171" s="21"/>
      <c r="G2171" s="16" t="str">
        <f>HYPERLINK("http://maps.google.com/maps?f=q&amp;hl=en&amp;geocode=&amp;q=39.4793759317472,-74.69665385457")</f>
        <v>http://maps.google.com/maps?f=q&amp;hl=en&amp;geocode=&amp;q=39.4793759317472,-74.69665385457</v>
      </c>
    </row>
    <row r="2172" spans="1:7" ht="15" x14ac:dyDescent="0.3">
      <c r="A2172">
        <v>40.043667744318597</v>
      </c>
      <c r="B2172">
        <v>-75.067613701435505</v>
      </c>
      <c r="C2172" t="s">
        <v>41</v>
      </c>
      <c r="D2172" t="s">
        <v>1530</v>
      </c>
      <c r="F2172" s="21"/>
      <c r="G2172" s="16" t="str">
        <f>HYPERLINK("http://maps.google.com/maps?f=q&amp;hl=en&amp;geocode=&amp;q=40.0436677443186,-75.0676137014355")</f>
        <v>http://maps.google.com/maps?f=q&amp;hl=en&amp;geocode=&amp;q=40.0436677443186,-75.0676137014355</v>
      </c>
    </row>
    <row r="2173" spans="1:7" ht="15" x14ac:dyDescent="0.3">
      <c r="A2173">
        <v>40.043667744318597</v>
      </c>
      <c r="B2173">
        <v>-75.067613701435505</v>
      </c>
      <c r="C2173" t="s">
        <v>41</v>
      </c>
      <c r="D2173" t="s">
        <v>1530</v>
      </c>
      <c r="F2173" s="21"/>
      <c r="G2173" s="16" t="str">
        <f>HYPERLINK("http://maps.google.com/maps?f=q&amp;hl=en&amp;geocode=&amp;q=40.0436677443186,-75.0676137014355")</f>
        <v>http://maps.google.com/maps?f=q&amp;hl=en&amp;geocode=&amp;q=40.0436677443186,-75.0676137014355</v>
      </c>
    </row>
    <row r="2174" spans="1:7" ht="15" x14ac:dyDescent="0.3">
      <c r="A2174">
        <v>39.593593028743697</v>
      </c>
      <c r="B2174">
        <v>-110.8100890419</v>
      </c>
      <c r="C2174" t="s">
        <v>43</v>
      </c>
      <c r="D2174" t="s">
        <v>1598</v>
      </c>
      <c r="F2174" s="21"/>
      <c r="G2174" s="16" t="str">
        <f>HYPERLINK("http://maps.google.com/maps?f=q&amp;hl=en&amp;geocode=&amp;q=39.5935930287437,-110.8100890419")</f>
        <v>http://maps.google.com/maps?f=q&amp;hl=en&amp;geocode=&amp;q=39.5935930287437,-110.8100890419</v>
      </c>
    </row>
    <row r="2175" spans="1:7" ht="15" x14ac:dyDescent="0.3">
      <c r="A2175">
        <v>39.555140000000002</v>
      </c>
      <c r="B2175">
        <v>-119.74316</v>
      </c>
      <c r="C2175" t="s">
        <v>43</v>
      </c>
      <c r="D2175" t="s">
        <v>1599</v>
      </c>
      <c r="F2175" s="21"/>
      <c r="G2175" s="16" t="str">
        <f>HYPERLINK("http://maps.google.com/maps?f=q&amp;hl=en&amp;geocode=&amp;q=39.55514,-119.74316")</f>
        <v>http://maps.google.com/maps?f=q&amp;hl=en&amp;geocode=&amp;q=39.55514,-119.74316</v>
      </c>
    </row>
    <row r="2176" spans="1:7" ht="15" x14ac:dyDescent="0.3">
      <c r="A2176">
        <v>39.963769999999997</v>
      </c>
      <c r="B2176">
        <v>-75.242400000000004</v>
      </c>
      <c r="C2176" t="s">
        <v>42</v>
      </c>
      <c r="D2176" t="s">
        <v>930</v>
      </c>
      <c r="F2176" s="21"/>
      <c r="G2176" s="16" t="str">
        <f>HYPERLINK("http://maps.google.com/maps?f=q&amp;hl=en&amp;geocode=&amp;q=39.96377,-75.2424")</f>
        <v>http://maps.google.com/maps?f=q&amp;hl=en&amp;geocode=&amp;q=39.96377,-75.2424</v>
      </c>
    </row>
    <row r="2177" spans="1:7" ht="15" x14ac:dyDescent="0.3">
      <c r="A2177">
        <v>37.753675034144997</v>
      </c>
      <c r="B2177">
        <v>-121.439205006127</v>
      </c>
      <c r="C2177" t="s">
        <v>41</v>
      </c>
      <c r="D2177" t="s">
        <v>641</v>
      </c>
      <c r="F2177" s="21"/>
      <c r="G2177" s="16" t="str">
        <f>HYPERLINK("http://maps.google.com/maps?f=q&amp;hl=en&amp;geocode=&amp;q=37.753675034145,-121.439205006127")</f>
        <v>http://maps.google.com/maps?f=q&amp;hl=en&amp;geocode=&amp;q=37.753675034145,-121.439205006127</v>
      </c>
    </row>
    <row r="2178" spans="1:7" ht="15" x14ac:dyDescent="0.3">
      <c r="A2178">
        <v>40.04036</v>
      </c>
      <c r="B2178">
        <v>-75.12415</v>
      </c>
      <c r="C2178" t="s">
        <v>42</v>
      </c>
      <c r="D2178" t="s">
        <v>1600</v>
      </c>
      <c r="F2178" s="21"/>
      <c r="G2178" s="16" t="str">
        <f>HYPERLINK("http://maps.google.com/maps?f=q&amp;hl=en&amp;geocode=&amp;q=40.04036,-75.12415")</f>
        <v>http://maps.google.com/maps?f=q&amp;hl=en&amp;geocode=&amp;q=40.04036,-75.12415</v>
      </c>
    </row>
    <row r="2179" spans="1:7" ht="15" x14ac:dyDescent="0.3">
      <c r="A2179">
        <v>42.7791938781738</v>
      </c>
      <c r="B2179">
        <v>-73.691421508789105</v>
      </c>
      <c r="C2179" t="s">
        <v>43</v>
      </c>
      <c r="D2179" t="s">
        <v>1559</v>
      </c>
      <c r="F2179" s="21"/>
      <c r="G2179" s="16" t="str">
        <f>HYPERLINK("http://maps.google.com/maps?f=q&amp;hl=en&amp;geocode=&amp;q=42.7791938781738,-73.6914215087891")</f>
        <v>http://maps.google.com/maps?f=q&amp;hl=en&amp;geocode=&amp;q=42.7791938781738,-73.6914215087891</v>
      </c>
    </row>
    <row r="2180" spans="1:7" ht="15" x14ac:dyDescent="0.3">
      <c r="A2180">
        <v>32.993589999999998</v>
      </c>
      <c r="B2180">
        <v>-82.813860000000005</v>
      </c>
      <c r="C2180" t="s">
        <v>42</v>
      </c>
      <c r="D2180" t="s">
        <v>1601</v>
      </c>
      <c r="F2180" s="21"/>
      <c r="G2180" s="16" t="str">
        <f>HYPERLINK("http://maps.google.com/maps?f=q&amp;hl=en&amp;geocode=&amp;q=32.99359,-82.81386")</f>
        <v>http://maps.google.com/maps?f=q&amp;hl=en&amp;geocode=&amp;q=32.99359,-82.81386</v>
      </c>
    </row>
    <row r="2181" spans="1:7" ht="15" x14ac:dyDescent="0.3">
      <c r="A2181">
        <v>32.993589999999998</v>
      </c>
      <c r="B2181">
        <v>-82.813860000000005</v>
      </c>
      <c r="C2181" t="s">
        <v>42</v>
      </c>
      <c r="D2181" t="s">
        <v>1601</v>
      </c>
      <c r="F2181" s="21"/>
      <c r="G2181" s="16" t="str">
        <f>HYPERLINK("http://maps.google.com/maps?f=q&amp;hl=en&amp;geocode=&amp;q=32.99359,-82.81386")</f>
        <v>http://maps.google.com/maps?f=q&amp;hl=en&amp;geocode=&amp;q=32.99359,-82.81386</v>
      </c>
    </row>
    <row r="2182" spans="1:7" ht="15" x14ac:dyDescent="0.3">
      <c r="A2182">
        <v>32.993589999999998</v>
      </c>
      <c r="B2182">
        <v>-82.813860000000005</v>
      </c>
      <c r="C2182" t="s">
        <v>42</v>
      </c>
      <c r="D2182" t="s">
        <v>1601</v>
      </c>
      <c r="F2182" s="21"/>
      <c r="G2182" s="16" t="str">
        <f>HYPERLINK("http://maps.google.com/maps?f=q&amp;hl=en&amp;geocode=&amp;q=32.99359,-82.81386")</f>
        <v>http://maps.google.com/maps?f=q&amp;hl=en&amp;geocode=&amp;q=32.99359,-82.81386</v>
      </c>
    </row>
    <row r="2183" spans="1:7" ht="15" x14ac:dyDescent="0.3">
      <c r="A2183">
        <v>48.026901245117202</v>
      </c>
      <c r="B2183">
        <v>3.6677799224853498</v>
      </c>
      <c r="C2183" t="s">
        <v>43</v>
      </c>
      <c r="D2183" t="s">
        <v>551</v>
      </c>
      <c r="F2183" s="21"/>
      <c r="G2183" s="16" t="str">
        <f>HYPERLINK("http://maps.google.com/maps?f=q&amp;hl=en&amp;geocode=&amp;q=48.0269012451172,3.66777992248535")</f>
        <v>http://maps.google.com/maps?f=q&amp;hl=en&amp;geocode=&amp;q=48.0269012451172,3.66777992248535</v>
      </c>
    </row>
    <row r="2184" spans="1:7" ht="15" x14ac:dyDescent="0.3">
      <c r="A2184">
        <v>48.026901245117202</v>
      </c>
      <c r="B2184">
        <v>3.6677799224853498</v>
      </c>
      <c r="C2184" t="s">
        <v>43</v>
      </c>
      <c r="D2184" t="s">
        <v>551</v>
      </c>
      <c r="F2184" s="21"/>
      <c r="G2184" s="16" t="str">
        <f>HYPERLINK("http://maps.google.com/maps?f=q&amp;hl=en&amp;geocode=&amp;q=48.0269012451172,3.66777992248535")</f>
        <v>http://maps.google.com/maps?f=q&amp;hl=en&amp;geocode=&amp;q=48.0269012451172,3.66777992248535</v>
      </c>
    </row>
    <row r="2185" spans="1:7" ht="15" x14ac:dyDescent="0.3">
      <c r="A2185">
        <v>41.008699</v>
      </c>
      <c r="B2185">
        <v>-88.523814999999999</v>
      </c>
      <c r="C2185" t="s">
        <v>41</v>
      </c>
      <c r="D2185" t="s">
        <v>531</v>
      </c>
      <c r="F2185" s="21"/>
      <c r="G2185" s="16" t="str">
        <f>HYPERLINK("http://maps.google.com/maps?f=q&amp;hl=en&amp;geocode=&amp;q=41.008699,-88.523815")</f>
        <v>http://maps.google.com/maps?f=q&amp;hl=en&amp;geocode=&amp;q=41.008699,-88.523815</v>
      </c>
    </row>
    <row r="2186" spans="1:7" ht="15" x14ac:dyDescent="0.3">
      <c r="A2186">
        <v>41.008699</v>
      </c>
      <c r="B2186">
        <v>-88.523814999999999</v>
      </c>
      <c r="C2186" t="s">
        <v>41</v>
      </c>
      <c r="D2186" t="s">
        <v>531</v>
      </c>
      <c r="F2186" s="21"/>
      <c r="G2186" s="16" t="str">
        <f>HYPERLINK("http://maps.google.com/maps?f=q&amp;hl=en&amp;geocode=&amp;q=41.008699,-88.523815")</f>
        <v>http://maps.google.com/maps?f=q&amp;hl=en&amp;geocode=&amp;q=41.008699,-88.523815</v>
      </c>
    </row>
    <row r="2187" spans="1:7" ht="15" x14ac:dyDescent="0.3">
      <c r="A2187">
        <v>42.7791938781738</v>
      </c>
      <c r="B2187">
        <v>-73.691421508789105</v>
      </c>
      <c r="C2187" t="s">
        <v>43</v>
      </c>
      <c r="D2187" t="s">
        <v>1561</v>
      </c>
      <c r="F2187" s="21"/>
      <c r="G2187" s="16" t="str">
        <f>HYPERLINK("http://maps.google.com/maps?f=q&amp;hl=en&amp;geocode=&amp;q=42.7791938781738,-73.6914215087891")</f>
        <v>http://maps.google.com/maps?f=q&amp;hl=en&amp;geocode=&amp;q=42.7791938781738,-73.6914215087891</v>
      </c>
    </row>
    <row r="2188" spans="1:7" ht="15" x14ac:dyDescent="0.3">
      <c r="A2188" t="s">
        <v>44</v>
      </c>
      <c r="B2188" t="s">
        <v>44</v>
      </c>
      <c r="C2188" t="s">
        <v>44</v>
      </c>
      <c r="D2188" t="s">
        <v>1602</v>
      </c>
      <c r="F2188" s="21"/>
      <c r="G2188" s="16"/>
    </row>
    <row r="2189" spans="1:7" ht="15" x14ac:dyDescent="0.3">
      <c r="A2189">
        <v>33.440943814982703</v>
      </c>
      <c r="B2189">
        <v>-87.973790739855303</v>
      </c>
      <c r="C2189" t="s">
        <v>41</v>
      </c>
      <c r="D2189" t="s">
        <v>1603</v>
      </c>
      <c r="F2189" s="21"/>
      <c r="G2189" s="16" t="str">
        <f>HYPERLINK("http://maps.google.com/maps?f=q&amp;hl=en&amp;geocode=&amp;q=33.4409438149827,-87.9737907398553")</f>
        <v>http://maps.google.com/maps?f=q&amp;hl=en&amp;geocode=&amp;q=33.4409438149827,-87.9737907398553</v>
      </c>
    </row>
    <row r="2190" spans="1:7" ht="15" x14ac:dyDescent="0.3">
      <c r="A2190">
        <v>40.723880767822301</v>
      </c>
      <c r="B2190">
        <v>-73.703208923339801</v>
      </c>
      <c r="C2190" t="s">
        <v>43</v>
      </c>
      <c r="D2190" t="s">
        <v>1555</v>
      </c>
      <c r="F2190" s="21"/>
      <c r="G2190" s="16" t="str">
        <f>HYPERLINK("http://maps.google.com/maps?f=q&amp;hl=en&amp;geocode=&amp;q=40.7238807678223,-73.7032089233398")</f>
        <v>http://maps.google.com/maps?f=q&amp;hl=en&amp;geocode=&amp;q=40.7238807678223,-73.7032089233398</v>
      </c>
    </row>
    <row r="2191" spans="1:7" ht="15" x14ac:dyDescent="0.3">
      <c r="A2191">
        <v>40.049795295843502</v>
      </c>
      <c r="B2191">
        <v>-75.058208565539999</v>
      </c>
      <c r="C2191" t="s">
        <v>41</v>
      </c>
      <c r="D2191" t="s">
        <v>1604</v>
      </c>
      <c r="F2191" s="21"/>
      <c r="G2191" s="16" t="str">
        <f>HYPERLINK("http://maps.google.com/maps?f=q&amp;hl=en&amp;geocode=&amp;q=40.0497952958435,-75.05820856554")</f>
        <v>http://maps.google.com/maps?f=q&amp;hl=en&amp;geocode=&amp;q=40.0497952958435,-75.05820856554</v>
      </c>
    </row>
    <row r="2192" spans="1:7" ht="15" x14ac:dyDescent="0.3">
      <c r="A2192">
        <v>36.864841461181598</v>
      </c>
      <c r="B2192">
        <v>-83.193069458007798</v>
      </c>
      <c r="C2192" t="s">
        <v>43</v>
      </c>
      <c r="D2192" t="s">
        <v>1605</v>
      </c>
      <c r="F2192" s="21"/>
      <c r="G2192" s="16" t="str">
        <f>HYPERLINK("http://maps.google.com/maps?f=q&amp;hl=en&amp;geocode=&amp;q=36.8648414611816,-83.1930694580078")</f>
        <v>http://maps.google.com/maps?f=q&amp;hl=en&amp;geocode=&amp;q=36.8648414611816,-83.1930694580078</v>
      </c>
    </row>
    <row r="2193" spans="1:7" ht="15" x14ac:dyDescent="0.3">
      <c r="A2193">
        <v>38.778750000000002</v>
      </c>
      <c r="B2193">
        <v>-90.326909999999998</v>
      </c>
      <c r="C2193" t="s">
        <v>41</v>
      </c>
      <c r="D2193" t="s">
        <v>1606</v>
      </c>
      <c r="F2193" s="21"/>
      <c r="G2193" s="16" t="str">
        <f>HYPERLINK("http://maps.google.com/maps?f=q&amp;hl=en&amp;geocode=&amp;q=38.77875,-90.32691")</f>
        <v>http://maps.google.com/maps?f=q&amp;hl=en&amp;geocode=&amp;q=38.77875,-90.32691</v>
      </c>
    </row>
    <row r="2194" spans="1:7" ht="15" x14ac:dyDescent="0.3">
      <c r="A2194">
        <v>49.559104919433601</v>
      </c>
      <c r="B2194">
        <v>5.8864088058471697</v>
      </c>
      <c r="C2194" t="s">
        <v>41</v>
      </c>
      <c r="D2194" t="s">
        <v>1607</v>
      </c>
      <c r="F2194" s="21"/>
      <c r="G2194" s="16" t="str">
        <f>HYPERLINK("http://maps.google.com/maps?f=q&amp;hl=en&amp;geocode=&amp;q=49.5591049194336,5.88640880584717")</f>
        <v>http://maps.google.com/maps?f=q&amp;hl=en&amp;geocode=&amp;q=49.5591049194336,5.88640880584717</v>
      </c>
    </row>
    <row r="2195" spans="1:7" ht="15" x14ac:dyDescent="0.3">
      <c r="A2195">
        <v>39.963769999999997</v>
      </c>
      <c r="B2195">
        <v>-75.242400000000004</v>
      </c>
      <c r="C2195" t="s">
        <v>42</v>
      </c>
      <c r="D2195" t="s">
        <v>930</v>
      </c>
      <c r="F2195" s="21"/>
      <c r="G2195" s="16" t="str">
        <f>HYPERLINK("http://maps.google.com/maps?f=q&amp;hl=en&amp;geocode=&amp;q=39.96377,-75.2424")</f>
        <v>http://maps.google.com/maps?f=q&amp;hl=en&amp;geocode=&amp;q=39.96377,-75.2424</v>
      </c>
    </row>
    <row r="2196" spans="1:7" ht="15" x14ac:dyDescent="0.3">
      <c r="A2196">
        <v>39.1148309471427</v>
      </c>
      <c r="B2196">
        <v>-84.723556707274099</v>
      </c>
      <c r="C2196" t="s">
        <v>41</v>
      </c>
      <c r="D2196" t="s">
        <v>1608</v>
      </c>
      <c r="F2196" s="21"/>
      <c r="G2196" s="16" t="str">
        <f>HYPERLINK("http://maps.google.com/maps?f=q&amp;hl=en&amp;geocode=&amp;q=39.1148309471427,-84.7235567072741")</f>
        <v>http://maps.google.com/maps?f=q&amp;hl=en&amp;geocode=&amp;q=39.1148309471427,-84.7235567072741</v>
      </c>
    </row>
    <row r="2197" spans="1:7" ht="15" x14ac:dyDescent="0.3">
      <c r="A2197">
        <v>50.218185424804702</v>
      </c>
      <c r="B2197">
        <v>5.3206357955932599</v>
      </c>
      <c r="C2197" t="s">
        <v>41</v>
      </c>
      <c r="D2197" t="s">
        <v>1609</v>
      </c>
      <c r="F2197" s="21"/>
      <c r="G2197" s="16" t="str">
        <f>HYPERLINK("http://maps.google.com/maps?f=q&amp;hl=en&amp;geocode=&amp;q=50.2181854248047,5.32063579559326")</f>
        <v>http://maps.google.com/maps?f=q&amp;hl=en&amp;geocode=&amp;q=50.2181854248047,5.32063579559326</v>
      </c>
    </row>
    <row r="2198" spans="1:7" ht="15" x14ac:dyDescent="0.3">
      <c r="A2198">
        <v>39.94417</v>
      </c>
      <c r="B2198">
        <v>-75.212119999999999</v>
      </c>
      <c r="C2198" t="s">
        <v>41</v>
      </c>
      <c r="D2198" t="s">
        <v>833</v>
      </c>
      <c r="F2198" s="21"/>
      <c r="G2198" s="16" t="str">
        <f>HYPERLINK("http://maps.google.com/maps?f=q&amp;hl=en&amp;geocode=&amp;q=39.94417,-75.21212")</f>
        <v>http://maps.google.com/maps?f=q&amp;hl=en&amp;geocode=&amp;q=39.94417,-75.21212</v>
      </c>
    </row>
    <row r="2199" spans="1:7" ht="15" x14ac:dyDescent="0.3">
      <c r="A2199">
        <v>40.693229675292997</v>
      </c>
      <c r="B2199">
        <v>-78.9222412109375</v>
      </c>
      <c r="C2199" t="s">
        <v>43</v>
      </c>
      <c r="D2199" t="s">
        <v>1610</v>
      </c>
      <c r="F2199" s="21"/>
      <c r="G2199" s="16" t="str">
        <f>HYPERLINK("http://maps.google.com/maps?f=q&amp;hl=en&amp;geocode=&amp;q=40.693229675293,-78.9222412109375")</f>
        <v>http://maps.google.com/maps?f=q&amp;hl=en&amp;geocode=&amp;q=40.693229675293,-78.9222412109375</v>
      </c>
    </row>
    <row r="2200" spans="1:7" ht="15" x14ac:dyDescent="0.3">
      <c r="A2200">
        <v>39.995150000000002</v>
      </c>
      <c r="B2200">
        <v>-75.078140000000005</v>
      </c>
      <c r="C2200" t="s">
        <v>41</v>
      </c>
      <c r="D2200" t="s">
        <v>1611</v>
      </c>
      <c r="F2200" s="21"/>
      <c r="G2200" s="16" t="str">
        <f>HYPERLINK("http://maps.google.com/maps?f=q&amp;hl=en&amp;geocode=&amp;q=39.99515,-75.07814")</f>
        <v>http://maps.google.com/maps?f=q&amp;hl=en&amp;geocode=&amp;q=39.99515,-75.07814</v>
      </c>
    </row>
    <row r="2201" spans="1:7" ht="15" x14ac:dyDescent="0.3">
      <c r="A2201" t="s">
        <v>44</v>
      </c>
      <c r="B2201" t="s">
        <v>44</v>
      </c>
      <c r="C2201" t="s">
        <v>44</v>
      </c>
      <c r="D2201" t="s">
        <v>1612</v>
      </c>
      <c r="F2201" s="21"/>
      <c r="G2201" s="16"/>
    </row>
    <row r="2202" spans="1:7" ht="15" x14ac:dyDescent="0.3">
      <c r="A2202">
        <v>33.565701992062401</v>
      </c>
      <c r="B2202">
        <v>-82.109405719265496</v>
      </c>
      <c r="C2202" t="s">
        <v>41</v>
      </c>
      <c r="D2202" t="s">
        <v>1613</v>
      </c>
      <c r="F2202" s="21"/>
      <c r="G2202" s="16" t="str">
        <f>HYPERLINK("http://maps.google.com/maps?f=q&amp;hl=en&amp;geocode=&amp;q=33.5657019920624,-82.1094057192655")</f>
        <v>http://maps.google.com/maps?f=q&amp;hl=en&amp;geocode=&amp;q=33.5657019920624,-82.1094057192655</v>
      </c>
    </row>
    <row r="2203" spans="1:7" ht="15" x14ac:dyDescent="0.3">
      <c r="A2203">
        <v>33.565701992062401</v>
      </c>
      <c r="B2203">
        <v>-82.109405719265496</v>
      </c>
      <c r="C2203" t="s">
        <v>41</v>
      </c>
      <c r="D2203" t="s">
        <v>1613</v>
      </c>
      <c r="F2203" s="21"/>
      <c r="G2203" s="16" t="str">
        <f>HYPERLINK("http://maps.google.com/maps?f=q&amp;hl=en&amp;geocode=&amp;q=33.5657019920624,-82.1094057192655")</f>
        <v>http://maps.google.com/maps?f=q&amp;hl=en&amp;geocode=&amp;q=33.5657019920624,-82.1094057192655</v>
      </c>
    </row>
    <row r="2204" spans="1:7" ht="15" x14ac:dyDescent="0.3">
      <c r="A2204">
        <v>38.790410000000001</v>
      </c>
      <c r="B2204">
        <v>-77.148780000000002</v>
      </c>
      <c r="C2204" t="s">
        <v>42</v>
      </c>
      <c r="D2204" t="s">
        <v>1614</v>
      </c>
      <c r="F2204" s="21"/>
      <c r="G2204" s="16" t="str">
        <f>HYPERLINK("http://maps.google.com/maps?f=q&amp;hl=en&amp;geocode=&amp;q=38.79041,-77.14878")</f>
        <v>http://maps.google.com/maps?f=q&amp;hl=en&amp;geocode=&amp;q=38.79041,-77.14878</v>
      </c>
    </row>
    <row r="2205" spans="1:7" ht="15" x14ac:dyDescent="0.3">
      <c r="A2205">
        <v>42.570610000000002</v>
      </c>
      <c r="B2205">
        <v>-114.5551</v>
      </c>
      <c r="C2205" t="s">
        <v>43</v>
      </c>
      <c r="D2205" t="s">
        <v>336</v>
      </c>
      <c r="F2205" s="21"/>
      <c r="G2205" s="16" t="str">
        <f>HYPERLINK("http://maps.google.com/maps?f=q&amp;hl=en&amp;geocode=&amp;q=42.57061,-114.5551")</f>
        <v>http://maps.google.com/maps?f=q&amp;hl=en&amp;geocode=&amp;q=42.57061,-114.5551</v>
      </c>
    </row>
    <row r="2206" spans="1:7" ht="15" x14ac:dyDescent="0.3">
      <c r="A2206">
        <v>45.0852551948377</v>
      </c>
      <c r="B2206">
        <v>-93.522052770160599</v>
      </c>
      <c r="C2206" t="s">
        <v>41</v>
      </c>
      <c r="D2206" t="s">
        <v>1615</v>
      </c>
      <c r="F2206" s="21"/>
      <c r="G2206" s="16" t="str">
        <f>HYPERLINK("http://maps.google.com/maps?f=q&amp;hl=en&amp;geocode=&amp;q=45.0852551948377,-93.5220527701606")</f>
        <v>http://maps.google.com/maps?f=q&amp;hl=en&amp;geocode=&amp;q=45.0852551948377,-93.5220527701606</v>
      </c>
    </row>
    <row r="2207" spans="1:7" ht="15" x14ac:dyDescent="0.3">
      <c r="A2207">
        <v>50.455070495605497</v>
      </c>
      <c r="B2207">
        <v>3.9648540019989</v>
      </c>
      <c r="C2207" t="s">
        <v>43</v>
      </c>
      <c r="D2207" t="s">
        <v>1616</v>
      </c>
      <c r="F2207" s="21"/>
      <c r="G2207" s="16" t="str">
        <f>HYPERLINK("http://maps.google.com/maps?f=q&amp;hl=en&amp;geocode=&amp;q=50.4550704956055,3.9648540019989")</f>
        <v>http://maps.google.com/maps?f=q&amp;hl=en&amp;geocode=&amp;q=50.4550704956055,3.9648540019989</v>
      </c>
    </row>
    <row r="2208" spans="1:7" ht="15" x14ac:dyDescent="0.3">
      <c r="A2208">
        <v>46.803798675537102</v>
      </c>
      <c r="B2208">
        <v>8.2228546142578107</v>
      </c>
      <c r="C2208" t="s">
        <v>41</v>
      </c>
      <c r="D2208" t="s">
        <v>1617</v>
      </c>
      <c r="F2208" s="21"/>
      <c r="G2208" s="16" t="str">
        <f>HYPERLINK("http://maps.google.com/maps?f=q&amp;hl=en&amp;geocode=&amp;q=46.8037986755371,8.22285461425781")</f>
        <v>http://maps.google.com/maps?f=q&amp;hl=en&amp;geocode=&amp;q=46.8037986755371,8.22285461425781</v>
      </c>
    </row>
    <row r="2209" spans="1:7" ht="15" x14ac:dyDescent="0.3">
      <c r="A2209" t="s">
        <v>44</v>
      </c>
      <c r="B2209" t="s">
        <v>44</v>
      </c>
      <c r="C2209" t="s">
        <v>44</v>
      </c>
      <c r="D2209" t="s">
        <v>1618</v>
      </c>
      <c r="F2209" s="21"/>
      <c r="G2209" s="16"/>
    </row>
    <row r="2210" spans="1:7" ht="15" x14ac:dyDescent="0.3">
      <c r="A2210">
        <v>40.248370000000001</v>
      </c>
      <c r="B2210">
        <v>-74.862530000000007</v>
      </c>
      <c r="C2210" t="s">
        <v>41</v>
      </c>
      <c r="D2210" t="s">
        <v>1534</v>
      </c>
      <c r="F2210" s="21"/>
      <c r="G2210" s="16" t="str">
        <f>HYPERLINK("http://maps.google.com/maps?f=q&amp;hl=en&amp;geocode=&amp;q=40.24837,-74.86253")</f>
        <v>http://maps.google.com/maps?f=q&amp;hl=en&amp;geocode=&amp;q=40.24837,-74.86253</v>
      </c>
    </row>
    <row r="2211" spans="1:7" ht="15" x14ac:dyDescent="0.3">
      <c r="A2211">
        <v>39.954940000000001</v>
      </c>
      <c r="B2211">
        <v>-75.232140000000001</v>
      </c>
      <c r="C2211" t="s">
        <v>43</v>
      </c>
      <c r="D2211" t="s">
        <v>1619</v>
      </c>
      <c r="F2211" s="21"/>
      <c r="G2211" s="16" t="str">
        <f>HYPERLINK("http://maps.google.com/maps?f=q&amp;hl=en&amp;geocode=&amp;q=39.95494,-75.23214")</f>
        <v>http://maps.google.com/maps?f=q&amp;hl=en&amp;geocode=&amp;q=39.95494,-75.23214</v>
      </c>
    </row>
    <row r="2212" spans="1:7" ht="15" x14ac:dyDescent="0.3">
      <c r="A2212">
        <v>43.278906150243799</v>
      </c>
      <c r="B2212">
        <v>-97.092427840198297</v>
      </c>
      <c r="C2212" t="s">
        <v>41</v>
      </c>
      <c r="D2212" t="s">
        <v>1620</v>
      </c>
      <c r="F2212" s="21"/>
      <c r="G2212" s="16" t="str">
        <f>HYPERLINK("http://maps.google.com/maps?f=q&amp;hl=en&amp;geocode=&amp;q=43.2789061502438,-97.0924278401983")</f>
        <v>http://maps.google.com/maps?f=q&amp;hl=en&amp;geocode=&amp;q=43.2789061502438,-97.0924278401983</v>
      </c>
    </row>
    <row r="2213" spans="1:7" ht="15" x14ac:dyDescent="0.3">
      <c r="A2213">
        <v>43.278906150243799</v>
      </c>
      <c r="B2213">
        <v>-97.092427840198297</v>
      </c>
      <c r="C2213" t="s">
        <v>41</v>
      </c>
      <c r="D2213" t="s">
        <v>1620</v>
      </c>
      <c r="F2213" s="21"/>
      <c r="G2213" s="16" t="str">
        <f>HYPERLINK("http://maps.google.com/maps?f=q&amp;hl=en&amp;geocode=&amp;q=43.2789061502438,-97.0924278401983")</f>
        <v>http://maps.google.com/maps?f=q&amp;hl=en&amp;geocode=&amp;q=43.2789061502438,-97.0924278401983</v>
      </c>
    </row>
    <row r="2214" spans="1:7" ht="15" x14ac:dyDescent="0.3">
      <c r="A2214">
        <v>39.304819999999999</v>
      </c>
      <c r="B2214">
        <v>-76.672229999999999</v>
      </c>
      <c r="C2214" t="s">
        <v>41</v>
      </c>
      <c r="D2214" t="s">
        <v>1621</v>
      </c>
      <c r="F2214" s="21"/>
      <c r="G2214" s="16" t="str">
        <f>HYPERLINK("http://maps.google.com/maps?f=q&amp;hl=en&amp;geocode=&amp;q=39.30482,-76.67223")</f>
        <v>http://maps.google.com/maps?f=q&amp;hl=en&amp;geocode=&amp;q=39.30482,-76.67223</v>
      </c>
    </row>
    <row r="2215" spans="1:7" ht="15" x14ac:dyDescent="0.3">
      <c r="A2215" t="s">
        <v>44</v>
      </c>
      <c r="B2215" t="s">
        <v>44</v>
      </c>
      <c r="C2215" t="s">
        <v>44</v>
      </c>
      <c r="D2215" t="s">
        <v>1622</v>
      </c>
      <c r="F2215" s="21"/>
      <c r="G2215" s="16"/>
    </row>
    <row r="2216" spans="1:7" ht="15" x14ac:dyDescent="0.3">
      <c r="A2216">
        <v>36.247628749130797</v>
      </c>
      <c r="B2216">
        <v>-119.31502464101899</v>
      </c>
      <c r="C2216" t="s">
        <v>41</v>
      </c>
      <c r="D2216" t="s">
        <v>1623</v>
      </c>
      <c r="F2216" s="21"/>
      <c r="G2216" s="16" t="str">
        <f>HYPERLINK("http://maps.google.com/maps?f=q&amp;hl=en&amp;geocode=&amp;q=36.2476287491308,-119.315024641019")</f>
        <v>http://maps.google.com/maps?f=q&amp;hl=en&amp;geocode=&amp;q=36.2476287491308,-119.315024641019</v>
      </c>
    </row>
    <row r="2217" spans="1:7" ht="15" x14ac:dyDescent="0.3">
      <c r="A2217">
        <v>40.149698582801797</v>
      </c>
      <c r="B2217">
        <v>-76.087250314154502</v>
      </c>
      <c r="C2217" t="s">
        <v>41</v>
      </c>
      <c r="D2217" t="s">
        <v>1624</v>
      </c>
      <c r="F2217" s="21"/>
      <c r="G2217" s="16" t="str">
        <f>HYPERLINK("http://maps.google.com/maps?f=q&amp;hl=en&amp;geocode=&amp;q=40.1496985828018,-76.0872503141545")</f>
        <v>http://maps.google.com/maps?f=q&amp;hl=en&amp;geocode=&amp;q=40.1496985828018,-76.0872503141545</v>
      </c>
    </row>
    <row r="2218" spans="1:7" ht="15" x14ac:dyDescent="0.3">
      <c r="A2218">
        <v>37.019889999999997</v>
      </c>
      <c r="B2218">
        <v>-88.679940000000002</v>
      </c>
      <c r="C2218" t="s">
        <v>42</v>
      </c>
      <c r="D2218" t="s">
        <v>1625</v>
      </c>
      <c r="F2218" s="21"/>
      <c r="G2218" s="16" t="str">
        <f>HYPERLINK("http://maps.google.com/maps?f=q&amp;hl=en&amp;geocode=&amp;q=37.01989,-88.67994")</f>
        <v>http://maps.google.com/maps?f=q&amp;hl=en&amp;geocode=&amp;q=37.01989,-88.67994</v>
      </c>
    </row>
    <row r="2219" spans="1:7" ht="15" x14ac:dyDescent="0.3">
      <c r="A2219">
        <v>43.121498107910199</v>
      </c>
      <c r="B2219">
        <v>17.316139221191399</v>
      </c>
      <c r="C2219" t="s">
        <v>41</v>
      </c>
      <c r="D2219" t="s">
        <v>1626</v>
      </c>
      <c r="F2219" s="21"/>
      <c r="G2219" s="16" t="str">
        <f>HYPERLINK("http://maps.google.com/maps?f=q&amp;hl=en&amp;geocode=&amp;q=43.1214981079102,17.3161392211914")</f>
        <v>http://maps.google.com/maps?f=q&amp;hl=en&amp;geocode=&amp;q=43.1214981079102,17.3161392211914</v>
      </c>
    </row>
    <row r="2220" spans="1:7" ht="15" x14ac:dyDescent="0.3">
      <c r="A2220">
        <v>39.964120000000001</v>
      </c>
      <c r="B2220">
        <v>-75.2303</v>
      </c>
      <c r="C2220" t="s">
        <v>41</v>
      </c>
      <c r="D2220" t="s">
        <v>827</v>
      </c>
      <c r="F2220" s="21"/>
      <c r="G2220" s="16" t="str">
        <f>HYPERLINK("http://maps.google.com/maps?f=q&amp;hl=en&amp;geocode=&amp;q=39.96412,-75.2303")</f>
        <v>http://maps.google.com/maps?f=q&amp;hl=en&amp;geocode=&amp;q=39.96412,-75.2303</v>
      </c>
    </row>
    <row r="2221" spans="1:7" ht="15" x14ac:dyDescent="0.3">
      <c r="A2221">
        <v>40.013988494872997</v>
      </c>
      <c r="B2221">
        <v>-75.303192138671903</v>
      </c>
      <c r="C2221" t="s">
        <v>41</v>
      </c>
      <c r="D2221" t="s">
        <v>1627</v>
      </c>
      <c r="F2221" s="21"/>
      <c r="G2221" s="16" t="str">
        <f>HYPERLINK("http://maps.google.com/maps?f=q&amp;hl=en&amp;geocode=&amp;q=40.013988494873,-75.3031921386719")</f>
        <v>http://maps.google.com/maps?f=q&amp;hl=en&amp;geocode=&amp;q=40.013988494873,-75.3031921386719</v>
      </c>
    </row>
    <row r="2222" spans="1:7" ht="15" x14ac:dyDescent="0.3">
      <c r="A2222">
        <v>-38.013509900000003</v>
      </c>
      <c r="B2222">
        <v>145.28055000000001</v>
      </c>
      <c r="C2222" t="s">
        <v>41</v>
      </c>
      <c r="D2222" t="s">
        <v>579</v>
      </c>
      <c r="F2222" s="21"/>
      <c r="G2222" s="16" t="str">
        <f>HYPERLINK("http://maps.google.com/maps?f=q&amp;hl=en&amp;geocode=&amp;q=-38.0135099,145.28055")</f>
        <v>http://maps.google.com/maps?f=q&amp;hl=en&amp;geocode=&amp;q=-38.0135099,145.28055</v>
      </c>
    </row>
    <row r="2223" spans="1:7" ht="15" x14ac:dyDescent="0.3">
      <c r="A2223">
        <v>-38.013509900000003</v>
      </c>
      <c r="B2223">
        <v>145.28055000000001</v>
      </c>
      <c r="C2223" t="s">
        <v>41</v>
      </c>
      <c r="D2223" t="s">
        <v>579</v>
      </c>
      <c r="F2223" s="21"/>
      <c r="G2223" s="16" t="str">
        <f>HYPERLINK("http://maps.google.com/maps?f=q&amp;hl=en&amp;geocode=&amp;q=-38.0135099,145.28055")</f>
        <v>http://maps.google.com/maps?f=q&amp;hl=en&amp;geocode=&amp;q=-38.0135099,145.28055</v>
      </c>
    </row>
    <row r="2224" spans="1:7" ht="15" x14ac:dyDescent="0.3">
      <c r="A2224">
        <v>40.037979125976598</v>
      </c>
      <c r="B2224">
        <v>-75.223060607910199</v>
      </c>
      <c r="C2224" t="s">
        <v>41</v>
      </c>
      <c r="D2224" t="s">
        <v>100</v>
      </c>
      <c r="F2224" s="21"/>
      <c r="G2224" s="16" t="str">
        <f>HYPERLINK("http://maps.google.com/maps?f=q&amp;hl=en&amp;geocode=&amp;q=40.0379791259766,-75.2230606079102")</f>
        <v>http://maps.google.com/maps?f=q&amp;hl=en&amp;geocode=&amp;q=40.0379791259766,-75.2230606079102</v>
      </c>
    </row>
    <row r="2225" spans="1:7" ht="15" x14ac:dyDescent="0.3">
      <c r="A2225">
        <v>32.183010000000003</v>
      </c>
      <c r="B2225">
        <v>-82.601806999999994</v>
      </c>
      <c r="C2225" t="s">
        <v>43</v>
      </c>
      <c r="D2225" t="s">
        <v>1628</v>
      </c>
      <c r="F2225" s="21"/>
      <c r="G2225" s="16" t="str">
        <f>HYPERLINK("http://maps.google.com/maps?f=q&amp;hl=en&amp;geocode=&amp;q=32.18301,-82.601807")</f>
        <v>http://maps.google.com/maps?f=q&amp;hl=en&amp;geocode=&amp;q=32.18301,-82.601807</v>
      </c>
    </row>
    <row r="2226" spans="1:7" ht="15" x14ac:dyDescent="0.3">
      <c r="A2226">
        <v>31.933920000000001</v>
      </c>
      <c r="B2226">
        <v>-102.21292</v>
      </c>
      <c r="C2226" t="s">
        <v>43</v>
      </c>
      <c r="D2226" t="s">
        <v>1021</v>
      </c>
      <c r="F2226" s="21"/>
      <c r="G2226" s="16" t="str">
        <f>HYPERLINK("http://maps.google.com/maps?f=q&amp;hl=en&amp;geocode=&amp;q=31.93392,-102.21292")</f>
        <v>http://maps.google.com/maps?f=q&amp;hl=en&amp;geocode=&amp;q=31.93392,-102.21292</v>
      </c>
    </row>
    <row r="2227" spans="1:7" ht="15" x14ac:dyDescent="0.3">
      <c r="A2227">
        <v>49.618484497070298</v>
      </c>
      <c r="B2227">
        <v>6.1199059486389196</v>
      </c>
      <c r="C2227" t="s">
        <v>41</v>
      </c>
      <c r="D2227" t="s">
        <v>1538</v>
      </c>
      <c r="F2227" s="21"/>
      <c r="G2227" s="16" t="str">
        <f>HYPERLINK("http://maps.google.com/maps?f=q&amp;hl=en&amp;geocode=&amp;q=49.6184844970703,6.11990594863892")</f>
        <v>http://maps.google.com/maps?f=q&amp;hl=en&amp;geocode=&amp;q=49.6184844970703,6.11990594863892</v>
      </c>
    </row>
    <row r="2228" spans="1:7" ht="15" x14ac:dyDescent="0.3">
      <c r="A2228">
        <v>-31.747779999999999</v>
      </c>
      <c r="B2228">
        <v>116.00716</v>
      </c>
      <c r="C2228" t="s">
        <v>41</v>
      </c>
      <c r="D2228" t="s">
        <v>1629</v>
      </c>
      <c r="F2228" s="21"/>
      <c r="G2228" s="16" t="str">
        <f>HYPERLINK("http://maps.google.com/maps?f=q&amp;hl=en&amp;geocode=&amp;q=-31.74778,116.00716")</f>
        <v>http://maps.google.com/maps?f=q&amp;hl=en&amp;geocode=&amp;q=-31.74778,116.00716</v>
      </c>
    </row>
    <row r="2229" spans="1:7" ht="15" x14ac:dyDescent="0.3">
      <c r="A2229">
        <v>39.990549999999999</v>
      </c>
      <c r="B2229">
        <v>-75.100309999999993</v>
      </c>
      <c r="C2229" t="s">
        <v>41</v>
      </c>
      <c r="D2229" t="s">
        <v>1630</v>
      </c>
      <c r="F2229" s="21"/>
      <c r="G2229" s="16" t="str">
        <f>HYPERLINK("http://maps.google.com/maps?f=q&amp;hl=en&amp;geocode=&amp;q=39.99055,-75.10031")</f>
        <v>http://maps.google.com/maps?f=q&amp;hl=en&amp;geocode=&amp;q=39.99055,-75.10031</v>
      </c>
    </row>
    <row r="2230" spans="1:7" ht="15" x14ac:dyDescent="0.3">
      <c r="A2230">
        <v>43.042699998994699</v>
      </c>
      <c r="B2230">
        <v>-83.659048570791896</v>
      </c>
      <c r="C2230" t="s">
        <v>41</v>
      </c>
      <c r="D2230" t="s">
        <v>1631</v>
      </c>
      <c r="F2230" s="21"/>
      <c r="G2230" s="16" t="str">
        <f>HYPERLINK("http://maps.google.com/maps?f=q&amp;hl=en&amp;geocode=&amp;q=43.0426999989947,-83.6590485707919")</f>
        <v>http://maps.google.com/maps?f=q&amp;hl=en&amp;geocode=&amp;q=43.0426999989947,-83.6590485707919</v>
      </c>
    </row>
    <row r="2231" spans="1:7" ht="15" x14ac:dyDescent="0.3">
      <c r="A2231">
        <v>43.042699998994699</v>
      </c>
      <c r="B2231">
        <v>-83.659048570791896</v>
      </c>
      <c r="C2231" t="s">
        <v>41</v>
      </c>
      <c r="D2231" t="s">
        <v>1631</v>
      </c>
      <c r="F2231" s="21"/>
      <c r="G2231" s="16" t="str">
        <f>HYPERLINK("http://maps.google.com/maps?f=q&amp;hl=en&amp;geocode=&amp;q=43.0426999989947,-83.6590485707919")</f>
        <v>http://maps.google.com/maps?f=q&amp;hl=en&amp;geocode=&amp;q=43.0426999989947,-83.6590485707919</v>
      </c>
    </row>
    <row r="2232" spans="1:7" ht="15" x14ac:dyDescent="0.3">
      <c r="A2232">
        <v>43.042699998994699</v>
      </c>
      <c r="B2232">
        <v>-83.659048570791896</v>
      </c>
      <c r="C2232" t="s">
        <v>41</v>
      </c>
      <c r="D2232" t="s">
        <v>1631</v>
      </c>
      <c r="F2232" s="21"/>
      <c r="G2232" s="16" t="str">
        <f>HYPERLINK("http://maps.google.com/maps?f=q&amp;hl=en&amp;geocode=&amp;q=43.0426999989947,-83.6590485707919")</f>
        <v>http://maps.google.com/maps?f=q&amp;hl=en&amp;geocode=&amp;q=43.0426999989947,-83.6590485707919</v>
      </c>
    </row>
    <row r="2233" spans="1:7" ht="15" x14ac:dyDescent="0.3">
      <c r="A2233">
        <v>43.042699998994699</v>
      </c>
      <c r="B2233">
        <v>-83.659048570791896</v>
      </c>
      <c r="C2233" t="s">
        <v>41</v>
      </c>
      <c r="D2233" t="s">
        <v>1631</v>
      </c>
      <c r="F2233" s="21"/>
      <c r="G2233" s="16" t="str">
        <f>HYPERLINK("http://maps.google.com/maps?f=q&amp;hl=en&amp;geocode=&amp;q=43.0426999989947,-83.6590485707919")</f>
        <v>http://maps.google.com/maps?f=q&amp;hl=en&amp;geocode=&amp;q=43.0426999989947,-83.6590485707919</v>
      </c>
    </row>
    <row r="2234" spans="1:7" ht="15" x14ac:dyDescent="0.3">
      <c r="A2234">
        <v>43.042699998994699</v>
      </c>
      <c r="B2234">
        <v>-83.659048570791896</v>
      </c>
      <c r="C2234" t="s">
        <v>41</v>
      </c>
      <c r="D2234" t="s">
        <v>1631</v>
      </c>
      <c r="F2234" s="21"/>
      <c r="G2234" s="16" t="str">
        <f>HYPERLINK("http://maps.google.com/maps?f=q&amp;hl=en&amp;geocode=&amp;q=43.0426999989947,-83.6590485707919")</f>
        <v>http://maps.google.com/maps?f=q&amp;hl=en&amp;geocode=&amp;q=43.0426999989947,-83.6590485707919</v>
      </c>
    </row>
    <row r="2235" spans="1:7" ht="15" x14ac:dyDescent="0.3">
      <c r="A2235">
        <v>39.95026</v>
      </c>
      <c r="B2235">
        <v>-75.216930000000005</v>
      </c>
      <c r="C2235" t="s">
        <v>41</v>
      </c>
      <c r="D2235" t="s">
        <v>1632</v>
      </c>
      <c r="F2235" s="21"/>
      <c r="G2235" s="16" t="str">
        <f>HYPERLINK("http://maps.google.com/maps?f=q&amp;hl=en&amp;geocode=&amp;q=39.95026,-75.21693")</f>
        <v>http://maps.google.com/maps?f=q&amp;hl=en&amp;geocode=&amp;q=39.95026,-75.21693</v>
      </c>
    </row>
    <row r="2236" spans="1:7" ht="15" x14ac:dyDescent="0.3">
      <c r="A2236">
        <v>-33.138832092285199</v>
      </c>
      <c r="B2236">
        <v>137.29994201660199</v>
      </c>
      <c r="C2236" t="s">
        <v>41</v>
      </c>
      <c r="D2236" t="s">
        <v>1633</v>
      </c>
      <c r="F2236" s="21"/>
      <c r="G2236" s="16" t="str">
        <f>HYPERLINK("http://maps.google.com/maps?f=q&amp;hl=en&amp;geocode=&amp;q=-33.1388320922852,137.299942016602")</f>
        <v>http://maps.google.com/maps?f=q&amp;hl=en&amp;geocode=&amp;q=-33.1388320922852,137.299942016602</v>
      </c>
    </row>
    <row r="2237" spans="1:7" ht="15" x14ac:dyDescent="0.3">
      <c r="A2237">
        <v>36.502029418945298</v>
      </c>
      <c r="B2237">
        <v>-88.325889587402301</v>
      </c>
      <c r="C2237" t="s">
        <v>43</v>
      </c>
      <c r="D2237" t="s">
        <v>1634</v>
      </c>
      <c r="F2237" s="21"/>
      <c r="G2237" s="16" t="str">
        <f>HYPERLINK("http://maps.google.com/maps?f=q&amp;hl=en&amp;geocode=&amp;q=36.5020294189453,-88.3258895874023")</f>
        <v>http://maps.google.com/maps?f=q&amp;hl=en&amp;geocode=&amp;q=36.5020294189453,-88.3258895874023</v>
      </c>
    </row>
    <row r="2238" spans="1:7" ht="15" x14ac:dyDescent="0.3">
      <c r="A2238">
        <v>39.925229999999999</v>
      </c>
      <c r="B2238">
        <v>-75.235249999999994</v>
      </c>
      <c r="C2238" t="s">
        <v>41</v>
      </c>
      <c r="D2238" t="s">
        <v>161</v>
      </c>
      <c r="F2238" s="21"/>
      <c r="G2238" s="16" t="str">
        <f>HYPERLINK("http://maps.google.com/maps?f=q&amp;hl=en&amp;geocode=&amp;q=39.92523,-75.23525")</f>
        <v>http://maps.google.com/maps?f=q&amp;hl=en&amp;geocode=&amp;q=39.92523,-75.23525</v>
      </c>
    </row>
    <row r="2239" spans="1:7" ht="15" x14ac:dyDescent="0.3">
      <c r="A2239" t="s">
        <v>44</v>
      </c>
      <c r="B2239" t="s">
        <v>44</v>
      </c>
      <c r="C2239" t="s">
        <v>44</v>
      </c>
      <c r="D2239" t="s">
        <v>1635</v>
      </c>
      <c r="F2239" s="21"/>
      <c r="G2239" s="16"/>
    </row>
    <row r="2240" spans="1:7" ht="15" x14ac:dyDescent="0.3">
      <c r="A2240">
        <v>-33.138832092285199</v>
      </c>
      <c r="B2240">
        <v>137.29994201660199</v>
      </c>
      <c r="C2240" t="s">
        <v>41</v>
      </c>
      <c r="D2240" t="s">
        <v>1636</v>
      </c>
      <c r="F2240" s="21"/>
      <c r="G2240" s="16" t="str">
        <f>HYPERLINK("http://maps.google.com/maps?f=q&amp;hl=en&amp;geocode=&amp;q=-33.1388320922852,137.299942016602")</f>
        <v>http://maps.google.com/maps?f=q&amp;hl=en&amp;geocode=&amp;q=-33.1388320922852,137.299942016602</v>
      </c>
    </row>
    <row r="2241" spans="1:7" ht="15" x14ac:dyDescent="0.3">
      <c r="A2241">
        <v>40.013988494872997</v>
      </c>
      <c r="B2241">
        <v>-75.303192138671903</v>
      </c>
      <c r="C2241" t="s">
        <v>41</v>
      </c>
      <c r="D2241" t="s">
        <v>501</v>
      </c>
      <c r="F2241" s="21"/>
      <c r="G2241" s="16" t="str">
        <f>HYPERLINK("http://maps.google.com/maps?f=q&amp;hl=en&amp;geocode=&amp;q=40.013988494873,-75.3031921386719")</f>
        <v>http://maps.google.com/maps?f=q&amp;hl=en&amp;geocode=&amp;q=40.013988494873,-75.3031921386719</v>
      </c>
    </row>
    <row r="2242" spans="1:7" ht="15" x14ac:dyDescent="0.3">
      <c r="A2242">
        <v>31.933920000000001</v>
      </c>
      <c r="B2242">
        <v>-102.21292</v>
      </c>
      <c r="C2242" t="s">
        <v>43</v>
      </c>
      <c r="D2242" t="s">
        <v>1021</v>
      </c>
      <c r="F2242" s="21"/>
      <c r="G2242" s="16" t="str">
        <f>HYPERLINK("http://maps.google.com/maps?f=q&amp;hl=en&amp;geocode=&amp;q=31.93392,-102.21292")</f>
        <v>http://maps.google.com/maps?f=q&amp;hl=en&amp;geocode=&amp;q=31.93392,-102.21292</v>
      </c>
    </row>
    <row r="2243" spans="1:7" ht="15" x14ac:dyDescent="0.3">
      <c r="A2243">
        <v>39.151271820068402</v>
      </c>
      <c r="B2243">
        <v>-76.764373779296903</v>
      </c>
      <c r="C2243" t="s">
        <v>43</v>
      </c>
      <c r="D2243" t="s">
        <v>1200</v>
      </c>
      <c r="F2243" s="21"/>
      <c r="G2243" s="16" t="str">
        <f>HYPERLINK("http://maps.google.com/maps?f=q&amp;hl=en&amp;geocode=&amp;q=39.1512718200684,-76.7643737792969")</f>
        <v>http://maps.google.com/maps?f=q&amp;hl=en&amp;geocode=&amp;q=39.1512718200684,-76.7643737792969</v>
      </c>
    </row>
    <row r="2244" spans="1:7" ht="15" x14ac:dyDescent="0.3">
      <c r="A2244">
        <v>42.976468489900597</v>
      </c>
      <c r="B2244">
        <v>-90.546843884785204</v>
      </c>
      <c r="C2244" t="s">
        <v>42</v>
      </c>
      <c r="D2244" t="s">
        <v>1637</v>
      </c>
      <c r="F2244" s="21"/>
      <c r="G2244" s="16" t="str">
        <f>HYPERLINK("http://maps.google.com/maps?f=q&amp;hl=en&amp;geocode=&amp;q=42.9764684899006,-90.5468438847852")</f>
        <v>http://maps.google.com/maps?f=q&amp;hl=en&amp;geocode=&amp;q=42.9764684899006,-90.5468438847852</v>
      </c>
    </row>
    <row r="2245" spans="1:7" ht="15" x14ac:dyDescent="0.3">
      <c r="A2245">
        <v>38.866889953613303</v>
      </c>
      <c r="B2245">
        <v>-84.611846923828097</v>
      </c>
      <c r="C2245" t="s">
        <v>43</v>
      </c>
      <c r="D2245" t="s">
        <v>852</v>
      </c>
      <c r="F2245" s="21"/>
      <c r="G2245" s="16" t="str">
        <f>HYPERLINK("http://maps.google.com/maps?f=q&amp;hl=en&amp;geocode=&amp;q=38.8668899536133,-84.6118469238281")</f>
        <v>http://maps.google.com/maps?f=q&amp;hl=en&amp;geocode=&amp;q=38.8668899536133,-84.6118469238281</v>
      </c>
    </row>
    <row r="2246" spans="1:7" ht="15" x14ac:dyDescent="0.3">
      <c r="A2246">
        <v>38.866889953613303</v>
      </c>
      <c r="B2246">
        <v>-84.611846923828097</v>
      </c>
      <c r="C2246" t="s">
        <v>43</v>
      </c>
      <c r="D2246" t="s">
        <v>852</v>
      </c>
      <c r="F2246" s="21"/>
      <c r="G2246" s="16" t="str">
        <f>HYPERLINK("http://maps.google.com/maps?f=q&amp;hl=en&amp;geocode=&amp;q=38.8668899536133,-84.6118469238281")</f>
        <v>http://maps.google.com/maps?f=q&amp;hl=en&amp;geocode=&amp;q=38.8668899536133,-84.6118469238281</v>
      </c>
    </row>
    <row r="2247" spans="1:7" ht="15" x14ac:dyDescent="0.3">
      <c r="A2247">
        <v>47.365135192871101</v>
      </c>
      <c r="B2247">
        <v>8.4971742630004901</v>
      </c>
      <c r="C2247" t="s">
        <v>41</v>
      </c>
      <c r="D2247" t="s">
        <v>1638</v>
      </c>
      <c r="F2247" s="21"/>
      <c r="G2247" s="16" t="str">
        <f>HYPERLINK("http://maps.google.com/maps?f=q&amp;hl=en&amp;geocode=&amp;q=47.3651351928711,8.49717426300049")</f>
        <v>http://maps.google.com/maps?f=q&amp;hl=en&amp;geocode=&amp;q=47.3651351928711,8.49717426300049</v>
      </c>
    </row>
    <row r="2248" spans="1:7" ht="15" x14ac:dyDescent="0.3">
      <c r="A2248">
        <v>45.855116566016697</v>
      </c>
      <c r="B2248">
        <v>-93.300747050468203</v>
      </c>
      <c r="C2248" t="s">
        <v>41</v>
      </c>
      <c r="D2248" t="s">
        <v>1639</v>
      </c>
      <c r="F2248" s="21"/>
      <c r="G2248" s="16" t="str">
        <f>HYPERLINK("http://maps.google.com/maps?f=q&amp;hl=en&amp;geocode=&amp;q=45.8551165660167,-93.3007470504682")</f>
        <v>http://maps.google.com/maps?f=q&amp;hl=en&amp;geocode=&amp;q=45.8551165660167,-93.3007470504682</v>
      </c>
    </row>
    <row r="2249" spans="1:7" ht="15" x14ac:dyDescent="0.3">
      <c r="A2249">
        <v>40.020488446909397</v>
      </c>
      <c r="B2249">
        <v>-75.207376093174105</v>
      </c>
      <c r="C2249" t="s">
        <v>41</v>
      </c>
      <c r="D2249" t="s">
        <v>838</v>
      </c>
      <c r="F2249" s="21"/>
      <c r="G2249" s="16" t="str">
        <f>HYPERLINK("http://maps.google.com/maps?f=q&amp;hl=en&amp;geocode=&amp;q=40.0204884469094,-75.2073760931741")</f>
        <v>http://maps.google.com/maps?f=q&amp;hl=en&amp;geocode=&amp;q=40.0204884469094,-75.2073760931741</v>
      </c>
    </row>
    <row r="2250" spans="1:7" ht="15" x14ac:dyDescent="0.3">
      <c r="F2250" s="21"/>
      <c r="G2250" s="16"/>
    </row>
    <row r="2251" spans="1:7" ht="15" x14ac:dyDescent="0.3">
      <c r="A2251">
        <v>43.016822814941399</v>
      </c>
      <c r="B2251">
        <v>23.487565994262699</v>
      </c>
      <c r="C2251" t="s">
        <v>41</v>
      </c>
      <c r="D2251" t="s">
        <v>1640</v>
      </c>
      <c r="F2251" s="21"/>
      <c r="G2251" s="16" t="str">
        <f>HYPERLINK("http://maps.google.com/maps?f=q&amp;hl=en&amp;geocode=&amp;q=43.0168228149414,23.4875659942627")</f>
        <v>http://maps.google.com/maps?f=q&amp;hl=en&amp;geocode=&amp;q=43.0168228149414,23.4875659942627</v>
      </c>
    </row>
    <row r="2252" spans="1:7" ht="15" x14ac:dyDescent="0.3">
      <c r="A2252">
        <v>28.483229999999999</v>
      </c>
      <c r="B2252">
        <v>-81.914050000000003</v>
      </c>
      <c r="C2252" t="s">
        <v>42</v>
      </c>
      <c r="D2252" t="s">
        <v>1641</v>
      </c>
      <c r="F2252" s="21"/>
      <c r="G2252" s="16" t="str">
        <f>HYPERLINK("http://maps.google.com/maps?f=q&amp;hl=en&amp;geocode=&amp;q=28.48323,-81.91405")</f>
        <v>http://maps.google.com/maps?f=q&amp;hl=en&amp;geocode=&amp;q=28.48323,-81.91405</v>
      </c>
    </row>
    <row r="2253" spans="1:7" ht="15" x14ac:dyDescent="0.3">
      <c r="A2253">
        <v>43.952244623329698</v>
      </c>
      <c r="B2253">
        <v>-85.652331312533306</v>
      </c>
      <c r="C2253" t="s">
        <v>43</v>
      </c>
      <c r="D2253" t="s">
        <v>1642</v>
      </c>
      <c r="F2253" s="21"/>
      <c r="G2253" s="16" t="str">
        <f>HYPERLINK("http://maps.google.com/maps?f=q&amp;hl=en&amp;geocode=&amp;q=43.9522446233297,-85.6523313125333")</f>
        <v>http://maps.google.com/maps?f=q&amp;hl=en&amp;geocode=&amp;q=43.9522446233297,-85.6523313125333</v>
      </c>
    </row>
    <row r="2254" spans="1:7" ht="15" x14ac:dyDescent="0.3">
      <c r="A2254">
        <v>43.951787847945297</v>
      </c>
      <c r="B2254">
        <v>-85.652327252760998</v>
      </c>
      <c r="C2254" t="s">
        <v>43</v>
      </c>
      <c r="D2254" t="s">
        <v>1643</v>
      </c>
      <c r="F2254" s="21"/>
      <c r="G2254" s="16" t="str">
        <f>HYPERLINK("http://maps.google.com/maps?f=q&amp;hl=en&amp;geocode=&amp;q=43.9517878479453,-85.652327252761")</f>
        <v>http://maps.google.com/maps?f=q&amp;hl=en&amp;geocode=&amp;q=43.9517878479453,-85.652327252761</v>
      </c>
    </row>
    <row r="2255" spans="1:7" ht="15" x14ac:dyDescent="0.3">
      <c r="A2255">
        <v>39.950839999999999</v>
      </c>
      <c r="B2255">
        <v>-75.22148</v>
      </c>
      <c r="C2255" t="s">
        <v>41</v>
      </c>
      <c r="D2255" t="s">
        <v>1644</v>
      </c>
      <c r="F2255" s="21"/>
      <c r="G2255" s="16" t="str">
        <f>HYPERLINK("http://maps.google.com/maps?f=q&amp;hl=en&amp;geocode=&amp;q=39.95084,-75.22148")</f>
        <v>http://maps.google.com/maps?f=q&amp;hl=en&amp;geocode=&amp;q=39.95084,-75.22148</v>
      </c>
    </row>
    <row r="2256" spans="1:7" ht="15" x14ac:dyDescent="0.3">
      <c r="A2256">
        <v>49.618484497070298</v>
      </c>
      <c r="B2256">
        <v>6.1199059486389196</v>
      </c>
      <c r="C2256" t="s">
        <v>41</v>
      </c>
      <c r="D2256" t="s">
        <v>1538</v>
      </c>
      <c r="F2256" s="21"/>
      <c r="G2256" s="16" t="str">
        <f>HYPERLINK("http://maps.google.com/maps?f=q&amp;hl=en&amp;geocode=&amp;q=49.6184844970703,6.11990594863892")</f>
        <v>http://maps.google.com/maps?f=q&amp;hl=en&amp;geocode=&amp;q=49.6184844970703,6.11990594863892</v>
      </c>
    </row>
    <row r="2257" spans="1:7" ht="15" x14ac:dyDescent="0.3">
      <c r="A2257">
        <v>39.865511624769297</v>
      </c>
      <c r="B2257">
        <v>-75.523476531166395</v>
      </c>
      <c r="C2257" t="s">
        <v>41</v>
      </c>
      <c r="D2257" t="s">
        <v>1645</v>
      </c>
      <c r="F2257" s="21"/>
      <c r="G2257" s="16" t="str">
        <f>HYPERLINK("http://maps.google.com/maps?f=q&amp;hl=en&amp;geocode=&amp;q=39.8655116247693,-75.5234765311664")</f>
        <v>http://maps.google.com/maps?f=q&amp;hl=en&amp;geocode=&amp;q=39.8655116247693,-75.5234765311664</v>
      </c>
    </row>
    <row r="2258" spans="1:7" ht="15" x14ac:dyDescent="0.3">
      <c r="A2258">
        <v>38.947154998779297</v>
      </c>
      <c r="B2258">
        <v>-8.9184045791625994</v>
      </c>
      <c r="C2258" t="s">
        <v>41</v>
      </c>
      <c r="D2258" t="s">
        <v>1646</v>
      </c>
      <c r="F2258" s="21"/>
      <c r="G2258" s="16" t="str">
        <f>HYPERLINK("http://maps.google.com/maps?f=q&amp;hl=en&amp;geocode=&amp;q=38.9471549987793,-8.9184045791626")</f>
        <v>http://maps.google.com/maps?f=q&amp;hl=en&amp;geocode=&amp;q=38.9471549987793,-8.9184045791626</v>
      </c>
    </row>
    <row r="2259" spans="1:7" ht="15" x14ac:dyDescent="0.3">
      <c r="A2259">
        <v>41.649540000000002</v>
      </c>
      <c r="B2259">
        <v>-83.585999999999999</v>
      </c>
      <c r="C2259" t="s">
        <v>41</v>
      </c>
      <c r="D2259" t="s">
        <v>1083</v>
      </c>
      <c r="F2259" s="21"/>
      <c r="G2259" s="16" t="str">
        <f>HYPERLINK("http://maps.google.com/maps?f=q&amp;hl=en&amp;geocode=&amp;q=41.64954,-83.586")</f>
        <v>http://maps.google.com/maps?f=q&amp;hl=en&amp;geocode=&amp;q=41.64954,-83.586</v>
      </c>
    </row>
    <row r="2260" spans="1:7" ht="15" x14ac:dyDescent="0.3">
      <c r="A2260">
        <v>38.947154998779297</v>
      </c>
      <c r="B2260">
        <v>-8.9184045791625994</v>
      </c>
      <c r="C2260" t="s">
        <v>41</v>
      </c>
      <c r="D2260" t="s">
        <v>1646</v>
      </c>
      <c r="F2260" s="21"/>
      <c r="G2260" s="16" t="str">
        <f>HYPERLINK("http://maps.google.com/maps?f=q&amp;hl=en&amp;geocode=&amp;q=38.9471549987793,-8.9184045791626")</f>
        <v>http://maps.google.com/maps?f=q&amp;hl=en&amp;geocode=&amp;q=38.9471549987793,-8.9184045791626</v>
      </c>
    </row>
    <row r="2261" spans="1:7" ht="15" x14ac:dyDescent="0.3">
      <c r="A2261">
        <v>38.470259810760297</v>
      </c>
      <c r="B2261">
        <v>-81.499467432929293</v>
      </c>
      <c r="C2261" t="s">
        <v>41</v>
      </c>
      <c r="D2261" t="s">
        <v>1175</v>
      </c>
      <c r="F2261" s="21"/>
      <c r="G2261" s="16" t="str">
        <f>HYPERLINK("http://maps.google.com/maps?f=q&amp;hl=en&amp;geocode=&amp;q=38.4702598107603,-81.4994674329293")</f>
        <v>http://maps.google.com/maps?f=q&amp;hl=en&amp;geocode=&amp;q=38.4702598107603,-81.4994674329293</v>
      </c>
    </row>
    <row r="2262" spans="1:7" ht="15" x14ac:dyDescent="0.3">
      <c r="A2262">
        <v>42.976468489900597</v>
      </c>
      <c r="B2262">
        <v>-90.546843884785204</v>
      </c>
      <c r="C2262" t="s">
        <v>42</v>
      </c>
      <c r="D2262" t="s">
        <v>1637</v>
      </c>
      <c r="F2262" s="21"/>
      <c r="G2262" s="16" t="str">
        <f>HYPERLINK("http://maps.google.com/maps?f=q&amp;hl=en&amp;geocode=&amp;q=42.9764684899006,-90.5468438847852")</f>
        <v>http://maps.google.com/maps?f=q&amp;hl=en&amp;geocode=&amp;q=42.9764684899006,-90.5468438847852</v>
      </c>
    </row>
    <row r="2263" spans="1:7" ht="15" x14ac:dyDescent="0.3">
      <c r="A2263">
        <v>38.947154998779297</v>
      </c>
      <c r="B2263">
        <v>-8.9184045791625994</v>
      </c>
      <c r="C2263" t="s">
        <v>41</v>
      </c>
      <c r="D2263" t="s">
        <v>1646</v>
      </c>
      <c r="F2263" s="21"/>
      <c r="G2263" s="16" t="str">
        <f>HYPERLINK("http://maps.google.com/maps?f=q&amp;hl=en&amp;geocode=&amp;q=38.9471549987793,-8.9184045791626")</f>
        <v>http://maps.google.com/maps?f=q&amp;hl=en&amp;geocode=&amp;q=38.9471549987793,-8.9184045791626</v>
      </c>
    </row>
    <row r="2264" spans="1:7" ht="15" x14ac:dyDescent="0.3">
      <c r="A2264">
        <v>42.976468489900597</v>
      </c>
      <c r="B2264">
        <v>-90.546843884785204</v>
      </c>
      <c r="C2264" t="s">
        <v>42</v>
      </c>
      <c r="D2264" t="s">
        <v>1637</v>
      </c>
      <c r="F2264" s="21"/>
      <c r="G2264" s="16" t="str">
        <f>HYPERLINK("http://maps.google.com/maps?f=q&amp;hl=en&amp;geocode=&amp;q=42.9764684899006,-90.5468438847852")</f>
        <v>http://maps.google.com/maps?f=q&amp;hl=en&amp;geocode=&amp;q=42.9764684899006,-90.5468438847852</v>
      </c>
    </row>
    <row r="2265" spans="1:7" ht="15" x14ac:dyDescent="0.3">
      <c r="A2265">
        <v>42.976468489900597</v>
      </c>
      <c r="B2265">
        <v>-90.546843884785204</v>
      </c>
      <c r="C2265" t="s">
        <v>42</v>
      </c>
      <c r="D2265" t="s">
        <v>1637</v>
      </c>
      <c r="F2265" s="21"/>
      <c r="G2265" s="16" t="str">
        <f>HYPERLINK("http://maps.google.com/maps?f=q&amp;hl=en&amp;geocode=&amp;q=42.9764684899006,-90.5468438847852")</f>
        <v>http://maps.google.com/maps?f=q&amp;hl=en&amp;geocode=&amp;q=42.9764684899006,-90.5468438847852</v>
      </c>
    </row>
    <row r="2266" spans="1:7" ht="15" x14ac:dyDescent="0.3">
      <c r="A2266">
        <v>42.976468489900597</v>
      </c>
      <c r="B2266">
        <v>-90.546843884785204</v>
      </c>
      <c r="C2266" t="s">
        <v>42</v>
      </c>
      <c r="D2266" t="s">
        <v>1637</v>
      </c>
      <c r="F2266" s="21"/>
      <c r="G2266" s="16" t="str">
        <f>HYPERLINK("http://maps.google.com/maps?f=q&amp;hl=en&amp;geocode=&amp;q=42.9764684899006,-90.5468438847852")</f>
        <v>http://maps.google.com/maps?f=q&amp;hl=en&amp;geocode=&amp;q=42.9764684899006,-90.5468438847852</v>
      </c>
    </row>
    <row r="2267" spans="1:7" ht="15" x14ac:dyDescent="0.3">
      <c r="A2267">
        <v>38.947154998779297</v>
      </c>
      <c r="B2267">
        <v>-8.9184045791625994</v>
      </c>
      <c r="C2267" t="s">
        <v>41</v>
      </c>
      <c r="D2267" t="s">
        <v>1646</v>
      </c>
      <c r="F2267" s="21"/>
      <c r="G2267" s="16" t="str">
        <f>HYPERLINK("http://maps.google.com/maps?f=q&amp;hl=en&amp;geocode=&amp;q=38.9471549987793,-8.9184045791626")</f>
        <v>http://maps.google.com/maps?f=q&amp;hl=en&amp;geocode=&amp;q=38.9471549987793,-8.9184045791626</v>
      </c>
    </row>
    <row r="2268" spans="1:7" ht="15" x14ac:dyDescent="0.3">
      <c r="A2268">
        <v>42.976468489900597</v>
      </c>
      <c r="B2268">
        <v>-90.546843884785204</v>
      </c>
      <c r="C2268" t="s">
        <v>42</v>
      </c>
      <c r="D2268" t="s">
        <v>1637</v>
      </c>
      <c r="F2268" s="21"/>
      <c r="G2268" s="16" t="str">
        <f>HYPERLINK("http://maps.google.com/maps?f=q&amp;hl=en&amp;geocode=&amp;q=42.9764684899006,-90.5468438847852")</f>
        <v>http://maps.google.com/maps?f=q&amp;hl=en&amp;geocode=&amp;q=42.9764684899006,-90.5468438847852</v>
      </c>
    </row>
    <row r="2269" spans="1:7" ht="15" x14ac:dyDescent="0.3">
      <c r="A2269">
        <v>42.976468489900597</v>
      </c>
      <c r="B2269">
        <v>-90.546843884785204</v>
      </c>
      <c r="C2269" t="s">
        <v>42</v>
      </c>
      <c r="D2269" t="s">
        <v>1637</v>
      </c>
      <c r="F2269" s="21"/>
      <c r="G2269" s="16" t="str">
        <f>HYPERLINK("http://maps.google.com/maps?f=q&amp;hl=en&amp;geocode=&amp;q=42.9764684899006,-90.5468438847852")</f>
        <v>http://maps.google.com/maps?f=q&amp;hl=en&amp;geocode=&amp;q=42.9764684899006,-90.5468438847852</v>
      </c>
    </row>
    <row r="2270" spans="1:7" ht="15" x14ac:dyDescent="0.3">
      <c r="A2270">
        <v>39.986559999999997</v>
      </c>
      <c r="B2270">
        <v>-75.133070000000004</v>
      </c>
      <c r="C2270" t="s">
        <v>41</v>
      </c>
      <c r="D2270" t="s">
        <v>1647</v>
      </c>
      <c r="F2270" s="21"/>
      <c r="G2270" s="16" t="str">
        <f>HYPERLINK("http://maps.google.com/maps?f=q&amp;hl=en&amp;geocode=&amp;q=39.98656,-75.13307")</f>
        <v>http://maps.google.com/maps?f=q&amp;hl=en&amp;geocode=&amp;q=39.98656,-75.13307</v>
      </c>
    </row>
    <row r="2271" spans="1:7" ht="15" x14ac:dyDescent="0.3">
      <c r="A2271">
        <v>35.260009765625</v>
      </c>
      <c r="B2271">
        <v>-80.425880432128906</v>
      </c>
      <c r="C2271" t="s">
        <v>43</v>
      </c>
      <c r="D2271" t="s">
        <v>1648</v>
      </c>
      <c r="F2271" s="21"/>
      <c r="G2271" s="16" t="str">
        <f>HYPERLINK("http://maps.google.com/maps?f=q&amp;hl=en&amp;geocode=&amp;q=35.260009765625,-80.4258804321289")</f>
        <v>http://maps.google.com/maps?f=q&amp;hl=en&amp;geocode=&amp;q=35.260009765625,-80.4258804321289</v>
      </c>
    </row>
    <row r="2272" spans="1:7" ht="15" x14ac:dyDescent="0.3">
      <c r="A2272" t="s">
        <v>44</v>
      </c>
      <c r="B2272" t="s">
        <v>44</v>
      </c>
      <c r="C2272" t="s">
        <v>44</v>
      </c>
      <c r="D2272" t="s">
        <v>1649</v>
      </c>
      <c r="F2272" s="21"/>
      <c r="G2272" s="16"/>
    </row>
    <row r="2273" spans="1:7" ht="15" x14ac:dyDescent="0.3">
      <c r="A2273">
        <v>15.8883876800537</v>
      </c>
      <c r="B2273">
        <v>47.4898872375488</v>
      </c>
      <c r="C2273" t="s">
        <v>41</v>
      </c>
      <c r="D2273" t="s">
        <v>1650</v>
      </c>
      <c r="F2273" s="21"/>
      <c r="G2273" s="16" t="str">
        <f>HYPERLINK("http://maps.google.com/maps?f=q&amp;hl=en&amp;geocode=&amp;q=15.8883876800537,47.4898872375488")</f>
        <v>http://maps.google.com/maps?f=q&amp;hl=en&amp;geocode=&amp;q=15.8883876800537,47.4898872375488</v>
      </c>
    </row>
    <row r="2274" spans="1:7" ht="15" x14ac:dyDescent="0.3">
      <c r="A2274">
        <v>41.510557304246603</v>
      </c>
      <c r="B2274">
        <v>-78.227095535743302</v>
      </c>
      <c r="C2274" t="s">
        <v>41</v>
      </c>
      <c r="D2274" t="s">
        <v>1651</v>
      </c>
      <c r="F2274" s="21"/>
      <c r="G2274" s="16" t="str">
        <f>HYPERLINK("http://maps.google.com/maps?f=q&amp;hl=en&amp;geocode=&amp;q=41.5105573042466,-78.2270955357433")</f>
        <v>http://maps.google.com/maps?f=q&amp;hl=en&amp;geocode=&amp;q=41.5105573042466,-78.2270955357433</v>
      </c>
    </row>
    <row r="2275" spans="1:7" ht="15" x14ac:dyDescent="0.3">
      <c r="A2275">
        <v>34.407389999999999</v>
      </c>
      <c r="B2275">
        <v>-110.53828</v>
      </c>
      <c r="C2275" t="s">
        <v>41</v>
      </c>
      <c r="D2275" t="s">
        <v>1652</v>
      </c>
      <c r="F2275" s="21"/>
      <c r="G2275" s="16" t="str">
        <f>HYPERLINK("http://maps.google.com/maps?f=q&amp;hl=en&amp;geocode=&amp;q=34.40739,-110.53828")</f>
        <v>http://maps.google.com/maps?f=q&amp;hl=en&amp;geocode=&amp;q=34.40739,-110.53828</v>
      </c>
    </row>
    <row r="2276" spans="1:7" ht="15" x14ac:dyDescent="0.3">
      <c r="A2276">
        <v>45.634151458740199</v>
      </c>
      <c r="B2276">
        <v>-84.782386779785199</v>
      </c>
      <c r="C2276" t="s">
        <v>43</v>
      </c>
      <c r="D2276" t="s">
        <v>1653</v>
      </c>
      <c r="F2276" s="21"/>
      <c r="G2276" s="16" t="str">
        <f>HYPERLINK("http://maps.google.com/maps?f=q&amp;hl=en&amp;geocode=&amp;q=45.6341514587402,-84.7823867797852")</f>
        <v>http://maps.google.com/maps?f=q&amp;hl=en&amp;geocode=&amp;q=45.6341514587402,-84.7823867797852</v>
      </c>
    </row>
    <row r="2277" spans="1:7" ht="15" x14ac:dyDescent="0.3">
      <c r="A2277">
        <v>46.462699890136697</v>
      </c>
      <c r="B2277">
        <v>6.3013000488281303</v>
      </c>
      <c r="C2277" t="s">
        <v>41</v>
      </c>
      <c r="D2277" t="s">
        <v>1654</v>
      </c>
      <c r="F2277" s="21"/>
      <c r="G2277" s="16" t="str">
        <f>HYPERLINK("http://maps.google.com/maps?f=q&amp;hl=en&amp;geocode=&amp;q=46.4626998901367,6.30130004882813")</f>
        <v>http://maps.google.com/maps?f=q&amp;hl=en&amp;geocode=&amp;q=46.4626998901367,6.30130004882813</v>
      </c>
    </row>
    <row r="2278" spans="1:7" ht="15" x14ac:dyDescent="0.3">
      <c r="A2278">
        <v>32.326349999999998</v>
      </c>
      <c r="B2278">
        <v>-95.25103</v>
      </c>
      <c r="C2278" t="s">
        <v>41</v>
      </c>
      <c r="D2278" t="s">
        <v>1655</v>
      </c>
      <c r="F2278" s="21"/>
      <c r="G2278" s="16" t="str">
        <f>HYPERLINK("http://maps.google.com/maps?f=q&amp;hl=en&amp;geocode=&amp;q=32.32635,-95.25103")</f>
        <v>http://maps.google.com/maps?f=q&amp;hl=en&amp;geocode=&amp;q=32.32635,-95.25103</v>
      </c>
    </row>
    <row r="2279" spans="1:7" ht="15" x14ac:dyDescent="0.3">
      <c r="A2279">
        <v>43.0725891022539</v>
      </c>
      <c r="B2279">
        <v>-87.993141302419303</v>
      </c>
      <c r="C2279" t="s">
        <v>41</v>
      </c>
      <c r="D2279" t="s">
        <v>1656</v>
      </c>
      <c r="F2279" s="21"/>
      <c r="G2279" s="16" t="str">
        <f>HYPERLINK("http://maps.google.com/maps?f=q&amp;hl=en&amp;geocode=&amp;q=43.0725891022539,-87.9931413024193")</f>
        <v>http://maps.google.com/maps?f=q&amp;hl=en&amp;geocode=&amp;q=43.0725891022539,-87.9931413024193</v>
      </c>
    </row>
    <row r="2280" spans="1:7" ht="15" x14ac:dyDescent="0.3">
      <c r="A2280">
        <v>-37.910480499267599</v>
      </c>
      <c r="B2280">
        <v>145.13473510742199</v>
      </c>
      <c r="C2280" t="s">
        <v>41</v>
      </c>
      <c r="D2280" t="s">
        <v>1657</v>
      </c>
      <c r="F2280" s="21"/>
      <c r="G2280" s="16" t="str">
        <f>HYPERLINK("http://maps.google.com/maps?f=q&amp;hl=en&amp;geocode=&amp;q=-37.9104804992676,145.134735107422")</f>
        <v>http://maps.google.com/maps?f=q&amp;hl=en&amp;geocode=&amp;q=-37.9104804992676,145.134735107422</v>
      </c>
    </row>
    <row r="2281" spans="1:7" ht="15" x14ac:dyDescent="0.3">
      <c r="A2281">
        <v>35.739019999999996</v>
      </c>
      <c r="B2281">
        <v>-84.608750000000001</v>
      </c>
      <c r="C2281" t="s">
        <v>43</v>
      </c>
      <c r="D2281" t="s">
        <v>1658</v>
      </c>
      <c r="F2281" s="21"/>
      <c r="G2281" s="16" t="str">
        <f>HYPERLINK("http://maps.google.com/maps?f=q&amp;hl=en&amp;geocode=&amp;q=35.73902,-84.60875")</f>
        <v>http://maps.google.com/maps?f=q&amp;hl=en&amp;geocode=&amp;q=35.73902,-84.60875</v>
      </c>
    </row>
    <row r="2282" spans="1:7" ht="15" x14ac:dyDescent="0.3">
      <c r="A2282">
        <v>32.96228</v>
      </c>
      <c r="B2282">
        <v>-80.018060000000006</v>
      </c>
      <c r="C2282" t="s">
        <v>43</v>
      </c>
      <c r="D2282" t="s">
        <v>1659</v>
      </c>
      <c r="F2282" s="21"/>
      <c r="G2282" s="16" t="str">
        <f>HYPERLINK("http://maps.google.com/maps?f=q&amp;hl=en&amp;geocode=&amp;q=32.96228,-80.01806")</f>
        <v>http://maps.google.com/maps?f=q&amp;hl=en&amp;geocode=&amp;q=32.96228,-80.01806</v>
      </c>
    </row>
    <row r="2283" spans="1:7" ht="15" x14ac:dyDescent="0.3">
      <c r="A2283">
        <v>36.384850103264199</v>
      </c>
      <c r="B2283">
        <v>-75.832356931850299</v>
      </c>
      <c r="C2283" t="s">
        <v>41</v>
      </c>
      <c r="D2283" t="s">
        <v>1660</v>
      </c>
      <c r="F2283" s="21"/>
      <c r="G2283" s="16" t="str">
        <f>HYPERLINK("http://maps.google.com/maps?f=q&amp;hl=en&amp;geocode=&amp;q=36.3848501032642,-75.8323569318503")</f>
        <v>http://maps.google.com/maps?f=q&amp;hl=en&amp;geocode=&amp;q=36.3848501032642,-75.8323569318503</v>
      </c>
    </row>
    <row r="2284" spans="1:7" ht="15" x14ac:dyDescent="0.3">
      <c r="A2284">
        <v>40.013988494872997</v>
      </c>
      <c r="B2284">
        <v>-75.303192138671903</v>
      </c>
      <c r="C2284" t="s">
        <v>41</v>
      </c>
      <c r="D2284" t="s">
        <v>501</v>
      </c>
      <c r="F2284" s="21"/>
      <c r="G2284" s="16" t="str">
        <f>HYPERLINK("http://maps.google.com/maps?f=q&amp;hl=en&amp;geocode=&amp;q=40.013988494873,-75.3031921386719")</f>
        <v>http://maps.google.com/maps?f=q&amp;hl=en&amp;geocode=&amp;q=40.013988494873,-75.3031921386719</v>
      </c>
    </row>
    <row r="2285" spans="1:7" ht="15" x14ac:dyDescent="0.3">
      <c r="A2285">
        <v>40.69867</v>
      </c>
      <c r="B2285">
        <v>-75.178550000000001</v>
      </c>
      <c r="C2285" t="s">
        <v>41</v>
      </c>
      <c r="D2285" t="s">
        <v>1661</v>
      </c>
      <c r="F2285" s="21"/>
      <c r="G2285" s="16" t="str">
        <f>HYPERLINK("http://maps.google.com/maps?f=q&amp;hl=en&amp;geocode=&amp;q=40.69867,-75.17855")</f>
        <v>http://maps.google.com/maps?f=q&amp;hl=en&amp;geocode=&amp;q=40.69867,-75.17855</v>
      </c>
    </row>
    <row r="2286" spans="1:7" ht="15" x14ac:dyDescent="0.3">
      <c r="A2286">
        <v>32.7229478782439</v>
      </c>
      <c r="B2286">
        <v>-96.832599826110496</v>
      </c>
      <c r="C2286" t="s">
        <v>41</v>
      </c>
      <c r="D2286" t="s">
        <v>1662</v>
      </c>
      <c r="F2286" s="21"/>
      <c r="G2286" s="16" t="str">
        <f>HYPERLINK("http://maps.google.com/maps?f=q&amp;hl=en&amp;geocode=&amp;q=32.7229478782439,-96.8325998261105")</f>
        <v>http://maps.google.com/maps?f=q&amp;hl=en&amp;geocode=&amp;q=32.7229478782439,-96.8325998261105</v>
      </c>
    </row>
    <row r="2287" spans="1:7" ht="15" x14ac:dyDescent="0.3">
      <c r="A2287">
        <v>39.975634695014399</v>
      </c>
      <c r="B2287">
        <v>-75.260664575431804</v>
      </c>
      <c r="C2287" t="s">
        <v>41</v>
      </c>
      <c r="D2287" t="s">
        <v>1663</v>
      </c>
      <c r="F2287" s="21"/>
      <c r="G2287" s="16" t="str">
        <f>HYPERLINK("http://maps.google.com/maps?f=q&amp;hl=en&amp;geocode=&amp;q=39.9756346950144,-75.2606645754318")</f>
        <v>http://maps.google.com/maps?f=q&amp;hl=en&amp;geocode=&amp;q=39.9756346950144,-75.2606645754318</v>
      </c>
    </row>
    <row r="2288" spans="1:7" ht="15" x14ac:dyDescent="0.3">
      <c r="A2288">
        <v>49.618484497070298</v>
      </c>
      <c r="B2288">
        <v>6.1199059486389196</v>
      </c>
      <c r="C2288" t="s">
        <v>41</v>
      </c>
      <c r="D2288" t="s">
        <v>1538</v>
      </c>
      <c r="F2288" s="21"/>
      <c r="G2288" s="16" t="str">
        <f>HYPERLINK("http://maps.google.com/maps?f=q&amp;hl=en&amp;geocode=&amp;q=49.6184844970703,6.11990594863892")</f>
        <v>http://maps.google.com/maps?f=q&amp;hl=en&amp;geocode=&amp;q=49.6184844970703,6.11990594863892</v>
      </c>
    </row>
    <row r="2289" spans="1:7" ht="15" x14ac:dyDescent="0.3">
      <c r="A2289">
        <v>47.116134643554702</v>
      </c>
      <c r="B2289">
        <v>6.8440089225768999</v>
      </c>
      <c r="C2289" t="s">
        <v>43</v>
      </c>
      <c r="D2289" t="s">
        <v>1664</v>
      </c>
      <c r="F2289" s="21"/>
      <c r="G2289" s="16" t="str">
        <f>HYPERLINK("http://maps.google.com/maps?f=q&amp;hl=en&amp;geocode=&amp;q=47.1161346435547,6.8440089225769")</f>
        <v>http://maps.google.com/maps?f=q&amp;hl=en&amp;geocode=&amp;q=47.1161346435547,6.8440089225769</v>
      </c>
    </row>
    <row r="2290" spans="1:7" ht="15" x14ac:dyDescent="0.3">
      <c r="A2290">
        <v>47.116134643554702</v>
      </c>
      <c r="B2290">
        <v>6.8440089225768999</v>
      </c>
      <c r="C2290" t="s">
        <v>43</v>
      </c>
      <c r="D2290" t="s">
        <v>1664</v>
      </c>
      <c r="F2290" s="21"/>
      <c r="G2290" s="16" t="str">
        <f>HYPERLINK("http://maps.google.com/maps?f=q&amp;hl=en&amp;geocode=&amp;q=47.1161346435547,6.8440089225769")</f>
        <v>http://maps.google.com/maps?f=q&amp;hl=en&amp;geocode=&amp;q=47.1161346435547,6.8440089225769</v>
      </c>
    </row>
    <row r="2291" spans="1:7" ht="15" x14ac:dyDescent="0.3">
      <c r="A2291" t="s">
        <v>44</v>
      </c>
      <c r="B2291" t="s">
        <v>44</v>
      </c>
      <c r="C2291" t="s">
        <v>44</v>
      </c>
      <c r="D2291" t="s">
        <v>1665</v>
      </c>
      <c r="F2291" s="21"/>
      <c r="G2291" s="16"/>
    </row>
    <row r="2292" spans="1:7" ht="15" x14ac:dyDescent="0.3">
      <c r="A2292">
        <v>40.2458142252881</v>
      </c>
      <c r="B2292">
        <v>-111.649502806938</v>
      </c>
      <c r="C2292" t="s">
        <v>43</v>
      </c>
      <c r="D2292" t="s">
        <v>1666</v>
      </c>
      <c r="F2292" s="21"/>
      <c r="G2292" s="16" t="str">
        <f>HYPERLINK("http://maps.google.com/maps?f=q&amp;hl=en&amp;geocode=&amp;q=40.2458142252881,-111.649502806938")</f>
        <v>http://maps.google.com/maps?f=q&amp;hl=en&amp;geocode=&amp;q=40.2458142252881,-111.649502806938</v>
      </c>
    </row>
    <row r="2293" spans="1:7" ht="15" x14ac:dyDescent="0.3">
      <c r="A2293">
        <v>39.998541001536097</v>
      </c>
      <c r="B2293">
        <v>-75.074649266106306</v>
      </c>
      <c r="C2293" t="s">
        <v>41</v>
      </c>
      <c r="D2293" t="s">
        <v>1667</v>
      </c>
      <c r="F2293" s="21"/>
      <c r="G2293" s="16" t="str">
        <f>HYPERLINK("http://maps.google.com/maps?f=q&amp;hl=en&amp;geocode=&amp;q=39.9985410015361,-75.0746492661063")</f>
        <v>http://maps.google.com/maps?f=q&amp;hl=en&amp;geocode=&amp;q=39.9985410015361,-75.0746492661063</v>
      </c>
    </row>
    <row r="2294" spans="1:7" ht="15" x14ac:dyDescent="0.3">
      <c r="A2294">
        <v>40.2458142252881</v>
      </c>
      <c r="B2294">
        <v>-111.649502806938</v>
      </c>
      <c r="C2294" t="s">
        <v>43</v>
      </c>
      <c r="D2294" t="s">
        <v>1666</v>
      </c>
      <c r="F2294" s="21"/>
      <c r="G2294" s="16" t="str">
        <f>HYPERLINK("http://maps.google.com/maps?f=q&amp;hl=en&amp;geocode=&amp;q=40.2458142252881,-111.649502806938")</f>
        <v>http://maps.google.com/maps?f=q&amp;hl=en&amp;geocode=&amp;q=40.2458142252881,-111.649502806938</v>
      </c>
    </row>
    <row r="2295" spans="1:7" ht="15" x14ac:dyDescent="0.3">
      <c r="A2295">
        <v>47.116134643554702</v>
      </c>
      <c r="B2295">
        <v>6.8440089225768999</v>
      </c>
      <c r="C2295" t="s">
        <v>43</v>
      </c>
      <c r="D2295" t="s">
        <v>1664</v>
      </c>
      <c r="F2295" s="21"/>
      <c r="G2295" s="16" t="str">
        <f>HYPERLINK("http://maps.google.com/maps?f=q&amp;hl=en&amp;geocode=&amp;q=47.1161346435547,6.8440089225769")</f>
        <v>http://maps.google.com/maps?f=q&amp;hl=en&amp;geocode=&amp;q=47.1161346435547,6.8440089225769</v>
      </c>
    </row>
    <row r="2296" spans="1:7" ht="15" x14ac:dyDescent="0.3">
      <c r="A2296">
        <v>47.116134643554702</v>
      </c>
      <c r="B2296">
        <v>6.8440089225768999</v>
      </c>
      <c r="C2296" t="s">
        <v>43</v>
      </c>
      <c r="D2296" t="s">
        <v>1664</v>
      </c>
      <c r="F2296" s="21"/>
      <c r="G2296" s="16" t="str">
        <f>HYPERLINK("http://maps.google.com/maps?f=q&amp;hl=en&amp;geocode=&amp;q=47.1161346435547,6.8440089225769")</f>
        <v>http://maps.google.com/maps?f=q&amp;hl=en&amp;geocode=&amp;q=47.1161346435547,6.8440089225769</v>
      </c>
    </row>
    <row r="2297" spans="1:7" ht="15" x14ac:dyDescent="0.3">
      <c r="A2297">
        <v>47.116134643554702</v>
      </c>
      <c r="B2297">
        <v>6.8440089225768999</v>
      </c>
      <c r="C2297" t="s">
        <v>43</v>
      </c>
      <c r="D2297" t="s">
        <v>1664</v>
      </c>
      <c r="F2297" s="21"/>
      <c r="G2297" s="16" t="str">
        <f>HYPERLINK("http://maps.google.com/maps?f=q&amp;hl=en&amp;geocode=&amp;q=47.1161346435547,6.8440089225769")</f>
        <v>http://maps.google.com/maps?f=q&amp;hl=en&amp;geocode=&amp;q=47.1161346435547,6.8440089225769</v>
      </c>
    </row>
    <row r="2298" spans="1:7" ht="15" x14ac:dyDescent="0.3">
      <c r="A2298">
        <v>37.760629999999999</v>
      </c>
      <c r="B2298">
        <v>-89.102829999999997</v>
      </c>
      <c r="C2298" t="s">
        <v>41</v>
      </c>
      <c r="D2298" t="s">
        <v>1024</v>
      </c>
      <c r="F2298" s="21"/>
      <c r="G2298" s="16" t="str">
        <f>HYPERLINK("http://maps.google.com/maps?f=q&amp;hl=en&amp;geocode=&amp;q=37.76063,-89.10283")</f>
        <v>http://maps.google.com/maps?f=q&amp;hl=en&amp;geocode=&amp;q=37.76063,-89.10283</v>
      </c>
    </row>
    <row r="2299" spans="1:7" ht="15" x14ac:dyDescent="0.3">
      <c r="A2299">
        <v>47.116134643554702</v>
      </c>
      <c r="B2299">
        <v>6.8440089225768999</v>
      </c>
      <c r="C2299" t="s">
        <v>43</v>
      </c>
      <c r="D2299" t="s">
        <v>1664</v>
      </c>
      <c r="F2299" s="21"/>
      <c r="G2299" s="16" t="str">
        <f>HYPERLINK("http://maps.google.com/maps?f=q&amp;hl=en&amp;geocode=&amp;q=47.1161346435547,6.8440089225769")</f>
        <v>http://maps.google.com/maps?f=q&amp;hl=en&amp;geocode=&amp;q=47.1161346435547,6.8440089225769</v>
      </c>
    </row>
    <row r="2300" spans="1:7" ht="15" x14ac:dyDescent="0.3">
      <c r="A2300">
        <v>47.116134643554702</v>
      </c>
      <c r="B2300">
        <v>6.8440089225768999</v>
      </c>
      <c r="C2300" t="s">
        <v>43</v>
      </c>
      <c r="D2300" t="s">
        <v>1664</v>
      </c>
      <c r="F2300" s="21"/>
      <c r="G2300" s="16" t="str">
        <f>HYPERLINK("http://maps.google.com/maps?f=q&amp;hl=en&amp;geocode=&amp;q=47.1161346435547,6.8440089225769")</f>
        <v>http://maps.google.com/maps?f=q&amp;hl=en&amp;geocode=&amp;q=47.1161346435547,6.8440089225769</v>
      </c>
    </row>
    <row r="2301" spans="1:7" ht="15" x14ac:dyDescent="0.3">
      <c r="A2301">
        <v>-26.034427642822301</v>
      </c>
      <c r="B2301">
        <v>28.5431098937988</v>
      </c>
      <c r="C2301" t="s">
        <v>43</v>
      </c>
      <c r="D2301" t="s">
        <v>1668</v>
      </c>
      <c r="F2301" s="21"/>
      <c r="G2301" s="16" t="str">
        <f>HYPERLINK("http://maps.google.com/maps?f=q&amp;hl=en&amp;geocode=&amp;q=-26.0344276428223,28.5431098937988")</f>
        <v>http://maps.google.com/maps?f=q&amp;hl=en&amp;geocode=&amp;q=-26.0344276428223,28.5431098937988</v>
      </c>
    </row>
    <row r="2302" spans="1:7" ht="15" x14ac:dyDescent="0.3">
      <c r="A2302">
        <v>43.096909823569597</v>
      </c>
      <c r="B2302">
        <v>-78.873910995161694</v>
      </c>
      <c r="C2302" t="s">
        <v>41</v>
      </c>
      <c r="D2302" t="s">
        <v>1669</v>
      </c>
      <c r="F2302" s="21"/>
      <c r="G2302" s="16" t="str">
        <f>HYPERLINK("http://maps.google.com/maps?f=q&amp;hl=en&amp;geocode=&amp;q=43.0969098235696,-78.8739109951617")</f>
        <v>http://maps.google.com/maps?f=q&amp;hl=en&amp;geocode=&amp;q=43.0969098235696,-78.8739109951617</v>
      </c>
    </row>
    <row r="2303" spans="1:7" ht="15" x14ac:dyDescent="0.3">
      <c r="A2303">
        <v>36.145556527608598</v>
      </c>
      <c r="B2303">
        <v>-83.164969328273799</v>
      </c>
      <c r="C2303" t="s">
        <v>41</v>
      </c>
      <c r="D2303" t="s">
        <v>1670</v>
      </c>
      <c r="F2303" s="21"/>
      <c r="G2303" s="16" t="str">
        <f>HYPERLINK("http://maps.google.com/maps?f=q&amp;hl=en&amp;geocode=&amp;q=36.1455565276086,-83.1649693282738")</f>
        <v>http://maps.google.com/maps?f=q&amp;hl=en&amp;geocode=&amp;q=36.1455565276086,-83.1649693282738</v>
      </c>
    </row>
    <row r="2304" spans="1:7" ht="15" x14ac:dyDescent="0.3">
      <c r="A2304">
        <v>40.013988494872997</v>
      </c>
      <c r="B2304">
        <v>-75.303192138671903</v>
      </c>
      <c r="C2304" t="s">
        <v>41</v>
      </c>
      <c r="D2304" t="s">
        <v>501</v>
      </c>
      <c r="F2304" s="21"/>
      <c r="G2304" s="16" t="str">
        <f>HYPERLINK("http://maps.google.com/maps?f=q&amp;hl=en&amp;geocode=&amp;q=40.013988494873,-75.3031921386719")</f>
        <v>http://maps.google.com/maps?f=q&amp;hl=en&amp;geocode=&amp;q=40.013988494873,-75.3031921386719</v>
      </c>
    </row>
    <row r="2305" spans="1:7" ht="15" x14ac:dyDescent="0.3">
      <c r="A2305">
        <v>39.151271820068402</v>
      </c>
      <c r="B2305">
        <v>-76.764373779296903</v>
      </c>
      <c r="C2305" t="s">
        <v>43</v>
      </c>
      <c r="D2305" t="s">
        <v>1200</v>
      </c>
      <c r="F2305" s="21"/>
      <c r="G2305" s="16" t="str">
        <f>HYPERLINK("http://maps.google.com/maps?f=q&amp;hl=en&amp;geocode=&amp;q=39.1512718200684,-76.7643737792969")</f>
        <v>http://maps.google.com/maps?f=q&amp;hl=en&amp;geocode=&amp;q=39.1512718200684,-76.7643737792969</v>
      </c>
    </row>
    <row r="2306" spans="1:7" ht="15" x14ac:dyDescent="0.3">
      <c r="A2306" t="s">
        <v>44</v>
      </c>
      <c r="B2306" t="s">
        <v>44</v>
      </c>
      <c r="C2306" t="s">
        <v>44</v>
      </c>
      <c r="D2306" t="s">
        <v>1671</v>
      </c>
      <c r="F2306" s="21"/>
      <c r="G2306" s="16"/>
    </row>
    <row r="2307" spans="1:7" ht="15" x14ac:dyDescent="0.3">
      <c r="A2307" t="s">
        <v>44</v>
      </c>
      <c r="B2307" t="s">
        <v>44</v>
      </c>
      <c r="C2307" t="s">
        <v>44</v>
      </c>
      <c r="D2307" t="s">
        <v>1672</v>
      </c>
      <c r="F2307" s="21"/>
      <c r="G2307" s="16"/>
    </row>
    <row r="2308" spans="1:7" ht="15" x14ac:dyDescent="0.3">
      <c r="A2308">
        <v>32.473899841308601</v>
      </c>
      <c r="B2308">
        <v>-82.645301818847699</v>
      </c>
      <c r="C2308" t="s">
        <v>43</v>
      </c>
      <c r="D2308" t="s">
        <v>1673</v>
      </c>
      <c r="F2308" s="21"/>
      <c r="G2308" s="16" t="str">
        <f>HYPERLINK("http://maps.google.com/maps?f=q&amp;hl=en&amp;geocode=&amp;q=32.4738998413086,-82.6453018188477")</f>
        <v>http://maps.google.com/maps?f=q&amp;hl=en&amp;geocode=&amp;q=32.4738998413086,-82.6453018188477</v>
      </c>
    </row>
    <row r="2309" spans="1:7" ht="15" x14ac:dyDescent="0.3">
      <c r="A2309">
        <v>40.309269608683202</v>
      </c>
      <c r="B2309">
        <v>-78.318082809230006</v>
      </c>
      <c r="C2309" t="s">
        <v>41</v>
      </c>
      <c r="D2309" t="s">
        <v>784</v>
      </c>
      <c r="F2309" s="21"/>
      <c r="G2309" s="16" t="str">
        <f>HYPERLINK("http://maps.google.com/maps?f=q&amp;hl=en&amp;geocode=&amp;q=40.3092696086832,-78.31808280923")</f>
        <v>http://maps.google.com/maps?f=q&amp;hl=en&amp;geocode=&amp;q=40.3092696086832,-78.31808280923</v>
      </c>
    </row>
    <row r="2310" spans="1:7" ht="15" x14ac:dyDescent="0.3">
      <c r="A2310">
        <v>43.559845552263397</v>
      </c>
      <c r="B2310">
        <v>-116.861761009725</v>
      </c>
      <c r="C2310" t="s">
        <v>41</v>
      </c>
      <c r="D2310" t="s">
        <v>1029</v>
      </c>
      <c r="F2310" s="21"/>
      <c r="G2310" s="16" t="str">
        <f>HYPERLINK("http://maps.google.com/maps?f=q&amp;hl=en&amp;geocode=&amp;q=43.5598455522634,-116.861761009725")</f>
        <v>http://maps.google.com/maps?f=q&amp;hl=en&amp;geocode=&amp;q=43.5598455522634,-116.861761009725</v>
      </c>
    </row>
    <row r="2311" spans="1:7" ht="15" x14ac:dyDescent="0.3">
      <c r="A2311">
        <v>39.917617490737598</v>
      </c>
      <c r="B2311">
        <v>-75.161912192079299</v>
      </c>
      <c r="C2311" t="s">
        <v>41</v>
      </c>
      <c r="D2311" t="s">
        <v>1674</v>
      </c>
      <c r="F2311" s="21"/>
      <c r="G2311" s="16" t="str">
        <f>HYPERLINK("http://maps.google.com/maps?f=q&amp;hl=en&amp;geocode=&amp;q=39.9176174907376,-75.1619121920793")</f>
        <v>http://maps.google.com/maps?f=q&amp;hl=en&amp;geocode=&amp;q=39.9176174907376,-75.1619121920793</v>
      </c>
    </row>
    <row r="2312" spans="1:7" ht="15" x14ac:dyDescent="0.3">
      <c r="A2312">
        <v>39.918000455099602</v>
      </c>
      <c r="B2312">
        <v>-75.161822082436203</v>
      </c>
      <c r="C2312" t="s">
        <v>41</v>
      </c>
      <c r="D2312" t="s">
        <v>1675</v>
      </c>
      <c r="F2312" s="21"/>
      <c r="G2312" s="16" t="str">
        <f>HYPERLINK("http://maps.google.com/maps?f=q&amp;hl=en&amp;geocode=&amp;q=39.9180004550996,-75.1618220824362")</f>
        <v>http://maps.google.com/maps?f=q&amp;hl=en&amp;geocode=&amp;q=39.9180004550996,-75.1618220824362</v>
      </c>
    </row>
    <row r="2313" spans="1:7" ht="15" x14ac:dyDescent="0.3">
      <c r="F2313" s="21"/>
      <c r="G2313" s="16"/>
    </row>
    <row r="2314" spans="1:7" ht="15" x14ac:dyDescent="0.3">
      <c r="A2314" t="s">
        <v>44</v>
      </c>
      <c r="B2314" t="s">
        <v>44</v>
      </c>
      <c r="C2314" t="s">
        <v>44</v>
      </c>
      <c r="D2314" t="s">
        <v>1676</v>
      </c>
      <c r="F2314" s="21"/>
      <c r="G2314" s="16"/>
    </row>
    <row r="2315" spans="1:7" ht="15" x14ac:dyDescent="0.3">
      <c r="A2315">
        <v>41.611199999999997</v>
      </c>
      <c r="B2315">
        <v>-71.476339999999993</v>
      </c>
      <c r="C2315" t="s">
        <v>42</v>
      </c>
      <c r="D2315" t="s">
        <v>892</v>
      </c>
      <c r="F2315" s="21"/>
      <c r="G2315" s="16" t="str">
        <f>HYPERLINK("http://maps.google.com/maps?f=q&amp;hl=en&amp;geocode=&amp;q=41.6112,-71.47634")</f>
        <v>http://maps.google.com/maps?f=q&amp;hl=en&amp;geocode=&amp;q=41.6112,-71.47634</v>
      </c>
    </row>
    <row r="2316" spans="1:7" ht="15" x14ac:dyDescent="0.3">
      <c r="A2316">
        <v>41.611199999999997</v>
      </c>
      <c r="B2316">
        <v>-71.476339999999993</v>
      </c>
      <c r="C2316" t="s">
        <v>42</v>
      </c>
      <c r="D2316" t="s">
        <v>892</v>
      </c>
      <c r="F2316" s="21"/>
      <c r="G2316" s="16" t="str">
        <f>HYPERLINK("http://maps.google.com/maps?f=q&amp;hl=en&amp;geocode=&amp;q=41.6112,-71.47634")</f>
        <v>http://maps.google.com/maps?f=q&amp;hl=en&amp;geocode=&amp;q=41.6112,-71.47634</v>
      </c>
    </row>
    <row r="2317" spans="1:7" ht="15" x14ac:dyDescent="0.3">
      <c r="A2317">
        <v>41.611199999999997</v>
      </c>
      <c r="B2317">
        <v>-71.476339999999993</v>
      </c>
      <c r="C2317" t="s">
        <v>42</v>
      </c>
      <c r="D2317" t="s">
        <v>892</v>
      </c>
      <c r="F2317" s="21"/>
      <c r="G2317" s="16" t="str">
        <f>HYPERLINK("http://maps.google.com/maps?f=q&amp;hl=en&amp;geocode=&amp;q=41.6112,-71.47634")</f>
        <v>http://maps.google.com/maps?f=q&amp;hl=en&amp;geocode=&amp;q=41.6112,-71.47634</v>
      </c>
    </row>
    <row r="2318" spans="1:7" ht="15" x14ac:dyDescent="0.3">
      <c r="A2318">
        <v>41.611199999999997</v>
      </c>
      <c r="B2318">
        <v>-71.476339999999993</v>
      </c>
      <c r="C2318" t="s">
        <v>42</v>
      </c>
      <c r="D2318" t="s">
        <v>892</v>
      </c>
      <c r="F2318" s="21"/>
      <c r="G2318" s="16" t="str">
        <f>HYPERLINK("http://maps.google.com/maps?f=q&amp;hl=en&amp;geocode=&amp;q=41.6112,-71.47634")</f>
        <v>http://maps.google.com/maps?f=q&amp;hl=en&amp;geocode=&amp;q=41.6112,-71.47634</v>
      </c>
    </row>
    <row r="2319" spans="1:7" ht="15" x14ac:dyDescent="0.3">
      <c r="A2319">
        <v>41.611199999999997</v>
      </c>
      <c r="B2319">
        <v>-71.476339999999993</v>
      </c>
      <c r="C2319" t="s">
        <v>42</v>
      </c>
      <c r="D2319" t="s">
        <v>892</v>
      </c>
      <c r="F2319" s="21"/>
      <c r="G2319" s="16" t="str">
        <f>HYPERLINK("http://maps.google.com/maps?f=q&amp;hl=en&amp;geocode=&amp;q=41.6112,-71.47634")</f>
        <v>http://maps.google.com/maps?f=q&amp;hl=en&amp;geocode=&amp;q=41.6112,-71.47634</v>
      </c>
    </row>
    <row r="2320" spans="1:7" ht="15" x14ac:dyDescent="0.3">
      <c r="A2320">
        <v>41.611199999999997</v>
      </c>
      <c r="B2320">
        <v>-71.476339999999993</v>
      </c>
      <c r="C2320" t="s">
        <v>42</v>
      </c>
      <c r="D2320" t="s">
        <v>892</v>
      </c>
      <c r="F2320" s="21"/>
      <c r="G2320" s="16" t="str">
        <f>HYPERLINK("http://maps.google.com/maps?f=q&amp;hl=en&amp;geocode=&amp;q=41.6112,-71.47634")</f>
        <v>http://maps.google.com/maps?f=q&amp;hl=en&amp;geocode=&amp;q=41.6112,-71.47634</v>
      </c>
    </row>
    <row r="2321" spans="1:7" ht="15" x14ac:dyDescent="0.3">
      <c r="A2321">
        <v>41.611199999999997</v>
      </c>
      <c r="B2321">
        <v>-71.476339999999993</v>
      </c>
      <c r="C2321" t="s">
        <v>42</v>
      </c>
      <c r="D2321" t="s">
        <v>892</v>
      </c>
      <c r="F2321" s="21"/>
      <c r="G2321" s="16" t="str">
        <f>HYPERLINK("http://maps.google.com/maps?f=q&amp;hl=en&amp;geocode=&amp;q=41.6112,-71.47634")</f>
        <v>http://maps.google.com/maps?f=q&amp;hl=en&amp;geocode=&amp;q=41.6112,-71.47634</v>
      </c>
    </row>
    <row r="2322" spans="1:7" ht="15" x14ac:dyDescent="0.3">
      <c r="A2322">
        <v>42.736513714122502</v>
      </c>
      <c r="B2322">
        <v>-75.218642867432607</v>
      </c>
      <c r="C2322" t="s">
        <v>41</v>
      </c>
      <c r="D2322" t="s">
        <v>1360</v>
      </c>
      <c r="F2322" s="21"/>
      <c r="G2322" s="16" t="str">
        <f>HYPERLINK("http://maps.google.com/maps?f=q&amp;hl=en&amp;geocode=&amp;q=42.7365137141225,-75.2186428674326")</f>
        <v>http://maps.google.com/maps?f=q&amp;hl=en&amp;geocode=&amp;q=42.7365137141225,-75.2186428674326</v>
      </c>
    </row>
    <row r="2323" spans="1:7" ht="15" x14ac:dyDescent="0.3">
      <c r="A2323">
        <v>40.019750000000002</v>
      </c>
      <c r="B2323">
        <v>-75.117540000000005</v>
      </c>
      <c r="C2323" t="s">
        <v>41</v>
      </c>
      <c r="D2323" t="s">
        <v>1677</v>
      </c>
      <c r="F2323" s="21"/>
      <c r="G2323" s="16" t="str">
        <f>HYPERLINK("http://maps.google.com/maps?f=q&amp;hl=en&amp;geocode=&amp;q=40.01975,-75.11754")</f>
        <v>http://maps.google.com/maps?f=q&amp;hl=en&amp;geocode=&amp;q=40.01975,-75.11754</v>
      </c>
    </row>
    <row r="2324" spans="1:7" ht="15" x14ac:dyDescent="0.3">
      <c r="A2324">
        <v>36.015928310111001</v>
      </c>
      <c r="B2324">
        <v>-78.928323937418</v>
      </c>
      <c r="C2324" t="s">
        <v>41</v>
      </c>
      <c r="D2324" t="s">
        <v>1288</v>
      </c>
      <c r="F2324" s="21"/>
      <c r="G2324" s="16" t="str">
        <f>HYPERLINK("http://maps.google.com/maps?f=q&amp;hl=en&amp;geocode=&amp;q=36.015928310111,-78.928323937418")</f>
        <v>http://maps.google.com/maps?f=q&amp;hl=en&amp;geocode=&amp;q=36.015928310111,-78.928323937418</v>
      </c>
    </row>
    <row r="2325" spans="1:7" ht="15" x14ac:dyDescent="0.3">
      <c r="A2325">
        <v>49.648342132568402</v>
      </c>
      <c r="B2325">
        <v>5.9924058914184597</v>
      </c>
      <c r="C2325" t="s">
        <v>41</v>
      </c>
      <c r="D2325" t="s">
        <v>932</v>
      </c>
      <c r="F2325" s="21"/>
      <c r="G2325" s="16" t="str">
        <f>HYPERLINK("http://maps.google.com/maps?f=q&amp;hl=en&amp;geocode=&amp;q=49.6483421325684,5.99240589141846")</f>
        <v>http://maps.google.com/maps?f=q&amp;hl=en&amp;geocode=&amp;q=49.6483421325684,5.99240589141846</v>
      </c>
    </row>
    <row r="2326" spans="1:7" ht="15" x14ac:dyDescent="0.3">
      <c r="A2326">
        <v>40.105413319456602</v>
      </c>
      <c r="B2326">
        <v>-75.3726104567276</v>
      </c>
      <c r="C2326" t="s">
        <v>41</v>
      </c>
      <c r="D2326" t="s">
        <v>289</v>
      </c>
      <c r="F2326" s="21"/>
      <c r="G2326" s="16" t="str">
        <f>HYPERLINK("http://maps.google.com/maps?f=q&amp;hl=en&amp;geocode=&amp;q=40.1054133194566,-75.3726104567276")</f>
        <v>http://maps.google.com/maps?f=q&amp;hl=en&amp;geocode=&amp;q=40.1054133194566,-75.3726104567276</v>
      </c>
    </row>
    <row r="2327" spans="1:7" ht="15" x14ac:dyDescent="0.3">
      <c r="A2327">
        <v>38.470259810760297</v>
      </c>
      <c r="B2327">
        <v>-81.499467432929293</v>
      </c>
      <c r="C2327" t="s">
        <v>41</v>
      </c>
      <c r="D2327" t="s">
        <v>1175</v>
      </c>
      <c r="F2327" s="21"/>
      <c r="G2327" s="16" t="str">
        <f>HYPERLINK("http://maps.google.com/maps?f=q&amp;hl=en&amp;geocode=&amp;q=38.4702598107603,-81.4994674329293")</f>
        <v>http://maps.google.com/maps?f=q&amp;hl=en&amp;geocode=&amp;q=38.4702598107603,-81.4994674329293</v>
      </c>
    </row>
    <row r="2328" spans="1:7" ht="15" x14ac:dyDescent="0.3">
      <c r="A2328">
        <v>40.035560607910199</v>
      </c>
      <c r="B2328">
        <v>-75.143058776855497</v>
      </c>
      <c r="C2328" t="s">
        <v>41</v>
      </c>
      <c r="D2328" t="s">
        <v>1678</v>
      </c>
      <c r="F2328" s="21"/>
      <c r="G2328" s="16" t="str">
        <f>HYPERLINK("http://maps.google.com/maps?f=q&amp;hl=en&amp;geocode=&amp;q=40.0355606079102,-75.1430587768555")</f>
        <v>http://maps.google.com/maps?f=q&amp;hl=en&amp;geocode=&amp;q=40.0355606079102,-75.1430587768555</v>
      </c>
    </row>
    <row r="2329" spans="1:7" ht="15" x14ac:dyDescent="0.3">
      <c r="A2329">
        <v>-25.995267868041999</v>
      </c>
      <c r="B2329">
        <v>27.7122478485107</v>
      </c>
      <c r="C2329" t="s">
        <v>43</v>
      </c>
      <c r="D2329" t="s">
        <v>1679</v>
      </c>
      <c r="F2329" s="21"/>
      <c r="G2329" s="16" t="str">
        <f>HYPERLINK("http://maps.google.com/maps?f=q&amp;hl=en&amp;geocode=&amp;q=-25.995267868042,27.7122478485107")</f>
        <v>http://maps.google.com/maps?f=q&amp;hl=en&amp;geocode=&amp;q=-25.995267868042,27.7122478485107</v>
      </c>
    </row>
    <row r="2330" spans="1:7" ht="15" x14ac:dyDescent="0.3">
      <c r="A2330">
        <v>-34.895690000000002</v>
      </c>
      <c r="B2330">
        <v>138.50318999999999</v>
      </c>
      <c r="C2330" t="s">
        <v>41</v>
      </c>
      <c r="D2330" t="s">
        <v>1680</v>
      </c>
      <c r="F2330" s="21"/>
      <c r="G2330" s="16" t="str">
        <f>HYPERLINK("http://maps.google.com/maps?f=q&amp;hl=en&amp;geocode=&amp;q=-34.89569,138.50319")</f>
        <v>http://maps.google.com/maps?f=q&amp;hl=en&amp;geocode=&amp;q=-34.89569,138.50319</v>
      </c>
    </row>
    <row r="2331" spans="1:7" ht="15" x14ac:dyDescent="0.3">
      <c r="A2331">
        <v>45.531959533691399</v>
      </c>
      <c r="B2331">
        <v>-62.026599884033203</v>
      </c>
      <c r="C2331" t="s">
        <v>41</v>
      </c>
      <c r="D2331" t="s">
        <v>1681</v>
      </c>
      <c r="F2331" s="21"/>
      <c r="G2331" s="16" t="str">
        <f>HYPERLINK("http://maps.google.com/maps?f=q&amp;hl=en&amp;geocode=&amp;q=45.5319595336914,-62.0265998840332")</f>
        <v>http://maps.google.com/maps?f=q&amp;hl=en&amp;geocode=&amp;q=45.5319595336914,-62.0265998840332</v>
      </c>
    </row>
    <row r="2332" spans="1:7" ht="15" x14ac:dyDescent="0.3">
      <c r="A2332">
        <v>41.149993206539698</v>
      </c>
      <c r="B2332">
        <v>-111.913570873949</v>
      </c>
      <c r="C2332" t="s">
        <v>41</v>
      </c>
      <c r="D2332" t="s">
        <v>782</v>
      </c>
      <c r="F2332" s="21"/>
      <c r="G2332" s="16" t="str">
        <f>HYPERLINK("http://maps.google.com/maps?f=q&amp;hl=en&amp;geocode=&amp;q=41.1499932065397,-111.913570873949")</f>
        <v>http://maps.google.com/maps?f=q&amp;hl=en&amp;geocode=&amp;q=41.1499932065397,-111.913570873949</v>
      </c>
    </row>
    <row r="2333" spans="1:7" ht="15" x14ac:dyDescent="0.3">
      <c r="A2333">
        <v>42.712245781975497</v>
      </c>
      <c r="B2333">
        <v>-77.649053360754095</v>
      </c>
      <c r="C2333" t="s">
        <v>41</v>
      </c>
      <c r="D2333" t="s">
        <v>1682</v>
      </c>
      <c r="F2333" s="21"/>
      <c r="G2333" s="16" t="str">
        <f>HYPERLINK("http://maps.google.com/maps?f=q&amp;hl=en&amp;geocode=&amp;q=42.7122457819755,-77.6490533607541")</f>
        <v>http://maps.google.com/maps?f=q&amp;hl=en&amp;geocode=&amp;q=42.7122457819755,-77.6490533607541</v>
      </c>
    </row>
    <row r="2334" spans="1:7" ht="15" x14ac:dyDescent="0.3">
      <c r="A2334">
        <v>47.1073637681706</v>
      </c>
      <c r="B2334">
        <v>-104.168117767322</v>
      </c>
      <c r="C2334" t="s">
        <v>41</v>
      </c>
      <c r="D2334" t="s">
        <v>1683</v>
      </c>
      <c r="F2334" s="21"/>
      <c r="G2334" s="16" t="str">
        <f>HYPERLINK("http://maps.google.com/maps?f=q&amp;hl=en&amp;geocode=&amp;q=47.1073637681706,-104.168117767322")</f>
        <v>http://maps.google.com/maps?f=q&amp;hl=en&amp;geocode=&amp;q=47.1073637681706,-104.168117767322</v>
      </c>
    </row>
    <row r="2335" spans="1:7" ht="15" x14ac:dyDescent="0.3">
      <c r="A2335">
        <v>43.592239999999997</v>
      </c>
      <c r="B2335">
        <v>-115.26285</v>
      </c>
      <c r="C2335" t="s">
        <v>43</v>
      </c>
      <c r="D2335" t="s">
        <v>1684</v>
      </c>
      <c r="F2335" s="21"/>
      <c r="G2335" s="16" t="str">
        <f>HYPERLINK("http://maps.google.com/maps?f=q&amp;hl=en&amp;geocode=&amp;q=43.59224,-115.26285")</f>
        <v>http://maps.google.com/maps?f=q&amp;hl=en&amp;geocode=&amp;q=43.59224,-115.26285</v>
      </c>
    </row>
    <row r="2336" spans="1:7" ht="15" x14ac:dyDescent="0.3">
      <c r="A2336">
        <v>43.592239999999997</v>
      </c>
      <c r="B2336">
        <v>-115.26285</v>
      </c>
      <c r="C2336" t="s">
        <v>43</v>
      </c>
      <c r="D2336" t="s">
        <v>1684</v>
      </c>
      <c r="F2336" s="21"/>
      <c r="G2336" s="16" t="str">
        <f>HYPERLINK("http://maps.google.com/maps?f=q&amp;hl=en&amp;geocode=&amp;q=43.59224,-115.26285")</f>
        <v>http://maps.google.com/maps?f=q&amp;hl=en&amp;geocode=&amp;q=43.59224,-115.26285</v>
      </c>
    </row>
    <row r="2337" spans="1:7" ht="15" x14ac:dyDescent="0.3">
      <c r="A2337">
        <v>32.648330688476598</v>
      </c>
      <c r="B2337">
        <v>-83.444557189941406</v>
      </c>
      <c r="C2337" t="s">
        <v>41</v>
      </c>
      <c r="D2337" t="s">
        <v>1685</v>
      </c>
      <c r="F2337" s="21"/>
      <c r="G2337" s="16" t="str">
        <f>HYPERLINK("http://maps.google.com/maps?f=q&amp;hl=en&amp;geocode=&amp;q=32.6483306884766,-83.4445571899414")</f>
        <v>http://maps.google.com/maps?f=q&amp;hl=en&amp;geocode=&amp;q=32.6483306884766,-83.4445571899414</v>
      </c>
    </row>
    <row r="2338" spans="1:7" ht="15" x14ac:dyDescent="0.3">
      <c r="A2338">
        <v>38.344610208520201</v>
      </c>
      <c r="B2338">
        <v>-75.080331174429006</v>
      </c>
      <c r="C2338" t="s">
        <v>41</v>
      </c>
      <c r="D2338" t="s">
        <v>1686</v>
      </c>
      <c r="F2338" s="21"/>
      <c r="G2338" s="16" t="str">
        <f>HYPERLINK("http://maps.google.com/maps?f=q&amp;hl=en&amp;geocode=&amp;q=38.3446102085202,-75.080331174429")</f>
        <v>http://maps.google.com/maps?f=q&amp;hl=en&amp;geocode=&amp;q=38.3446102085202,-75.080331174429</v>
      </c>
    </row>
    <row r="2339" spans="1:7" ht="15" x14ac:dyDescent="0.3">
      <c r="A2339">
        <v>38.344610208520201</v>
      </c>
      <c r="B2339">
        <v>-75.080331174429006</v>
      </c>
      <c r="C2339" t="s">
        <v>41</v>
      </c>
      <c r="D2339" t="s">
        <v>1686</v>
      </c>
      <c r="F2339" s="21"/>
      <c r="G2339" s="16" t="str">
        <f>HYPERLINK("http://maps.google.com/maps?f=q&amp;hl=en&amp;geocode=&amp;q=38.3446102085202,-75.080331174429")</f>
        <v>http://maps.google.com/maps?f=q&amp;hl=en&amp;geocode=&amp;q=38.3446102085202,-75.080331174429</v>
      </c>
    </row>
    <row r="2340" spans="1:7" ht="15" x14ac:dyDescent="0.3">
      <c r="A2340">
        <v>38.344610208520201</v>
      </c>
      <c r="B2340">
        <v>-75.080331174429006</v>
      </c>
      <c r="C2340" t="s">
        <v>41</v>
      </c>
      <c r="D2340" t="s">
        <v>1686</v>
      </c>
      <c r="F2340" s="21"/>
      <c r="G2340" s="16" t="str">
        <f>HYPERLINK("http://maps.google.com/maps?f=q&amp;hl=en&amp;geocode=&amp;q=38.3446102085202,-75.080331174429")</f>
        <v>http://maps.google.com/maps?f=q&amp;hl=en&amp;geocode=&amp;q=38.3446102085202,-75.080331174429</v>
      </c>
    </row>
    <row r="2341" spans="1:7" ht="15" x14ac:dyDescent="0.3">
      <c r="A2341">
        <v>50.587699890136697</v>
      </c>
      <c r="B2341">
        <v>4.32674217224121</v>
      </c>
      <c r="C2341" t="s">
        <v>43</v>
      </c>
      <c r="D2341" t="s">
        <v>85</v>
      </c>
      <c r="F2341" s="21"/>
      <c r="G2341" s="16" t="str">
        <f>HYPERLINK("http://maps.google.com/maps?f=q&amp;hl=en&amp;geocode=&amp;q=50.5876998901367,4.32674217224121")</f>
        <v>http://maps.google.com/maps?f=q&amp;hl=en&amp;geocode=&amp;q=50.5876998901367,4.32674217224121</v>
      </c>
    </row>
    <row r="2342" spans="1:7" ht="15" x14ac:dyDescent="0.3">
      <c r="A2342">
        <v>39.919549631467603</v>
      </c>
      <c r="B2342">
        <v>-75.228038135931101</v>
      </c>
      <c r="C2342" t="s">
        <v>43</v>
      </c>
      <c r="D2342" t="s">
        <v>1687</v>
      </c>
      <c r="F2342" s="21"/>
      <c r="G2342" s="16" t="str">
        <f>HYPERLINK("http://maps.google.com/maps?f=q&amp;hl=en&amp;geocode=&amp;q=39.9195496314676,-75.2280381359311")</f>
        <v>http://maps.google.com/maps?f=q&amp;hl=en&amp;geocode=&amp;q=39.9195496314676,-75.2280381359311</v>
      </c>
    </row>
    <row r="2343" spans="1:7" ht="15" x14ac:dyDescent="0.3">
      <c r="A2343">
        <v>40.025145798607802</v>
      </c>
      <c r="B2343">
        <v>-88.556051262325596</v>
      </c>
      <c r="C2343" t="s">
        <v>43</v>
      </c>
      <c r="D2343" t="s">
        <v>1688</v>
      </c>
      <c r="F2343" s="21"/>
      <c r="G2343" s="16" t="str">
        <f>HYPERLINK("http://maps.google.com/maps?f=q&amp;hl=en&amp;geocode=&amp;q=40.0251457986078,-88.5560512623256")</f>
        <v>http://maps.google.com/maps?f=q&amp;hl=en&amp;geocode=&amp;q=40.0251457986078,-88.5560512623256</v>
      </c>
    </row>
    <row r="2344" spans="1:7" ht="15" x14ac:dyDescent="0.3">
      <c r="A2344">
        <v>34.9662895202637</v>
      </c>
      <c r="B2344">
        <v>-94.725616455078097</v>
      </c>
      <c r="C2344" t="s">
        <v>43</v>
      </c>
      <c r="D2344" t="s">
        <v>1689</v>
      </c>
      <c r="F2344" s="21"/>
      <c r="G2344" s="16" t="str">
        <f>HYPERLINK("http://maps.google.com/maps?f=q&amp;hl=en&amp;geocode=&amp;q=34.9662895202637,-94.7256164550781")</f>
        <v>http://maps.google.com/maps?f=q&amp;hl=en&amp;geocode=&amp;q=34.9662895202637,-94.7256164550781</v>
      </c>
    </row>
    <row r="2345" spans="1:7" ht="15" x14ac:dyDescent="0.3">
      <c r="A2345">
        <v>39.902050018310497</v>
      </c>
      <c r="B2345">
        <v>-75.1798095703125</v>
      </c>
      <c r="C2345" t="s">
        <v>41</v>
      </c>
      <c r="D2345" t="s">
        <v>1195</v>
      </c>
      <c r="F2345" s="21"/>
      <c r="G2345" s="16" t="str">
        <f>HYPERLINK("http://maps.google.com/maps?f=q&amp;hl=en&amp;geocode=&amp;q=39.9020500183105,-75.1798095703125")</f>
        <v>http://maps.google.com/maps?f=q&amp;hl=en&amp;geocode=&amp;q=39.9020500183105,-75.1798095703125</v>
      </c>
    </row>
    <row r="2346" spans="1:7" ht="15" x14ac:dyDescent="0.3">
      <c r="A2346">
        <v>-39.938659999999999</v>
      </c>
      <c r="B2346">
        <v>176.58796000000001</v>
      </c>
      <c r="C2346" t="s">
        <v>41</v>
      </c>
      <c r="D2346" t="s">
        <v>458</v>
      </c>
      <c r="F2346" s="21"/>
      <c r="G2346" s="16" t="str">
        <f>HYPERLINK("http://maps.google.com/maps?f=q&amp;hl=en&amp;geocode=&amp;q=-39.93866,176.58796")</f>
        <v>http://maps.google.com/maps?f=q&amp;hl=en&amp;geocode=&amp;q=-39.93866,176.58796</v>
      </c>
    </row>
    <row r="2347" spans="1:7" ht="15" x14ac:dyDescent="0.3">
      <c r="F2347" s="21"/>
      <c r="G2347" s="16"/>
    </row>
    <row r="2348" spans="1:7" ht="15" x14ac:dyDescent="0.3">
      <c r="A2348">
        <v>39.902050018310497</v>
      </c>
      <c r="B2348">
        <v>-75.1798095703125</v>
      </c>
      <c r="C2348" t="s">
        <v>41</v>
      </c>
      <c r="D2348" t="s">
        <v>1195</v>
      </c>
      <c r="F2348" s="21"/>
      <c r="G2348" s="16" t="str">
        <f>HYPERLINK("http://maps.google.com/maps?f=q&amp;hl=en&amp;geocode=&amp;q=39.9020500183105,-75.1798095703125")</f>
        <v>http://maps.google.com/maps?f=q&amp;hl=en&amp;geocode=&amp;q=39.9020500183105,-75.1798095703125</v>
      </c>
    </row>
    <row r="2349" spans="1:7" ht="15" x14ac:dyDescent="0.3">
      <c r="A2349">
        <v>39.902050018310497</v>
      </c>
      <c r="B2349">
        <v>-75.1798095703125</v>
      </c>
      <c r="C2349" t="s">
        <v>41</v>
      </c>
      <c r="D2349" t="s">
        <v>1195</v>
      </c>
      <c r="F2349" s="21"/>
      <c r="G2349" s="16" t="str">
        <f>HYPERLINK("http://maps.google.com/maps?f=q&amp;hl=en&amp;geocode=&amp;q=39.9020500183105,-75.1798095703125")</f>
        <v>http://maps.google.com/maps?f=q&amp;hl=en&amp;geocode=&amp;q=39.9020500183105,-75.1798095703125</v>
      </c>
    </row>
    <row r="2350" spans="1:7" ht="15" x14ac:dyDescent="0.3">
      <c r="A2350">
        <v>39.902050018310497</v>
      </c>
      <c r="B2350">
        <v>-75.1798095703125</v>
      </c>
      <c r="C2350" t="s">
        <v>41</v>
      </c>
      <c r="D2350" t="s">
        <v>1195</v>
      </c>
      <c r="F2350" s="21"/>
      <c r="G2350" s="16" t="str">
        <f>HYPERLINK("http://maps.google.com/maps?f=q&amp;hl=en&amp;geocode=&amp;q=39.9020500183105,-75.1798095703125")</f>
        <v>http://maps.google.com/maps?f=q&amp;hl=en&amp;geocode=&amp;q=39.9020500183105,-75.1798095703125</v>
      </c>
    </row>
    <row r="2351" spans="1:7" ht="15" x14ac:dyDescent="0.3">
      <c r="A2351">
        <v>39.902050018310497</v>
      </c>
      <c r="B2351">
        <v>-75.1798095703125</v>
      </c>
      <c r="C2351" t="s">
        <v>41</v>
      </c>
      <c r="D2351" t="s">
        <v>1195</v>
      </c>
      <c r="F2351" s="21"/>
      <c r="G2351" s="16" t="str">
        <f>HYPERLINK("http://maps.google.com/maps?f=q&amp;hl=en&amp;geocode=&amp;q=39.9020500183105,-75.1798095703125")</f>
        <v>http://maps.google.com/maps?f=q&amp;hl=en&amp;geocode=&amp;q=39.9020500183105,-75.1798095703125</v>
      </c>
    </row>
    <row r="2352" spans="1:7" ht="15" x14ac:dyDescent="0.3">
      <c r="A2352">
        <v>32.920580000000001</v>
      </c>
      <c r="B2352">
        <v>-107.56554</v>
      </c>
      <c r="C2352" t="s">
        <v>42</v>
      </c>
      <c r="D2352" t="s">
        <v>1690</v>
      </c>
      <c r="F2352" s="21"/>
      <c r="G2352" s="16" t="str">
        <f>HYPERLINK("http://maps.google.com/maps?f=q&amp;hl=en&amp;geocode=&amp;q=32.92058,-107.56554")</f>
        <v>http://maps.google.com/maps?f=q&amp;hl=en&amp;geocode=&amp;q=32.92058,-107.56554</v>
      </c>
    </row>
    <row r="2353" spans="1:7" ht="15" x14ac:dyDescent="0.3">
      <c r="A2353">
        <v>43.096909823569597</v>
      </c>
      <c r="B2353">
        <v>-78.873910995161694</v>
      </c>
      <c r="C2353" t="s">
        <v>41</v>
      </c>
      <c r="D2353" t="s">
        <v>1669</v>
      </c>
      <c r="F2353" s="21"/>
      <c r="G2353" s="16" t="str">
        <f>HYPERLINK("http://maps.google.com/maps?f=q&amp;hl=en&amp;geocode=&amp;q=43.0969098235696,-78.8739109951617")</f>
        <v>http://maps.google.com/maps?f=q&amp;hl=en&amp;geocode=&amp;q=43.0969098235696,-78.8739109951617</v>
      </c>
    </row>
    <row r="2354" spans="1:7" ht="15" x14ac:dyDescent="0.3">
      <c r="A2354">
        <v>40.027978390979698</v>
      </c>
      <c r="B2354">
        <v>-75.132526361863995</v>
      </c>
      <c r="C2354" t="s">
        <v>41</v>
      </c>
      <c r="D2354" t="s">
        <v>1691</v>
      </c>
      <c r="F2354" s="21"/>
      <c r="G2354" s="16" t="str">
        <f>HYPERLINK("http://maps.google.com/maps?f=q&amp;hl=en&amp;geocode=&amp;q=40.0279783909797,-75.132526361864")</f>
        <v>http://maps.google.com/maps?f=q&amp;hl=en&amp;geocode=&amp;q=40.0279783909797,-75.132526361864</v>
      </c>
    </row>
    <row r="2355" spans="1:7" ht="15" x14ac:dyDescent="0.3">
      <c r="A2355">
        <v>41.511369999999999</v>
      </c>
      <c r="B2355">
        <v>-78.228059999999999</v>
      </c>
      <c r="C2355" t="s">
        <v>41</v>
      </c>
      <c r="D2355" t="s">
        <v>765</v>
      </c>
      <c r="F2355" s="21"/>
      <c r="G2355" s="16" t="str">
        <f>HYPERLINK("http://maps.google.com/maps?f=q&amp;hl=en&amp;geocode=&amp;q=41.51137,-78.22806")</f>
        <v>http://maps.google.com/maps?f=q&amp;hl=en&amp;geocode=&amp;q=41.51137,-78.22806</v>
      </c>
    </row>
    <row r="2356" spans="1:7" ht="15" x14ac:dyDescent="0.3">
      <c r="A2356">
        <v>40.310445280870397</v>
      </c>
      <c r="B2356">
        <v>-78.322346485594196</v>
      </c>
      <c r="C2356" t="s">
        <v>41</v>
      </c>
      <c r="D2356" t="s">
        <v>1692</v>
      </c>
      <c r="F2356" s="21"/>
      <c r="G2356" s="16" t="str">
        <f>HYPERLINK("http://maps.google.com/maps?f=q&amp;hl=en&amp;geocode=&amp;q=40.3104452808704,-78.3223464855942")</f>
        <v>http://maps.google.com/maps?f=q&amp;hl=en&amp;geocode=&amp;q=40.3104452808704,-78.3223464855942</v>
      </c>
    </row>
    <row r="2357" spans="1:7" ht="15" x14ac:dyDescent="0.3">
      <c r="A2357">
        <v>37.805080413818402</v>
      </c>
      <c r="B2357">
        <v>-122.273071289063</v>
      </c>
      <c r="C2357" t="s">
        <v>41</v>
      </c>
      <c r="D2357" t="s">
        <v>1693</v>
      </c>
      <c r="F2357" s="21"/>
      <c r="G2357" s="16" t="str">
        <f>HYPERLINK("http://maps.google.com/maps?f=q&amp;hl=en&amp;geocode=&amp;q=37.8050804138184,-122.273071289063")</f>
        <v>http://maps.google.com/maps?f=q&amp;hl=en&amp;geocode=&amp;q=37.8050804138184,-122.273071289063</v>
      </c>
    </row>
    <row r="2358" spans="1:7" ht="15" x14ac:dyDescent="0.3">
      <c r="A2358">
        <v>32.834021648913101</v>
      </c>
      <c r="B2358">
        <v>-96.766424756708304</v>
      </c>
      <c r="C2358" t="s">
        <v>41</v>
      </c>
      <c r="D2358" t="s">
        <v>1101</v>
      </c>
      <c r="F2358" s="21"/>
      <c r="G2358" s="16" t="str">
        <f>HYPERLINK("http://maps.google.com/maps?f=q&amp;hl=en&amp;geocode=&amp;q=32.8340216489131,-96.7664247567083")</f>
        <v>http://maps.google.com/maps?f=q&amp;hl=en&amp;geocode=&amp;q=32.8340216489131,-96.7664247567083</v>
      </c>
    </row>
    <row r="2359" spans="1:7" ht="15" x14ac:dyDescent="0.3">
      <c r="A2359">
        <v>41.611199999999997</v>
      </c>
      <c r="B2359">
        <v>-71.476339999999993</v>
      </c>
      <c r="C2359" t="s">
        <v>42</v>
      </c>
      <c r="D2359" t="s">
        <v>892</v>
      </c>
      <c r="F2359" s="21"/>
      <c r="G2359" s="16" t="str">
        <f>HYPERLINK("http://maps.google.com/maps?f=q&amp;hl=en&amp;geocode=&amp;q=41.6112,-71.47634")</f>
        <v>http://maps.google.com/maps?f=q&amp;hl=en&amp;geocode=&amp;q=41.6112,-71.47634</v>
      </c>
    </row>
    <row r="2360" spans="1:7" ht="15" x14ac:dyDescent="0.3">
      <c r="A2360">
        <v>41.611199999999997</v>
      </c>
      <c r="B2360">
        <v>-71.476339999999993</v>
      </c>
      <c r="C2360" t="s">
        <v>42</v>
      </c>
      <c r="D2360" t="s">
        <v>892</v>
      </c>
      <c r="F2360" s="21"/>
      <c r="G2360" s="16" t="str">
        <f>HYPERLINK("http://maps.google.com/maps?f=q&amp;hl=en&amp;geocode=&amp;q=41.6112,-71.47634")</f>
        <v>http://maps.google.com/maps?f=q&amp;hl=en&amp;geocode=&amp;q=41.6112,-71.47634</v>
      </c>
    </row>
    <row r="2361" spans="1:7" ht="15" x14ac:dyDescent="0.3">
      <c r="A2361">
        <v>41.611199999999997</v>
      </c>
      <c r="B2361">
        <v>-71.476339999999993</v>
      </c>
      <c r="C2361" t="s">
        <v>42</v>
      </c>
      <c r="D2361" t="s">
        <v>892</v>
      </c>
      <c r="F2361" s="21"/>
      <c r="G2361" s="16" t="str">
        <f>HYPERLINK("http://maps.google.com/maps?f=q&amp;hl=en&amp;geocode=&amp;q=41.6112,-71.47634")</f>
        <v>http://maps.google.com/maps?f=q&amp;hl=en&amp;geocode=&amp;q=41.6112,-71.47634</v>
      </c>
    </row>
    <row r="2362" spans="1:7" ht="15" x14ac:dyDescent="0.3">
      <c r="A2362">
        <v>36.135841369628899</v>
      </c>
      <c r="B2362">
        <v>-5.3492488861084002</v>
      </c>
      <c r="C2362" t="s">
        <v>41</v>
      </c>
      <c r="D2362" t="s">
        <v>1694</v>
      </c>
      <c r="F2362" s="21"/>
      <c r="G2362" s="16" t="str">
        <f>HYPERLINK("http://maps.google.com/maps?f=q&amp;hl=en&amp;geocode=&amp;q=36.1358413696289,-5.3492488861084")</f>
        <v>http://maps.google.com/maps?f=q&amp;hl=en&amp;geocode=&amp;q=36.1358413696289,-5.3492488861084</v>
      </c>
    </row>
    <row r="2363" spans="1:7" ht="15" x14ac:dyDescent="0.3">
      <c r="A2363">
        <v>39.919081649892803</v>
      </c>
      <c r="B2363">
        <v>-75.159626068178298</v>
      </c>
      <c r="C2363" t="s">
        <v>41</v>
      </c>
      <c r="D2363" t="s">
        <v>1695</v>
      </c>
      <c r="F2363" s="21"/>
      <c r="G2363" s="16" t="str">
        <f>HYPERLINK("http://maps.google.com/maps?f=q&amp;hl=en&amp;geocode=&amp;q=39.9190816498928,-75.1596260681783")</f>
        <v>http://maps.google.com/maps?f=q&amp;hl=en&amp;geocode=&amp;q=39.9190816498928,-75.1596260681783</v>
      </c>
    </row>
    <row r="2364" spans="1:7" ht="15" x14ac:dyDescent="0.3">
      <c r="A2364">
        <v>40.723880767822301</v>
      </c>
      <c r="B2364">
        <v>-73.703208923339801</v>
      </c>
      <c r="C2364" t="s">
        <v>43</v>
      </c>
      <c r="D2364" t="s">
        <v>1555</v>
      </c>
      <c r="F2364" s="21"/>
      <c r="G2364" s="16" t="str">
        <f>HYPERLINK("http://maps.google.com/maps?f=q&amp;hl=en&amp;geocode=&amp;q=40.7238807678223,-73.7032089233398")</f>
        <v>http://maps.google.com/maps?f=q&amp;hl=en&amp;geocode=&amp;q=40.7238807678223,-73.7032089233398</v>
      </c>
    </row>
    <row r="2365" spans="1:7" ht="15" x14ac:dyDescent="0.3">
      <c r="A2365">
        <v>-34.095230000000001</v>
      </c>
      <c r="B2365">
        <v>150.80122</v>
      </c>
      <c r="C2365" t="s">
        <v>41</v>
      </c>
      <c r="D2365" t="s">
        <v>614</v>
      </c>
      <c r="F2365" s="21"/>
      <c r="G2365" s="16" t="str">
        <f>HYPERLINK("http://maps.google.com/maps?f=q&amp;hl=en&amp;geocode=&amp;q=-34.09523,150.80122")</f>
        <v>http://maps.google.com/maps?f=q&amp;hl=en&amp;geocode=&amp;q=-34.09523,150.80122</v>
      </c>
    </row>
    <row r="2366" spans="1:7" ht="15" x14ac:dyDescent="0.3">
      <c r="A2366">
        <v>40.037957028457903</v>
      </c>
      <c r="B2366">
        <v>-75.057340800655297</v>
      </c>
      <c r="C2366" t="s">
        <v>43</v>
      </c>
      <c r="D2366" t="s">
        <v>1696</v>
      </c>
      <c r="F2366" s="21"/>
      <c r="G2366" s="16" t="str">
        <f>HYPERLINK("http://maps.google.com/maps?f=q&amp;hl=en&amp;geocode=&amp;q=40.0379570284579,-75.0573408006553")</f>
        <v>http://maps.google.com/maps?f=q&amp;hl=en&amp;geocode=&amp;q=40.0379570284579,-75.0573408006553</v>
      </c>
    </row>
    <row r="2367" spans="1:7" ht="15" x14ac:dyDescent="0.3">
      <c r="A2367">
        <v>42.659431457519503</v>
      </c>
      <c r="B2367">
        <v>20.295179367065401</v>
      </c>
      <c r="C2367" t="s">
        <v>43</v>
      </c>
      <c r="D2367" t="s">
        <v>207</v>
      </c>
      <c r="F2367" s="21"/>
      <c r="G2367" s="16" t="str">
        <f>HYPERLINK("http://maps.google.com/maps?f=q&amp;hl=en&amp;geocode=&amp;q=42.6594314575195,20.2951793670654")</f>
        <v>http://maps.google.com/maps?f=q&amp;hl=en&amp;geocode=&amp;q=42.6594314575195,20.2951793670654</v>
      </c>
    </row>
    <row r="2368" spans="1:7" ht="15" x14ac:dyDescent="0.3">
      <c r="A2368">
        <v>39.993279999999999</v>
      </c>
      <c r="B2368">
        <v>-75.098560000000006</v>
      </c>
      <c r="C2368" t="s">
        <v>41</v>
      </c>
      <c r="D2368" t="s">
        <v>1697</v>
      </c>
      <c r="F2368" s="21"/>
      <c r="G2368" s="16" t="str">
        <f>HYPERLINK("http://maps.google.com/maps?f=q&amp;hl=en&amp;geocode=&amp;q=39.99328,-75.09856")</f>
        <v>http://maps.google.com/maps?f=q&amp;hl=en&amp;geocode=&amp;q=39.99328,-75.09856</v>
      </c>
    </row>
    <row r="2369" spans="1:7" ht="15" x14ac:dyDescent="0.3">
      <c r="A2369">
        <v>47.128330230712898</v>
      </c>
      <c r="B2369">
        <v>4.2197799682617196</v>
      </c>
      <c r="C2369" t="s">
        <v>41</v>
      </c>
      <c r="D2369" t="s">
        <v>1698</v>
      </c>
      <c r="F2369" s="21"/>
      <c r="G2369" s="16" t="str">
        <f>HYPERLINK("http://maps.google.com/maps?f=q&amp;hl=en&amp;geocode=&amp;q=47.1283302307129,4.21977996826172")</f>
        <v>http://maps.google.com/maps?f=q&amp;hl=en&amp;geocode=&amp;q=47.1283302307129,4.21977996826172</v>
      </c>
    </row>
    <row r="2370" spans="1:7" ht="15" x14ac:dyDescent="0.3">
      <c r="A2370">
        <v>55.444332122802699</v>
      </c>
      <c r="B2370">
        <v>11.8504753112793</v>
      </c>
      <c r="C2370" t="s">
        <v>41</v>
      </c>
      <c r="D2370" t="s">
        <v>1699</v>
      </c>
      <c r="F2370" s="21"/>
      <c r="G2370" s="16" t="str">
        <f>HYPERLINK("http://maps.google.com/maps?f=q&amp;hl=en&amp;geocode=&amp;q=55.4443321228027,11.8504753112793")</f>
        <v>http://maps.google.com/maps?f=q&amp;hl=en&amp;geocode=&amp;q=55.4443321228027,11.8504753112793</v>
      </c>
    </row>
    <row r="2371" spans="1:7" ht="15" x14ac:dyDescent="0.3">
      <c r="A2371">
        <v>35.158396757966997</v>
      </c>
      <c r="B2371">
        <v>-90.045376222310097</v>
      </c>
      <c r="C2371" t="s">
        <v>41</v>
      </c>
      <c r="D2371" t="s">
        <v>154</v>
      </c>
      <c r="F2371" s="21"/>
      <c r="G2371" s="16" t="str">
        <f>HYPERLINK("http://maps.google.com/maps?f=q&amp;hl=en&amp;geocode=&amp;q=35.158396757967,-90.0453762223101")</f>
        <v>http://maps.google.com/maps?f=q&amp;hl=en&amp;geocode=&amp;q=35.158396757967,-90.0453762223101</v>
      </c>
    </row>
    <row r="2372" spans="1:7" ht="15" x14ac:dyDescent="0.3">
      <c r="A2372">
        <v>43.232969433991499</v>
      </c>
      <c r="B2372">
        <v>-77.0961924327367</v>
      </c>
      <c r="C2372" t="s">
        <v>43</v>
      </c>
      <c r="D2372" t="s">
        <v>618</v>
      </c>
      <c r="F2372" s="21"/>
      <c r="G2372" s="16" t="str">
        <f>HYPERLINK("http://maps.google.com/maps?f=q&amp;hl=en&amp;geocode=&amp;q=43.2329694339915,-77.0961924327367")</f>
        <v>http://maps.google.com/maps?f=q&amp;hl=en&amp;geocode=&amp;q=43.2329694339915,-77.0961924327367</v>
      </c>
    </row>
    <row r="2373" spans="1:7" ht="15" x14ac:dyDescent="0.3">
      <c r="A2373">
        <v>39.920034553313897</v>
      </c>
      <c r="B2373">
        <v>-75.230253062950098</v>
      </c>
      <c r="C2373" t="s">
        <v>43</v>
      </c>
      <c r="D2373" t="s">
        <v>1426</v>
      </c>
      <c r="F2373" s="21"/>
      <c r="G2373" s="16" t="str">
        <f>HYPERLINK("http://maps.google.com/maps?f=q&amp;hl=en&amp;geocode=&amp;q=39.9200345533139,-75.2302530629501")</f>
        <v>http://maps.google.com/maps?f=q&amp;hl=en&amp;geocode=&amp;q=39.9200345533139,-75.2302530629501</v>
      </c>
    </row>
    <row r="2374" spans="1:7" ht="15" x14ac:dyDescent="0.3">
      <c r="A2374">
        <v>38.947154998779297</v>
      </c>
      <c r="B2374">
        <v>-8.9184045791625994</v>
      </c>
      <c r="C2374" t="s">
        <v>41</v>
      </c>
      <c r="D2374" t="s">
        <v>1700</v>
      </c>
      <c r="F2374" s="21"/>
      <c r="G2374" s="16" t="str">
        <f>HYPERLINK("http://maps.google.com/maps?f=q&amp;hl=en&amp;geocode=&amp;q=38.9471549987793,-8.9184045791626")</f>
        <v>http://maps.google.com/maps?f=q&amp;hl=en&amp;geocode=&amp;q=38.9471549987793,-8.9184045791626</v>
      </c>
    </row>
    <row r="2375" spans="1:7" ht="15" x14ac:dyDescent="0.3">
      <c r="A2375" t="s">
        <v>44</v>
      </c>
      <c r="B2375" t="s">
        <v>44</v>
      </c>
      <c r="C2375" t="s">
        <v>44</v>
      </c>
      <c r="D2375" t="s">
        <v>981</v>
      </c>
      <c r="F2375" s="21"/>
      <c r="G2375" s="16"/>
    </row>
    <row r="2376" spans="1:7" ht="15" x14ac:dyDescent="0.3">
      <c r="A2376">
        <v>39.925139999999999</v>
      </c>
      <c r="B2376">
        <v>-75.235380000000006</v>
      </c>
      <c r="C2376" t="s">
        <v>41</v>
      </c>
      <c r="D2376" t="s">
        <v>54</v>
      </c>
      <c r="F2376" s="21"/>
      <c r="G2376" s="16" t="str">
        <f>HYPERLINK("http://maps.google.com/maps?f=q&amp;hl=en&amp;geocode=&amp;q=39.92514,-75.23538")</f>
        <v>http://maps.google.com/maps?f=q&amp;hl=en&amp;geocode=&amp;q=39.92514,-75.23538</v>
      </c>
    </row>
    <row r="2377" spans="1:7" ht="15" x14ac:dyDescent="0.3">
      <c r="A2377">
        <v>32.813510894775398</v>
      </c>
      <c r="B2377">
        <v>-96.955497741699205</v>
      </c>
      <c r="C2377" t="s">
        <v>41</v>
      </c>
      <c r="D2377" t="s">
        <v>1701</v>
      </c>
      <c r="F2377" s="21"/>
      <c r="G2377" s="16" t="str">
        <f>HYPERLINK("http://maps.google.com/maps?f=q&amp;hl=en&amp;geocode=&amp;q=32.8135108947754,-96.9554977416992")</f>
        <v>http://maps.google.com/maps?f=q&amp;hl=en&amp;geocode=&amp;q=32.8135108947754,-96.9554977416992</v>
      </c>
    </row>
    <row r="2378" spans="1:7" ht="15" x14ac:dyDescent="0.3">
      <c r="A2378" t="s">
        <v>44</v>
      </c>
      <c r="B2378" t="s">
        <v>44</v>
      </c>
      <c r="C2378" t="s">
        <v>44</v>
      </c>
      <c r="D2378" t="s">
        <v>1702</v>
      </c>
      <c r="F2378" s="21"/>
      <c r="G2378" s="16"/>
    </row>
    <row r="2379" spans="1:7" ht="15" x14ac:dyDescent="0.3">
      <c r="A2379">
        <v>40.043667744318597</v>
      </c>
      <c r="B2379">
        <v>-75.067613701435505</v>
      </c>
      <c r="C2379" t="s">
        <v>41</v>
      </c>
      <c r="D2379" t="s">
        <v>1530</v>
      </c>
      <c r="F2379" s="21"/>
      <c r="G2379" s="16" t="str">
        <f>HYPERLINK("http://maps.google.com/maps?f=q&amp;hl=en&amp;geocode=&amp;q=40.0436677443186,-75.0676137014355")</f>
        <v>http://maps.google.com/maps?f=q&amp;hl=en&amp;geocode=&amp;q=40.0436677443186,-75.0676137014355</v>
      </c>
    </row>
    <row r="2380" spans="1:7" ht="15" x14ac:dyDescent="0.3">
      <c r="A2380">
        <v>41.968380000000003</v>
      </c>
      <c r="B2380">
        <v>-87.738259999999997</v>
      </c>
      <c r="C2380" t="s">
        <v>41</v>
      </c>
      <c r="D2380" t="s">
        <v>1703</v>
      </c>
      <c r="F2380" s="21"/>
      <c r="G2380" s="16" t="str">
        <f>HYPERLINK("http://maps.google.com/maps?f=q&amp;hl=en&amp;geocode=&amp;q=41.96838,-87.73826")</f>
        <v>http://maps.google.com/maps?f=q&amp;hl=en&amp;geocode=&amp;q=41.96838,-87.73826</v>
      </c>
    </row>
    <row r="2381" spans="1:7" ht="15" x14ac:dyDescent="0.3">
      <c r="A2381">
        <v>41.968380000000003</v>
      </c>
      <c r="B2381">
        <v>-87.738259999999997</v>
      </c>
      <c r="C2381" t="s">
        <v>41</v>
      </c>
      <c r="D2381" t="s">
        <v>1703</v>
      </c>
      <c r="F2381" s="21"/>
      <c r="G2381" s="16" t="str">
        <f>HYPERLINK("http://maps.google.com/maps?f=q&amp;hl=en&amp;geocode=&amp;q=41.96838,-87.73826")</f>
        <v>http://maps.google.com/maps?f=q&amp;hl=en&amp;geocode=&amp;q=41.96838,-87.73826</v>
      </c>
    </row>
    <row r="2382" spans="1:7" ht="15" x14ac:dyDescent="0.3">
      <c r="A2382">
        <v>7.2021198272705096</v>
      </c>
      <c r="B2382">
        <v>126.53334808349599</v>
      </c>
      <c r="C2382" t="s">
        <v>41</v>
      </c>
      <c r="D2382" t="s">
        <v>249</v>
      </c>
      <c r="F2382" s="21"/>
      <c r="G2382" s="16" t="str">
        <f>HYPERLINK("http://maps.google.com/maps?f=q&amp;hl=en&amp;geocode=&amp;q=7.20211982727051,126.533348083496")</f>
        <v>http://maps.google.com/maps?f=q&amp;hl=en&amp;geocode=&amp;q=7.20211982727051,126.533348083496</v>
      </c>
    </row>
    <row r="2383" spans="1:7" ht="15" x14ac:dyDescent="0.3">
      <c r="A2383">
        <v>39.996954737656701</v>
      </c>
      <c r="B2383">
        <v>-75.117221959843704</v>
      </c>
      <c r="C2383" t="s">
        <v>41</v>
      </c>
      <c r="D2383" t="s">
        <v>521</v>
      </c>
      <c r="F2383" s="21"/>
      <c r="G2383" s="16" t="str">
        <f>HYPERLINK("http://maps.google.com/maps?f=q&amp;hl=en&amp;geocode=&amp;q=39.9969547376567,-75.1172219598437")</f>
        <v>http://maps.google.com/maps?f=q&amp;hl=en&amp;geocode=&amp;q=39.9969547376567,-75.1172219598437</v>
      </c>
    </row>
    <row r="2384" spans="1:7" ht="15" x14ac:dyDescent="0.3">
      <c r="A2384">
        <v>54.841087341308601</v>
      </c>
      <c r="B2384">
        <v>11.161624908447299</v>
      </c>
      <c r="C2384" t="s">
        <v>41</v>
      </c>
      <c r="D2384" t="s">
        <v>545</v>
      </c>
      <c r="F2384" s="21"/>
      <c r="G2384" s="16" t="str">
        <f>HYPERLINK("http://maps.google.com/maps?f=q&amp;hl=en&amp;geocode=&amp;q=54.8410873413086,11.1616249084473")</f>
        <v>http://maps.google.com/maps?f=q&amp;hl=en&amp;geocode=&amp;q=54.8410873413086,11.1616249084473</v>
      </c>
    </row>
    <row r="2385" spans="1:7" ht="15" x14ac:dyDescent="0.3">
      <c r="A2385">
        <v>37.019889999999997</v>
      </c>
      <c r="B2385">
        <v>-88.679940000000002</v>
      </c>
      <c r="C2385" t="s">
        <v>42</v>
      </c>
      <c r="D2385" t="s">
        <v>1704</v>
      </c>
      <c r="F2385" s="21"/>
      <c r="G2385" s="16" t="str">
        <f>HYPERLINK("http://maps.google.com/maps?f=q&amp;hl=en&amp;geocode=&amp;q=37.01989,-88.67994")</f>
        <v>http://maps.google.com/maps?f=q&amp;hl=en&amp;geocode=&amp;q=37.01989,-88.67994</v>
      </c>
    </row>
    <row r="2386" spans="1:7" ht="15" x14ac:dyDescent="0.3">
      <c r="A2386">
        <v>39.182571411132798</v>
      </c>
      <c r="B2386">
        <v>-77.270347595214801</v>
      </c>
      <c r="C2386" t="s">
        <v>41</v>
      </c>
      <c r="D2386" t="s">
        <v>1705</v>
      </c>
      <c r="F2386" s="21"/>
      <c r="G2386" s="16" t="str">
        <f>HYPERLINK("http://maps.google.com/maps?f=q&amp;hl=en&amp;geocode=&amp;q=39.1825714111328,-77.2703475952148")</f>
        <v>http://maps.google.com/maps?f=q&amp;hl=en&amp;geocode=&amp;q=39.1825714111328,-77.2703475952148</v>
      </c>
    </row>
    <row r="2387" spans="1:7" ht="15" x14ac:dyDescent="0.3">
      <c r="A2387">
        <v>39.1331766702043</v>
      </c>
      <c r="B2387">
        <v>-86.152760517556004</v>
      </c>
      <c r="C2387" t="s">
        <v>41</v>
      </c>
      <c r="D2387" t="s">
        <v>173</v>
      </c>
      <c r="F2387" s="21"/>
      <c r="G2387" s="16" t="str">
        <f>HYPERLINK("http://maps.google.com/maps?f=q&amp;hl=en&amp;geocode=&amp;q=39.1331766702043,-86.152760517556")</f>
        <v>http://maps.google.com/maps?f=q&amp;hl=en&amp;geocode=&amp;q=39.1331766702043,-86.152760517556</v>
      </c>
    </row>
    <row r="2388" spans="1:7" ht="15" x14ac:dyDescent="0.3">
      <c r="A2388">
        <v>42.4211838777669</v>
      </c>
      <c r="B2388">
        <v>-76.492153618799193</v>
      </c>
      <c r="C2388" t="s">
        <v>41</v>
      </c>
      <c r="D2388" t="s">
        <v>146</v>
      </c>
      <c r="F2388" s="21"/>
      <c r="G2388" s="16" t="str">
        <f>HYPERLINK("http://maps.google.com/maps?f=q&amp;hl=en&amp;geocode=&amp;q=42.4211838777669,-76.4921536187992")</f>
        <v>http://maps.google.com/maps?f=q&amp;hl=en&amp;geocode=&amp;q=42.4211838777669,-76.4921536187992</v>
      </c>
    </row>
    <row r="2389" spans="1:7" ht="15" x14ac:dyDescent="0.3">
      <c r="A2389" t="s">
        <v>44</v>
      </c>
      <c r="B2389" t="s">
        <v>44</v>
      </c>
      <c r="C2389" t="s">
        <v>44</v>
      </c>
      <c r="D2389" t="s">
        <v>1706</v>
      </c>
      <c r="F2389" s="21"/>
      <c r="G2389" s="16"/>
    </row>
    <row r="2390" spans="1:7" ht="15" x14ac:dyDescent="0.3">
      <c r="A2390" t="s">
        <v>44</v>
      </c>
      <c r="B2390" t="s">
        <v>44</v>
      </c>
      <c r="C2390" t="s">
        <v>44</v>
      </c>
      <c r="D2390" t="s">
        <v>1707</v>
      </c>
      <c r="F2390" s="21"/>
      <c r="G2390" s="16"/>
    </row>
    <row r="2391" spans="1:7" ht="15" x14ac:dyDescent="0.3">
      <c r="A2391">
        <v>7.3835182189941397</v>
      </c>
      <c r="B2391">
        <v>-12.2588081359863</v>
      </c>
      <c r="C2391" t="s">
        <v>41</v>
      </c>
      <c r="D2391" t="s">
        <v>202</v>
      </c>
      <c r="F2391" s="21"/>
      <c r="G2391" s="16" t="str">
        <f>HYPERLINK("http://maps.google.com/maps?f=q&amp;hl=en&amp;geocode=&amp;q=7.38351821899414,-12.2588081359863")</f>
        <v>http://maps.google.com/maps?f=q&amp;hl=en&amp;geocode=&amp;q=7.38351821899414,-12.2588081359863</v>
      </c>
    </row>
    <row r="2392" spans="1:7" ht="15" x14ac:dyDescent="0.3">
      <c r="A2392" t="s">
        <v>44</v>
      </c>
      <c r="B2392" t="s">
        <v>44</v>
      </c>
      <c r="C2392" t="s">
        <v>44</v>
      </c>
      <c r="D2392" t="s">
        <v>101</v>
      </c>
      <c r="F2392" s="21"/>
      <c r="G2392" s="16"/>
    </row>
    <row r="2393" spans="1:7" ht="15" x14ac:dyDescent="0.3">
      <c r="A2393" t="s">
        <v>44</v>
      </c>
      <c r="B2393" t="s">
        <v>44</v>
      </c>
      <c r="C2393" t="s">
        <v>44</v>
      </c>
      <c r="D2393" t="s">
        <v>101</v>
      </c>
      <c r="F2393" s="21"/>
      <c r="G2393" s="16"/>
    </row>
    <row r="2394" spans="1:7" ht="15" x14ac:dyDescent="0.3">
      <c r="A2394">
        <v>40.024738311767599</v>
      </c>
      <c r="B2394">
        <v>-75.213882446289105</v>
      </c>
      <c r="C2394" t="s">
        <v>43</v>
      </c>
      <c r="D2394" t="s">
        <v>141</v>
      </c>
      <c r="F2394" s="21"/>
      <c r="G2394" s="16" t="str">
        <f>HYPERLINK("http://maps.google.com/maps?f=q&amp;hl=en&amp;geocode=&amp;q=40.0247383117676,-75.2138824462891")</f>
        <v>http://maps.google.com/maps?f=q&amp;hl=en&amp;geocode=&amp;q=40.0247383117676,-75.2138824462891</v>
      </c>
    </row>
    <row r="2395" spans="1:7" ht="15" x14ac:dyDescent="0.3">
      <c r="A2395">
        <v>40.338446412121797</v>
      </c>
      <c r="B2395">
        <v>-91.342279729520001</v>
      </c>
      <c r="C2395" t="s">
        <v>42</v>
      </c>
      <c r="D2395" t="s">
        <v>1708</v>
      </c>
      <c r="F2395" s="21"/>
      <c r="G2395" s="16" t="str">
        <f>HYPERLINK("http://maps.google.com/maps?f=q&amp;hl=en&amp;geocode=&amp;q=40.3384464121218,-91.34227972952")</f>
        <v>http://maps.google.com/maps?f=q&amp;hl=en&amp;geocode=&amp;q=40.3384464121218,-91.34227972952</v>
      </c>
    </row>
    <row r="2396" spans="1:7" ht="15" x14ac:dyDescent="0.3">
      <c r="A2396">
        <v>40.027747354564497</v>
      </c>
      <c r="B2396">
        <v>-75.130656151245802</v>
      </c>
      <c r="C2396" t="s">
        <v>41</v>
      </c>
      <c r="D2396" t="s">
        <v>555</v>
      </c>
      <c r="F2396" s="21"/>
      <c r="G2396" s="16" t="str">
        <f>HYPERLINK("http://maps.google.com/maps?f=q&amp;hl=en&amp;geocode=&amp;q=40.0277473545645,-75.1306561512458")</f>
        <v>http://maps.google.com/maps?f=q&amp;hl=en&amp;geocode=&amp;q=40.0277473545645,-75.1306561512458</v>
      </c>
    </row>
    <row r="2397" spans="1:7" ht="15" x14ac:dyDescent="0.3">
      <c r="A2397">
        <v>-32.013988494872997</v>
      </c>
      <c r="B2397">
        <v>115.886268615723</v>
      </c>
      <c r="C2397" t="s">
        <v>41</v>
      </c>
      <c r="D2397" t="s">
        <v>1709</v>
      </c>
      <c r="F2397" s="21"/>
      <c r="G2397" s="16" t="str">
        <f>HYPERLINK("http://maps.google.com/maps?f=q&amp;hl=en&amp;geocode=&amp;q=-32.013988494873,115.886268615723")</f>
        <v>http://maps.google.com/maps?f=q&amp;hl=en&amp;geocode=&amp;q=-32.013988494873,115.886268615723</v>
      </c>
    </row>
    <row r="2398" spans="1:7" ht="15" x14ac:dyDescent="0.3">
      <c r="A2398">
        <v>40.723880767822301</v>
      </c>
      <c r="B2398">
        <v>-73.703208923339801</v>
      </c>
      <c r="C2398" t="s">
        <v>43</v>
      </c>
      <c r="D2398" t="s">
        <v>1555</v>
      </c>
      <c r="F2398" s="21"/>
      <c r="G2398" s="16" t="str">
        <f>HYPERLINK("http://maps.google.com/maps?f=q&amp;hl=en&amp;geocode=&amp;q=40.7238807678223,-73.7032089233398")</f>
        <v>http://maps.google.com/maps?f=q&amp;hl=en&amp;geocode=&amp;q=40.7238807678223,-73.7032089233398</v>
      </c>
    </row>
    <row r="2399" spans="1:7" ht="15" x14ac:dyDescent="0.3">
      <c r="A2399">
        <v>37.0063803937621</v>
      </c>
      <c r="B2399">
        <v>-89.183859742388407</v>
      </c>
      <c r="C2399" t="s">
        <v>41</v>
      </c>
      <c r="D2399" t="s">
        <v>780</v>
      </c>
      <c r="F2399" s="21"/>
      <c r="G2399" s="16" t="str">
        <f>HYPERLINK("http://maps.google.com/maps?f=q&amp;hl=en&amp;geocode=&amp;q=37.0063803937621,-89.1838597423884")</f>
        <v>http://maps.google.com/maps?f=q&amp;hl=en&amp;geocode=&amp;q=37.0063803937621,-89.1838597423884</v>
      </c>
    </row>
    <row r="2400" spans="1:7" ht="15" x14ac:dyDescent="0.3">
      <c r="A2400">
        <v>42.9656372070313</v>
      </c>
      <c r="B2400">
        <v>12.490003585815399</v>
      </c>
      <c r="C2400" t="s">
        <v>41</v>
      </c>
      <c r="D2400" t="s">
        <v>1710</v>
      </c>
      <c r="F2400" s="21"/>
      <c r="G2400" s="16" t="str">
        <f>HYPERLINK("http://maps.google.com/maps?f=q&amp;hl=en&amp;geocode=&amp;q=42.9656372070313,12.4900035858154")</f>
        <v>http://maps.google.com/maps?f=q&amp;hl=en&amp;geocode=&amp;q=42.9656372070313,12.4900035858154</v>
      </c>
    </row>
    <row r="2401" spans="1:7" ht="15" x14ac:dyDescent="0.3">
      <c r="A2401">
        <v>37.050380706787102</v>
      </c>
      <c r="B2401">
        <v>-122.07330322265599</v>
      </c>
      <c r="C2401" t="s">
        <v>43</v>
      </c>
      <c r="D2401" t="s">
        <v>1711</v>
      </c>
      <c r="F2401" s="21"/>
      <c r="G2401" s="16" t="str">
        <f>HYPERLINK("http://maps.google.com/maps?f=q&amp;hl=en&amp;geocode=&amp;q=37.0503807067871,-122.073303222656")</f>
        <v>http://maps.google.com/maps?f=q&amp;hl=en&amp;geocode=&amp;q=37.0503807067871,-122.073303222656</v>
      </c>
    </row>
    <row r="2402" spans="1:7" ht="15" x14ac:dyDescent="0.3">
      <c r="A2402">
        <v>43.239277718946198</v>
      </c>
      <c r="B2402">
        <v>-78.655815241957399</v>
      </c>
      <c r="C2402" t="s">
        <v>43</v>
      </c>
      <c r="D2402" t="s">
        <v>1712</v>
      </c>
      <c r="F2402" s="21"/>
      <c r="G2402" s="16" t="str">
        <f>HYPERLINK("http://maps.google.com/maps?f=q&amp;hl=en&amp;geocode=&amp;q=43.2392777189462,-78.6558152419574")</f>
        <v>http://maps.google.com/maps?f=q&amp;hl=en&amp;geocode=&amp;q=43.2392777189462,-78.6558152419574</v>
      </c>
    </row>
    <row r="2403" spans="1:7" ht="15" x14ac:dyDescent="0.3">
      <c r="A2403" t="s">
        <v>44</v>
      </c>
      <c r="B2403" t="s">
        <v>44</v>
      </c>
      <c r="C2403" t="s">
        <v>44</v>
      </c>
      <c r="D2403" t="s">
        <v>1713</v>
      </c>
      <c r="F2403" s="21"/>
      <c r="G2403" s="16"/>
    </row>
    <row r="2404" spans="1:7" ht="15" x14ac:dyDescent="0.3">
      <c r="A2404" t="s">
        <v>44</v>
      </c>
      <c r="B2404" t="s">
        <v>44</v>
      </c>
      <c r="C2404" t="s">
        <v>44</v>
      </c>
      <c r="D2404" t="s">
        <v>1714</v>
      </c>
      <c r="F2404" s="21"/>
      <c r="G2404" s="16"/>
    </row>
    <row r="2405" spans="1:7" ht="15" x14ac:dyDescent="0.3">
      <c r="A2405">
        <v>-32.013988494872997</v>
      </c>
      <c r="B2405">
        <v>115.886268615723</v>
      </c>
      <c r="C2405" t="s">
        <v>41</v>
      </c>
      <c r="D2405" t="s">
        <v>1709</v>
      </c>
      <c r="F2405" s="21"/>
      <c r="G2405" s="16" t="str">
        <f>HYPERLINK("http://maps.google.com/maps?f=q&amp;hl=en&amp;geocode=&amp;q=-32.013988494873,115.886268615723")</f>
        <v>http://maps.google.com/maps?f=q&amp;hl=en&amp;geocode=&amp;q=-32.013988494873,115.886268615723</v>
      </c>
    </row>
    <row r="2406" spans="1:7" ht="15" x14ac:dyDescent="0.3">
      <c r="A2406">
        <v>40.000895137633798</v>
      </c>
      <c r="B2406">
        <v>-75.076476387646807</v>
      </c>
      <c r="C2406" t="s">
        <v>41</v>
      </c>
      <c r="D2406" t="s">
        <v>1715</v>
      </c>
      <c r="F2406" s="21"/>
      <c r="G2406" s="16" t="str">
        <f>HYPERLINK("http://maps.google.com/maps?f=q&amp;hl=en&amp;geocode=&amp;q=40.0008951376338,-75.0764763876468")</f>
        <v>http://maps.google.com/maps?f=q&amp;hl=en&amp;geocode=&amp;q=40.0008951376338,-75.0764763876468</v>
      </c>
    </row>
    <row r="2407" spans="1:7" ht="15" x14ac:dyDescent="0.3">
      <c r="A2407">
        <v>40.947684326132801</v>
      </c>
      <c r="B2407">
        <v>-72.829921353269597</v>
      </c>
      <c r="C2407" t="s">
        <v>41</v>
      </c>
      <c r="D2407" t="s">
        <v>1716</v>
      </c>
      <c r="F2407" s="21"/>
      <c r="G2407" s="16" t="str">
        <f>HYPERLINK("http://maps.google.com/maps?f=q&amp;hl=en&amp;geocode=&amp;q=40.9476843261328,-72.8299213532696")</f>
        <v>http://maps.google.com/maps?f=q&amp;hl=en&amp;geocode=&amp;q=40.9476843261328,-72.8299213532696</v>
      </c>
    </row>
    <row r="2408" spans="1:7" ht="15" x14ac:dyDescent="0.3">
      <c r="A2408">
        <v>40.947684326132801</v>
      </c>
      <c r="B2408">
        <v>-72.829921353269597</v>
      </c>
      <c r="C2408" t="s">
        <v>41</v>
      </c>
      <c r="D2408" t="s">
        <v>1716</v>
      </c>
      <c r="F2408" s="21"/>
      <c r="G2408" s="16" t="str">
        <f>HYPERLINK("http://maps.google.com/maps?f=q&amp;hl=en&amp;geocode=&amp;q=40.9476843261328,-72.8299213532696")</f>
        <v>http://maps.google.com/maps?f=q&amp;hl=en&amp;geocode=&amp;q=40.9476843261328,-72.8299213532696</v>
      </c>
    </row>
    <row r="2409" spans="1:7" ht="15" x14ac:dyDescent="0.3">
      <c r="A2409">
        <v>40.947684326132801</v>
      </c>
      <c r="B2409">
        <v>-72.829921353269597</v>
      </c>
      <c r="C2409" t="s">
        <v>41</v>
      </c>
      <c r="D2409" t="s">
        <v>1716</v>
      </c>
      <c r="F2409" s="21"/>
      <c r="G2409" s="16" t="str">
        <f>HYPERLINK("http://maps.google.com/maps?f=q&amp;hl=en&amp;geocode=&amp;q=40.9476843261328,-72.8299213532696")</f>
        <v>http://maps.google.com/maps?f=q&amp;hl=en&amp;geocode=&amp;q=40.9476843261328,-72.8299213532696</v>
      </c>
    </row>
    <row r="2410" spans="1:7" ht="15" x14ac:dyDescent="0.3">
      <c r="A2410">
        <v>40.947684326132801</v>
      </c>
      <c r="B2410">
        <v>-72.829921353269597</v>
      </c>
      <c r="C2410" t="s">
        <v>41</v>
      </c>
      <c r="D2410" t="s">
        <v>1716</v>
      </c>
      <c r="F2410" s="21"/>
      <c r="G2410" s="16" t="str">
        <f>HYPERLINK("http://maps.google.com/maps?f=q&amp;hl=en&amp;geocode=&amp;q=40.9476843261328,-72.8299213532696")</f>
        <v>http://maps.google.com/maps?f=q&amp;hl=en&amp;geocode=&amp;q=40.9476843261328,-72.8299213532696</v>
      </c>
    </row>
    <row r="2411" spans="1:7" ht="15" x14ac:dyDescent="0.3">
      <c r="A2411">
        <v>40.947684326132801</v>
      </c>
      <c r="B2411">
        <v>-72.829921353269597</v>
      </c>
      <c r="C2411" t="s">
        <v>41</v>
      </c>
      <c r="D2411" t="s">
        <v>1716</v>
      </c>
      <c r="F2411" s="21"/>
      <c r="G2411" s="16" t="str">
        <f>HYPERLINK("http://maps.google.com/maps?f=q&amp;hl=en&amp;geocode=&amp;q=40.9476843261328,-72.8299213532696")</f>
        <v>http://maps.google.com/maps?f=q&amp;hl=en&amp;geocode=&amp;q=40.9476843261328,-72.8299213532696</v>
      </c>
    </row>
    <row r="2412" spans="1:7" ht="15" x14ac:dyDescent="0.3">
      <c r="A2412" t="s">
        <v>44</v>
      </c>
      <c r="B2412" t="s">
        <v>44</v>
      </c>
      <c r="C2412" t="s">
        <v>44</v>
      </c>
      <c r="D2412" t="s">
        <v>1004</v>
      </c>
      <c r="F2412" s="21"/>
      <c r="G2412" s="16"/>
    </row>
    <row r="2413" spans="1:7" ht="15" x14ac:dyDescent="0.3">
      <c r="A2413">
        <v>38.973060607910199</v>
      </c>
      <c r="B2413">
        <v>-95.236526489257798</v>
      </c>
      <c r="C2413" t="s">
        <v>43</v>
      </c>
      <c r="D2413" t="s">
        <v>1271</v>
      </c>
      <c r="F2413" s="21"/>
      <c r="G2413" s="16" t="str">
        <f>HYPERLINK("http://maps.google.com/maps?f=q&amp;hl=en&amp;geocode=&amp;q=38.9730606079102,-95.2365264892578")</f>
        <v>http://maps.google.com/maps?f=q&amp;hl=en&amp;geocode=&amp;q=38.9730606079102,-95.2365264892578</v>
      </c>
    </row>
    <row r="2414" spans="1:7" ht="15" x14ac:dyDescent="0.3">
      <c r="A2414">
        <v>32.920580000000001</v>
      </c>
      <c r="B2414">
        <v>-107.56554</v>
      </c>
      <c r="C2414" t="s">
        <v>42</v>
      </c>
      <c r="D2414" t="s">
        <v>1717</v>
      </c>
      <c r="F2414" s="21"/>
      <c r="G2414" s="16" t="str">
        <f>HYPERLINK("http://maps.google.com/maps?f=q&amp;hl=en&amp;geocode=&amp;q=32.92058,-107.56554")</f>
        <v>http://maps.google.com/maps?f=q&amp;hl=en&amp;geocode=&amp;q=32.92058,-107.56554</v>
      </c>
    </row>
    <row r="2415" spans="1:7" ht="15" x14ac:dyDescent="0.3">
      <c r="A2415">
        <v>32.920580000000001</v>
      </c>
      <c r="B2415">
        <v>-107.56554</v>
      </c>
      <c r="C2415" t="s">
        <v>42</v>
      </c>
      <c r="D2415" t="s">
        <v>1718</v>
      </c>
      <c r="F2415" s="21"/>
      <c r="G2415" s="16" t="str">
        <f>HYPERLINK("http://maps.google.com/maps?f=q&amp;hl=en&amp;geocode=&amp;q=32.92058,-107.56554")</f>
        <v>http://maps.google.com/maps?f=q&amp;hl=en&amp;geocode=&amp;q=32.92058,-107.56554</v>
      </c>
    </row>
    <row r="2416" spans="1:7" ht="15" x14ac:dyDescent="0.3">
      <c r="A2416">
        <v>42.999576568603501</v>
      </c>
      <c r="B2416">
        <v>-107.551513671875</v>
      </c>
      <c r="C2416" t="s">
        <v>41</v>
      </c>
      <c r="D2416" t="s">
        <v>1545</v>
      </c>
      <c r="F2416" s="21"/>
      <c r="G2416" s="16" t="str">
        <f>HYPERLINK("http://maps.google.com/maps?f=q&amp;hl=en&amp;geocode=&amp;q=42.9995765686035,-107.551513671875")</f>
        <v>http://maps.google.com/maps?f=q&amp;hl=en&amp;geocode=&amp;q=42.9995765686035,-107.551513671875</v>
      </c>
    </row>
    <row r="2417" spans="1:7" ht="15" x14ac:dyDescent="0.3">
      <c r="A2417">
        <v>39.288552406390899</v>
      </c>
      <c r="B2417">
        <v>-80.969773665742395</v>
      </c>
      <c r="C2417" t="s">
        <v>41</v>
      </c>
      <c r="D2417" t="s">
        <v>1719</v>
      </c>
      <c r="F2417" s="21"/>
      <c r="G2417" s="16" t="str">
        <f>HYPERLINK("http://maps.google.com/maps?f=q&amp;hl=en&amp;geocode=&amp;q=39.2885524063909,-80.9697736657424")</f>
        <v>http://maps.google.com/maps?f=q&amp;hl=en&amp;geocode=&amp;q=39.2885524063909,-80.9697736657424</v>
      </c>
    </row>
    <row r="2418" spans="1:7" ht="15" x14ac:dyDescent="0.3">
      <c r="A2418">
        <v>39.288552406390899</v>
      </c>
      <c r="B2418">
        <v>-80.969773665742395</v>
      </c>
      <c r="C2418" t="s">
        <v>41</v>
      </c>
      <c r="D2418" t="s">
        <v>1719</v>
      </c>
      <c r="F2418" s="21"/>
      <c r="G2418" s="16" t="str">
        <f>HYPERLINK("http://maps.google.com/maps?f=q&amp;hl=en&amp;geocode=&amp;q=39.2885524063909,-80.9697736657424")</f>
        <v>http://maps.google.com/maps?f=q&amp;hl=en&amp;geocode=&amp;q=39.2885524063909,-80.9697736657424</v>
      </c>
    </row>
    <row r="2419" spans="1:7" ht="15" x14ac:dyDescent="0.3">
      <c r="A2419">
        <v>43.072590394472897</v>
      </c>
      <c r="B2419">
        <v>-87.989652224340503</v>
      </c>
      <c r="C2419" t="s">
        <v>41</v>
      </c>
      <c r="D2419" t="s">
        <v>1720</v>
      </c>
      <c r="F2419" s="21"/>
      <c r="G2419" s="16" t="str">
        <f>HYPERLINK("http://maps.google.com/maps?f=q&amp;hl=en&amp;geocode=&amp;q=43.0725903944729,-87.9896522243405")</f>
        <v>http://maps.google.com/maps?f=q&amp;hl=en&amp;geocode=&amp;q=43.0725903944729,-87.9896522243405</v>
      </c>
    </row>
    <row r="2420" spans="1:7" ht="15" x14ac:dyDescent="0.3">
      <c r="A2420">
        <v>41.688947029916903</v>
      </c>
      <c r="B2420">
        <v>-95.325220687903496</v>
      </c>
      <c r="C2420" t="s">
        <v>41</v>
      </c>
      <c r="D2420" t="s">
        <v>1721</v>
      </c>
      <c r="F2420" s="21"/>
      <c r="G2420" s="16" t="str">
        <f>HYPERLINK("http://maps.google.com/maps?f=q&amp;hl=en&amp;geocode=&amp;q=41.6889470299169,-95.3252206879035")</f>
        <v>http://maps.google.com/maps?f=q&amp;hl=en&amp;geocode=&amp;q=41.6889470299169,-95.3252206879035</v>
      </c>
    </row>
    <row r="2421" spans="1:7" ht="15" x14ac:dyDescent="0.3">
      <c r="A2421">
        <v>40.032981872558601</v>
      </c>
      <c r="B2421">
        <v>-75.363998413085895</v>
      </c>
      <c r="C2421" t="s">
        <v>41</v>
      </c>
      <c r="D2421" t="s">
        <v>1722</v>
      </c>
      <c r="F2421" s="21"/>
      <c r="G2421" s="16" t="str">
        <f>HYPERLINK("http://maps.google.com/maps?f=q&amp;hl=en&amp;geocode=&amp;q=40.0329818725586,-75.3639984130859")</f>
        <v>http://maps.google.com/maps?f=q&amp;hl=en&amp;geocode=&amp;q=40.0329818725586,-75.3639984130859</v>
      </c>
    </row>
    <row r="2422" spans="1:7" ht="15" x14ac:dyDescent="0.3">
      <c r="A2422">
        <v>33.383020000000002</v>
      </c>
      <c r="B2422">
        <v>-80.092119999999994</v>
      </c>
      <c r="C2422" t="s">
        <v>42</v>
      </c>
      <c r="D2422" t="s">
        <v>1723</v>
      </c>
      <c r="F2422" s="21"/>
      <c r="G2422" s="16" t="str">
        <f>HYPERLINK("http://maps.google.com/maps?f=q&amp;hl=en&amp;geocode=&amp;q=33.38302,-80.09212")</f>
        <v>http://maps.google.com/maps?f=q&amp;hl=en&amp;geocode=&amp;q=33.38302,-80.09212</v>
      </c>
    </row>
    <row r="2423" spans="1:7" ht="15" x14ac:dyDescent="0.3">
      <c r="A2423">
        <v>39.912123179693801</v>
      </c>
      <c r="B2423">
        <v>-75.238608463565001</v>
      </c>
      <c r="C2423" t="s">
        <v>43</v>
      </c>
      <c r="D2423" t="s">
        <v>1724</v>
      </c>
      <c r="F2423" s="21"/>
      <c r="G2423" s="16" t="str">
        <f>HYPERLINK("http://maps.google.com/maps?f=q&amp;hl=en&amp;geocode=&amp;q=39.9121231796938,-75.238608463565")</f>
        <v>http://maps.google.com/maps?f=q&amp;hl=en&amp;geocode=&amp;q=39.9121231796938,-75.238608463565</v>
      </c>
    </row>
    <row r="2424" spans="1:7" ht="15" x14ac:dyDescent="0.3">
      <c r="A2424">
        <v>35.401279449462898</v>
      </c>
      <c r="B2424">
        <v>-100.269729614258</v>
      </c>
      <c r="C2424" t="s">
        <v>43</v>
      </c>
      <c r="D2424" t="s">
        <v>188</v>
      </c>
      <c r="F2424" s="21"/>
      <c r="G2424" s="16" t="str">
        <f>HYPERLINK("http://maps.google.com/maps?f=q&amp;hl=en&amp;geocode=&amp;q=35.4012794494629,-100.269729614258")</f>
        <v>http://maps.google.com/maps?f=q&amp;hl=en&amp;geocode=&amp;q=35.4012794494629,-100.269729614258</v>
      </c>
    </row>
    <row r="2425" spans="1:7" ht="15" x14ac:dyDescent="0.3">
      <c r="A2425">
        <v>34.743182695884897</v>
      </c>
      <c r="B2425">
        <v>-91.387198364593203</v>
      </c>
      <c r="C2425" t="s">
        <v>41</v>
      </c>
      <c r="D2425" t="s">
        <v>1725</v>
      </c>
      <c r="F2425" s="21"/>
      <c r="G2425" s="16" t="str">
        <f>HYPERLINK("http://maps.google.com/maps?f=q&amp;hl=en&amp;geocode=&amp;q=34.7431826958849,-91.3871983645932")</f>
        <v>http://maps.google.com/maps?f=q&amp;hl=en&amp;geocode=&amp;q=34.7431826958849,-91.3871983645932</v>
      </c>
    </row>
    <row r="2426" spans="1:7" ht="15" x14ac:dyDescent="0.3">
      <c r="A2426">
        <v>55.709686279296903</v>
      </c>
      <c r="B2426">
        <v>11.7013349533081</v>
      </c>
      <c r="C2426" t="s">
        <v>41</v>
      </c>
      <c r="D2426" t="s">
        <v>322</v>
      </c>
      <c r="F2426" s="21"/>
      <c r="G2426" s="16" t="str">
        <f>HYPERLINK("http://maps.google.com/maps?f=q&amp;hl=en&amp;geocode=&amp;q=55.7096862792969,11.7013349533081")</f>
        <v>http://maps.google.com/maps?f=q&amp;hl=en&amp;geocode=&amp;q=55.7096862792969,11.7013349533081</v>
      </c>
    </row>
    <row r="2427" spans="1:7" ht="15" x14ac:dyDescent="0.3">
      <c r="A2427">
        <v>53.934978485107401</v>
      </c>
      <c r="B2427">
        <v>-1.6529799699783301</v>
      </c>
      <c r="C2427" t="s">
        <v>43</v>
      </c>
      <c r="D2427" t="s">
        <v>1726</v>
      </c>
      <c r="F2427" s="21"/>
      <c r="G2427" s="16" t="str">
        <f>HYPERLINK("http://maps.google.com/maps?f=q&amp;hl=en&amp;geocode=&amp;q=53.9349784851074,-1.65297996997833")</f>
        <v>http://maps.google.com/maps?f=q&amp;hl=en&amp;geocode=&amp;q=53.9349784851074,-1.65297996997833</v>
      </c>
    </row>
    <row r="2428" spans="1:7" ht="15" x14ac:dyDescent="0.3">
      <c r="A2428">
        <v>31.244319915771499</v>
      </c>
      <c r="B2428">
        <v>77.0650634765625</v>
      </c>
      <c r="C2428" t="s">
        <v>43</v>
      </c>
      <c r="D2428" t="s">
        <v>1727</v>
      </c>
      <c r="F2428" s="21"/>
      <c r="G2428" s="16" t="str">
        <f>HYPERLINK("http://maps.google.com/maps?f=q&amp;hl=en&amp;geocode=&amp;q=31.2443199157715,77.0650634765625")</f>
        <v>http://maps.google.com/maps?f=q&amp;hl=en&amp;geocode=&amp;q=31.2443199157715,77.0650634765625</v>
      </c>
    </row>
    <row r="2429" spans="1:7" ht="15" x14ac:dyDescent="0.3">
      <c r="A2429">
        <v>39.955885985683501</v>
      </c>
      <c r="B2429">
        <v>-75.240175662988193</v>
      </c>
      <c r="C2429" t="s">
        <v>43</v>
      </c>
      <c r="D2429" t="s">
        <v>1728</v>
      </c>
      <c r="F2429" s="21"/>
      <c r="G2429" s="16" t="str">
        <f>HYPERLINK("http://maps.google.com/maps?f=q&amp;hl=en&amp;geocode=&amp;q=39.9558859856835,-75.2401756629882")</f>
        <v>http://maps.google.com/maps?f=q&amp;hl=en&amp;geocode=&amp;q=39.9558859856835,-75.2401756629882</v>
      </c>
    </row>
    <row r="2430" spans="1:7" ht="15" x14ac:dyDescent="0.3">
      <c r="A2430">
        <v>42.119393753781203</v>
      </c>
      <c r="B2430">
        <v>-77.208682245206603</v>
      </c>
      <c r="C2430" t="s">
        <v>41</v>
      </c>
      <c r="D2430" t="s">
        <v>571</v>
      </c>
      <c r="F2430" s="21"/>
      <c r="G2430" s="16" t="str">
        <f>HYPERLINK("http://maps.google.com/maps?f=q&amp;hl=en&amp;geocode=&amp;q=42.1193937537812,-77.2086822452066")</f>
        <v>http://maps.google.com/maps?f=q&amp;hl=en&amp;geocode=&amp;q=42.1193937537812,-77.2086822452066</v>
      </c>
    </row>
    <row r="2431" spans="1:7" ht="15" x14ac:dyDescent="0.3">
      <c r="A2431">
        <v>39.9536720964674</v>
      </c>
      <c r="B2431">
        <v>-75.241227235137202</v>
      </c>
      <c r="C2431" t="s">
        <v>41</v>
      </c>
      <c r="D2431" t="s">
        <v>195</v>
      </c>
      <c r="F2431" s="21"/>
      <c r="G2431" s="16" t="str">
        <f>HYPERLINK("http://maps.google.com/maps?f=q&amp;hl=en&amp;geocode=&amp;q=39.9536720964674,-75.2412272351372")</f>
        <v>http://maps.google.com/maps?f=q&amp;hl=en&amp;geocode=&amp;q=39.9536720964674,-75.2412272351372</v>
      </c>
    </row>
    <row r="2432" spans="1:7" ht="15" x14ac:dyDescent="0.3">
      <c r="A2432">
        <v>39.996960000000001</v>
      </c>
      <c r="B2432">
        <v>-75.115210000000005</v>
      </c>
      <c r="C2432" t="s">
        <v>41</v>
      </c>
      <c r="D2432" t="s">
        <v>1729</v>
      </c>
      <c r="F2432" s="21"/>
      <c r="G2432" s="16" t="str">
        <f>HYPERLINK("http://maps.google.com/maps?f=q&amp;hl=en&amp;geocode=&amp;q=39.99696,-75.11521")</f>
        <v>http://maps.google.com/maps?f=q&amp;hl=en&amp;geocode=&amp;q=39.99696,-75.11521</v>
      </c>
    </row>
    <row r="2433" spans="1:7" ht="15" x14ac:dyDescent="0.3">
      <c r="A2433">
        <v>41.511369999999999</v>
      </c>
      <c r="B2433">
        <v>-78.228059999999999</v>
      </c>
      <c r="C2433" t="s">
        <v>41</v>
      </c>
      <c r="D2433" t="s">
        <v>765</v>
      </c>
      <c r="F2433" s="21"/>
      <c r="G2433" s="16" t="str">
        <f>HYPERLINK("http://maps.google.com/maps?f=q&amp;hl=en&amp;geocode=&amp;q=41.51137,-78.22806")</f>
        <v>http://maps.google.com/maps?f=q&amp;hl=en&amp;geocode=&amp;q=41.51137,-78.22806</v>
      </c>
    </row>
    <row r="2434" spans="1:7" ht="15" x14ac:dyDescent="0.3">
      <c r="A2434">
        <v>39.952764083186899</v>
      </c>
      <c r="B2434">
        <v>-75.244888702381701</v>
      </c>
      <c r="C2434" t="s">
        <v>43</v>
      </c>
      <c r="D2434" t="s">
        <v>1730</v>
      </c>
      <c r="F2434" s="21"/>
      <c r="G2434" s="16" t="str">
        <f>HYPERLINK("http://maps.google.com/maps?f=q&amp;hl=en&amp;geocode=&amp;q=39.9527640831869,-75.2448887023817")</f>
        <v>http://maps.google.com/maps?f=q&amp;hl=en&amp;geocode=&amp;q=39.9527640831869,-75.2448887023817</v>
      </c>
    </row>
    <row r="2435" spans="1:7" ht="15" x14ac:dyDescent="0.3">
      <c r="A2435">
        <v>33.589799092758398</v>
      </c>
      <c r="B2435">
        <v>-84.644022802248998</v>
      </c>
      <c r="C2435" t="s">
        <v>43</v>
      </c>
      <c r="D2435" t="s">
        <v>1731</v>
      </c>
      <c r="F2435" s="21"/>
      <c r="G2435" s="16" t="str">
        <f>HYPERLINK("http://maps.google.com/maps?f=q&amp;hl=en&amp;geocode=&amp;q=33.5897990927584,-84.644022802249")</f>
        <v>http://maps.google.com/maps?f=q&amp;hl=en&amp;geocode=&amp;q=33.5897990927584,-84.644022802249</v>
      </c>
    </row>
    <row r="2436" spans="1:7" ht="15" x14ac:dyDescent="0.3">
      <c r="A2436">
        <v>54.901432037353501</v>
      </c>
      <c r="B2436">
        <v>10.7508296966553</v>
      </c>
      <c r="C2436" t="s">
        <v>43</v>
      </c>
      <c r="D2436" t="s">
        <v>1186</v>
      </c>
      <c r="F2436" s="21"/>
      <c r="G2436" s="16" t="str">
        <f>HYPERLINK("http://maps.google.com/maps?f=q&amp;hl=en&amp;geocode=&amp;q=54.9014320373535,10.7508296966553")</f>
        <v>http://maps.google.com/maps?f=q&amp;hl=en&amp;geocode=&amp;q=54.9014320373535,10.7508296966553</v>
      </c>
    </row>
    <row r="2437" spans="1:7" ht="15" x14ac:dyDescent="0.3">
      <c r="A2437">
        <v>35.171050000000001</v>
      </c>
      <c r="B2437">
        <v>-89.870320000000007</v>
      </c>
      <c r="C2437" t="s">
        <v>41</v>
      </c>
      <c r="D2437" t="s">
        <v>1732</v>
      </c>
      <c r="F2437" s="21"/>
      <c r="G2437" s="16" t="str">
        <f>HYPERLINK("http://maps.google.com/maps?f=q&amp;hl=en&amp;geocode=&amp;q=35.17105,-89.87032")</f>
        <v>http://maps.google.com/maps?f=q&amp;hl=en&amp;geocode=&amp;q=35.17105,-89.87032</v>
      </c>
    </row>
    <row r="2438" spans="1:7" ht="15" x14ac:dyDescent="0.3">
      <c r="A2438">
        <v>32.611367212099303</v>
      </c>
      <c r="B2438">
        <v>-85.426303140314303</v>
      </c>
      <c r="C2438" t="s">
        <v>42</v>
      </c>
      <c r="D2438" t="s">
        <v>1733</v>
      </c>
      <c r="F2438" s="21"/>
      <c r="G2438" s="16" t="str">
        <f>HYPERLINK("http://maps.google.com/maps?f=q&amp;hl=en&amp;geocode=&amp;q=32.6113672120993,-85.4263031403143")</f>
        <v>http://maps.google.com/maps?f=q&amp;hl=en&amp;geocode=&amp;q=32.6113672120993,-85.4263031403143</v>
      </c>
    </row>
    <row r="2439" spans="1:7" ht="15" x14ac:dyDescent="0.3">
      <c r="A2439">
        <v>33.494928043533697</v>
      </c>
      <c r="B2439">
        <v>-112.027866799196</v>
      </c>
      <c r="C2439" t="s">
        <v>42</v>
      </c>
      <c r="D2439" t="s">
        <v>1734</v>
      </c>
      <c r="F2439" s="21"/>
      <c r="G2439" s="16" t="str">
        <f>HYPERLINK("http://maps.google.com/maps?f=q&amp;hl=en&amp;geocode=&amp;q=33.4949280435337,-112.027866799196")</f>
        <v>http://maps.google.com/maps?f=q&amp;hl=en&amp;geocode=&amp;q=33.4949280435337,-112.027866799196</v>
      </c>
    </row>
    <row r="2440" spans="1:7" ht="15" x14ac:dyDescent="0.3">
      <c r="A2440">
        <v>40.85745</v>
      </c>
      <c r="B2440">
        <v>-111.86629000000001</v>
      </c>
      <c r="C2440" t="s">
        <v>43</v>
      </c>
      <c r="D2440" t="s">
        <v>1735</v>
      </c>
      <c r="F2440" s="21"/>
      <c r="G2440" s="16" t="str">
        <f>HYPERLINK("http://maps.google.com/maps?f=q&amp;hl=en&amp;geocode=&amp;q=40.85745,-111.86629")</f>
        <v>http://maps.google.com/maps?f=q&amp;hl=en&amp;geocode=&amp;q=40.85745,-111.86629</v>
      </c>
    </row>
    <row r="2441" spans="1:7" ht="15" x14ac:dyDescent="0.3">
      <c r="A2441">
        <v>38.850635528564503</v>
      </c>
      <c r="B2441">
        <v>-9.2915716171264595</v>
      </c>
      <c r="C2441" t="s">
        <v>41</v>
      </c>
      <c r="D2441" t="s">
        <v>1736</v>
      </c>
      <c r="F2441" s="21"/>
      <c r="G2441" s="16" t="str">
        <f>HYPERLINK("http://maps.google.com/maps?f=q&amp;hl=en&amp;geocode=&amp;q=38.8506355285645,-9.29157161712646")</f>
        <v>http://maps.google.com/maps?f=q&amp;hl=en&amp;geocode=&amp;q=38.8506355285645,-9.29157161712646</v>
      </c>
    </row>
    <row r="2442" spans="1:7" ht="15" x14ac:dyDescent="0.3">
      <c r="A2442">
        <v>58.144416809082003</v>
      </c>
      <c r="B2442">
        <v>8.0561351776122994</v>
      </c>
      <c r="C2442" t="s">
        <v>41</v>
      </c>
      <c r="D2442" t="s">
        <v>1737</v>
      </c>
      <c r="F2442" s="21"/>
      <c r="G2442" s="16" t="str">
        <f>HYPERLINK("http://maps.google.com/maps?f=q&amp;hl=en&amp;geocode=&amp;q=58.144416809082,8.0561351776123")</f>
        <v>http://maps.google.com/maps?f=q&amp;hl=en&amp;geocode=&amp;q=58.144416809082,8.0561351776123</v>
      </c>
    </row>
    <row r="2443" spans="1:7" ht="15" x14ac:dyDescent="0.3">
      <c r="A2443">
        <v>49.523796081542997</v>
      </c>
      <c r="B2443">
        <v>5.8895001411437997</v>
      </c>
      <c r="C2443" t="s">
        <v>41</v>
      </c>
      <c r="D2443" t="s">
        <v>1738</v>
      </c>
      <c r="F2443" s="21"/>
      <c r="G2443" s="16" t="str">
        <f>HYPERLINK("http://maps.google.com/maps?f=q&amp;hl=en&amp;geocode=&amp;q=49.523796081543,5.8895001411438")</f>
        <v>http://maps.google.com/maps?f=q&amp;hl=en&amp;geocode=&amp;q=49.523796081543,5.8895001411438</v>
      </c>
    </row>
    <row r="2444" spans="1:7" ht="15" x14ac:dyDescent="0.3">
      <c r="A2444">
        <v>-25.5931701660156</v>
      </c>
      <c r="B2444">
        <v>151.65786743164099</v>
      </c>
      <c r="C2444" t="s">
        <v>41</v>
      </c>
      <c r="D2444" t="s">
        <v>1739</v>
      </c>
      <c r="F2444" s="21"/>
      <c r="G2444" s="16" t="str">
        <f>HYPERLINK("http://maps.google.com/maps?f=q&amp;hl=en&amp;geocode=&amp;q=-25.5931701660156,151.657867431641")</f>
        <v>http://maps.google.com/maps?f=q&amp;hl=en&amp;geocode=&amp;q=-25.5931701660156,151.657867431641</v>
      </c>
    </row>
    <row r="2445" spans="1:7" ht="15" x14ac:dyDescent="0.3">
      <c r="A2445">
        <v>49.518970489502003</v>
      </c>
      <c r="B2445">
        <v>5.9141488075256303</v>
      </c>
      <c r="C2445" t="s">
        <v>41</v>
      </c>
      <c r="D2445" t="s">
        <v>1740</v>
      </c>
      <c r="F2445" s="21"/>
      <c r="G2445" s="16" t="str">
        <f>HYPERLINK("http://maps.google.com/maps?f=q&amp;hl=en&amp;geocode=&amp;q=49.518970489502,5.91414880752563")</f>
        <v>http://maps.google.com/maps?f=q&amp;hl=en&amp;geocode=&amp;q=49.518970489502,5.91414880752563</v>
      </c>
    </row>
    <row r="2446" spans="1:7" ht="15" x14ac:dyDescent="0.3">
      <c r="A2446">
        <v>-26.647031784057599</v>
      </c>
      <c r="B2446">
        <v>151.96392822265599</v>
      </c>
      <c r="C2446" t="s">
        <v>41</v>
      </c>
      <c r="D2446" t="s">
        <v>1741</v>
      </c>
      <c r="F2446" s="21"/>
      <c r="G2446" s="16" t="str">
        <f>HYPERLINK("http://maps.google.com/maps?f=q&amp;hl=en&amp;geocode=&amp;q=-26.6470317840576,151.963928222656")</f>
        <v>http://maps.google.com/maps?f=q&amp;hl=en&amp;geocode=&amp;q=-26.6470317840576,151.963928222656</v>
      </c>
    </row>
    <row r="2447" spans="1:7" ht="15" x14ac:dyDescent="0.3">
      <c r="A2447">
        <v>39.964741807726398</v>
      </c>
      <c r="B2447">
        <v>-75.231684684514804</v>
      </c>
      <c r="C2447" t="s">
        <v>41</v>
      </c>
      <c r="D2447" t="s">
        <v>1742</v>
      </c>
      <c r="F2447" s="21"/>
      <c r="G2447" s="16" t="str">
        <f>HYPERLINK("http://maps.google.com/maps?f=q&amp;hl=en&amp;geocode=&amp;q=39.9647418077264,-75.2316846845148")</f>
        <v>http://maps.google.com/maps?f=q&amp;hl=en&amp;geocode=&amp;q=39.9647418077264,-75.2316846845148</v>
      </c>
    </row>
    <row r="2448" spans="1:7" ht="15" x14ac:dyDescent="0.3">
      <c r="A2448">
        <v>39.964741807726398</v>
      </c>
      <c r="B2448">
        <v>-75.231684684514804</v>
      </c>
      <c r="C2448" t="s">
        <v>41</v>
      </c>
      <c r="D2448" t="s">
        <v>1742</v>
      </c>
      <c r="F2448" s="21"/>
      <c r="G2448" s="16" t="str">
        <f>HYPERLINK("http://maps.google.com/maps?f=q&amp;hl=en&amp;geocode=&amp;q=39.9647418077264,-75.2316846845148")</f>
        <v>http://maps.google.com/maps?f=q&amp;hl=en&amp;geocode=&amp;q=39.9647418077264,-75.2316846845148</v>
      </c>
    </row>
    <row r="2449" spans="1:7" ht="15" x14ac:dyDescent="0.3">
      <c r="A2449">
        <v>49.4726371765137</v>
      </c>
      <c r="B2449">
        <v>-2.4496390819549601</v>
      </c>
      <c r="C2449" t="s">
        <v>41</v>
      </c>
      <c r="D2449" t="s">
        <v>1433</v>
      </c>
      <c r="F2449" s="21"/>
      <c r="G2449" s="16" t="str">
        <f>HYPERLINK("http://maps.google.com/maps?f=q&amp;hl=en&amp;geocode=&amp;q=49.4726371765137,-2.44963908195496")</f>
        <v>http://maps.google.com/maps?f=q&amp;hl=en&amp;geocode=&amp;q=49.4726371765137,-2.44963908195496</v>
      </c>
    </row>
    <row r="2450" spans="1:7" ht="15" x14ac:dyDescent="0.3">
      <c r="A2450">
        <v>44.641788482666001</v>
      </c>
      <c r="B2450">
        <v>-89.736740112304702</v>
      </c>
      <c r="C2450" t="s">
        <v>41</v>
      </c>
      <c r="D2450" t="s">
        <v>1743</v>
      </c>
      <c r="F2450" s="21"/>
      <c r="G2450" s="16" t="str">
        <f>HYPERLINK("http://maps.google.com/maps?f=q&amp;hl=en&amp;geocode=&amp;q=44.641788482666,-89.7367401123047")</f>
        <v>http://maps.google.com/maps?f=q&amp;hl=en&amp;geocode=&amp;q=44.641788482666,-89.7367401123047</v>
      </c>
    </row>
    <row r="2451" spans="1:7" ht="15" x14ac:dyDescent="0.3">
      <c r="A2451">
        <v>38.205227146380302</v>
      </c>
      <c r="B2451">
        <v>-97.520512776783093</v>
      </c>
      <c r="C2451" t="s">
        <v>41</v>
      </c>
      <c r="D2451" t="s">
        <v>1744</v>
      </c>
      <c r="F2451" s="21"/>
      <c r="G2451" s="16" t="str">
        <f>HYPERLINK("http://maps.google.com/maps?f=q&amp;hl=en&amp;geocode=&amp;q=38.2052271463803,-97.5205127767831")</f>
        <v>http://maps.google.com/maps?f=q&amp;hl=en&amp;geocode=&amp;q=38.2052271463803,-97.5205127767831</v>
      </c>
    </row>
    <row r="2452" spans="1:7" ht="15" x14ac:dyDescent="0.3">
      <c r="A2452">
        <v>40.09122</v>
      </c>
      <c r="B2452">
        <v>-75.047349999999994</v>
      </c>
      <c r="C2452" t="s">
        <v>43</v>
      </c>
      <c r="D2452" t="s">
        <v>1745</v>
      </c>
      <c r="F2452" s="21"/>
      <c r="G2452" s="16" t="str">
        <f>HYPERLINK("http://maps.google.com/maps?f=q&amp;hl=en&amp;geocode=&amp;q=40.09122,-75.04735")</f>
        <v>http://maps.google.com/maps?f=q&amp;hl=en&amp;geocode=&amp;q=40.09122,-75.04735</v>
      </c>
    </row>
    <row r="2453" spans="1:7" ht="15" x14ac:dyDescent="0.3">
      <c r="A2453">
        <v>39.693474149294801</v>
      </c>
      <c r="B2453">
        <v>-84.118671277588902</v>
      </c>
      <c r="C2453" t="s">
        <v>41</v>
      </c>
      <c r="D2453" t="s">
        <v>206</v>
      </c>
      <c r="F2453" s="21"/>
      <c r="G2453" s="16" t="str">
        <f>HYPERLINK("http://maps.google.com/maps?f=q&amp;hl=en&amp;geocode=&amp;q=39.6934741492948,-84.1186712775889")</f>
        <v>http://maps.google.com/maps?f=q&amp;hl=en&amp;geocode=&amp;q=39.6934741492948,-84.1186712775889</v>
      </c>
    </row>
    <row r="2454" spans="1:7" ht="15" x14ac:dyDescent="0.3">
      <c r="A2454" t="s">
        <v>44</v>
      </c>
      <c r="B2454" t="s">
        <v>44</v>
      </c>
      <c r="C2454" t="s">
        <v>44</v>
      </c>
      <c r="D2454" t="s">
        <v>1746</v>
      </c>
      <c r="F2454" s="21"/>
      <c r="G2454" s="16"/>
    </row>
    <row r="2455" spans="1:7" ht="15" x14ac:dyDescent="0.3">
      <c r="A2455">
        <v>-34.095230000000001</v>
      </c>
      <c r="B2455">
        <v>150.80122</v>
      </c>
      <c r="C2455" t="s">
        <v>41</v>
      </c>
      <c r="D2455" t="s">
        <v>614</v>
      </c>
      <c r="F2455" s="21"/>
      <c r="G2455" s="16" t="str">
        <f>HYPERLINK("http://maps.google.com/maps?f=q&amp;hl=en&amp;geocode=&amp;q=-34.09523,150.80122")</f>
        <v>http://maps.google.com/maps?f=q&amp;hl=en&amp;geocode=&amp;q=-34.09523,150.80122</v>
      </c>
    </row>
    <row r="2456" spans="1:7" ht="15" x14ac:dyDescent="0.3">
      <c r="A2456">
        <v>26.423559999999998</v>
      </c>
      <c r="B2456">
        <v>-80.084909999999994</v>
      </c>
      <c r="C2456" t="s">
        <v>41</v>
      </c>
      <c r="D2456" t="s">
        <v>1747</v>
      </c>
      <c r="F2456" s="21"/>
      <c r="G2456" s="16" t="str">
        <f>HYPERLINK("http://maps.google.com/maps?f=q&amp;hl=en&amp;geocode=&amp;q=26.42356,-80.08491")</f>
        <v>http://maps.google.com/maps?f=q&amp;hl=en&amp;geocode=&amp;q=26.42356,-80.08491</v>
      </c>
    </row>
    <row r="2457" spans="1:7" ht="15" x14ac:dyDescent="0.3">
      <c r="A2457">
        <v>39.865511624769297</v>
      </c>
      <c r="B2457">
        <v>-75.523476531166395</v>
      </c>
      <c r="C2457" t="s">
        <v>41</v>
      </c>
      <c r="D2457" t="s">
        <v>1748</v>
      </c>
      <c r="F2457" s="21"/>
      <c r="G2457" s="16" t="str">
        <f>HYPERLINK("http://maps.google.com/maps?f=q&amp;hl=en&amp;geocode=&amp;q=39.8655116247693,-75.5234765311664")</f>
        <v>http://maps.google.com/maps?f=q&amp;hl=en&amp;geocode=&amp;q=39.8655116247693,-75.5234765311664</v>
      </c>
    </row>
    <row r="2458" spans="1:7" ht="15" x14ac:dyDescent="0.3">
      <c r="A2458" t="s">
        <v>44</v>
      </c>
      <c r="B2458" t="s">
        <v>44</v>
      </c>
      <c r="C2458" t="s">
        <v>44</v>
      </c>
      <c r="D2458" t="s">
        <v>53</v>
      </c>
      <c r="F2458" s="21"/>
      <c r="G2458" s="16"/>
    </row>
    <row r="2459" spans="1:7" ht="15" x14ac:dyDescent="0.3">
      <c r="A2459">
        <v>39.917299999999997</v>
      </c>
      <c r="B2459">
        <v>-75.229200000000006</v>
      </c>
      <c r="C2459" t="s">
        <v>42</v>
      </c>
      <c r="D2459" t="s">
        <v>1749</v>
      </c>
      <c r="F2459" s="21"/>
      <c r="G2459" s="16" t="str">
        <f>HYPERLINK("http://maps.google.com/maps?f=q&amp;hl=en&amp;geocode=&amp;q=39.9173,-75.2292")</f>
        <v>http://maps.google.com/maps?f=q&amp;hl=en&amp;geocode=&amp;q=39.9173,-75.2292</v>
      </c>
    </row>
    <row r="2460" spans="1:7" ht="15" x14ac:dyDescent="0.3">
      <c r="A2460">
        <v>41.851364770717801</v>
      </c>
      <c r="B2460">
        <v>-73.178837708781998</v>
      </c>
      <c r="C2460" t="s">
        <v>42</v>
      </c>
      <c r="D2460" t="s">
        <v>1750</v>
      </c>
      <c r="F2460" s="21"/>
      <c r="G2460" s="16" t="str">
        <f>HYPERLINK("http://maps.google.com/maps?f=q&amp;hl=en&amp;geocode=&amp;q=41.8513647707178,-73.178837708782")</f>
        <v>http://maps.google.com/maps?f=q&amp;hl=en&amp;geocode=&amp;q=41.8513647707178,-73.178837708782</v>
      </c>
    </row>
    <row r="2461" spans="1:7" ht="15" x14ac:dyDescent="0.3">
      <c r="A2461">
        <v>40.019528483490497</v>
      </c>
      <c r="B2461">
        <v>-75.114806799736201</v>
      </c>
      <c r="C2461" t="s">
        <v>41</v>
      </c>
      <c r="D2461" t="s">
        <v>1751</v>
      </c>
      <c r="F2461" s="21"/>
      <c r="G2461" s="16" t="str">
        <f>HYPERLINK("http://maps.google.com/maps?f=q&amp;hl=en&amp;geocode=&amp;q=40.0195284834905,-75.1148067997362")</f>
        <v>http://maps.google.com/maps?f=q&amp;hl=en&amp;geocode=&amp;q=40.0195284834905,-75.1148067997362</v>
      </c>
    </row>
    <row r="2462" spans="1:7" ht="15" x14ac:dyDescent="0.3">
      <c r="A2462">
        <v>40.677719116210902</v>
      </c>
      <c r="B2462">
        <v>-73.417778015136705</v>
      </c>
      <c r="C2462" t="s">
        <v>41</v>
      </c>
      <c r="D2462" t="s">
        <v>1752</v>
      </c>
      <c r="F2462" s="21"/>
      <c r="G2462" s="16" t="str">
        <f>HYPERLINK("http://maps.google.com/maps?f=q&amp;hl=en&amp;geocode=&amp;q=40.6777191162109,-73.4177780151367")</f>
        <v>http://maps.google.com/maps?f=q&amp;hl=en&amp;geocode=&amp;q=40.6777191162109,-73.4177780151367</v>
      </c>
    </row>
    <row r="2463" spans="1:7" ht="15" x14ac:dyDescent="0.3">
      <c r="A2463" t="s">
        <v>44</v>
      </c>
      <c r="B2463" t="s">
        <v>44</v>
      </c>
      <c r="C2463" t="s">
        <v>44</v>
      </c>
      <c r="D2463" t="s">
        <v>981</v>
      </c>
      <c r="F2463" s="21"/>
      <c r="G2463" s="16"/>
    </row>
    <row r="2464" spans="1:7" ht="15" x14ac:dyDescent="0.3">
      <c r="A2464">
        <v>41.078392516104003</v>
      </c>
      <c r="B2464">
        <v>-90.223289191927293</v>
      </c>
      <c r="C2464" t="s">
        <v>41</v>
      </c>
      <c r="D2464" t="s">
        <v>1753</v>
      </c>
      <c r="F2464" s="21"/>
      <c r="G2464" s="16" t="str">
        <f>HYPERLINK("http://maps.google.com/maps?f=q&amp;hl=en&amp;geocode=&amp;q=41.078392516104,-90.2232891919273")</f>
        <v>http://maps.google.com/maps?f=q&amp;hl=en&amp;geocode=&amp;q=41.078392516104,-90.2232891919273</v>
      </c>
    </row>
    <row r="2465" spans="1:7" ht="15" x14ac:dyDescent="0.3">
      <c r="A2465">
        <v>37.452680000000001</v>
      </c>
      <c r="B2465">
        <v>-91.203500000000005</v>
      </c>
      <c r="C2465" t="s">
        <v>42</v>
      </c>
      <c r="D2465" t="s">
        <v>1754</v>
      </c>
      <c r="F2465" s="21"/>
      <c r="G2465" s="16" t="str">
        <f>HYPERLINK("http://maps.google.com/maps?f=q&amp;hl=en&amp;geocode=&amp;q=37.45268,-91.2035")</f>
        <v>http://maps.google.com/maps?f=q&amp;hl=en&amp;geocode=&amp;q=37.45268,-91.2035</v>
      </c>
    </row>
    <row r="2466" spans="1:7" ht="15" x14ac:dyDescent="0.3">
      <c r="A2466" t="s">
        <v>44</v>
      </c>
      <c r="B2466" t="s">
        <v>44</v>
      </c>
      <c r="C2466" t="s">
        <v>44</v>
      </c>
      <c r="D2466" t="s">
        <v>1004</v>
      </c>
      <c r="F2466" s="21"/>
      <c r="G2466" s="16"/>
    </row>
    <row r="2467" spans="1:7" ht="15" x14ac:dyDescent="0.3">
      <c r="A2467">
        <v>39.919572547985901</v>
      </c>
      <c r="B2467">
        <v>-75.228006365450099</v>
      </c>
      <c r="C2467" t="s">
        <v>43</v>
      </c>
      <c r="D2467" t="s">
        <v>1755</v>
      </c>
      <c r="F2467" s="21"/>
      <c r="G2467" s="16" t="str">
        <f>HYPERLINK("http://maps.google.com/maps?f=q&amp;hl=en&amp;geocode=&amp;q=39.9195725479859,-75.2280063654501")</f>
        <v>http://maps.google.com/maps?f=q&amp;hl=en&amp;geocode=&amp;q=39.9195725479859,-75.2280063654501</v>
      </c>
    </row>
    <row r="2468" spans="1:7" ht="15" x14ac:dyDescent="0.3">
      <c r="A2468">
        <v>29.575179008229401</v>
      </c>
      <c r="B2468">
        <v>-98.380706430844697</v>
      </c>
      <c r="C2468" t="s">
        <v>41</v>
      </c>
      <c r="D2468" t="s">
        <v>1756</v>
      </c>
      <c r="F2468" s="21"/>
      <c r="G2468" s="16" t="str">
        <f>HYPERLINK("http://maps.google.com/maps?f=q&amp;hl=en&amp;geocode=&amp;q=29.5751790082294,-98.3807064308447")</f>
        <v>http://maps.google.com/maps?f=q&amp;hl=en&amp;geocode=&amp;q=29.5751790082294,-98.3807064308447</v>
      </c>
    </row>
    <row r="2469" spans="1:7" ht="15" x14ac:dyDescent="0.3">
      <c r="A2469">
        <v>47.061500000000002</v>
      </c>
      <c r="B2469">
        <v>6.7597300000000002</v>
      </c>
      <c r="C2469" t="s">
        <v>41</v>
      </c>
      <c r="D2469" t="s">
        <v>1757</v>
      </c>
      <c r="F2469" s="21"/>
      <c r="G2469" s="16" t="str">
        <f>HYPERLINK("http://maps.google.com/maps?f=q&amp;hl=en&amp;geocode=&amp;q=47.0615,6.75973")</f>
        <v>http://maps.google.com/maps?f=q&amp;hl=en&amp;geocode=&amp;q=47.0615,6.75973</v>
      </c>
    </row>
    <row r="2470" spans="1:7" ht="15" x14ac:dyDescent="0.3">
      <c r="A2470">
        <v>14.5838928222656</v>
      </c>
      <c r="B2470">
        <v>121.07668304443401</v>
      </c>
      <c r="C2470" t="s">
        <v>43</v>
      </c>
      <c r="D2470" t="s">
        <v>762</v>
      </c>
      <c r="F2470" s="21"/>
      <c r="G2470" s="16" t="str">
        <f>HYPERLINK("http://maps.google.com/maps?f=q&amp;hl=en&amp;geocode=&amp;q=14.5838928222656,121.076683044434")</f>
        <v>http://maps.google.com/maps?f=q&amp;hl=en&amp;geocode=&amp;q=14.5838928222656,121.076683044434</v>
      </c>
    </row>
    <row r="2471" spans="1:7" ht="15" x14ac:dyDescent="0.3">
      <c r="A2471" t="s">
        <v>44</v>
      </c>
      <c r="B2471" t="s">
        <v>44</v>
      </c>
      <c r="C2471" t="s">
        <v>44</v>
      </c>
      <c r="D2471" t="s">
        <v>1758</v>
      </c>
      <c r="F2471" s="21"/>
      <c r="G2471" s="16"/>
    </row>
    <row r="2472" spans="1:7" ht="15" x14ac:dyDescent="0.3">
      <c r="A2472">
        <v>40.013988494872997</v>
      </c>
      <c r="B2472">
        <v>-75.303192138671903</v>
      </c>
      <c r="C2472" t="s">
        <v>41</v>
      </c>
      <c r="D2472" t="s">
        <v>501</v>
      </c>
      <c r="F2472" s="21"/>
      <c r="G2472" s="16" t="str">
        <f>HYPERLINK("http://maps.google.com/maps?f=q&amp;hl=en&amp;geocode=&amp;q=40.013988494873,-75.3031921386719")</f>
        <v>http://maps.google.com/maps?f=q&amp;hl=en&amp;geocode=&amp;q=40.013988494873,-75.3031921386719</v>
      </c>
    </row>
    <row r="2473" spans="1:7" ht="15" x14ac:dyDescent="0.3">
      <c r="A2473">
        <v>32.306834365939302</v>
      </c>
      <c r="B2473">
        <v>-84.785814057968295</v>
      </c>
      <c r="C2473" t="s">
        <v>41</v>
      </c>
      <c r="D2473" t="s">
        <v>367</v>
      </c>
      <c r="F2473" s="21"/>
      <c r="G2473" s="16" t="str">
        <f>HYPERLINK("http://maps.google.com/maps?f=q&amp;hl=en&amp;geocode=&amp;q=32.3068343659393,-84.7858140579683")</f>
        <v>http://maps.google.com/maps?f=q&amp;hl=en&amp;geocode=&amp;q=32.3068343659393,-84.7858140579683</v>
      </c>
    </row>
    <row r="2474" spans="1:7" ht="15" x14ac:dyDescent="0.3">
      <c r="A2474">
        <v>29.707270000000001</v>
      </c>
      <c r="B2474">
        <v>-95.464579999999998</v>
      </c>
      <c r="C2474" t="s">
        <v>41</v>
      </c>
      <c r="D2474" t="s">
        <v>1759</v>
      </c>
      <c r="F2474" s="21"/>
      <c r="G2474" s="16" t="str">
        <f>HYPERLINK("http://maps.google.com/maps?f=q&amp;hl=en&amp;geocode=&amp;q=29.70727,-95.46458")</f>
        <v>http://maps.google.com/maps?f=q&amp;hl=en&amp;geocode=&amp;q=29.70727,-95.46458</v>
      </c>
    </row>
    <row r="2475" spans="1:7" ht="15" x14ac:dyDescent="0.3">
      <c r="A2475">
        <v>41.545448303222699</v>
      </c>
      <c r="B2475">
        <v>-76.742660522460895</v>
      </c>
      <c r="C2475" t="s">
        <v>43</v>
      </c>
      <c r="D2475" t="s">
        <v>1199</v>
      </c>
      <c r="F2475" s="21"/>
      <c r="G2475" s="16" t="str">
        <f>HYPERLINK("http://maps.google.com/maps?f=q&amp;hl=en&amp;geocode=&amp;q=41.5454483032227,-76.7426605224609")</f>
        <v>http://maps.google.com/maps?f=q&amp;hl=en&amp;geocode=&amp;q=41.5454483032227,-76.7426605224609</v>
      </c>
    </row>
    <row r="2476" spans="1:7" ht="15" x14ac:dyDescent="0.3">
      <c r="A2476">
        <v>41.545448303222699</v>
      </c>
      <c r="B2476">
        <v>-76.742660522460895</v>
      </c>
      <c r="C2476" t="s">
        <v>43</v>
      </c>
      <c r="D2476" t="s">
        <v>1196</v>
      </c>
      <c r="F2476" s="21"/>
      <c r="G2476" s="16" t="str">
        <f>HYPERLINK("http://maps.google.com/maps?f=q&amp;hl=en&amp;geocode=&amp;q=41.5454483032227,-76.7426605224609")</f>
        <v>http://maps.google.com/maps?f=q&amp;hl=en&amp;geocode=&amp;q=41.5454483032227,-76.7426605224609</v>
      </c>
    </row>
    <row r="2477" spans="1:7" ht="15" x14ac:dyDescent="0.3">
      <c r="A2477">
        <v>41.545448303222699</v>
      </c>
      <c r="B2477">
        <v>-76.742660522460895</v>
      </c>
      <c r="C2477" t="s">
        <v>43</v>
      </c>
      <c r="D2477" t="s">
        <v>1196</v>
      </c>
      <c r="F2477" s="21"/>
      <c r="G2477" s="16" t="str">
        <f>HYPERLINK("http://maps.google.com/maps?f=q&amp;hl=en&amp;geocode=&amp;q=41.5454483032227,-76.7426605224609")</f>
        <v>http://maps.google.com/maps?f=q&amp;hl=en&amp;geocode=&amp;q=41.5454483032227,-76.7426605224609</v>
      </c>
    </row>
    <row r="2478" spans="1:7" ht="15" x14ac:dyDescent="0.3">
      <c r="A2478">
        <v>39.151271820068402</v>
      </c>
      <c r="B2478">
        <v>-76.764373779296903</v>
      </c>
      <c r="C2478" t="s">
        <v>43</v>
      </c>
      <c r="D2478" t="s">
        <v>1200</v>
      </c>
      <c r="F2478" s="21"/>
      <c r="G2478" s="16" t="str">
        <f>HYPERLINK("http://maps.google.com/maps?f=q&amp;hl=en&amp;geocode=&amp;q=39.1512718200684,-76.7643737792969")</f>
        <v>http://maps.google.com/maps?f=q&amp;hl=en&amp;geocode=&amp;q=39.1512718200684,-76.7643737792969</v>
      </c>
    </row>
    <row r="2479" spans="1:7" ht="15" x14ac:dyDescent="0.3">
      <c r="A2479">
        <v>39.684371948242202</v>
      </c>
      <c r="B2479">
        <v>21.8974094390869</v>
      </c>
      <c r="C2479" t="s">
        <v>41</v>
      </c>
      <c r="D2479" t="s">
        <v>1760</v>
      </c>
      <c r="F2479" s="21"/>
      <c r="G2479" s="16" t="str">
        <f>HYPERLINK("http://maps.google.com/maps?f=q&amp;hl=en&amp;geocode=&amp;q=39.6843719482422,21.8974094390869")</f>
        <v>http://maps.google.com/maps?f=q&amp;hl=en&amp;geocode=&amp;q=39.6843719482422,21.8974094390869</v>
      </c>
    </row>
    <row r="2480" spans="1:7" ht="15" x14ac:dyDescent="0.3">
      <c r="A2480">
        <v>48.651748657226598</v>
      </c>
      <c r="B2480">
        <v>11.036919593811</v>
      </c>
      <c r="C2480" t="s">
        <v>41</v>
      </c>
      <c r="D2480" t="s">
        <v>1761</v>
      </c>
      <c r="F2480" s="21"/>
      <c r="G2480" s="16" t="str">
        <f>HYPERLINK("http://maps.google.com/maps?f=q&amp;hl=en&amp;geocode=&amp;q=48.6517486572266,11.036919593811")</f>
        <v>http://maps.google.com/maps?f=q&amp;hl=en&amp;geocode=&amp;q=48.6517486572266,11.036919593811</v>
      </c>
    </row>
    <row r="2481" spans="1:7" ht="15" x14ac:dyDescent="0.3">
      <c r="A2481">
        <v>41.836747352903103</v>
      </c>
      <c r="B2481">
        <v>-90.315832804409894</v>
      </c>
      <c r="C2481" t="s">
        <v>41</v>
      </c>
      <c r="D2481" t="s">
        <v>1762</v>
      </c>
      <c r="F2481" s="21"/>
      <c r="G2481" s="16" t="str">
        <f>HYPERLINK("http://maps.google.com/maps?f=q&amp;hl=en&amp;geocode=&amp;q=41.8367473529031,-90.3158328044099")</f>
        <v>http://maps.google.com/maps?f=q&amp;hl=en&amp;geocode=&amp;q=41.8367473529031,-90.3158328044099</v>
      </c>
    </row>
    <row r="2482" spans="1:7" ht="15" x14ac:dyDescent="0.3">
      <c r="A2482">
        <v>40.038453769809102</v>
      </c>
      <c r="B2482">
        <v>-75.067328237851498</v>
      </c>
      <c r="C2482" t="s">
        <v>41</v>
      </c>
      <c r="D2482" t="s">
        <v>1763</v>
      </c>
      <c r="F2482" s="21"/>
      <c r="G2482" s="16" t="str">
        <f>HYPERLINK("http://maps.google.com/maps?f=q&amp;hl=en&amp;geocode=&amp;q=40.0384537698091,-75.0673282378515")</f>
        <v>http://maps.google.com/maps?f=q&amp;hl=en&amp;geocode=&amp;q=40.0384537698091,-75.0673282378515</v>
      </c>
    </row>
    <row r="2483" spans="1:7" ht="15" x14ac:dyDescent="0.3">
      <c r="A2483">
        <v>40.040019999999998</v>
      </c>
      <c r="B2483">
        <v>-75.071290000000005</v>
      </c>
      <c r="C2483" t="s">
        <v>41</v>
      </c>
      <c r="D2483" t="s">
        <v>1764</v>
      </c>
      <c r="F2483" s="21"/>
      <c r="G2483" s="16" t="str">
        <f>HYPERLINK("http://maps.google.com/maps?f=q&amp;hl=en&amp;geocode=&amp;q=40.04002,-75.07129")</f>
        <v>http://maps.google.com/maps?f=q&amp;hl=en&amp;geocode=&amp;q=40.04002,-75.07129</v>
      </c>
    </row>
    <row r="2484" spans="1:7" ht="15" x14ac:dyDescent="0.3">
      <c r="A2484">
        <v>42.591105790321997</v>
      </c>
      <c r="B2484">
        <v>-83.196153629537605</v>
      </c>
      <c r="C2484" t="s">
        <v>41</v>
      </c>
      <c r="D2484" t="s">
        <v>1765</v>
      </c>
      <c r="F2484" s="21"/>
      <c r="G2484" s="16" t="str">
        <f>HYPERLINK("http://maps.google.com/maps?f=q&amp;hl=en&amp;geocode=&amp;q=42.591105790322,-83.1961536295376")</f>
        <v>http://maps.google.com/maps?f=q&amp;hl=en&amp;geocode=&amp;q=42.591105790322,-83.1961536295376</v>
      </c>
    </row>
    <row r="2485" spans="1:7" ht="15" x14ac:dyDescent="0.3">
      <c r="A2485">
        <v>39.084209999999999</v>
      </c>
      <c r="B2485">
        <v>-94.707549999999998</v>
      </c>
      <c r="C2485" t="s">
        <v>42</v>
      </c>
      <c r="D2485" t="s">
        <v>1766</v>
      </c>
      <c r="F2485" s="21"/>
      <c r="G2485" s="16" t="str">
        <f>HYPERLINK("http://maps.google.com/maps?f=q&amp;hl=en&amp;geocode=&amp;q=39.08421,-94.70755")</f>
        <v>http://maps.google.com/maps?f=q&amp;hl=en&amp;geocode=&amp;q=39.08421,-94.70755</v>
      </c>
    </row>
    <row r="2486" spans="1:7" ht="15" x14ac:dyDescent="0.3">
      <c r="A2486">
        <v>-32.013988494872997</v>
      </c>
      <c r="B2486">
        <v>115.886268615723</v>
      </c>
      <c r="C2486" t="s">
        <v>41</v>
      </c>
      <c r="D2486" t="s">
        <v>1709</v>
      </c>
      <c r="F2486" s="21"/>
      <c r="G2486" s="16" t="str">
        <f>HYPERLINK("http://maps.google.com/maps?f=q&amp;hl=en&amp;geocode=&amp;q=-32.013988494873,115.886268615723")</f>
        <v>http://maps.google.com/maps?f=q&amp;hl=en&amp;geocode=&amp;q=-32.013988494873,115.886268615723</v>
      </c>
    </row>
    <row r="2487" spans="1:7" ht="15" x14ac:dyDescent="0.3">
      <c r="A2487">
        <v>41.078392516104003</v>
      </c>
      <c r="B2487">
        <v>-90.223289191927293</v>
      </c>
      <c r="C2487" t="s">
        <v>41</v>
      </c>
      <c r="D2487" t="s">
        <v>1753</v>
      </c>
      <c r="F2487" s="21"/>
      <c r="G2487" s="16" t="str">
        <f>HYPERLINK("http://maps.google.com/maps?f=q&amp;hl=en&amp;geocode=&amp;q=41.078392516104,-90.2232891919273")</f>
        <v>http://maps.google.com/maps?f=q&amp;hl=en&amp;geocode=&amp;q=41.078392516104,-90.2232891919273</v>
      </c>
    </row>
    <row r="2488" spans="1:7" ht="15" x14ac:dyDescent="0.3">
      <c r="A2488">
        <v>30.013597252129799</v>
      </c>
      <c r="B2488">
        <v>-90.178112333309699</v>
      </c>
      <c r="C2488" t="s">
        <v>41</v>
      </c>
      <c r="D2488" t="s">
        <v>176</v>
      </c>
      <c r="F2488" s="21"/>
      <c r="G2488" s="16" t="str">
        <f>HYPERLINK("http://maps.google.com/maps?f=q&amp;hl=en&amp;geocode=&amp;q=30.0135972521298,-90.1781123333097")</f>
        <v>http://maps.google.com/maps?f=q&amp;hl=en&amp;geocode=&amp;q=30.0135972521298,-90.1781123333097</v>
      </c>
    </row>
    <row r="2489" spans="1:7" ht="15" x14ac:dyDescent="0.3">
      <c r="A2489">
        <v>30.297419427938198</v>
      </c>
      <c r="B2489">
        <v>-94.237692312159197</v>
      </c>
      <c r="C2489" t="s">
        <v>41</v>
      </c>
      <c r="D2489" t="s">
        <v>393</v>
      </c>
      <c r="F2489" s="21"/>
      <c r="G2489" s="16" t="str">
        <f>HYPERLINK("http://maps.google.com/maps?f=q&amp;hl=en&amp;geocode=&amp;q=30.2974194279382,-94.2376923121592")</f>
        <v>http://maps.google.com/maps?f=q&amp;hl=en&amp;geocode=&amp;q=30.2974194279382,-94.2376923121592</v>
      </c>
    </row>
    <row r="2490" spans="1:7" ht="15" x14ac:dyDescent="0.3">
      <c r="A2490">
        <v>33.177349999999997</v>
      </c>
      <c r="B2490">
        <v>-84.909649999999999</v>
      </c>
      <c r="C2490" t="s">
        <v>41</v>
      </c>
      <c r="D2490" t="s">
        <v>1767</v>
      </c>
      <c r="F2490" s="21"/>
      <c r="G2490" s="16" t="str">
        <f>HYPERLINK("http://maps.google.com/maps?f=q&amp;hl=en&amp;geocode=&amp;q=33.17735,-84.90965")</f>
        <v>http://maps.google.com/maps?f=q&amp;hl=en&amp;geocode=&amp;q=33.17735,-84.90965</v>
      </c>
    </row>
    <row r="2491" spans="1:7" ht="15" x14ac:dyDescent="0.3">
      <c r="A2491">
        <v>40.094047471735003</v>
      </c>
      <c r="B2491">
        <v>-75.030960385539103</v>
      </c>
      <c r="C2491" t="s">
        <v>41</v>
      </c>
      <c r="D2491" t="s">
        <v>1768</v>
      </c>
      <c r="F2491" s="21"/>
      <c r="G2491" s="16" t="str">
        <f>HYPERLINK("http://maps.google.com/maps?f=q&amp;hl=en&amp;geocode=&amp;q=40.094047471735,-75.0309603855391")</f>
        <v>http://maps.google.com/maps?f=q&amp;hl=en&amp;geocode=&amp;q=40.094047471735,-75.0309603855391</v>
      </c>
    </row>
    <row r="2492" spans="1:7" ht="15" x14ac:dyDescent="0.3">
      <c r="A2492">
        <v>39.112859999999998</v>
      </c>
      <c r="B2492">
        <v>-84.507819999999995</v>
      </c>
      <c r="C2492" t="s">
        <v>42</v>
      </c>
      <c r="D2492" t="s">
        <v>1769</v>
      </c>
      <c r="F2492" s="21"/>
      <c r="G2492" s="16" t="str">
        <f>HYPERLINK("http://maps.google.com/maps?f=q&amp;hl=en&amp;geocode=&amp;q=39.11286,-84.50782")</f>
        <v>http://maps.google.com/maps?f=q&amp;hl=en&amp;geocode=&amp;q=39.11286,-84.50782</v>
      </c>
    </row>
    <row r="2493" spans="1:7" ht="15" x14ac:dyDescent="0.3">
      <c r="A2493">
        <v>39.983611469425803</v>
      </c>
      <c r="B2493">
        <v>-75.148286804975498</v>
      </c>
      <c r="C2493" t="s">
        <v>41</v>
      </c>
      <c r="D2493" t="s">
        <v>1770</v>
      </c>
      <c r="F2493" s="21"/>
      <c r="G2493" s="16" t="str">
        <f>HYPERLINK("http://maps.google.com/maps?f=q&amp;hl=en&amp;geocode=&amp;q=39.9836114694258,-75.1482868049755")</f>
        <v>http://maps.google.com/maps?f=q&amp;hl=en&amp;geocode=&amp;q=39.9836114694258,-75.1482868049755</v>
      </c>
    </row>
    <row r="2494" spans="1:7" ht="15" x14ac:dyDescent="0.3">
      <c r="A2494">
        <v>47.055850982666001</v>
      </c>
      <c r="B2494">
        <v>6.7508301734924299</v>
      </c>
      <c r="C2494" t="s">
        <v>43</v>
      </c>
      <c r="D2494" t="s">
        <v>1771</v>
      </c>
      <c r="F2494" s="21"/>
      <c r="G2494" s="16" t="str">
        <f>HYPERLINK("http://maps.google.com/maps?f=q&amp;hl=en&amp;geocode=&amp;q=47.055850982666,6.75083017349243")</f>
        <v>http://maps.google.com/maps?f=q&amp;hl=en&amp;geocode=&amp;q=47.055850982666,6.75083017349243</v>
      </c>
    </row>
    <row r="2495" spans="1:7" ht="15" x14ac:dyDescent="0.3">
      <c r="A2495">
        <v>38.005223082614599</v>
      </c>
      <c r="B2495">
        <v>-90.621129948084103</v>
      </c>
      <c r="C2495" t="s">
        <v>41</v>
      </c>
      <c r="D2495" t="s">
        <v>1772</v>
      </c>
      <c r="F2495" s="21"/>
      <c r="G2495" s="16" t="str">
        <f>HYPERLINK("http://maps.google.com/maps?f=q&amp;hl=en&amp;geocode=&amp;q=38.0052230826146,-90.6211299480841")</f>
        <v>http://maps.google.com/maps?f=q&amp;hl=en&amp;geocode=&amp;q=38.0052230826146,-90.6211299480841</v>
      </c>
    </row>
    <row r="2496" spans="1:7" ht="15" x14ac:dyDescent="0.3">
      <c r="A2496">
        <v>39.920034553313897</v>
      </c>
      <c r="B2496">
        <v>-75.230253062950098</v>
      </c>
      <c r="C2496" t="s">
        <v>43</v>
      </c>
      <c r="D2496" t="s">
        <v>1426</v>
      </c>
      <c r="F2496" s="21"/>
      <c r="G2496" s="16" t="str">
        <f>HYPERLINK("http://maps.google.com/maps?f=q&amp;hl=en&amp;geocode=&amp;q=39.9200345533139,-75.2302530629501")</f>
        <v>http://maps.google.com/maps?f=q&amp;hl=en&amp;geocode=&amp;q=39.9200345533139,-75.2302530629501</v>
      </c>
    </row>
    <row r="2497" spans="1:7" ht="15" x14ac:dyDescent="0.3">
      <c r="A2497">
        <v>35.317864551876497</v>
      </c>
      <c r="B2497">
        <v>-82.684958995943802</v>
      </c>
      <c r="C2497" t="s">
        <v>43</v>
      </c>
      <c r="D2497" t="s">
        <v>1773</v>
      </c>
      <c r="F2497" s="21"/>
      <c r="G2497" s="16" t="str">
        <f>HYPERLINK("http://maps.google.com/maps?f=q&amp;hl=en&amp;geocode=&amp;q=35.3178645518765,-82.6849589959438")</f>
        <v>http://maps.google.com/maps?f=q&amp;hl=en&amp;geocode=&amp;q=35.3178645518765,-82.6849589959438</v>
      </c>
    </row>
    <row r="2498" spans="1:7" ht="15" x14ac:dyDescent="0.3">
      <c r="A2498">
        <v>-3.0964000225067099</v>
      </c>
      <c r="B2498">
        <v>-79.007461547851605</v>
      </c>
      <c r="C2498" t="s">
        <v>41</v>
      </c>
      <c r="D2498" t="s">
        <v>1774</v>
      </c>
      <c r="F2498" s="21"/>
      <c r="G2498" s="16" t="str">
        <f>HYPERLINK("http://maps.google.com/maps?f=q&amp;hl=en&amp;geocode=&amp;q=-3.09640002250671,-79.0074615478516")</f>
        <v>http://maps.google.com/maps?f=q&amp;hl=en&amp;geocode=&amp;q=-3.09640002250671,-79.0074615478516</v>
      </c>
    </row>
    <row r="2499" spans="1:7" ht="15" x14ac:dyDescent="0.3">
      <c r="A2499">
        <v>39.976205755988801</v>
      </c>
      <c r="B2499">
        <v>-75.119766491097394</v>
      </c>
      <c r="C2499" t="s">
        <v>41</v>
      </c>
      <c r="D2499" t="s">
        <v>1775</v>
      </c>
      <c r="F2499" s="21"/>
      <c r="G2499" s="16" t="str">
        <f>HYPERLINK("http://maps.google.com/maps?f=q&amp;hl=en&amp;geocode=&amp;q=39.9762057559888,-75.1197664910974")</f>
        <v>http://maps.google.com/maps?f=q&amp;hl=en&amp;geocode=&amp;q=39.9762057559888,-75.1197664910974</v>
      </c>
    </row>
    <row r="2500" spans="1:7" ht="15" x14ac:dyDescent="0.3">
      <c r="A2500" t="s">
        <v>44</v>
      </c>
      <c r="B2500" t="s">
        <v>44</v>
      </c>
      <c r="C2500" t="s">
        <v>44</v>
      </c>
      <c r="D2500" t="s">
        <v>1776</v>
      </c>
      <c r="F2500" s="21"/>
      <c r="G2500" s="16"/>
    </row>
    <row r="2501" spans="1:7" ht="15" x14ac:dyDescent="0.3">
      <c r="A2501">
        <v>34.2037449663028</v>
      </c>
      <c r="B2501">
        <v>-110.015804172915</v>
      </c>
      <c r="C2501" t="s">
        <v>41</v>
      </c>
      <c r="D2501" t="s">
        <v>1542</v>
      </c>
      <c r="F2501" s="21"/>
      <c r="G2501" s="16" t="str">
        <f>HYPERLINK("http://maps.google.com/maps?f=q&amp;hl=en&amp;geocode=&amp;q=34.2037449663028,-110.015804172915")</f>
        <v>http://maps.google.com/maps?f=q&amp;hl=en&amp;geocode=&amp;q=34.2037449663028,-110.015804172915</v>
      </c>
    </row>
    <row r="2502" spans="1:7" ht="15" x14ac:dyDescent="0.3">
      <c r="A2502">
        <v>43.402236554454099</v>
      </c>
      <c r="B2502">
        <v>-83.341093068533596</v>
      </c>
      <c r="C2502" t="s">
        <v>41</v>
      </c>
      <c r="D2502" t="s">
        <v>1777</v>
      </c>
      <c r="F2502" s="21"/>
      <c r="G2502" s="16" t="str">
        <f>HYPERLINK("http://maps.google.com/maps?f=q&amp;hl=en&amp;geocode=&amp;q=43.4022365544541,-83.3410930685336")</f>
        <v>http://maps.google.com/maps?f=q&amp;hl=en&amp;geocode=&amp;q=43.4022365544541,-83.3410930685336</v>
      </c>
    </row>
    <row r="2503" spans="1:7" ht="15" x14ac:dyDescent="0.3">
      <c r="A2503">
        <v>34.2037449663028</v>
      </c>
      <c r="B2503">
        <v>-110.015804172915</v>
      </c>
      <c r="C2503" t="s">
        <v>41</v>
      </c>
      <c r="D2503" t="s">
        <v>1542</v>
      </c>
      <c r="F2503" s="21"/>
      <c r="G2503" s="16" t="str">
        <f>HYPERLINK("http://maps.google.com/maps?f=q&amp;hl=en&amp;geocode=&amp;q=34.2037449663028,-110.015804172915")</f>
        <v>http://maps.google.com/maps?f=q&amp;hl=en&amp;geocode=&amp;q=34.2037449663028,-110.015804172915</v>
      </c>
    </row>
    <row r="2504" spans="1:7" ht="15" x14ac:dyDescent="0.3">
      <c r="A2504">
        <v>34.2037449663028</v>
      </c>
      <c r="B2504">
        <v>-110.015804172915</v>
      </c>
      <c r="C2504" t="s">
        <v>41</v>
      </c>
      <c r="D2504" t="s">
        <v>1542</v>
      </c>
      <c r="F2504" s="21"/>
      <c r="G2504" s="16" t="str">
        <f>HYPERLINK("http://maps.google.com/maps?f=q&amp;hl=en&amp;geocode=&amp;q=34.2037449663028,-110.015804172915")</f>
        <v>http://maps.google.com/maps?f=q&amp;hl=en&amp;geocode=&amp;q=34.2037449663028,-110.015804172915</v>
      </c>
    </row>
    <row r="2505" spans="1:7" ht="15" x14ac:dyDescent="0.3">
      <c r="A2505" t="s">
        <v>44</v>
      </c>
      <c r="B2505" t="s">
        <v>44</v>
      </c>
      <c r="C2505" t="s">
        <v>44</v>
      </c>
      <c r="D2505" t="s">
        <v>1778</v>
      </c>
      <c r="F2505" s="21"/>
      <c r="G2505" s="16"/>
    </row>
    <row r="2506" spans="1:7" ht="15" x14ac:dyDescent="0.3">
      <c r="A2506" t="s">
        <v>44</v>
      </c>
      <c r="B2506" t="s">
        <v>44</v>
      </c>
      <c r="C2506" t="s">
        <v>44</v>
      </c>
      <c r="D2506" t="s">
        <v>1778</v>
      </c>
      <c r="F2506" s="21"/>
      <c r="G2506" s="16"/>
    </row>
    <row r="2507" spans="1:7" ht="15" x14ac:dyDescent="0.3">
      <c r="A2507">
        <v>41.649540000000002</v>
      </c>
      <c r="B2507">
        <v>-83.585999999999999</v>
      </c>
      <c r="C2507" t="s">
        <v>41</v>
      </c>
      <c r="D2507" t="s">
        <v>1083</v>
      </c>
      <c r="F2507" s="21"/>
      <c r="G2507" s="16" t="str">
        <f>HYPERLINK("http://maps.google.com/maps?f=q&amp;hl=en&amp;geocode=&amp;q=41.64954,-83.586")</f>
        <v>http://maps.google.com/maps?f=q&amp;hl=en&amp;geocode=&amp;q=41.64954,-83.586</v>
      </c>
    </row>
    <row r="2508" spans="1:7" ht="15" x14ac:dyDescent="0.3">
      <c r="A2508">
        <v>39.898059844970703</v>
      </c>
      <c r="B2508">
        <v>-75.211669921875</v>
      </c>
      <c r="C2508" t="s">
        <v>41</v>
      </c>
      <c r="D2508" t="s">
        <v>1779</v>
      </c>
      <c r="F2508" s="21"/>
      <c r="G2508" s="16" t="str">
        <f>HYPERLINK("http://maps.google.com/maps?f=q&amp;hl=en&amp;geocode=&amp;q=39.8980598449707,-75.211669921875")</f>
        <v>http://maps.google.com/maps?f=q&amp;hl=en&amp;geocode=&amp;q=39.8980598449707,-75.211669921875</v>
      </c>
    </row>
    <row r="2509" spans="1:7" ht="15" x14ac:dyDescent="0.3">
      <c r="A2509">
        <v>40.082297197918599</v>
      </c>
      <c r="B2509">
        <v>-97.102260858734496</v>
      </c>
      <c r="C2509" t="s">
        <v>41</v>
      </c>
      <c r="D2509" t="s">
        <v>63</v>
      </c>
      <c r="F2509" s="21"/>
      <c r="G2509" s="16" t="str">
        <f>HYPERLINK("http://maps.google.com/maps?f=q&amp;hl=en&amp;geocode=&amp;q=40.0822971979186,-97.1022608587345")</f>
        <v>http://maps.google.com/maps?f=q&amp;hl=en&amp;geocode=&amp;q=40.0822971979186,-97.1022608587345</v>
      </c>
    </row>
    <row r="2510" spans="1:7" ht="15" x14ac:dyDescent="0.3">
      <c r="A2510" t="s">
        <v>44</v>
      </c>
      <c r="B2510" t="s">
        <v>44</v>
      </c>
      <c r="C2510" t="s">
        <v>44</v>
      </c>
      <c r="D2510" t="s">
        <v>1004</v>
      </c>
      <c r="F2510" s="21"/>
      <c r="G2510" s="16"/>
    </row>
    <row r="2511" spans="1:7" ht="15" x14ac:dyDescent="0.3">
      <c r="A2511">
        <v>47.6390613078025</v>
      </c>
      <c r="B2511">
        <v>-92.621896396589705</v>
      </c>
      <c r="C2511" t="s">
        <v>41</v>
      </c>
      <c r="D2511" t="s">
        <v>1780</v>
      </c>
      <c r="F2511" s="21"/>
      <c r="G2511" s="16" t="str">
        <f>HYPERLINK("http://maps.google.com/maps?f=q&amp;hl=en&amp;geocode=&amp;q=47.6390613078025,-92.6218963965897")</f>
        <v>http://maps.google.com/maps?f=q&amp;hl=en&amp;geocode=&amp;q=47.6390613078025,-92.6218963965897</v>
      </c>
    </row>
    <row r="2512" spans="1:7" ht="15" x14ac:dyDescent="0.3">
      <c r="A2512">
        <v>32.291503288435599</v>
      </c>
      <c r="B2512">
        <v>-90.280717636374803</v>
      </c>
      <c r="C2512" t="s">
        <v>41</v>
      </c>
      <c r="D2512" t="s">
        <v>1781</v>
      </c>
      <c r="F2512" s="21"/>
      <c r="G2512" s="16" t="str">
        <f>HYPERLINK("http://maps.google.com/maps?f=q&amp;hl=en&amp;geocode=&amp;q=32.2915032884356,-90.2807176363748")</f>
        <v>http://maps.google.com/maps?f=q&amp;hl=en&amp;geocode=&amp;q=32.2915032884356,-90.2807176363748</v>
      </c>
    </row>
    <row r="2513" spans="1:7" ht="15" x14ac:dyDescent="0.3">
      <c r="A2513">
        <v>41.545448303222699</v>
      </c>
      <c r="B2513">
        <v>-76.742660522460895</v>
      </c>
      <c r="C2513" t="s">
        <v>43</v>
      </c>
      <c r="D2513" t="s">
        <v>1782</v>
      </c>
      <c r="F2513" s="21"/>
      <c r="G2513" s="16" t="str">
        <f>HYPERLINK("http://maps.google.com/maps?f=q&amp;hl=en&amp;geocode=&amp;q=41.5454483032227,-76.7426605224609")</f>
        <v>http://maps.google.com/maps?f=q&amp;hl=en&amp;geocode=&amp;q=41.5454483032227,-76.7426605224609</v>
      </c>
    </row>
    <row r="2514" spans="1:7" ht="15" x14ac:dyDescent="0.3">
      <c r="A2514">
        <v>41.545448303222699</v>
      </c>
      <c r="B2514">
        <v>-76.742660522460895</v>
      </c>
      <c r="C2514" t="s">
        <v>43</v>
      </c>
      <c r="D2514" t="s">
        <v>1782</v>
      </c>
      <c r="F2514" s="21"/>
      <c r="G2514" s="16" t="str">
        <f>HYPERLINK("http://maps.google.com/maps?f=q&amp;hl=en&amp;geocode=&amp;q=41.5454483032227,-76.7426605224609")</f>
        <v>http://maps.google.com/maps?f=q&amp;hl=en&amp;geocode=&amp;q=41.5454483032227,-76.7426605224609</v>
      </c>
    </row>
    <row r="2515" spans="1:7" ht="15" x14ac:dyDescent="0.3">
      <c r="A2515">
        <v>36.137649536132798</v>
      </c>
      <c r="B2515">
        <v>45.090461730957003</v>
      </c>
      <c r="C2515" t="s">
        <v>41</v>
      </c>
      <c r="D2515" t="s">
        <v>1783</v>
      </c>
      <c r="F2515" s="21"/>
      <c r="G2515" s="16" t="str">
        <f>HYPERLINK("http://maps.google.com/maps?f=q&amp;hl=en&amp;geocode=&amp;q=36.1376495361328,45.090461730957")</f>
        <v>http://maps.google.com/maps?f=q&amp;hl=en&amp;geocode=&amp;q=36.1376495361328,45.090461730957</v>
      </c>
    </row>
    <row r="2516" spans="1:7" ht="15" x14ac:dyDescent="0.3">
      <c r="A2516">
        <v>39.151271820068402</v>
      </c>
      <c r="B2516">
        <v>-76.764373779296903</v>
      </c>
      <c r="C2516" t="s">
        <v>43</v>
      </c>
      <c r="D2516" t="s">
        <v>869</v>
      </c>
      <c r="F2516" s="21"/>
      <c r="G2516" s="16" t="str">
        <f>HYPERLINK("http://maps.google.com/maps?f=q&amp;hl=en&amp;geocode=&amp;q=39.1512718200684,-76.7643737792969")</f>
        <v>http://maps.google.com/maps?f=q&amp;hl=en&amp;geocode=&amp;q=39.1512718200684,-76.7643737792969</v>
      </c>
    </row>
    <row r="2517" spans="1:7" ht="15" x14ac:dyDescent="0.3">
      <c r="A2517">
        <v>39.151271820068402</v>
      </c>
      <c r="B2517">
        <v>-76.764373779296903</v>
      </c>
      <c r="C2517" t="s">
        <v>43</v>
      </c>
      <c r="D2517" t="s">
        <v>1200</v>
      </c>
      <c r="F2517" s="21"/>
      <c r="G2517" s="16" t="str">
        <f>HYPERLINK("http://maps.google.com/maps?f=q&amp;hl=en&amp;geocode=&amp;q=39.1512718200684,-76.7643737792969")</f>
        <v>http://maps.google.com/maps?f=q&amp;hl=en&amp;geocode=&amp;q=39.1512718200684,-76.7643737792969</v>
      </c>
    </row>
    <row r="2518" spans="1:7" ht="15" x14ac:dyDescent="0.3">
      <c r="A2518">
        <v>39.151271820068402</v>
      </c>
      <c r="B2518">
        <v>-76.764373779296903</v>
      </c>
      <c r="C2518" t="s">
        <v>43</v>
      </c>
      <c r="D2518" t="s">
        <v>869</v>
      </c>
      <c r="F2518" s="21"/>
      <c r="G2518" s="16" t="str">
        <f>HYPERLINK("http://maps.google.com/maps?f=q&amp;hl=en&amp;geocode=&amp;q=39.1512718200684,-76.7643737792969")</f>
        <v>http://maps.google.com/maps?f=q&amp;hl=en&amp;geocode=&amp;q=39.1512718200684,-76.7643737792969</v>
      </c>
    </row>
    <row r="2519" spans="1:7" ht="15" x14ac:dyDescent="0.3">
      <c r="A2519">
        <v>49.571178436279297</v>
      </c>
      <c r="B2519">
        <v>6.1486029624939</v>
      </c>
      <c r="C2519" t="s">
        <v>41</v>
      </c>
      <c r="D2519" t="s">
        <v>1784</v>
      </c>
      <c r="F2519" s="21"/>
      <c r="G2519" s="16" t="str">
        <f>HYPERLINK("http://maps.google.com/maps?f=q&amp;hl=en&amp;geocode=&amp;q=49.5711784362793,6.1486029624939")</f>
        <v>http://maps.google.com/maps?f=q&amp;hl=en&amp;geocode=&amp;q=49.5711784362793,6.1486029624939</v>
      </c>
    </row>
    <row r="2520" spans="1:7" ht="15" x14ac:dyDescent="0.3">
      <c r="A2520">
        <v>39.950510000000001</v>
      </c>
      <c r="B2520">
        <v>-75.222650000000002</v>
      </c>
      <c r="C2520" t="s">
        <v>41</v>
      </c>
      <c r="D2520" t="s">
        <v>1785</v>
      </c>
      <c r="F2520" s="21"/>
      <c r="G2520" s="16" t="str">
        <f>HYPERLINK("http://maps.google.com/maps?f=q&amp;hl=en&amp;geocode=&amp;q=39.95051,-75.22265")</f>
        <v>http://maps.google.com/maps?f=q&amp;hl=en&amp;geocode=&amp;q=39.95051,-75.22265</v>
      </c>
    </row>
    <row r="2521" spans="1:7" ht="15" x14ac:dyDescent="0.3">
      <c r="A2521">
        <v>39.950800000000001</v>
      </c>
      <c r="B2521">
        <v>-75.224919999999997</v>
      </c>
      <c r="C2521" t="s">
        <v>41</v>
      </c>
      <c r="D2521" t="s">
        <v>213</v>
      </c>
      <c r="F2521" s="21"/>
      <c r="G2521" s="16" t="str">
        <f>HYPERLINK("http://maps.google.com/maps?f=q&amp;hl=en&amp;geocode=&amp;q=39.9508,-75.22492")</f>
        <v>http://maps.google.com/maps?f=q&amp;hl=en&amp;geocode=&amp;q=39.9508,-75.22492</v>
      </c>
    </row>
    <row r="2522" spans="1:7" ht="15" x14ac:dyDescent="0.3">
      <c r="A2522">
        <v>40.229881286621101</v>
      </c>
      <c r="B2522">
        <v>-74.936637878417997</v>
      </c>
      <c r="C2522" t="s">
        <v>41</v>
      </c>
      <c r="D2522" t="s">
        <v>1786</v>
      </c>
      <c r="F2522" s="21"/>
      <c r="G2522" s="16" t="str">
        <f>HYPERLINK("http://maps.google.com/maps?f=q&amp;hl=en&amp;geocode=&amp;q=40.2298812866211,-74.936637878418")</f>
        <v>http://maps.google.com/maps?f=q&amp;hl=en&amp;geocode=&amp;q=40.2298812866211,-74.936637878418</v>
      </c>
    </row>
    <row r="2523" spans="1:7" ht="15" x14ac:dyDescent="0.3">
      <c r="A2523">
        <v>54.785730000000001</v>
      </c>
      <c r="B2523">
        <v>11.88283</v>
      </c>
      <c r="C2523" t="s">
        <v>41</v>
      </c>
      <c r="D2523" t="s">
        <v>1787</v>
      </c>
      <c r="F2523" s="21"/>
      <c r="G2523" s="16" t="str">
        <f>HYPERLINK("http://maps.google.com/maps?f=q&amp;hl=en&amp;geocode=&amp;q=54.78573,11.88283")</f>
        <v>http://maps.google.com/maps?f=q&amp;hl=en&amp;geocode=&amp;q=54.78573,11.88283</v>
      </c>
    </row>
    <row r="2524" spans="1:7" ht="15" x14ac:dyDescent="0.3">
      <c r="A2524">
        <v>44.641788482666001</v>
      </c>
      <c r="B2524">
        <v>-89.736740112304702</v>
      </c>
      <c r="C2524" t="s">
        <v>41</v>
      </c>
      <c r="D2524" t="s">
        <v>1788</v>
      </c>
      <c r="F2524" s="21"/>
      <c r="G2524" s="16" t="str">
        <f>HYPERLINK("http://maps.google.com/maps?f=q&amp;hl=en&amp;geocode=&amp;q=44.641788482666,-89.7367401123047")</f>
        <v>http://maps.google.com/maps?f=q&amp;hl=en&amp;geocode=&amp;q=44.641788482666,-89.7367401123047</v>
      </c>
    </row>
    <row r="2525" spans="1:7" ht="15" x14ac:dyDescent="0.3">
      <c r="A2525">
        <v>40.080117670576101</v>
      </c>
      <c r="B2525">
        <v>-75.7621312149913</v>
      </c>
      <c r="C2525" t="s">
        <v>41</v>
      </c>
      <c r="D2525" t="s">
        <v>1789</v>
      </c>
      <c r="F2525" s="21"/>
      <c r="G2525" s="16" t="str">
        <f>HYPERLINK("http://maps.google.com/maps?f=q&amp;hl=en&amp;geocode=&amp;q=40.0801176705761,-75.7621312149913")</f>
        <v>http://maps.google.com/maps?f=q&amp;hl=en&amp;geocode=&amp;q=40.0801176705761,-75.7621312149913</v>
      </c>
    </row>
    <row r="2526" spans="1:7" ht="15" x14ac:dyDescent="0.3">
      <c r="A2526">
        <v>31.908686250629199</v>
      </c>
      <c r="B2526">
        <v>-92.103391706974094</v>
      </c>
      <c r="C2526" t="s">
        <v>42</v>
      </c>
      <c r="D2526" t="s">
        <v>1790</v>
      </c>
      <c r="F2526" s="21"/>
      <c r="G2526" s="16" t="str">
        <f>HYPERLINK("http://maps.google.com/maps?f=q&amp;hl=en&amp;geocode=&amp;q=31.9086862506292,-92.1033917069741")</f>
        <v>http://maps.google.com/maps?f=q&amp;hl=en&amp;geocode=&amp;q=31.9086862506292,-92.1033917069741</v>
      </c>
    </row>
    <row r="2527" spans="1:7" ht="15" x14ac:dyDescent="0.3">
      <c r="A2527">
        <v>33.494928043533697</v>
      </c>
      <c r="B2527">
        <v>-112.027866799196</v>
      </c>
      <c r="C2527" t="s">
        <v>42</v>
      </c>
      <c r="D2527" t="s">
        <v>1734</v>
      </c>
      <c r="F2527" s="21"/>
      <c r="G2527" s="16" t="str">
        <f>HYPERLINK("http://maps.google.com/maps?f=q&amp;hl=en&amp;geocode=&amp;q=33.4949280435337,-112.027866799196")</f>
        <v>http://maps.google.com/maps?f=q&amp;hl=en&amp;geocode=&amp;q=33.4949280435337,-112.027866799196</v>
      </c>
    </row>
    <row r="2528" spans="1:7" ht="15" x14ac:dyDescent="0.3">
      <c r="A2528">
        <v>35.260855036395697</v>
      </c>
      <c r="B2528">
        <v>-114.01168796303701</v>
      </c>
      <c r="C2528" t="s">
        <v>41</v>
      </c>
      <c r="D2528" t="s">
        <v>1791</v>
      </c>
      <c r="F2528" s="21"/>
      <c r="G2528" s="16" t="str">
        <f>HYPERLINK("http://maps.google.com/maps?f=q&amp;hl=en&amp;geocode=&amp;q=35.2608550363957,-114.011687963037")</f>
        <v>http://maps.google.com/maps?f=q&amp;hl=en&amp;geocode=&amp;q=35.2608550363957,-114.011687963037</v>
      </c>
    </row>
    <row r="2529" spans="1:7" ht="15" x14ac:dyDescent="0.3">
      <c r="A2529">
        <v>42.880218505859403</v>
      </c>
      <c r="B2529">
        <v>-112.65567016601599</v>
      </c>
      <c r="C2529" t="s">
        <v>43</v>
      </c>
      <c r="D2529" t="s">
        <v>1792</v>
      </c>
      <c r="F2529" s="21"/>
      <c r="G2529" s="16" t="str">
        <f>HYPERLINK("http://maps.google.com/maps?f=q&amp;hl=en&amp;geocode=&amp;q=42.8802185058594,-112.655670166016")</f>
        <v>http://maps.google.com/maps?f=q&amp;hl=en&amp;geocode=&amp;q=42.8802185058594,-112.655670166016</v>
      </c>
    </row>
    <row r="2530" spans="1:7" ht="15" x14ac:dyDescent="0.3">
      <c r="A2530" t="s">
        <v>44</v>
      </c>
      <c r="B2530" t="s">
        <v>44</v>
      </c>
      <c r="C2530" t="s">
        <v>44</v>
      </c>
      <c r="D2530" t="s">
        <v>1793</v>
      </c>
      <c r="F2530" s="21"/>
      <c r="G2530" s="16"/>
    </row>
    <row r="2531" spans="1:7" ht="15" x14ac:dyDescent="0.3">
      <c r="A2531">
        <v>50.068752288818402</v>
      </c>
      <c r="B2531">
        <v>-85.828125</v>
      </c>
      <c r="C2531" t="s">
        <v>41</v>
      </c>
      <c r="D2531" t="s">
        <v>1794</v>
      </c>
      <c r="F2531" s="21"/>
      <c r="G2531" s="16" t="str">
        <f>HYPERLINK("http://maps.google.com/maps?f=q&amp;hl=en&amp;geocode=&amp;q=50.0687522888184,-85.828125")</f>
        <v>http://maps.google.com/maps?f=q&amp;hl=en&amp;geocode=&amp;q=50.0687522888184,-85.828125</v>
      </c>
    </row>
    <row r="2532" spans="1:7" ht="15" x14ac:dyDescent="0.3">
      <c r="A2532">
        <v>38.736068725585902</v>
      </c>
      <c r="B2532">
        <v>-9.3908939361572301</v>
      </c>
      <c r="C2532" t="s">
        <v>41</v>
      </c>
      <c r="D2532" t="s">
        <v>1795</v>
      </c>
      <c r="F2532" s="21"/>
      <c r="G2532" s="16" t="str">
        <f>HYPERLINK("http://maps.google.com/maps?f=q&amp;hl=en&amp;geocode=&amp;q=38.7360687255859,-9.39089393615723")</f>
        <v>http://maps.google.com/maps?f=q&amp;hl=en&amp;geocode=&amp;q=38.7360687255859,-9.39089393615723</v>
      </c>
    </row>
    <row r="2533" spans="1:7" ht="15" x14ac:dyDescent="0.3">
      <c r="A2533">
        <v>39.926909999999999</v>
      </c>
      <c r="B2533">
        <v>-75.231480000000005</v>
      </c>
      <c r="C2533" t="s">
        <v>41</v>
      </c>
      <c r="D2533" t="s">
        <v>1796</v>
      </c>
      <c r="F2533" s="21"/>
      <c r="G2533" s="16" t="str">
        <f>HYPERLINK("http://maps.google.com/maps?f=q&amp;hl=en&amp;geocode=&amp;q=39.92691,-75.23148")</f>
        <v>http://maps.google.com/maps?f=q&amp;hl=en&amp;geocode=&amp;q=39.92691,-75.23148</v>
      </c>
    </row>
    <row r="2534" spans="1:7" ht="15" x14ac:dyDescent="0.3">
      <c r="A2534">
        <v>39.121499999999997</v>
      </c>
      <c r="B2534">
        <v>-85.133229999999998</v>
      </c>
      <c r="C2534" t="s">
        <v>41</v>
      </c>
      <c r="D2534" t="s">
        <v>1797</v>
      </c>
      <c r="F2534" s="21"/>
      <c r="G2534" s="16" t="str">
        <f>HYPERLINK("http://maps.google.com/maps?f=q&amp;hl=en&amp;geocode=&amp;q=39.1215,-85.13323")</f>
        <v>http://maps.google.com/maps?f=q&amp;hl=en&amp;geocode=&amp;q=39.1215,-85.13323</v>
      </c>
    </row>
    <row r="2535" spans="1:7" ht="15" x14ac:dyDescent="0.3">
      <c r="A2535">
        <v>33.9490648575416</v>
      </c>
      <c r="B2535">
        <v>-83.469710837533995</v>
      </c>
      <c r="C2535" t="s">
        <v>41</v>
      </c>
      <c r="D2535" t="s">
        <v>1798</v>
      </c>
      <c r="F2535" s="21"/>
      <c r="G2535" s="16" t="str">
        <f>HYPERLINK("http://maps.google.com/maps?f=q&amp;hl=en&amp;geocode=&amp;q=33.9490648575416,-83.469710837534")</f>
        <v>http://maps.google.com/maps?f=q&amp;hl=en&amp;geocode=&amp;q=33.9490648575416,-83.469710837534</v>
      </c>
    </row>
    <row r="2536" spans="1:7" ht="15" x14ac:dyDescent="0.3">
      <c r="A2536">
        <v>39.865511624769297</v>
      </c>
      <c r="B2536">
        <v>-75.523476531166395</v>
      </c>
      <c r="C2536" t="s">
        <v>41</v>
      </c>
      <c r="D2536" t="s">
        <v>1645</v>
      </c>
      <c r="F2536" s="21"/>
      <c r="G2536" s="16" t="str">
        <f>HYPERLINK("http://maps.google.com/maps?f=q&amp;hl=en&amp;geocode=&amp;q=39.8655116247693,-75.5234765311664")</f>
        <v>http://maps.google.com/maps?f=q&amp;hl=en&amp;geocode=&amp;q=39.8655116247693,-75.5234765311664</v>
      </c>
    </row>
    <row r="2537" spans="1:7" ht="15" x14ac:dyDescent="0.3">
      <c r="A2537">
        <v>37.194240570068402</v>
      </c>
      <c r="B2537">
        <v>-8.5855684280395508</v>
      </c>
      <c r="C2537" t="s">
        <v>41</v>
      </c>
      <c r="D2537" t="s">
        <v>344</v>
      </c>
      <c r="F2537" s="21"/>
      <c r="G2537" s="16" t="str">
        <f>HYPERLINK("http://maps.google.com/maps?f=q&amp;hl=en&amp;geocode=&amp;q=37.1942405700684,-8.58556842803955")</f>
        <v>http://maps.google.com/maps?f=q&amp;hl=en&amp;geocode=&amp;q=37.1942405700684,-8.58556842803955</v>
      </c>
    </row>
    <row r="2538" spans="1:7" ht="15" x14ac:dyDescent="0.3">
      <c r="A2538">
        <v>37.132553100585902</v>
      </c>
      <c r="B2538">
        <v>-8.4525938034057599</v>
      </c>
      <c r="C2538" t="s">
        <v>43</v>
      </c>
      <c r="D2538" t="s">
        <v>1799</v>
      </c>
      <c r="F2538" s="21"/>
      <c r="G2538" s="16" t="str">
        <f>HYPERLINK("http://maps.google.com/maps?f=q&amp;hl=en&amp;geocode=&amp;q=37.1325531005859,-8.45259380340576")</f>
        <v>http://maps.google.com/maps?f=q&amp;hl=en&amp;geocode=&amp;q=37.1325531005859,-8.45259380340576</v>
      </c>
    </row>
    <row r="2539" spans="1:7" ht="15" x14ac:dyDescent="0.3">
      <c r="A2539">
        <v>37.132553100585902</v>
      </c>
      <c r="B2539">
        <v>-8.4525938034057599</v>
      </c>
      <c r="C2539" t="s">
        <v>43</v>
      </c>
      <c r="D2539" t="s">
        <v>1799</v>
      </c>
      <c r="F2539" s="21"/>
      <c r="G2539" s="16" t="str">
        <f>HYPERLINK("http://maps.google.com/maps?f=q&amp;hl=en&amp;geocode=&amp;q=37.1325531005859,-8.45259380340576")</f>
        <v>http://maps.google.com/maps?f=q&amp;hl=en&amp;geocode=&amp;q=37.1325531005859,-8.45259380340576</v>
      </c>
    </row>
    <row r="2540" spans="1:7" ht="15" x14ac:dyDescent="0.3">
      <c r="A2540" t="s">
        <v>44</v>
      </c>
      <c r="B2540" t="s">
        <v>44</v>
      </c>
      <c r="C2540" t="s">
        <v>44</v>
      </c>
      <c r="D2540" t="s">
        <v>1800</v>
      </c>
      <c r="F2540" s="21"/>
      <c r="G2540" s="16"/>
    </row>
    <row r="2541" spans="1:7" ht="15" x14ac:dyDescent="0.3">
      <c r="A2541">
        <v>-32.476999900000003</v>
      </c>
      <c r="B2541">
        <v>115.78574</v>
      </c>
      <c r="C2541" t="s">
        <v>41</v>
      </c>
      <c r="D2541" t="s">
        <v>306</v>
      </c>
      <c r="F2541" s="21"/>
      <c r="G2541" s="16" t="str">
        <f>HYPERLINK("http://maps.google.com/maps?f=q&amp;hl=en&amp;geocode=&amp;q=-32.4769999,115.78574")</f>
        <v>http://maps.google.com/maps?f=q&amp;hl=en&amp;geocode=&amp;q=-32.4769999,115.78574</v>
      </c>
    </row>
    <row r="2542" spans="1:7" ht="15" x14ac:dyDescent="0.3">
      <c r="A2542">
        <v>32.884086878069098</v>
      </c>
      <c r="B2542">
        <v>-96.709125489541094</v>
      </c>
      <c r="C2542" t="s">
        <v>41</v>
      </c>
      <c r="D2542" t="s">
        <v>1801</v>
      </c>
      <c r="F2542" s="21"/>
      <c r="G2542" s="16" t="str">
        <f>HYPERLINK("http://maps.google.com/maps?f=q&amp;hl=en&amp;geocode=&amp;q=32.8840868780691,-96.7091254895411")</f>
        <v>http://maps.google.com/maps?f=q&amp;hl=en&amp;geocode=&amp;q=32.8840868780691,-96.7091254895411</v>
      </c>
    </row>
    <row r="2543" spans="1:7" ht="15" x14ac:dyDescent="0.3">
      <c r="A2543">
        <v>46.404441833496101</v>
      </c>
      <c r="B2543">
        <v>-113.440269470215</v>
      </c>
      <c r="C2543" t="s">
        <v>41</v>
      </c>
      <c r="D2543" t="s">
        <v>1802</v>
      </c>
      <c r="F2543" s="21"/>
      <c r="G2543" s="16" t="str">
        <f>HYPERLINK("http://maps.google.com/maps?f=q&amp;hl=en&amp;geocode=&amp;q=46.4044418334961,-113.440269470215")</f>
        <v>http://maps.google.com/maps?f=q&amp;hl=en&amp;geocode=&amp;q=46.4044418334961,-113.440269470215</v>
      </c>
    </row>
    <row r="2544" spans="1:7" ht="15" x14ac:dyDescent="0.3">
      <c r="A2544">
        <v>39.819722201545297</v>
      </c>
      <c r="B2544">
        <v>-96.675649653901999</v>
      </c>
      <c r="C2544" t="s">
        <v>43</v>
      </c>
      <c r="D2544" t="s">
        <v>1803</v>
      </c>
      <c r="F2544" s="21"/>
      <c r="G2544" s="16" t="str">
        <f>HYPERLINK("http://maps.google.com/maps?f=q&amp;hl=en&amp;geocode=&amp;q=39.8197222015453,-96.675649653902")</f>
        <v>http://maps.google.com/maps?f=q&amp;hl=en&amp;geocode=&amp;q=39.8197222015453,-96.675649653902</v>
      </c>
    </row>
    <row r="2545" spans="1:7" ht="15" x14ac:dyDescent="0.3">
      <c r="A2545" t="s">
        <v>44</v>
      </c>
      <c r="B2545" t="s">
        <v>44</v>
      </c>
      <c r="C2545" t="s">
        <v>44</v>
      </c>
      <c r="D2545" t="s">
        <v>1804</v>
      </c>
      <c r="F2545" s="21"/>
      <c r="G2545" s="16"/>
    </row>
    <row r="2546" spans="1:7" ht="15" x14ac:dyDescent="0.3">
      <c r="A2546" t="s">
        <v>44</v>
      </c>
      <c r="B2546" t="s">
        <v>44</v>
      </c>
      <c r="C2546" t="s">
        <v>44</v>
      </c>
      <c r="D2546" t="s">
        <v>1804</v>
      </c>
      <c r="F2546" s="21"/>
      <c r="G2546" s="16"/>
    </row>
    <row r="2547" spans="1:7" ht="15" x14ac:dyDescent="0.3">
      <c r="A2547">
        <v>40.2458142252881</v>
      </c>
      <c r="B2547">
        <v>-111.649502806938</v>
      </c>
      <c r="C2547" t="s">
        <v>43</v>
      </c>
      <c r="D2547" t="s">
        <v>1666</v>
      </c>
      <c r="F2547" s="21"/>
      <c r="G2547" s="16" t="str">
        <f>HYPERLINK("http://maps.google.com/maps?f=q&amp;hl=en&amp;geocode=&amp;q=40.2458142252881,-111.649502806938")</f>
        <v>http://maps.google.com/maps?f=q&amp;hl=en&amp;geocode=&amp;q=40.2458142252881,-111.649502806938</v>
      </c>
    </row>
    <row r="2548" spans="1:7" ht="15" x14ac:dyDescent="0.3">
      <c r="A2548">
        <v>37.132553100585902</v>
      </c>
      <c r="B2548">
        <v>-8.4525938034057599</v>
      </c>
      <c r="C2548" t="s">
        <v>43</v>
      </c>
      <c r="D2548" t="s">
        <v>1799</v>
      </c>
      <c r="F2548" s="21"/>
      <c r="G2548" s="16" t="str">
        <f>HYPERLINK("http://maps.google.com/maps?f=q&amp;hl=en&amp;geocode=&amp;q=37.1325531005859,-8.45259380340576")</f>
        <v>http://maps.google.com/maps?f=q&amp;hl=en&amp;geocode=&amp;q=37.1325531005859,-8.45259380340576</v>
      </c>
    </row>
    <row r="2549" spans="1:7" ht="15" x14ac:dyDescent="0.3">
      <c r="A2549">
        <v>-31.950477600097699</v>
      </c>
      <c r="B2549">
        <v>115.86053466796901</v>
      </c>
      <c r="C2549" t="s">
        <v>43</v>
      </c>
      <c r="D2549" t="s">
        <v>197</v>
      </c>
      <c r="F2549" s="21"/>
      <c r="G2549" s="16" t="str">
        <f>HYPERLINK("http://maps.google.com/maps?f=q&amp;hl=en&amp;geocode=&amp;q=-31.9504776000977,115.860534667969")</f>
        <v>http://maps.google.com/maps?f=q&amp;hl=en&amp;geocode=&amp;q=-31.9504776000977,115.860534667969</v>
      </c>
    </row>
    <row r="2550" spans="1:7" ht="15" x14ac:dyDescent="0.3">
      <c r="A2550">
        <v>34.0690269681999</v>
      </c>
      <c r="B2550">
        <v>-118.457722675037</v>
      </c>
      <c r="C2550" t="s">
        <v>41</v>
      </c>
      <c r="D2550" t="s">
        <v>95</v>
      </c>
      <c r="F2550" s="21"/>
      <c r="G2550" s="16" t="str">
        <f>HYPERLINK("http://maps.google.com/maps?f=q&amp;hl=en&amp;geocode=&amp;q=34.0690269681999,-118.457722675037")</f>
        <v>http://maps.google.com/maps?f=q&amp;hl=en&amp;geocode=&amp;q=34.0690269681999,-118.457722675037</v>
      </c>
    </row>
    <row r="2551" spans="1:7" ht="15" x14ac:dyDescent="0.3">
      <c r="A2551">
        <v>40.094047471735003</v>
      </c>
      <c r="B2551">
        <v>-75.030960385539103</v>
      </c>
      <c r="C2551" t="s">
        <v>41</v>
      </c>
      <c r="D2551" t="s">
        <v>1768</v>
      </c>
      <c r="F2551" s="21"/>
      <c r="G2551" s="16" t="str">
        <f>HYPERLINK("http://maps.google.com/maps?f=q&amp;hl=en&amp;geocode=&amp;q=40.094047471735,-75.0309603855391")</f>
        <v>http://maps.google.com/maps?f=q&amp;hl=en&amp;geocode=&amp;q=40.094047471735,-75.0309603855391</v>
      </c>
    </row>
    <row r="2552" spans="1:7" ht="15" x14ac:dyDescent="0.3">
      <c r="A2552">
        <v>40.038110000000003</v>
      </c>
      <c r="B2552">
        <v>-75.222769999999997</v>
      </c>
      <c r="C2552" t="s">
        <v>41</v>
      </c>
      <c r="D2552" t="s">
        <v>1805</v>
      </c>
      <c r="F2552" s="21"/>
      <c r="G2552" s="16" t="str">
        <f>HYPERLINK("http://maps.google.com/maps?f=q&amp;hl=en&amp;geocode=&amp;q=40.03811,-75.22277")</f>
        <v>http://maps.google.com/maps?f=q&amp;hl=en&amp;geocode=&amp;q=40.03811,-75.22277</v>
      </c>
    </row>
    <row r="2553" spans="1:7" ht="15" x14ac:dyDescent="0.3">
      <c r="A2553">
        <v>55.459780000000002</v>
      </c>
      <c r="B2553">
        <v>11.20115</v>
      </c>
      <c r="C2553" t="s">
        <v>41</v>
      </c>
      <c r="D2553" t="s">
        <v>757</v>
      </c>
      <c r="F2553" s="21"/>
      <c r="G2553" s="16" t="str">
        <f>HYPERLINK("http://maps.google.com/maps?f=q&amp;hl=en&amp;geocode=&amp;q=55.45978,11.20115")</f>
        <v>http://maps.google.com/maps?f=q&amp;hl=en&amp;geocode=&amp;q=55.45978,11.20115</v>
      </c>
    </row>
    <row r="2554" spans="1:7" ht="15" x14ac:dyDescent="0.3">
      <c r="A2554" t="s">
        <v>44</v>
      </c>
      <c r="B2554" t="s">
        <v>44</v>
      </c>
      <c r="C2554" t="s">
        <v>44</v>
      </c>
      <c r="D2554" t="s">
        <v>1806</v>
      </c>
      <c r="F2554" s="21"/>
      <c r="G2554" s="16"/>
    </row>
    <row r="2555" spans="1:7" ht="15" x14ac:dyDescent="0.3">
      <c r="A2555">
        <v>43.486681066334903</v>
      </c>
      <c r="B2555">
        <v>-114.27448091434501</v>
      </c>
      <c r="C2555" t="s">
        <v>41</v>
      </c>
      <c r="D2555" t="s">
        <v>1807</v>
      </c>
      <c r="F2555" s="21"/>
      <c r="G2555" s="16" t="str">
        <f>HYPERLINK("http://maps.google.com/maps?f=q&amp;hl=en&amp;geocode=&amp;q=43.4866810663349,-114.274480914345")</f>
        <v>http://maps.google.com/maps?f=q&amp;hl=en&amp;geocode=&amp;q=43.4866810663349,-114.274480914345</v>
      </c>
    </row>
    <row r="2556" spans="1:7" ht="15" x14ac:dyDescent="0.3">
      <c r="A2556">
        <v>39.112450000000003</v>
      </c>
      <c r="B2556">
        <v>-77.15213</v>
      </c>
      <c r="C2556" t="s">
        <v>42</v>
      </c>
      <c r="D2556" t="s">
        <v>1808</v>
      </c>
      <c r="F2556" s="21"/>
      <c r="G2556" s="16" t="str">
        <f>HYPERLINK("http://maps.google.com/maps?f=q&amp;hl=en&amp;geocode=&amp;q=39.11245,-77.15213")</f>
        <v>http://maps.google.com/maps?f=q&amp;hl=en&amp;geocode=&amp;q=39.11245,-77.15213</v>
      </c>
    </row>
    <row r="2557" spans="1:7" ht="15" x14ac:dyDescent="0.3">
      <c r="A2557">
        <v>33.399751744657699</v>
      </c>
      <c r="B2557">
        <v>-86.6530844590025</v>
      </c>
      <c r="C2557" t="s">
        <v>41</v>
      </c>
      <c r="D2557" t="s">
        <v>1809</v>
      </c>
      <c r="F2557" s="21"/>
      <c r="G2557" s="16" t="str">
        <f>HYPERLINK("http://maps.google.com/maps?f=q&amp;hl=en&amp;geocode=&amp;q=33.3997517446577,-86.6530844590025")</f>
        <v>http://maps.google.com/maps?f=q&amp;hl=en&amp;geocode=&amp;q=33.3997517446577,-86.6530844590025</v>
      </c>
    </row>
    <row r="2558" spans="1:7" ht="15" x14ac:dyDescent="0.3">
      <c r="A2558">
        <v>39.983611469425803</v>
      </c>
      <c r="B2558">
        <v>-75.148286804975498</v>
      </c>
      <c r="C2558" t="s">
        <v>41</v>
      </c>
      <c r="D2558" t="s">
        <v>1770</v>
      </c>
      <c r="F2558" s="21"/>
      <c r="G2558" s="16" t="str">
        <f>HYPERLINK("http://maps.google.com/maps?f=q&amp;hl=en&amp;geocode=&amp;q=39.9836114694258,-75.1482868049755")</f>
        <v>http://maps.google.com/maps?f=q&amp;hl=en&amp;geocode=&amp;q=39.9836114694258,-75.1482868049755</v>
      </c>
    </row>
    <row r="2559" spans="1:7" ht="15" x14ac:dyDescent="0.3">
      <c r="A2559">
        <v>45.572761535644503</v>
      </c>
      <c r="B2559">
        <v>-70.8441162109375</v>
      </c>
      <c r="C2559" t="s">
        <v>41</v>
      </c>
      <c r="D2559" t="s">
        <v>1810</v>
      </c>
      <c r="F2559" s="21"/>
      <c r="G2559" s="16" t="str">
        <f>HYPERLINK("http://maps.google.com/maps?f=q&amp;hl=en&amp;geocode=&amp;q=45.5727615356445,-70.8441162109375")</f>
        <v>http://maps.google.com/maps?f=q&amp;hl=en&amp;geocode=&amp;q=45.5727615356445,-70.8441162109375</v>
      </c>
    </row>
    <row r="2560" spans="1:7" ht="15" x14ac:dyDescent="0.3">
      <c r="A2560">
        <v>43.038894966599599</v>
      </c>
      <c r="B2560">
        <v>-91.181204309974106</v>
      </c>
      <c r="C2560" t="s">
        <v>41</v>
      </c>
      <c r="D2560" t="s">
        <v>1811</v>
      </c>
      <c r="F2560" s="21"/>
      <c r="G2560" s="16" t="str">
        <f>HYPERLINK("http://maps.google.com/maps?f=q&amp;hl=en&amp;geocode=&amp;q=43.0388949665996,-91.1812043099741")</f>
        <v>http://maps.google.com/maps?f=q&amp;hl=en&amp;geocode=&amp;q=43.0388949665996,-91.1812043099741</v>
      </c>
    </row>
    <row r="2561" spans="1:7" ht="15" x14ac:dyDescent="0.3">
      <c r="A2561" t="s">
        <v>44</v>
      </c>
      <c r="B2561" t="s">
        <v>44</v>
      </c>
      <c r="C2561" t="s">
        <v>44</v>
      </c>
      <c r="D2561" t="s">
        <v>1812</v>
      </c>
      <c r="F2561" s="21"/>
      <c r="G2561" s="16"/>
    </row>
    <row r="2562" spans="1:7" ht="15" x14ac:dyDescent="0.3">
      <c r="A2562">
        <v>36.385362880786403</v>
      </c>
      <c r="B2562">
        <v>-78.626081207609204</v>
      </c>
      <c r="C2562" t="s">
        <v>41</v>
      </c>
      <c r="D2562" t="s">
        <v>308</v>
      </c>
      <c r="F2562" s="21"/>
      <c r="G2562" s="16" t="str">
        <f>HYPERLINK("http://maps.google.com/maps?f=q&amp;hl=en&amp;geocode=&amp;q=36.3853628807864,-78.6260812076092")</f>
        <v>http://maps.google.com/maps?f=q&amp;hl=en&amp;geocode=&amp;q=36.3853628807864,-78.6260812076092</v>
      </c>
    </row>
    <row r="2563" spans="1:7" ht="15" x14ac:dyDescent="0.3">
      <c r="A2563">
        <v>39.973739999999999</v>
      </c>
      <c r="B2563">
        <v>-75.246589999999998</v>
      </c>
      <c r="C2563" t="s">
        <v>41</v>
      </c>
      <c r="D2563" t="s">
        <v>1813</v>
      </c>
      <c r="F2563" s="21"/>
      <c r="G2563" s="16" t="str">
        <f>HYPERLINK("http://maps.google.com/maps?f=q&amp;hl=en&amp;geocode=&amp;q=39.97374,-75.24659")</f>
        <v>http://maps.google.com/maps?f=q&amp;hl=en&amp;geocode=&amp;q=39.97374,-75.24659</v>
      </c>
    </row>
    <row r="2564" spans="1:7" ht="15" x14ac:dyDescent="0.3">
      <c r="A2564">
        <v>38.722872853591603</v>
      </c>
      <c r="B2564">
        <v>-88.083472364597895</v>
      </c>
      <c r="C2564" t="s">
        <v>43</v>
      </c>
      <c r="D2564" t="s">
        <v>1814</v>
      </c>
      <c r="F2564" s="21"/>
      <c r="G2564" s="16" t="str">
        <f>HYPERLINK("http://maps.google.com/maps?f=q&amp;hl=en&amp;geocode=&amp;q=38.7228728535916,-88.0834723645979")</f>
        <v>http://maps.google.com/maps?f=q&amp;hl=en&amp;geocode=&amp;q=38.7228728535916,-88.0834723645979</v>
      </c>
    </row>
    <row r="2565" spans="1:7" ht="15" x14ac:dyDescent="0.3">
      <c r="A2565">
        <v>38.722872853591603</v>
      </c>
      <c r="B2565">
        <v>-88.083472364597895</v>
      </c>
      <c r="C2565" t="s">
        <v>43</v>
      </c>
      <c r="D2565" t="s">
        <v>1814</v>
      </c>
      <c r="F2565" s="21"/>
      <c r="G2565" s="16" t="str">
        <f>HYPERLINK("http://maps.google.com/maps?f=q&amp;hl=en&amp;geocode=&amp;q=38.7228728535916,-88.0834723645979")</f>
        <v>http://maps.google.com/maps?f=q&amp;hl=en&amp;geocode=&amp;q=38.7228728535916,-88.0834723645979</v>
      </c>
    </row>
    <row r="2566" spans="1:7" ht="15" x14ac:dyDescent="0.3">
      <c r="A2566">
        <v>34.597068300118998</v>
      </c>
      <c r="B2566">
        <v>-83.449307811172403</v>
      </c>
      <c r="C2566" t="s">
        <v>41</v>
      </c>
      <c r="D2566" t="s">
        <v>1815</v>
      </c>
      <c r="F2566" s="21"/>
      <c r="G2566" s="16" t="str">
        <f>HYPERLINK("http://maps.google.com/maps?f=q&amp;hl=en&amp;geocode=&amp;q=34.597068300119,-83.4493078111724")</f>
        <v>http://maps.google.com/maps?f=q&amp;hl=en&amp;geocode=&amp;q=34.597068300119,-83.4493078111724</v>
      </c>
    </row>
    <row r="2567" spans="1:7" ht="15" x14ac:dyDescent="0.3">
      <c r="A2567">
        <v>40.219416000000002</v>
      </c>
      <c r="B2567">
        <v>-75.369495999999998</v>
      </c>
      <c r="C2567" t="s">
        <v>41</v>
      </c>
      <c r="D2567" t="s">
        <v>923</v>
      </c>
      <c r="F2567" s="21"/>
      <c r="G2567" s="16" t="str">
        <f>HYPERLINK("http://maps.google.com/maps?f=q&amp;hl=en&amp;geocode=&amp;q=40.219416,-75.369496")</f>
        <v>http://maps.google.com/maps?f=q&amp;hl=en&amp;geocode=&amp;q=40.219416,-75.369496</v>
      </c>
    </row>
    <row r="2568" spans="1:7" ht="15" x14ac:dyDescent="0.3">
      <c r="A2568">
        <v>39.950292309402698</v>
      </c>
      <c r="B2568">
        <v>-75.218643990662201</v>
      </c>
      <c r="C2568" t="s">
        <v>43</v>
      </c>
      <c r="D2568" t="s">
        <v>1816</v>
      </c>
      <c r="F2568" s="21"/>
      <c r="G2568" s="16" t="str">
        <f>HYPERLINK("http://maps.google.com/maps?f=q&amp;hl=en&amp;geocode=&amp;q=39.9502923094027,-75.2186439906622")</f>
        <v>http://maps.google.com/maps?f=q&amp;hl=en&amp;geocode=&amp;q=39.9502923094027,-75.2186439906622</v>
      </c>
    </row>
    <row r="2569" spans="1:7" ht="15" x14ac:dyDescent="0.3">
      <c r="A2569">
        <v>39.950969999999998</v>
      </c>
      <c r="B2569">
        <v>-75.222560000000001</v>
      </c>
      <c r="C2569" t="s">
        <v>41</v>
      </c>
      <c r="D2569" t="s">
        <v>665</v>
      </c>
      <c r="F2569" s="21"/>
      <c r="G2569" s="16" t="str">
        <f>HYPERLINK("http://maps.google.com/maps?f=q&amp;hl=en&amp;geocode=&amp;q=39.95097,-75.22256")</f>
        <v>http://maps.google.com/maps?f=q&amp;hl=en&amp;geocode=&amp;q=39.95097,-75.22256</v>
      </c>
    </row>
    <row r="2570" spans="1:7" ht="15" x14ac:dyDescent="0.3">
      <c r="A2570">
        <v>37.923771683330003</v>
      </c>
      <c r="B2570">
        <v>-122.380437733799</v>
      </c>
      <c r="C2570" t="s">
        <v>41</v>
      </c>
      <c r="D2570" t="s">
        <v>1817</v>
      </c>
      <c r="F2570" s="21"/>
      <c r="G2570" s="16" t="str">
        <f>HYPERLINK("http://maps.google.com/maps?f=q&amp;hl=en&amp;geocode=&amp;q=37.92377168333,-122.380437733799")</f>
        <v>http://maps.google.com/maps?f=q&amp;hl=en&amp;geocode=&amp;q=37.92377168333,-122.380437733799</v>
      </c>
    </row>
    <row r="2571" spans="1:7" ht="15" x14ac:dyDescent="0.3">
      <c r="A2571">
        <v>39.919103242239501</v>
      </c>
      <c r="B2571">
        <v>-75.231589990755793</v>
      </c>
      <c r="C2571" t="s">
        <v>43</v>
      </c>
      <c r="D2571" t="s">
        <v>605</v>
      </c>
      <c r="F2571" s="21"/>
      <c r="G2571" s="16" t="str">
        <f>HYPERLINK("http://maps.google.com/maps?f=q&amp;hl=en&amp;geocode=&amp;q=39.9191032422395,-75.2315899907558")</f>
        <v>http://maps.google.com/maps?f=q&amp;hl=en&amp;geocode=&amp;q=39.9191032422395,-75.2315899907558</v>
      </c>
    </row>
    <row r="2572" spans="1:7" ht="15" x14ac:dyDescent="0.3">
      <c r="A2572">
        <v>36.135841369628899</v>
      </c>
      <c r="B2572">
        <v>-5.3492488861084002</v>
      </c>
      <c r="C2572" t="s">
        <v>41</v>
      </c>
      <c r="D2572" t="s">
        <v>1694</v>
      </c>
      <c r="F2572" s="21"/>
      <c r="G2572" s="16" t="str">
        <f>HYPERLINK("http://maps.google.com/maps?f=q&amp;hl=en&amp;geocode=&amp;q=36.1358413696289,-5.3492488861084")</f>
        <v>http://maps.google.com/maps?f=q&amp;hl=en&amp;geocode=&amp;q=36.1358413696289,-5.3492488861084</v>
      </c>
    </row>
    <row r="2573" spans="1:7" ht="15" x14ac:dyDescent="0.3">
      <c r="A2573">
        <v>55.444797515869098</v>
      </c>
      <c r="B2573">
        <v>12.1309967041016</v>
      </c>
      <c r="C2573" t="s">
        <v>41</v>
      </c>
      <c r="D2573" t="s">
        <v>1818</v>
      </c>
      <c r="F2573" s="21"/>
      <c r="G2573" s="16" t="str">
        <f>HYPERLINK("http://maps.google.com/maps?f=q&amp;hl=en&amp;geocode=&amp;q=55.4447975158691,12.1309967041016")</f>
        <v>http://maps.google.com/maps?f=q&amp;hl=en&amp;geocode=&amp;q=55.4447975158691,12.1309967041016</v>
      </c>
    </row>
    <row r="2574" spans="1:7" ht="15" x14ac:dyDescent="0.3">
      <c r="A2574">
        <v>55.887496948242202</v>
      </c>
      <c r="B2574">
        <v>11.6570587158203</v>
      </c>
      <c r="C2574" t="s">
        <v>41</v>
      </c>
      <c r="D2574" t="s">
        <v>1819</v>
      </c>
      <c r="F2574" s="21"/>
      <c r="G2574" s="16" t="str">
        <f>HYPERLINK("http://maps.google.com/maps?f=q&amp;hl=en&amp;geocode=&amp;q=55.8874969482422,11.6570587158203")</f>
        <v>http://maps.google.com/maps?f=q&amp;hl=en&amp;geocode=&amp;q=55.8874969482422,11.6570587158203</v>
      </c>
    </row>
    <row r="2575" spans="1:7" ht="15" x14ac:dyDescent="0.3">
      <c r="A2575">
        <v>40.028148651122997</v>
      </c>
      <c r="B2575">
        <v>-75.085319519042997</v>
      </c>
      <c r="C2575" t="s">
        <v>41</v>
      </c>
      <c r="D2575" t="s">
        <v>1820</v>
      </c>
      <c r="F2575" s="21"/>
      <c r="G2575" s="16" t="str">
        <f>HYPERLINK("http://maps.google.com/maps?f=q&amp;hl=en&amp;geocode=&amp;q=40.028148651123,-75.085319519043")</f>
        <v>http://maps.google.com/maps?f=q&amp;hl=en&amp;geocode=&amp;q=40.028148651123,-75.085319519043</v>
      </c>
    </row>
    <row r="2576" spans="1:7" ht="15" x14ac:dyDescent="0.3">
      <c r="A2576">
        <v>29.984380000000002</v>
      </c>
      <c r="B2576">
        <v>-90.049139999999994</v>
      </c>
      <c r="C2576" t="s">
        <v>41</v>
      </c>
      <c r="D2576" t="s">
        <v>1821</v>
      </c>
      <c r="F2576" s="21"/>
      <c r="G2576" s="16" t="str">
        <f>HYPERLINK("http://maps.google.com/maps?f=q&amp;hl=en&amp;geocode=&amp;q=29.98438,-90.04914")</f>
        <v>http://maps.google.com/maps?f=q&amp;hl=en&amp;geocode=&amp;q=29.98438,-90.04914</v>
      </c>
    </row>
    <row r="2577" spans="1:7" ht="15" x14ac:dyDescent="0.3">
      <c r="A2577">
        <v>40.945046085549002</v>
      </c>
      <c r="B2577">
        <v>-91.613304485076199</v>
      </c>
      <c r="C2577" t="s">
        <v>41</v>
      </c>
      <c r="D2577" t="s">
        <v>1822</v>
      </c>
      <c r="F2577" s="21"/>
      <c r="G2577" s="16" t="str">
        <f>HYPERLINK("http://maps.google.com/maps?f=q&amp;hl=en&amp;geocode=&amp;q=40.945046085549,-91.6133044850762")</f>
        <v>http://maps.google.com/maps?f=q&amp;hl=en&amp;geocode=&amp;q=40.945046085549,-91.6133044850762</v>
      </c>
    </row>
    <row r="2578" spans="1:7" ht="15" x14ac:dyDescent="0.3">
      <c r="A2578">
        <v>43.162034985706903</v>
      </c>
      <c r="B2578">
        <v>-84.792096761751907</v>
      </c>
      <c r="C2578" t="s">
        <v>41</v>
      </c>
      <c r="D2578" t="s">
        <v>1823</v>
      </c>
      <c r="F2578" s="21"/>
      <c r="G2578" s="16" t="str">
        <f>HYPERLINK("http://maps.google.com/maps?f=q&amp;hl=en&amp;geocode=&amp;q=43.1620349857069,-84.7920967617519")</f>
        <v>http://maps.google.com/maps?f=q&amp;hl=en&amp;geocode=&amp;q=43.1620349857069,-84.7920967617519</v>
      </c>
    </row>
    <row r="2579" spans="1:7" ht="15" x14ac:dyDescent="0.3">
      <c r="A2579">
        <v>43.028740306278998</v>
      </c>
      <c r="B2579">
        <v>-83.721063268454799</v>
      </c>
      <c r="C2579" t="s">
        <v>41</v>
      </c>
      <c r="D2579" t="s">
        <v>1824</v>
      </c>
      <c r="F2579" s="21"/>
      <c r="G2579" s="16" t="str">
        <f>HYPERLINK("http://maps.google.com/maps?f=q&amp;hl=en&amp;geocode=&amp;q=43.028740306279,-83.7210632684548")</f>
        <v>http://maps.google.com/maps?f=q&amp;hl=en&amp;geocode=&amp;q=43.028740306279,-83.7210632684548</v>
      </c>
    </row>
    <row r="2580" spans="1:7" ht="15" x14ac:dyDescent="0.3">
      <c r="A2580" t="s">
        <v>44</v>
      </c>
      <c r="B2580" t="s">
        <v>44</v>
      </c>
      <c r="C2580" t="s">
        <v>44</v>
      </c>
      <c r="D2580" t="s">
        <v>1825</v>
      </c>
      <c r="F2580" s="21"/>
      <c r="G2580" s="16"/>
    </row>
    <row r="2581" spans="1:7" ht="15" x14ac:dyDescent="0.3">
      <c r="A2581">
        <v>38.350151686087401</v>
      </c>
      <c r="B2581">
        <v>-88.588286195772696</v>
      </c>
      <c r="C2581" t="s">
        <v>43</v>
      </c>
      <c r="D2581" t="s">
        <v>1826</v>
      </c>
      <c r="F2581" s="21"/>
      <c r="G2581" s="16" t="str">
        <f>HYPERLINK("http://maps.google.com/maps?f=q&amp;hl=en&amp;geocode=&amp;q=38.3501516860874,-88.5882861957727")</f>
        <v>http://maps.google.com/maps?f=q&amp;hl=en&amp;geocode=&amp;q=38.3501516860874,-88.5882861957727</v>
      </c>
    </row>
    <row r="2582" spans="1:7" ht="15" x14ac:dyDescent="0.3">
      <c r="A2582">
        <v>45.781402723110901</v>
      </c>
      <c r="B2582">
        <v>-89.101368688207401</v>
      </c>
      <c r="C2582" t="s">
        <v>41</v>
      </c>
      <c r="D2582" t="s">
        <v>1318</v>
      </c>
      <c r="F2582" s="21"/>
      <c r="G2582" s="16" t="str">
        <f>HYPERLINK("http://maps.google.com/maps?f=q&amp;hl=en&amp;geocode=&amp;q=45.7814027231109,-89.1013686882074")</f>
        <v>http://maps.google.com/maps?f=q&amp;hl=en&amp;geocode=&amp;q=45.7814027231109,-89.1013686882074</v>
      </c>
    </row>
    <row r="2583" spans="1:7" ht="15" x14ac:dyDescent="0.3">
      <c r="A2583">
        <v>39.920034553313897</v>
      </c>
      <c r="B2583">
        <v>-75.230253062950098</v>
      </c>
      <c r="C2583" t="s">
        <v>43</v>
      </c>
      <c r="D2583" t="s">
        <v>1426</v>
      </c>
      <c r="F2583" s="21"/>
      <c r="G2583" s="16" t="str">
        <f>HYPERLINK("http://maps.google.com/maps?f=q&amp;hl=en&amp;geocode=&amp;q=39.9200345533139,-75.2302530629501")</f>
        <v>http://maps.google.com/maps?f=q&amp;hl=en&amp;geocode=&amp;q=39.9200345533139,-75.2302530629501</v>
      </c>
    </row>
    <row r="2584" spans="1:7" ht="15" x14ac:dyDescent="0.3">
      <c r="A2584">
        <v>39.220829010009801</v>
      </c>
      <c r="B2584">
        <v>-87.636940002441406</v>
      </c>
      <c r="C2584" t="s">
        <v>43</v>
      </c>
      <c r="D2584" t="s">
        <v>1827</v>
      </c>
      <c r="F2584" s="21"/>
      <c r="G2584" s="16" t="str">
        <f>HYPERLINK("http://maps.google.com/maps?f=q&amp;hl=en&amp;geocode=&amp;q=39.2208290100098,-87.6369400024414")</f>
        <v>http://maps.google.com/maps?f=q&amp;hl=en&amp;geocode=&amp;q=39.2208290100098,-87.6369400024414</v>
      </c>
    </row>
    <row r="2585" spans="1:7" ht="15" x14ac:dyDescent="0.3">
      <c r="A2585">
        <v>40.081442000000003</v>
      </c>
      <c r="B2585">
        <v>-75.039320000000004</v>
      </c>
      <c r="C2585" t="s">
        <v>41</v>
      </c>
      <c r="D2585" t="s">
        <v>1828</v>
      </c>
      <c r="F2585" s="21"/>
      <c r="G2585" s="16" t="str">
        <f>HYPERLINK("http://maps.google.com/maps?f=q&amp;hl=en&amp;geocode=&amp;q=40.081442,-75.03932")</f>
        <v>http://maps.google.com/maps?f=q&amp;hl=en&amp;geocode=&amp;q=40.081442,-75.03932</v>
      </c>
    </row>
    <row r="2586" spans="1:7" ht="15" x14ac:dyDescent="0.3">
      <c r="A2586">
        <v>40.017049999999998</v>
      </c>
      <c r="B2586">
        <v>-75.210949999999997</v>
      </c>
      <c r="C2586" t="s">
        <v>41</v>
      </c>
      <c r="D2586" t="s">
        <v>218</v>
      </c>
      <c r="F2586" s="21"/>
      <c r="G2586" s="16" t="str">
        <f>HYPERLINK("http://maps.google.com/maps?f=q&amp;hl=en&amp;geocode=&amp;q=40.01705,-75.21095")</f>
        <v>http://maps.google.com/maps?f=q&amp;hl=en&amp;geocode=&amp;q=40.01705,-75.21095</v>
      </c>
    </row>
    <row r="2587" spans="1:7" ht="15" x14ac:dyDescent="0.3">
      <c r="A2587">
        <v>39.999499999999998</v>
      </c>
      <c r="B2587">
        <v>-75.118719999999996</v>
      </c>
      <c r="C2587" t="s">
        <v>41</v>
      </c>
      <c r="D2587" t="s">
        <v>1829</v>
      </c>
      <c r="F2587" s="21"/>
      <c r="G2587" s="16" t="str">
        <f>HYPERLINK("http://maps.google.com/maps?f=q&amp;hl=en&amp;geocode=&amp;q=39.9995,-75.11872")</f>
        <v>http://maps.google.com/maps?f=q&amp;hl=en&amp;geocode=&amp;q=39.9995,-75.11872</v>
      </c>
    </row>
    <row r="2588" spans="1:7" ht="15" x14ac:dyDescent="0.3">
      <c r="A2588">
        <v>-35.176499999999997</v>
      </c>
      <c r="B2588">
        <v>138.83448999999999</v>
      </c>
      <c r="C2588" t="s">
        <v>41</v>
      </c>
      <c r="D2588" t="s">
        <v>1830</v>
      </c>
      <c r="F2588" s="21"/>
      <c r="G2588" s="16" t="str">
        <f>HYPERLINK("http://maps.google.com/maps?f=q&amp;hl=en&amp;geocode=&amp;q=-35.1765,138.83449")</f>
        <v>http://maps.google.com/maps?f=q&amp;hl=en&amp;geocode=&amp;q=-35.1765,138.83449</v>
      </c>
    </row>
    <row r="2589" spans="1:7" ht="15" x14ac:dyDescent="0.3">
      <c r="A2589">
        <v>29.881538391113299</v>
      </c>
      <c r="B2589">
        <v>-89.493156433105497</v>
      </c>
      <c r="C2589" t="s">
        <v>41</v>
      </c>
      <c r="D2589" t="s">
        <v>1831</v>
      </c>
      <c r="F2589" s="21"/>
      <c r="G2589" s="16" t="str">
        <f>HYPERLINK("http://maps.google.com/maps?f=q&amp;hl=en&amp;geocode=&amp;q=29.8815383911133,-89.4931564331055")</f>
        <v>http://maps.google.com/maps?f=q&amp;hl=en&amp;geocode=&amp;q=29.8815383911133,-89.4931564331055</v>
      </c>
    </row>
    <row r="2590" spans="1:7" ht="15" x14ac:dyDescent="0.3">
      <c r="F2590" s="21"/>
      <c r="G2590" s="16"/>
    </row>
    <row r="2591" spans="1:7" ht="15" x14ac:dyDescent="0.3">
      <c r="A2591">
        <v>41.073617878881599</v>
      </c>
      <c r="B2591">
        <v>-81.248220167043002</v>
      </c>
      <c r="C2591" t="s">
        <v>41</v>
      </c>
      <c r="D2591" t="s">
        <v>404</v>
      </c>
      <c r="F2591" s="21"/>
      <c r="G2591" s="16" t="str">
        <f>HYPERLINK("http://maps.google.com/maps?f=q&amp;hl=en&amp;geocode=&amp;q=41.0736178788816,-81.248220167043")</f>
        <v>http://maps.google.com/maps?f=q&amp;hl=en&amp;geocode=&amp;q=41.0736178788816,-81.248220167043</v>
      </c>
    </row>
    <row r="2592" spans="1:7" ht="15" x14ac:dyDescent="0.3">
      <c r="A2592">
        <v>44.8207397460938</v>
      </c>
      <c r="B2592">
        <v>-93.802543640136705</v>
      </c>
      <c r="C2592" t="s">
        <v>43</v>
      </c>
      <c r="D2592" t="s">
        <v>1208</v>
      </c>
      <c r="F2592" s="21"/>
      <c r="G2592" s="16" t="str">
        <f>HYPERLINK("http://maps.google.com/maps?f=q&amp;hl=en&amp;geocode=&amp;q=44.8207397460938,-93.8025436401367")</f>
        <v>http://maps.google.com/maps?f=q&amp;hl=en&amp;geocode=&amp;q=44.8207397460938,-93.8025436401367</v>
      </c>
    </row>
    <row r="2593" spans="1:7" ht="15" x14ac:dyDescent="0.3">
      <c r="A2593">
        <v>39.999130000000001</v>
      </c>
      <c r="B2593">
        <v>-75.118799999999993</v>
      </c>
      <c r="C2593" t="s">
        <v>41</v>
      </c>
      <c r="D2593" t="s">
        <v>1832</v>
      </c>
      <c r="F2593" s="21"/>
      <c r="G2593" s="16" t="str">
        <f>HYPERLINK("http://maps.google.com/maps?f=q&amp;hl=en&amp;geocode=&amp;q=39.99913,-75.1188")</f>
        <v>http://maps.google.com/maps?f=q&amp;hl=en&amp;geocode=&amp;q=39.99913,-75.1188</v>
      </c>
    </row>
    <row r="2594" spans="1:7" ht="15" x14ac:dyDescent="0.3">
      <c r="A2594">
        <v>39.999130000000001</v>
      </c>
      <c r="B2594">
        <v>-75.118799999999993</v>
      </c>
      <c r="C2594" t="s">
        <v>41</v>
      </c>
      <c r="D2594" t="s">
        <v>1832</v>
      </c>
      <c r="F2594" s="21"/>
      <c r="G2594" s="16" t="str">
        <f>HYPERLINK("http://maps.google.com/maps?f=q&amp;hl=en&amp;geocode=&amp;q=39.99913,-75.1188")</f>
        <v>http://maps.google.com/maps?f=q&amp;hl=en&amp;geocode=&amp;q=39.99913,-75.1188</v>
      </c>
    </row>
    <row r="2595" spans="1:7" ht="15" x14ac:dyDescent="0.3">
      <c r="A2595">
        <v>39.999130000000001</v>
      </c>
      <c r="B2595">
        <v>-75.118799999999993</v>
      </c>
      <c r="C2595" t="s">
        <v>41</v>
      </c>
      <c r="D2595" t="s">
        <v>1832</v>
      </c>
      <c r="F2595" s="21"/>
      <c r="G2595" s="16" t="str">
        <f>HYPERLINK("http://maps.google.com/maps?f=q&amp;hl=en&amp;geocode=&amp;q=39.99913,-75.1188")</f>
        <v>http://maps.google.com/maps?f=q&amp;hl=en&amp;geocode=&amp;q=39.99913,-75.1188</v>
      </c>
    </row>
    <row r="2596" spans="1:7" ht="15" x14ac:dyDescent="0.3">
      <c r="A2596">
        <v>40.029926383333297</v>
      </c>
      <c r="B2596">
        <v>-75.1227359512486</v>
      </c>
      <c r="C2596" t="s">
        <v>41</v>
      </c>
      <c r="D2596" t="s">
        <v>1833</v>
      </c>
      <c r="F2596" s="21"/>
      <c r="G2596" s="16" t="str">
        <f>HYPERLINK("http://maps.google.com/maps?f=q&amp;hl=en&amp;geocode=&amp;q=40.0299263833333,-75.1227359512486")</f>
        <v>http://maps.google.com/maps?f=q&amp;hl=en&amp;geocode=&amp;q=40.0299263833333,-75.1227359512486</v>
      </c>
    </row>
    <row r="2597" spans="1:7" ht="15" x14ac:dyDescent="0.3">
      <c r="A2597">
        <v>34.040467103820099</v>
      </c>
      <c r="B2597">
        <v>-97.508931778513201</v>
      </c>
      <c r="C2597" t="s">
        <v>41</v>
      </c>
      <c r="D2597" t="s">
        <v>1834</v>
      </c>
      <c r="F2597" s="21"/>
      <c r="G2597" s="16" t="str">
        <f>HYPERLINK("http://maps.google.com/maps?f=q&amp;hl=en&amp;geocode=&amp;q=34.0404671038201,-97.5089317785132")</f>
        <v>http://maps.google.com/maps?f=q&amp;hl=en&amp;geocode=&amp;q=34.0404671038201,-97.5089317785132</v>
      </c>
    </row>
    <row r="2598" spans="1:7" ht="15" x14ac:dyDescent="0.3">
      <c r="A2598">
        <v>35.158396757966997</v>
      </c>
      <c r="B2598">
        <v>-90.045376222310097</v>
      </c>
      <c r="C2598" t="s">
        <v>41</v>
      </c>
      <c r="D2598" t="s">
        <v>154</v>
      </c>
      <c r="F2598" s="21"/>
      <c r="G2598" s="16" t="str">
        <f>HYPERLINK("http://maps.google.com/maps?f=q&amp;hl=en&amp;geocode=&amp;q=35.158396757967,-90.0453762223101")</f>
        <v>http://maps.google.com/maps?f=q&amp;hl=en&amp;geocode=&amp;q=35.158396757967,-90.0453762223101</v>
      </c>
    </row>
    <row r="2599" spans="1:7" ht="15" x14ac:dyDescent="0.3">
      <c r="A2599">
        <v>49.518970489502003</v>
      </c>
      <c r="B2599">
        <v>5.9141488075256303</v>
      </c>
      <c r="C2599" t="s">
        <v>41</v>
      </c>
      <c r="D2599" t="s">
        <v>1740</v>
      </c>
      <c r="F2599" s="21"/>
      <c r="G2599" s="16" t="str">
        <f>HYPERLINK("http://maps.google.com/maps?f=q&amp;hl=en&amp;geocode=&amp;q=49.518970489502,5.91414880752563")</f>
        <v>http://maps.google.com/maps?f=q&amp;hl=en&amp;geocode=&amp;q=49.518970489502,5.91414880752563</v>
      </c>
    </row>
    <row r="2600" spans="1:7" ht="15" x14ac:dyDescent="0.3">
      <c r="A2600">
        <v>55.887496948242202</v>
      </c>
      <c r="B2600">
        <v>11.6570587158203</v>
      </c>
      <c r="C2600" t="s">
        <v>41</v>
      </c>
      <c r="D2600" t="s">
        <v>1819</v>
      </c>
      <c r="F2600" s="21"/>
      <c r="G2600" s="16" t="str">
        <f>HYPERLINK("http://maps.google.com/maps?f=q&amp;hl=en&amp;geocode=&amp;q=55.8874969482422,11.6570587158203")</f>
        <v>http://maps.google.com/maps?f=q&amp;hl=en&amp;geocode=&amp;q=55.8874969482422,11.6570587158203</v>
      </c>
    </row>
    <row r="2601" spans="1:7" ht="15" x14ac:dyDescent="0.3">
      <c r="A2601">
        <v>36.097605195883503</v>
      </c>
      <c r="B2601">
        <v>-78.6053708415551</v>
      </c>
      <c r="C2601" t="s">
        <v>41</v>
      </c>
      <c r="D2601" t="s">
        <v>1835</v>
      </c>
      <c r="F2601" s="21"/>
      <c r="G2601" s="16" t="str">
        <f>HYPERLINK("http://maps.google.com/maps?f=q&amp;hl=en&amp;geocode=&amp;q=36.0976051958835,-78.6053708415551")</f>
        <v>http://maps.google.com/maps?f=q&amp;hl=en&amp;geocode=&amp;q=36.0976051958835,-78.6053708415551</v>
      </c>
    </row>
    <row r="2602" spans="1:7" ht="15" x14ac:dyDescent="0.3">
      <c r="A2602">
        <v>31.243359842385399</v>
      </c>
      <c r="B2602">
        <v>-103.064738232899</v>
      </c>
      <c r="C2602" t="s">
        <v>41</v>
      </c>
      <c r="D2602" t="s">
        <v>1836</v>
      </c>
      <c r="F2602" s="21"/>
      <c r="G2602" s="16" t="str">
        <f>HYPERLINK("http://maps.google.com/maps?f=q&amp;hl=en&amp;geocode=&amp;q=31.2433598423854,-103.064738232899")</f>
        <v>http://maps.google.com/maps?f=q&amp;hl=en&amp;geocode=&amp;q=31.2433598423854,-103.064738232899</v>
      </c>
    </row>
    <row r="2603" spans="1:7" ht="15" x14ac:dyDescent="0.3">
      <c r="A2603">
        <v>44.8207397460938</v>
      </c>
      <c r="B2603">
        <v>-93.802543640136705</v>
      </c>
      <c r="C2603" t="s">
        <v>43</v>
      </c>
      <c r="D2603" t="s">
        <v>1837</v>
      </c>
      <c r="F2603" s="21"/>
      <c r="G2603" s="16" t="str">
        <f>HYPERLINK("http://maps.google.com/maps?f=q&amp;hl=en&amp;geocode=&amp;q=44.8207397460938,-93.8025436401367")</f>
        <v>http://maps.google.com/maps?f=q&amp;hl=en&amp;geocode=&amp;q=44.8207397460938,-93.8025436401367</v>
      </c>
    </row>
    <row r="2604" spans="1:7" ht="15" x14ac:dyDescent="0.3">
      <c r="A2604">
        <v>36.906898498535199</v>
      </c>
      <c r="B2604">
        <v>7.7501702308654803</v>
      </c>
      <c r="C2604" t="s">
        <v>43</v>
      </c>
      <c r="D2604" t="s">
        <v>1838</v>
      </c>
      <c r="F2604" s="21"/>
      <c r="G2604" s="16" t="str">
        <f>HYPERLINK("http://maps.google.com/maps?f=q&amp;hl=en&amp;geocode=&amp;q=36.9068984985352,7.75017023086548")</f>
        <v>http://maps.google.com/maps?f=q&amp;hl=en&amp;geocode=&amp;q=36.9068984985352,7.75017023086548</v>
      </c>
    </row>
    <row r="2605" spans="1:7" ht="15" x14ac:dyDescent="0.3">
      <c r="A2605">
        <v>36.906898498535199</v>
      </c>
      <c r="B2605">
        <v>7.7501702308654803</v>
      </c>
      <c r="C2605" t="s">
        <v>43</v>
      </c>
      <c r="D2605" t="s">
        <v>1838</v>
      </c>
      <c r="F2605" s="21"/>
      <c r="G2605" s="16" t="str">
        <f>HYPERLINK("http://maps.google.com/maps?f=q&amp;hl=en&amp;geocode=&amp;q=36.9068984985352,7.75017023086548")</f>
        <v>http://maps.google.com/maps?f=q&amp;hl=en&amp;geocode=&amp;q=36.9068984985352,7.75017023086548</v>
      </c>
    </row>
    <row r="2606" spans="1:7" ht="15" x14ac:dyDescent="0.3">
      <c r="A2606">
        <v>49.648342132568402</v>
      </c>
      <c r="B2606">
        <v>5.9924058914184597</v>
      </c>
      <c r="C2606" t="s">
        <v>41</v>
      </c>
      <c r="D2606" t="s">
        <v>932</v>
      </c>
      <c r="F2606" s="21"/>
      <c r="G2606" s="16" t="str">
        <f>HYPERLINK("http://maps.google.com/maps?f=q&amp;hl=en&amp;geocode=&amp;q=49.6483421325684,5.99240589141846")</f>
        <v>http://maps.google.com/maps?f=q&amp;hl=en&amp;geocode=&amp;q=49.6483421325684,5.99240589141846</v>
      </c>
    </row>
    <row r="2607" spans="1:7" ht="15" x14ac:dyDescent="0.3">
      <c r="A2607">
        <v>42.803962707519503</v>
      </c>
      <c r="B2607">
        <v>23.992284774780298</v>
      </c>
      <c r="C2607" t="s">
        <v>41</v>
      </c>
      <c r="D2607" t="s">
        <v>1839</v>
      </c>
      <c r="F2607" s="21"/>
      <c r="G2607" s="16" t="str">
        <f>HYPERLINK("http://maps.google.com/maps?f=q&amp;hl=en&amp;geocode=&amp;q=42.8039627075195,23.9922847747803")</f>
        <v>http://maps.google.com/maps?f=q&amp;hl=en&amp;geocode=&amp;q=42.8039627075195,23.9922847747803</v>
      </c>
    </row>
    <row r="2608" spans="1:7" ht="15" x14ac:dyDescent="0.3">
      <c r="A2608">
        <v>42.338218688964801</v>
      </c>
      <c r="B2608">
        <v>-112.60504150390599</v>
      </c>
      <c r="C2608" t="s">
        <v>43</v>
      </c>
      <c r="D2608" t="s">
        <v>1840</v>
      </c>
      <c r="F2608" s="21"/>
      <c r="G2608" s="16" t="str">
        <f>HYPERLINK("http://maps.google.com/maps?f=q&amp;hl=en&amp;geocode=&amp;q=42.3382186889648,-112.605041503906")</f>
        <v>http://maps.google.com/maps?f=q&amp;hl=en&amp;geocode=&amp;q=42.3382186889648,-112.605041503906</v>
      </c>
    </row>
    <row r="2609" spans="1:7" ht="15" x14ac:dyDescent="0.3">
      <c r="A2609">
        <v>40.050566846613798</v>
      </c>
      <c r="B2609">
        <v>-75.094744111358494</v>
      </c>
      <c r="C2609" t="s">
        <v>43</v>
      </c>
      <c r="D2609" t="s">
        <v>1841</v>
      </c>
      <c r="F2609" s="21"/>
      <c r="G2609" s="16" t="str">
        <f>HYPERLINK("http://maps.google.com/maps?f=q&amp;hl=en&amp;geocode=&amp;q=40.0505668466138,-75.0947441113585")</f>
        <v>http://maps.google.com/maps?f=q&amp;hl=en&amp;geocode=&amp;q=40.0505668466138,-75.0947441113585</v>
      </c>
    </row>
    <row r="2610" spans="1:7" ht="15" x14ac:dyDescent="0.3">
      <c r="A2610">
        <v>49.592903137207003</v>
      </c>
      <c r="B2610">
        <v>6.1461629867553702</v>
      </c>
      <c r="C2610" t="s">
        <v>41</v>
      </c>
      <c r="D2610" t="s">
        <v>1842</v>
      </c>
      <c r="F2610" s="21"/>
      <c r="G2610" s="16" t="str">
        <f>HYPERLINK("http://maps.google.com/maps?f=q&amp;hl=en&amp;geocode=&amp;q=49.592903137207,6.14616298675537")</f>
        <v>http://maps.google.com/maps?f=q&amp;hl=en&amp;geocode=&amp;q=49.592903137207,6.14616298675537</v>
      </c>
    </row>
    <row r="2611" spans="1:7" ht="15" x14ac:dyDescent="0.3">
      <c r="A2611">
        <v>39.984180000000002</v>
      </c>
      <c r="B2611">
        <v>-75.251850000000005</v>
      </c>
      <c r="C2611" t="s">
        <v>41</v>
      </c>
      <c r="D2611" t="s">
        <v>1843</v>
      </c>
      <c r="F2611" s="21"/>
      <c r="G2611" s="16" t="str">
        <f>HYPERLINK("http://maps.google.com/maps?f=q&amp;hl=en&amp;geocode=&amp;q=39.98418,-75.25185")</f>
        <v>http://maps.google.com/maps?f=q&amp;hl=en&amp;geocode=&amp;q=39.98418,-75.25185</v>
      </c>
    </row>
    <row r="2612" spans="1:7" ht="15" x14ac:dyDescent="0.3">
      <c r="A2612">
        <v>39.490409999999997</v>
      </c>
      <c r="B2612">
        <v>-78.769580000000005</v>
      </c>
      <c r="C2612" t="s">
        <v>42</v>
      </c>
      <c r="D2612" t="s">
        <v>1844</v>
      </c>
      <c r="F2612" s="21"/>
      <c r="G2612" s="16" t="str">
        <f>HYPERLINK("http://maps.google.com/maps?f=q&amp;hl=en&amp;geocode=&amp;q=39.49041,-78.76958")</f>
        <v>http://maps.google.com/maps?f=q&amp;hl=en&amp;geocode=&amp;q=39.49041,-78.76958</v>
      </c>
    </row>
    <row r="2613" spans="1:7" ht="15" x14ac:dyDescent="0.3">
      <c r="A2613">
        <v>-32.932777404785199</v>
      </c>
      <c r="B2613">
        <v>27.893640518188501</v>
      </c>
      <c r="C2613" t="s">
        <v>43</v>
      </c>
      <c r="D2613" t="s">
        <v>1845</v>
      </c>
      <c r="F2613" s="21"/>
      <c r="G2613" s="16" t="str">
        <f>HYPERLINK("http://maps.google.com/maps?f=q&amp;hl=en&amp;geocode=&amp;q=-32.9327774047852,27.8936405181885")</f>
        <v>http://maps.google.com/maps?f=q&amp;hl=en&amp;geocode=&amp;q=-32.9327774047852,27.8936405181885</v>
      </c>
    </row>
    <row r="2614" spans="1:7" ht="15" x14ac:dyDescent="0.3">
      <c r="A2614">
        <v>40.040390000000002</v>
      </c>
      <c r="B2614">
        <v>-75.109629999999996</v>
      </c>
      <c r="C2614" t="s">
        <v>43</v>
      </c>
      <c r="D2614" t="s">
        <v>777</v>
      </c>
      <c r="F2614" s="21"/>
      <c r="G2614" s="16" t="str">
        <f>HYPERLINK("http://maps.google.com/maps?f=q&amp;hl=en&amp;geocode=&amp;q=40.04039,-75.10963")</f>
        <v>http://maps.google.com/maps?f=q&amp;hl=en&amp;geocode=&amp;q=40.04039,-75.10963</v>
      </c>
    </row>
    <row r="2615" spans="1:7" ht="15" x14ac:dyDescent="0.3">
      <c r="A2615">
        <v>6.5138998031616202</v>
      </c>
      <c r="B2615">
        <v>29.617200851440401</v>
      </c>
      <c r="C2615" t="s">
        <v>41</v>
      </c>
      <c r="D2615" t="s">
        <v>1846</v>
      </c>
      <c r="F2615" s="21"/>
      <c r="G2615" s="16" t="str">
        <f>HYPERLINK("http://maps.google.com/maps?f=q&amp;hl=en&amp;geocode=&amp;q=6.51389980316162,29.6172008514404")</f>
        <v>http://maps.google.com/maps?f=q&amp;hl=en&amp;geocode=&amp;q=6.51389980316162,29.6172008514404</v>
      </c>
    </row>
    <row r="2616" spans="1:7" ht="15" x14ac:dyDescent="0.3">
      <c r="A2616">
        <v>39.925130000000003</v>
      </c>
      <c r="B2616">
        <v>-75.227010000000007</v>
      </c>
      <c r="C2616" t="s">
        <v>43</v>
      </c>
      <c r="D2616" t="s">
        <v>702</v>
      </c>
      <c r="F2616" s="21"/>
      <c r="G2616" s="16" t="str">
        <f>HYPERLINK("http://maps.google.com/maps?f=q&amp;hl=en&amp;geocode=&amp;q=39.92513,-75.22701")</f>
        <v>http://maps.google.com/maps?f=q&amp;hl=en&amp;geocode=&amp;q=39.92513,-75.22701</v>
      </c>
    </row>
    <row r="2617" spans="1:7" ht="15" x14ac:dyDescent="0.3">
      <c r="A2617">
        <v>39.916020000000003</v>
      </c>
      <c r="B2617">
        <v>-75.231639999999999</v>
      </c>
      <c r="C2617" t="s">
        <v>41</v>
      </c>
      <c r="D2617" t="s">
        <v>1847</v>
      </c>
      <c r="F2617" s="21"/>
      <c r="G2617" s="16" t="str">
        <f>HYPERLINK("http://maps.google.com/maps?f=q&amp;hl=en&amp;geocode=&amp;q=39.91602,-75.23164")</f>
        <v>http://maps.google.com/maps?f=q&amp;hl=en&amp;geocode=&amp;q=39.91602,-75.23164</v>
      </c>
    </row>
    <row r="2618" spans="1:7" ht="15" x14ac:dyDescent="0.3">
      <c r="A2618">
        <v>38.947154998779297</v>
      </c>
      <c r="B2618">
        <v>-8.9184045791625994</v>
      </c>
      <c r="C2618" t="s">
        <v>41</v>
      </c>
      <c r="D2618" t="s">
        <v>1848</v>
      </c>
      <c r="F2618" s="21"/>
      <c r="G2618" s="16" t="str">
        <f>HYPERLINK("http://maps.google.com/maps?f=q&amp;hl=en&amp;geocode=&amp;q=38.9471549987793,-8.9184045791626")</f>
        <v>http://maps.google.com/maps?f=q&amp;hl=en&amp;geocode=&amp;q=38.9471549987793,-8.9184045791626</v>
      </c>
    </row>
    <row r="2619" spans="1:7" ht="15" x14ac:dyDescent="0.3">
      <c r="A2619">
        <v>39.9180449215484</v>
      </c>
      <c r="B2619">
        <v>-75.233103899088604</v>
      </c>
      <c r="C2619" t="s">
        <v>43</v>
      </c>
      <c r="D2619" t="s">
        <v>792</v>
      </c>
      <c r="F2619" s="21"/>
      <c r="G2619" s="16" t="str">
        <f>HYPERLINK("http://maps.google.com/maps?f=q&amp;hl=en&amp;geocode=&amp;q=39.9180449215484,-75.2331038990886")</f>
        <v>http://maps.google.com/maps?f=q&amp;hl=en&amp;geocode=&amp;q=39.9180449215484,-75.2331038990886</v>
      </c>
    </row>
    <row r="2620" spans="1:7" ht="15" x14ac:dyDescent="0.3">
      <c r="A2620">
        <v>51.500080108642599</v>
      </c>
      <c r="B2620">
        <v>-0.12802000343799599</v>
      </c>
      <c r="C2620" t="s">
        <v>41</v>
      </c>
      <c r="D2620" t="s">
        <v>1849</v>
      </c>
      <c r="F2620" s="21"/>
      <c r="G2620" s="16" t="str">
        <f>HYPERLINK("http://maps.google.com/maps?f=q&amp;hl=en&amp;geocode=&amp;q=51.5000801086426,-0.128020003437996")</f>
        <v>http://maps.google.com/maps?f=q&amp;hl=en&amp;geocode=&amp;q=51.5000801086426,-0.128020003437996</v>
      </c>
    </row>
    <row r="2621" spans="1:7" ht="15" x14ac:dyDescent="0.3">
      <c r="A2621">
        <v>32.717151641845703</v>
      </c>
      <c r="B2621">
        <v>-100.917762756348</v>
      </c>
      <c r="C2621" t="s">
        <v>43</v>
      </c>
      <c r="D2621" t="s">
        <v>1850</v>
      </c>
      <c r="F2621" s="21"/>
      <c r="G2621" s="16" t="str">
        <f>HYPERLINK("http://maps.google.com/maps?f=q&amp;hl=en&amp;geocode=&amp;q=32.7171516418457,-100.917762756348")</f>
        <v>http://maps.google.com/maps?f=q&amp;hl=en&amp;geocode=&amp;q=32.7171516418457,-100.917762756348</v>
      </c>
    </row>
    <row r="2622" spans="1:7" ht="15" x14ac:dyDescent="0.3">
      <c r="A2622">
        <v>32.717151641845703</v>
      </c>
      <c r="B2622">
        <v>-100.917762756348</v>
      </c>
      <c r="C2622" t="s">
        <v>43</v>
      </c>
      <c r="D2622" t="s">
        <v>1850</v>
      </c>
      <c r="F2622" s="21"/>
      <c r="G2622" s="16" t="str">
        <f>HYPERLINK("http://maps.google.com/maps?f=q&amp;hl=en&amp;geocode=&amp;q=32.7171516418457,-100.917762756348")</f>
        <v>http://maps.google.com/maps?f=q&amp;hl=en&amp;geocode=&amp;q=32.7171516418457,-100.917762756348</v>
      </c>
    </row>
    <row r="2623" spans="1:7" ht="15" x14ac:dyDescent="0.3">
      <c r="A2623">
        <v>40.862091064453097</v>
      </c>
      <c r="B2623">
        <v>-74.544372558593807</v>
      </c>
      <c r="C2623" t="s">
        <v>41</v>
      </c>
      <c r="D2623" t="s">
        <v>1851</v>
      </c>
      <c r="F2623" s="21"/>
      <c r="G2623" s="16" t="str">
        <f>HYPERLINK("http://maps.google.com/maps?f=q&amp;hl=en&amp;geocode=&amp;q=40.8620910644531,-74.5443725585938")</f>
        <v>http://maps.google.com/maps?f=q&amp;hl=en&amp;geocode=&amp;q=40.8620910644531,-74.5443725585938</v>
      </c>
    </row>
    <row r="2624" spans="1:7" ht="15" x14ac:dyDescent="0.3">
      <c r="A2624" t="s">
        <v>44</v>
      </c>
      <c r="B2624" t="s">
        <v>44</v>
      </c>
      <c r="C2624" t="s">
        <v>44</v>
      </c>
      <c r="D2624" t="s">
        <v>1852</v>
      </c>
      <c r="F2624" s="21"/>
      <c r="G2624" s="16"/>
    </row>
    <row r="2625" spans="1:7" ht="15" x14ac:dyDescent="0.3">
      <c r="A2625">
        <v>39.939992896646899</v>
      </c>
      <c r="B2625">
        <v>-75.218499185415794</v>
      </c>
      <c r="C2625" t="s">
        <v>41</v>
      </c>
      <c r="D2625" t="s">
        <v>574</v>
      </c>
      <c r="F2625" s="21"/>
      <c r="G2625" s="16" t="str">
        <f>HYPERLINK("http://maps.google.com/maps?f=q&amp;hl=en&amp;geocode=&amp;q=39.9399928966469,-75.2184991854158")</f>
        <v>http://maps.google.com/maps?f=q&amp;hl=en&amp;geocode=&amp;q=39.9399928966469,-75.2184991854158</v>
      </c>
    </row>
    <row r="2626" spans="1:7" ht="15" x14ac:dyDescent="0.3">
      <c r="A2626">
        <v>32.662272038006201</v>
      </c>
      <c r="B2626">
        <v>-79.927908751506195</v>
      </c>
      <c r="C2626" t="s">
        <v>41</v>
      </c>
      <c r="D2626" t="s">
        <v>1853</v>
      </c>
      <c r="F2626" s="21"/>
      <c r="G2626" s="16" t="str">
        <f>HYPERLINK("http://maps.google.com/maps?f=q&amp;hl=en&amp;geocode=&amp;q=32.6622720380062,-79.9279087515062")</f>
        <v>http://maps.google.com/maps?f=q&amp;hl=en&amp;geocode=&amp;q=32.6622720380062,-79.9279087515062</v>
      </c>
    </row>
    <row r="2627" spans="1:7" ht="15" x14ac:dyDescent="0.3">
      <c r="A2627">
        <v>49.522186279296903</v>
      </c>
      <c r="B2627">
        <v>5.8949379920959499</v>
      </c>
      <c r="C2627" t="s">
        <v>41</v>
      </c>
      <c r="D2627" t="s">
        <v>1854</v>
      </c>
      <c r="F2627" s="21"/>
      <c r="G2627" s="16" t="str">
        <f>HYPERLINK("http://maps.google.com/maps?f=q&amp;hl=en&amp;geocode=&amp;q=49.5221862792969,5.89493799209595")</f>
        <v>http://maps.google.com/maps?f=q&amp;hl=en&amp;geocode=&amp;q=49.5221862792969,5.89493799209595</v>
      </c>
    </row>
    <row r="2628" spans="1:7" ht="15" x14ac:dyDescent="0.3">
      <c r="A2628" t="s">
        <v>44</v>
      </c>
      <c r="B2628" t="s">
        <v>44</v>
      </c>
      <c r="C2628" t="s">
        <v>44</v>
      </c>
      <c r="D2628" t="s">
        <v>1855</v>
      </c>
      <c r="F2628" s="21"/>
      <c r="G2628" s="16"/>
    </row>
    <row r="2629" spans="1:7" ht="15" x14ac:dyDescent="0.3">
      <c r="A2629">
        <v>37.216384985921103</v>
      </c>
      <c r="B2629">
        <v>-93.842916709586603</v>
      </c>
      <c r="C2629" t="s">
        <v>41</v>
      </c>
      <c r="D2629" t="s">
        <v>1856</v>
      </c>
      <c r="F2629" s="21"/>
      <c r="G2629" s="16" t="str">
        <f>HYPERLINK("http://maps.google.com/maps?f=q&amp;hl=en&amp;geocode=&amp;q=37.2163849859211,-93.8429167095866")</f>
        <v>http://maps.google.com/maps?f=q&amp;hl=en&amp;geocode=&amp;q=37.2163849859211,-93.8429167095866</v>
      </c>
    </row>
    <row r="2630" spans="1:7" ht="15" x14ac:dyDescent="0.3">
      <c r="A2630">
        <v>36.067732427247897</v>
      </c>
      <c r="B2630">
        <v>-79.397036006356103</v>
      </c>
      <c r="C2630" t="s">
        <v>41</v>
      </c>
      <c r="D2630" t="s">
        <v>1857</v>
      </c>
      <c r="F2630" s="21"/>
      <c r="G2630" s="16" t="str">
        <f>HYPERLINK("http://maps.google.com/maps?f=q&amp;hl=en&amp;geocode=&amp;q=36.0677324272479,-79.3970360063561")</f>
        <v>http://maps.google.com/maps?f=q&amp;hl=en&amp;geocode=&amp;q=36.0677324272479,-79.3970360063561</v>
      </c>
    </row>
    <row r="2631" spans="1:7" ht="15" x14ac:dyDescent="0.3">
      <c r="A2631">
        <v>42.532600402832003</v>
      </c>
      <c r="B2631">
        <v>-90.815498352050795</v>
      </c>
      <c r="C2631" t="s">
        <v>43</v>
      </c>
      <c r="D2631" t="s">
        <v>1858</v>
      </c>
      <c r="F2631" s="21"/>
      <c r="G2631" s="16" t="str">
        <f>HYPERLINK("http://maps.google.com/maps?f=q&amp;hl=en&amp;geocode=&amp;q=42.532600402832,-90.8154983520508")</f>
        <v>http://maps.google.com/maps?f=q&amp;hl=en&amp;geocode=&amp;q=42.532600402832,-90.8154983520508</v>
      </c>
    </row>
    <row r="2632" spans="1:7" ht="15" x14ac:dyDescent="0.3">
      <c r="A2632">
        <v>42.7791938781738</v>
      </c>
      <c r="B2632">
        <v>-73.691421508789105</v>
      </c>
      <c r="C2632" t="s">
        <v>43</v>
      </c>
      <c r="D2632" t="s">
        <v>1859</v>
      </c>
      <c r="F2632" s="21"/>
      <c r="G2632" s="16" t="str">
        <f>HYPERLINK("http://maps.google.com/maps?f=q&amp;hl=en&amp;geocode=&amp;q=42.7791938781738,-73.6914215087891")</f>
        <v>http://maps.google.com/maps?f=q&amp;hl=en&amp;geocode=&amp;q=42.7791938781738,-73.6914215087891</v>
      </c>
    </row>
    <row r="2633" spans="1:7" ht="15" x14ac:dyDescent="0.3">
      <c r="A2633">
        <v>47.847194671630902</v>
      </c>
      <c r="B2633">
        <v>13.0851154327393</v>
      </c>
      <c r="C2633" t="s">
        <v>43</v>
      </c>
      <c r="D2633" t="s">
        <v>1860</v>
      </c>
      <c r="F2633" s="21"/>
      <c r="G2633" s="16" t="str">
        <f>HYPERLINK("http://maps.google.com/maps?f=q&amp;hl=en&amp;geocode=&amp;q=47.8471946716309,13.0851154327393")</f>
        <v>http://maps.google.com/maps?f=q&amp;hl=en&amp;geocode=&amp;q=47.8471946716309,13.0851154327393</v>
      </c>
    </row>
    <row r="2634" spans="1:7" ht="15" x14ac:dyDescent="0.3">
      <c r="A2634" t="s">
        <v>44</v>
      </c>
      <c r="B2634" t="s">
        <v>44</v>
      </c>
      <c r="C2634" t="s">
        <v>44</v>
      </c>
      <c r="D2634" t="s">
        <v>1861</v>
      </c>
      <c r="F2634" s="21"/>
      <c r="G2634" s="16"/>
    </row>
    <row r="2635" spans="1:7" ht="15" x14ac:dyDescent="0.3">
      <c r="A2635">
        <v>39.191936492919901</v>
      </c>
      <c r="B2635">
        <v>-119.783248901367</v>
      </c>
      <c r="C2635" t="s">
        <v>43</v>
      </c>
      <c r="D2635" t="s">
        <v>1862</v>
      </c>
      <c r="F2635" s="21"/>
      <c r="G2635" s="16" t="str">
        <f>HYPERLINK("http://maps.google.com/maps?f=q&amp;hl=en&amp;geocode=&amp;q=39.1919364929199,-119.783248901367")</f>
        <v>http://maps.google.com/maps?f=q&amp;hl=en&amp;geocode=&amp;q=39.1919364929199,-119.783248901367</v>
      </c>
    </row>
    <row r="2636" spans="1:7" ht="15" x14ac:dyDescent="0.3">
      <c r="A2636">
        <v>38.973060607910199</v>
      </c>
      <c r="B2636">
        <v>-95.236526489257798</v>
      </c>
      <c r="C2636" t="s">
        <v>43</v>
      </c>
      <c r="D2636" t="s">
        <v>1271</v>
      </c>
      <c r="F2636" s="21"/>
      <c r="G2636" s="16" t="str">
        <f>HYPERLINK("http://maps.google.com/maps?f=q&amp;hl=en&amp;geocode=&amp;q=38.9730606079102,-95.2365264892578")</f>
        <v>http://maps.google.com/maps?f=q&amp;hl=en&amp;geocode=&amp;q=38.9730606079102,-95.2365264892578</v>
      </c>
    </row>
    <row r="2637" spans="1:7" ht="15" x14ac:dyDescent="0.3">
      <c r="A2637">
        <v>40.673319999999997</v>
      </c>
      <c r="B2637">
        <v>-74.590519999999998</v>
      </c>
      <c r="C2637" t="s">
        <v>43</v>
      </c>
      <c r="D2637" t="s">
        <v>1863</v>
      </c>
      <c r="F2637" s="21"/>
      <c r="G2637" s="16" t="str">
        <f>HYPERLINK("http://maps.google.com/maps?f=q&amp;hl=en&amp;geocode=&amp;q=40.67332,-74.59052")</f>
        <v>http://maps.google.com/maps?f=q&amp;hl=en&amp;geocode=&amp;q=40.67332,-74.59052</v>
      </c>
    </row>
    <row r="2638" spans="1:7" ht="15" x14ac:dyDescent="0.3">
      <c r="A2638">
        <v>49.636196136474602</v>
      </c>
      <c r="B2638">
        <v>6.1377010345459002</v>
      </c>
      <c r="C2638" t="s">
        <v>41</v>
      </c>
      <c r="D2638" t="s">
        <v>1864</v>
      </c>
      <c r="F2638" s="21"/>
      <c r="G2638" s="16" t="str">
        <f>HYPERLINK("http://maps.google.com/maps?f=q&amp;hl=en&amp;geocode=&amp;q=49.6361961364746,6.1377010345459")</f>
        <v>http://maps.google.com/maps?f=q&amp;hl=en&amp;geocode=&amp;q=49.6361961364746,6.1377010345459</v>
      </c>
    </row>
    <row r="2639" spans="1:7" ht="15" x14ac:dyDescent="0.3">
      <c r="A2639">
        <v>41.539915949497697</v>
      </c>
      <c r="B2639">
        <v>-83.856926514973694</v>
      </c>
      <c r="C2639" t="s">
        <v>41</v>
      </c>
      <c r="D2639" t="s">
        <v>1865</v>
      </c>
      <c r="F2639" s="21"/>
      <c r="G2639" s="16" t="str">
        <f>HYPERLINK("http://maps.google.com/maps?f=q&amp;hl=en&amp;geocode=&amp;q=41.5399159494977,-83.8569265149737")</f>
        <v>http://maps.google.com/maps?f=q&amp;hl=en&amp;geocode=&amp;q=41.5399159494977,-83.8569265149737</v>
      </c>
    </row>
    <row r="2640" spans="1:7" ht="15" x14ac:dyDescent="0.3">
      <c r="A2640" t="s">
        <v>44</v>
      </c>
      <c r="B2640" t="s">
        <v>44</v>
      </c>
      <c r="C2640" t="s">
        <v>44</v>
      </c>
      <c r="D2640" t="s">
        <v>1866</v>
      </c>
      <c r="F2640" s="21"/>
      <c r="G2640" s="16"/>
    </row>
    <row r="2641" spans="1:7" ht="15" x14ac:dyDescent="0.3">
      <c r="A2641">
        <v>39.911706093644703</v>
      </c>
      <c r="B2641">
        <v>-75.239026495784202</v>
      </c>
      <c r="C2641" t="s">
        <v>43</v>
      </c>
      <c r="D2641" t="s">
        <v>561</v>
      </c>
      <c r="F2641" s="21"/>
      <c r="G2641" s="16" t="str">
        <f>HYPERLINK("http://maps.google.com/maps?f=q&amp;hl=en&amp;geocode=&amp;q=39.9117060936447,-75.2390264957842")</f>
        <v>http://maps.google.com/maps?f=q&amp;hl=en&amp;geocode=&amp;q=39.9117060936447,-75.2390264957842</v>
      </c>
    </row>
    <row r="2642" spans="1:7" ht="15" x14ac:dyDescent="0.3">
      <c r="A2642">
        <v>40.7389223646177</v>
      </c>
      <c r="B2642">
        <v>-93.453801398120703</v>
      </c>
      <c r="C2642" t="s">
        <v>41</v>
      </c>
      <c r="D2642" t="s">
        <v>1867</v>
      </c>
      <c r="F2642" s="21"/>
      <c r="G2642" s="16" t="str">
        <f>HYPERLINK("http://maps.google.com/maps?f=q&amp;hl=en&amp;geocode=&amp;q=40.7389223646177,-93.4538013981207")</f>
        <v>http://maps.google.com/maps?f=q&amp;hl=en&amp;geocode=&amp;q=40.7389223646177,-93.4538013981207</v>
      </c>
    </row>
    <row r="2643" spans="1:7" ht="15" x14ac:dyDescent="0.3">
      <c r="A2643">
        <v>54.841087341308601</v>
      </c>
      <c r="B2643">
        <v>11.161624908447299</v>
      </c>
      <c r="C2643" t="s">
        <v>41</v>
      </c>
      <c r="D2643" t="s">
        <v>307</v>
      </c>
      <c r="F2643" s="21"/>
      <c r="G2643" s="16" t="str">
        <f>HYPERLINK("http://maps.google.com/maps?f=q&amp;hl=en&amp;geocode=&amp;q=54.8410873413086,11.1616249084473")</f>
        <v>http://maps.google.com/maps?f=q&amp;hl=en&amp;geocode=&amp;q=54.8410873413086,11.1616249084473</v>
      </c>
    </row>
    <row r="2644" spans="1:7" ht="15" x14ac:dyDescent="0.3">
      <c r="F2644" s="21"/>
      <c r="G2644" s="16"/>
    </row>
    <row r="2645" spans="1:7" ht="15" x14ac:dyDescent="0.3">
      <c r="A2645">
        <v>29.533359527587901</v>
      </c>
      <c r="B2645">
        <v>-95.119140625</v>
      </c>
      <c r="C2645" t="s">
        <v>43</v>
      </c>
      <c r="D2645" t="s">
        <v>1868</v>
      </c>
      <c r="F2645" s="21"/>
      <c r="G2645" s="16" t="str">
        <f>HYPERLINK("http://maps.google.com/maps?f=q&amp;hl=en&amp;geocode=&amp;q=29.5333595275879,-95.119140625")</f>
        <v>http://maps.google.com/maps?f=q&amp;hl=en&amp;geocode=&amp;q=29.5333595275879,-95.119140625</v>
      </c>
    </row>
    <row r="2646" spans="1:7" ht="15" x14ac:dyDescent="0.3">
      <c r="A2646">
        <v>39.9238</v>
      </c>
      <c r="B2646">
        <v>-75.236879999999999</v>
      </c>
      <c r="C2646" t="s">
        <v>42</v>
      </c>
      <c r="D2646" t="s">
        <v>1869</v>
      </c>
      <c r="F2646" s="21"/>
      <c r="G2646" s="16" t="str">
        <f>HYPERLINK("http://maps.google.com/maps?f=q&amp;hl=en&amp;geocode=&amp;q=39.9238,-75.23688")</f>
        <v>http://maps.google.com/maps?f=q&amp;hl=en&amp;geocode=&amp;q=39.9238,-75.23688</v>
      </c>
    </row>
    <row r="2647" spans="1:7" ht="15" x14ac:dyDescent="0.3">
      <c r="A2647">
        <v>49.591232299804702</v>
      </c>
      <c r="B2647">
        <v>6.1209249496459996</v>
      </c>
      <c r="C2647" t="s">
        <v>41</v>
      </c>
      <c r="D2647" t="s">
        <v>1870</v>
      </c>
      <c r="F2647" s="21"/>
      <c r="G2647" s="16" t="str">
        <f>HYPERLINK("http://maps.google.com/maps?f=q&amp;hl=en&amp;geocode=&amp;q=49.5912322998047,6.120924949646")</f>
        <v>http://maps.google.com/maps?f=q&amp;hl=en&amp;geocode=&amp;q=49.5912322998047,6.120924949646</v>
      </c>
    </row>
    <row r="2648" spans="1:7" ht="15" x14ac:dyDescent="0.3">
      <c r="A2648">
        <v>47.053428649902301</v>
      </c>
      <c r="B2648">
        <v>10.3477535247803</v>
      </c>
      <c r="C2648" t="s">
        <v>43</v>
      </c>
      <c r="D2648" t="s">
        <v>1871</v>
      </c>
      <c r="F2648" s="21"/>
      <c r="G2648" s="16" t="str">
        <f>HYPERLINK("http://maps.google.com/maps?f=q&amp;hl=en&amp;geocode=&amp;q=47.0534286499023,10.3477535247803")</f>
        <v>http://maps.google.com/maps?f=q&amp;hl=en&amp;geocode=&amp;q=47.0534286499023,10.3477535247803</v>
      </c>
    </row>
    <row r="2649" spans="1:7" ht="15" x14ac:dyDescent="0.3">
      <c r="A2649">
        <v>-34.028602600097699</v>
      </c>
      <c r="B2649">
        <v>22.969703674316399</v>
      </c>
      <c r="C2649" t="s">
        <v>41</v>
      </c>
      <c r="D2649" t="s">
        <v>1872</v>
      </c>
      <c r="F2649" s="21"/>
      <c r="G2649" s="16" t="str">
        <f>HYPERLINK("http://maps.google.com/maps?f=q&amp;hl=en&amp;geocode=&amp;q=-34.0286026000977,22.9697036743164")</f>
        <v>http://maps.google.com/maps?f=q&amp;hl=en&amp;geocode=&amp;q=-34.0286026000977,22.9697036743164</v>
      </c>
    </row>
    <row r="2650" spans="1:7" ht="15" x14ac:dyDescent="0.3">
      <c r="A2650">
        <v>30.013597252129799</v>
      </c>
      <c r="B2650">
        <v>-90.178112333309699</v>
      </c>
      <c r="C2650" t="s">
        <v>41</v>
      </c>
      <c r="D2650" t="s">
        <v>176</v>
      </c>
      <c r="F2650" s="21"/>
      <c r="G2650" s="16" t="str">
        <f>HYPERLINK("http://maps.google.com/maps?f=q&amp;hl=en&amp;geocode=&amp;q=30.0135972521298,-90.1781123333097")</f>
        <v>http://maps.google.com/maps?f=q&amp;hl=en&amp;geocode=&amp;q=30.0135972521298,-90.1781123333097</v>
      </c>
    </row>
    <row r="2651" spans="1:7" ht="15" x14ac:dyDescent="0.3">
      <c r="A2651">
        <v>29.7082328796387</v>
      </c>
      <c r="B2651">
        <v>-90.006401062011705</v>
      </c>
      <c r="C2651" t="s">
        <v>43</v>
      </c>
      <c r="D2651" t="s">
        <v>98</v>
      </c>
      <c r="F2651" s="21"/>
      <c r="G2651" s="16" t="str">
        <f>HYPERLINK("http://maps.google.com/maps?f=q&amp;hl=en&amp;geocode=&amp;q=29.7082328796387,-90.0064010620117")</f>
        <v>http://maps.google.com/maps?f=q&amp;hl=en&amp;geocode=&amp;q=29.7082328796387,-90.0064010620117</v>
      </c>
    </row>
    <row r="2652" spans="1:7" ht="15" x14ac:dyDescent="0.3">
      <c r="A2652">
        <v>41.079008650062399</v>
      </c>
      <c r="B2652">
        <v>-80.721013110627894</v>
      </c>
      <c r="C2652" t="s">
        <v>41</v>
      </c>
      <c r="D2652" t="s">
        <v>630</v>
      </c>
      <c r="F2652" s="21"/>
      <c r="G2652" s="16" t="str">
        <f>HYPERLINK("http://maps.google.com/maps?f=q&amp;hl=en&amp;geocode=&amp;q=41.0790086500624,-80.7210131106279")</f>
        <v>http://maps.google.com/maps?f=q&amp;hl=en&amp;geocode=&amp;q=41.0790086500624,-80.7210131106279</v>
      </c>
    </row>
    <row r="2653" spans="1:7" ht="15" x14ac:dyDescent="0.3">
      <c r="A2653">
        <v>40.403112360569899</v>
      </c>
      <c r="B2653">
        <v>-75.285462603149796</v>
      </c>
      <c r="C2653" t="s">
        <v>41</v>
      </c>
      <c r="D2653" t="s">
        <v>1873</v>
      </c>
      <c r="F2653" s="21"/>
      <c r="G2653" s="16" t="str">
        <f>HYPERLINK("http://maps.google.com/maps?f=q&amp;hl=en&amp;geocode=&amp;q=40.4031123605699,-75.2854626031498")</f>
        <v>http://maps.google.com/maps?f=q&amp;hl=en&amp;geocode=&amp;q=40.4031123605699,-75.2854626031498</v>
      </c>
    </row>
    <row r="2654" spans="1:7" ht="15" x14ac:dyDescent="0.3">
      <c r="A2654">
        <v>37.0063803937621</v>
      </c>
      <c r="B2654">
        <v>-89.183859742388407</v>
      </c>
      <c r="C2654" t="s">
        <v>41</v>
      </c>
      <c r="D2654" t="s">
        <v>780</v>
      </c>
      <c r="F2654" s="21"/>
      <c r="G2654" s="16" t="str">
        <f>HYPERLINK("http://maps.google.com/maps?f=q&amp;hl=en&amp;geocode=&amp;q=37.0063803937621,-89.1838597423884")</f>
        <v>http://maps.google.com/maps?f=q&amp;hl=en&amp;geocode=&amp;q=37.0063803937621,-89.1838597423884</v>
      </c>
    </row>
    <row r="2655" spans="1:7" ht="15" x14ac:dyDescent="0.3">
      <c r="A2655">
        <v>42.156185150146499</v>
      </c>
      <c r="B2655">
        <v>-71.566192626953097</v>
      </c>
      <c r="C2655" t="s">
        <v>41</v>
      </c>
      <c r="D2655" t="s">
        <v>925</v>
      </c>
      <c r="F2655" s="21"/>
      <c r="G2655" s="16" t="str">
        <f>HYPERLINK("http://maps.google.com/maps?f=q&amp;hl=en&amp;geocode=&amp;q=42.1561851501465,-71.5661926269531")</f>
        <v>http://maps.google.com/maps?f=q&amp;hl=en&amp;geocode=&amp;q=42.1561851501465,-71.5661926269531</v>
      </c>
    </row>
    <row r="2656" spans="1:7" ht="15" x14ac:dyDescent="0.3">
      <c r="A2656">
        <v>43.025587855921799</v>
      </c>
      <c r="B2656">
        <v>-74.985908809015001</v>
      </c>
      <c r="C2656" t="s">
        <v>41</v>
      </c>
      <c r="D2656" t="s">
        <v>1185</v>
      </c>
      <c r="F2656" s="21"/>
      <c r="G2656" s="16" t="str">
        <f>HYPERLINK("http://maps.google.com/maps?f=q&amp;hl=en&amp;geocode=&amp;q=43.0255878559218,-74.985908809015")</f>
        <v>http://maps.google.com/maps?f=q&amp;hl=en&amp;geocode=&amp;q=43.0255878559218,-74.985908809015</v>
      </c>
    </row>
    <row r="2657" spans="1:7" ht="15" x14ac:dyDescent="0.3">
      <c r="A2657">
        <v>43.025587855921799</v>
      </c>
      <c r="B2657">
        <v>-74.985908809015001</v>
      </c>
      <c r="C2657" t="s">
        <v>41</v>
      </c>
      <c r="D2657" t="s">
        <v>1185</v>
      </c>
      <c r="F2657" s="21"/>
      <c r="G2657" s="16" t="str">
        <f>HYPERLINK("http://maps.google.com/maps?f=q&amp;hl=en&amp;geocode=&amp;q=43.0255878559218,-74.985908809015")</f>
        <v>http://maps.google.com/maps?f=q&amp;hl=en&amp;geocode=&amp;q=43.0255878559218,-74.985908809015</v>
      </c>
    </row>
    <row r="2658" spans="1:7" ht="15" x14ac:dyDescent="0.3">
      <c r="A2658">
        <v>43.025587855921799</v>
      </c>
      <c r="B2658">
        <v>-74.985908809015001</v>
      </c>
      <c r="C2658" t="s">
        <v>41</v>
      </c>
      <c r="D2658" t="s">
        <v>1185</v>
      </c>
      <c r="F2658" s="21"/>
      <c r="G2658" s="16" t="str">
        <f>HYPERLINK("http://maps.google.com/maps?f=q&amp;hl=en&amp;geocode=&amp;q=43.0255878559218,-74.985908809015")</f>
        <v>http://maps.google.com/maps?f=q&amp;hl=en&amp;geocode=&amp;q=43.0255878559218,-74.985908809015</v>
      </c>
    </row>
    <row r="2659" spans="1:7" ht="15" x14ac:dyDescent="0.3">
      <c r="A2659">
        <v>39.343631999999999</v>
      </c>
      <c r="B2659">
        <v>-78.757249000000002</v>
      </c>
      <c r="C2659" t="s">
        <v>41</v>
      </c>
      <c r="D2659" t="s">
        <v>560</v>
      </c>
      <c r="F2659" s="21"/>
      <c r="G2659" s="16" t="str">
        <f>HYPERLINK("http://maps.google.com/maps?f=q&amp;hl=en&amp;geocode=&amp;q=39.343632,-78.757249")</f>
        <v>http://maps.google.com/maps?f=q&amp;hl=en&amp;geocode=&amp;q=39.343632,-78.757249</v>
      </c>
    </row>
    <row r="2660" spans="1:7" ht="15" x14ac:dyDescent="0.3">
      <c r="A2660">
        <v>43.042312002003001</v>
      </c>
      <c r="B2660">
        <v>-77.081121065254493</v>
      </c>
      <c r="C2660" t="s">
        <v>41</v>
      </c>
      <c r="D2660" t="s">
        <v>1874</v>
      </c>
      <c r="F2660" s="21"/>
      <c r="G2660" s="16" t="str">
        <f>HYPERLINK("http://maps.google.com/maps?f=q&amp;hl=en&amp;geocode=&amp;q=43.042312002003,-77.0811210652545")</f>
        <v>http://maps.google.com/maps?f=q&amp;hl=en&amp;geocode=&amp;q=43.042312002003,-77.0811210652545</v>
      </c>
    </row>
    <row r="2661" spans="1:7" ht="15" x14ac:dyDescent="0.3">
      <c r="A2661">
        <v>40.09883</v>
      </c>
      <c r="B2661">
        <v>-75.013310000000004</v>
      </c>
      <c r="C2661" t="s">
        <v>43</v>
      </c>
      <c r="D2661" t="s">
        <v>1875</v>
      </c>
      <c r="F2661" s="21"/>
      <c r="G2661" s="16" t="str">
        <f>HYPERLINK("http://maps.google.com/maps?f=q&amp;hl=en&amp;geocode=&amp;q=40.09883,-75.01331")</f>
        <v>http://maps.google.com/maps?f=q&amp;hl=en&amp;geocode=&amp;q=40.09883,-75.01331</v>
      </c>
    </row>
    <row r="2662" spans="1:7" ht="15" x14ac:dyDescent="0.3">
      <c r="A2662">
        <v>40.121519999999997</v>
      </c>
      <c r="B2662">
        <v>-75.035120000000006</v>
      </c>
      <c r="C2662" t="s">
        <v>41</v>
      </c>
      <c r="D2662" t="s">
        <v>1876</v>
      </c>
      <c r="F2662" s="21"/>
      <c r="G2662" s="16" t="str">
        <f>HYPERLINK("http://maps.google.com/maps?f=q&amp;hl=en&amp;geocode=&amp;q=40.12152,-75.03512")</f>
        <v>http://maps.google.com/maps?f=q&amp;hl=en&amp;geocode=&amp;q=40.12152,-75.03512</v>
      </c>
    </row>
    <row r="2663" spans="1:7" ht="15" x14ac:dyDescent="0.3">
      <c r="A2663">
        <v>30.2892899696303</v>
      </c>
      <c r="B2663">
        <v>-81.723079715481802</v>
      </c>
      <c r="C2663" t="s">
        <v>41</v>
      </c>
      <c r="D2663" t="s">
        <v>1877</v>
      </c>
      <c r="F2663" s="21"/>
      <c r="G2663" s="16" t="str">
        <f>HYPERLINK("http://maps.google.com/maps?f=q&amp;hl=en&amp;geocode=&amp;q=30.2892899696303,-81.7230797154818")</f>
        <v>http://maps.google.com/maps?f=q&amp;hl=en&amp;geocode=&amp;q=30.2892899696303,-81.7230797154818</v>
      </c>
    </row>
    <row r="2664" spans="1:7" ht="15" x14ac:dyDescent="0.3">
      <c r="A2664">
        <v>39.898059844970703</v>
      </c>
      <c r="B2664">
        <v>-75.211669921875</v>
      </c>
      <c r="C2664" t="s">
        <v>41</v>
      </c>
      <c r="D2664" t="s">
        <v>1878</v>
      </c>
      <c r="F2664" s="21"/>
      <c r="G2664" s="16" t="str">
        <f>HYPERLINK("http://maps.google.com/maps?f=q&amp;hl=en&amp;geocode=&amp;q=39.8980598449707,-75.211669921875")</f>
        <v>http://maps.google.com/maps?f=q&amp;hl=en&amp;geocode=&amp;q=39.8980598449707,-75.211669921875</v>
      </c>
    </row>
    <row r="2665" spans="1:7" ht="15" x14ac:dyDescent="0.3">
      <c r="A2665">
        <v>42.373627421733701</v>
      </c>
      <c r="B2665">
        <v>-87.862306542254899</v>
      </c>
      <c r="C2665" t="s">
        <v>41</v>
      </c>
      <c r="D2665" t="s">
        <v>1879</v>
      </c>
      <c r="F2665" s="21"/>
      <c r="G2665" s="16" t="str">
        <f>HYPERLINK("http://maps.google.com/maps?f=q&amp;hl=en&amp;geocode=&amp;q=42.3736274217337,-87.8623065422549")</f>
        <v>http://maps.google.com/maps?f=q&amp;hl=en&amp;geocode=&amp;q=42.3736274217337,-87.8623065422549</v>
      </c>
    </row>
    <row r="2666" spans="1:7" ht="15" x14ac:dyDescent="0.3">
      <c r="A2666">
        <v>40.009219000000002</v>
      </c>
      <c r="B2666">
        <v>-76.858749000000003</v>
      </c>
      <c r="C2666" t="s">
        <v>41</v>
      </c>
      <c r="D2666" t="s">
        <v>1093</v>
      </c>
      <c r="F2666" s="21"/>
      <c r="G2666" s="16" t="str">
        <f>HYPERLINK("http://maps.google.com/maps?f=q&amp;hl=en&amp;geocode=&amp;q=40.009219,-76.858749")</f>
        <v>http://maps.google.com/maps?f=q&amp;hl=en&amp;geocode=&amp;q=40.009219,-76.858749</v>
      </c>
    </row>
    <row r="2667" spans="1:7" ht="15" x14ac:dyDescent="0.3">
      <c r="A2667">
        <v>44.097568511962898</v>
      </c>
      <c r="B2667">
        <v>-69.129096984863295</v>
      </c>
      <c r="C2667" t="s">
        <v>41</v>
      </c>
      <c r="D2667" t="s">
        <v>1880</v>
      </c>
      <c r="F2667" s="21"/>
      <c r="G2667" s="16" t="str">
        <f>HYPERLINK("http://maps.google.com/maps?f=q&amp;hl=en&amp;geocode=&amp;q=44.0975685119629,-69.1290969848633")</f>
        <v>http://maps.google.com/maps?f=q&amp;hl=en&amp;geocode=&amp;q=44.0975685119629,-69.1290969848633</v>
      </c>
    </row>
    <row r="2668" spans="1:7" ht="15" x14ac:dyDescent="0.3">
      <c r="A2668">
        <v>44.201501478146</v>
      </c>
      <c r="B2668">
        <v>-69.158287417697807</v>
      </c>
      <c r="C2668" t="s">
        <v>41</v>
      </c>
      <c r="D2668" t="s">
        <v>1881</v>
      </c>
      <c r="F2668" s="21"/>
      <c r="G2668" s="16" t="str">
        <f>HYPERLINK("http://maps.google.com/maps?f=q&amp;hl=en&amp;geocode=&amp;q=44.201501478146,-69.1582874176978")</f>
        <v>http://maps.google.com/maps?f=q&amp;hl=en&amp;geocode=&amp;q=44.201501478146,-69.1582874176978</v>
      </c>
    </row>
    <row r="2669" spans="1:7" ht="15" x14ac:dyDescent="0.3">
      <c r="A2669">
        <v>41.3446320206873</v>
      </c>
      <c r="B2669">
        <v>-71.703830872418195</v>
      </c>
      <c r="C2669" t="s">
        <v>43</v>
      </c>
      <c r="D2669" t="s">
        <v>1882</v>
      </c>
      <c r="F2669" s="21"/>
      <c r="G2669" s="16" t="str">
        <f>HYPERLINK("http://maps.google.com/maps?f=q&amp;hl=en&amp;geocode=&amp;q=41.3446320206873,-71.7038308724182")</f>
        <v>http://maps.google.com/maps?f=q&amp;hl=en&amp;geocode=&amp;q=41.3446320206873,-71.7038308724182</v>
      </c>
    </row>
    <row r="2670" spans="1:7" ht="15" x14ac:dyDescent="0.3">
      <c r="A2670">
        <v>44.700478910684097</v>
      </c>
      <c r="B2670">
        <v>-67.297262507699301</v>
      </c>
      <c r="C2670" t="s">
        <v>41</v>
      </c>
      <c r="D2670" t="s">
        <v>1883</v>
      </c>
      <c r="F2670" s="21"/>
      <c r="G2670" s="16" t="str">
        <f>HYPERLINK("http://maps.google.com/maps?f=q&amp;hl=en&amp;geocode=&amp;q=44.7004789106841,-67.2972625076993")</f>
        <v>http://maps.google.com/maps?f=q&amp;hl=en&amp;geocode=&amp;q=44.7004789106841,-67.2972625076993</v>
      </c>
    </row>
    <row r="2671" spans="1:7" ht="15" x14ac:dyDescent="0.3">
      <c r="A2671">
        <v>40.038051605224602</v>
      </c>
      <c r="B2671">
        <v>-76.301292419433594</v>
      </c>
      <c r="C2671" t="s">
        <v>41</v>
      </c>
      <c r="D2671" t="s">
        <v>1884</v>
      </c>
      <c r="F2671" s="21"/>
      <c r="G2671" s="16" t="str">
        <f>HYPERLINK("http://maps.google.com/maps?f=q&amp;hl=en&amp;geocode=&amp;q=40.0380516052246,-76.3012924194336")</f>
        <v>http://maps.google.com/maps?f=q&amp;hl=en&amp;geocode=&amp;q=40.0380516052246,-76.3012924194336</v>
      </c>
    </row>
    <row r="2672" spans="1:7" ht="15" x14ac:dyDescent="0.3">
      <c r="A2672">
        <v>39.554729999999999</v>
      </c>
      <c r="B2672">
        <v>-74.859539999999996</v>
      </c>
      <c r="C2672" t="s">
        <v>41</v>
      </c>
      <c r="D2672" t="s">
        <v>1885</v>
      </c>
      <c r="F2672" s="21"/>
      <c r="G2672" s="16" t="str">
        <f>HYPERLINK("http://maps.google.com/maps?f=q&amp;hl=en&amp;geocode=&amp;q=39.55473,-74.85954")</f>
        <v>http://maps.google.com/maps?f=q&amp;hl=en&amp;geocode=&amp;q=39.55473,-74.85954</v>
      </c>
    </row>
    <row r="2673" spans="1:7" ht="15" x14ac:dyDescent="0.3">
      <c r="A2673">
        <v>39.916480042826798</v>
      </c>
      <c r="B2673">
        <v>-75.232415955746006</v>
      </c>
      <c r="C2673" t="s">
        <v>43</v>
      </c>
      <c r="D2673" t="s">
        <v>802</v>
      </c>
      <c r="F2673" s="21"/>
      <c r="G2673" s="16" t="str">
        <f>HYPERLINK("http://maps.google.com/maps?f=q&amp;hl=en&amp;geocode=&amp;q=39.9164800428268,-75.232415955746")</f>
        <v>http://maps.google.com/maps?f=q&amp;hl=en&amp;geocode=&amp;q=39.9164800428268,-75.232415955746</v>
      </c>
    </row>
    <row r="2674" spans="1:7" ht="15" x14ac:dyDescent="0.3">
      <c r="A2674" t="s">
        <v>44</v>
      </c>
      <c r="B2674" t="s">
        <v>44</v>
      </c>
      <c r="C2674" t="s">
        <v>44</v>
      </c>
      <c r="D2674" t="s">
        <v>1004</v>
      </c>
      <c r="F2674" s="21"/>
      <c r="G2674" s="16"/>
    </row>
    <row r="2675" spans="1:7" ht="15" x14ac:dyDescent="0.3">
      <c r="A2675">
        <v>39.916694521793801</v>
      </c>
      <c r="B2675">
        <v>-75.2321048535252</v>
      </c>
      <c r="C2675" t="s">
        <v>43</v>
      </c>
      <c r="D2675" t="s">
        <v>1398</v>
      </c>
      <c r="F2675" s="21"/>
      <c r="G2675" s="16" t="str">
        <f>HYPERLINK("http://maps.google.com/maps?f=q&amp;hl=en&amp;geocode=&amp;q=39.9166945217938,-75.2321048535252")</f>
        <v>http://maps.google.com/maps?f=q&amp;hl=en&amp;geocode=&amp;q=39.9166945217938,-75.2321048535252</v>
      </c>
    </row>
    <row r="2676" spans="1:7" ht="15" x14ac:dyDescent="0.3">
      <c r="A2676">
        <v>44.926878131298302</v>
      </c>
      <c r="B2676">
        <v>-93.142288418272003</v>
      </c>
      <c r="C2676" t="s">
        <v>41</v>
      </c>
      <c r="D2676" t="s">
        <v>1886</v>
      </c>
      <c r="F2676" s="21"/>
      <c r="G2676" s="16" t="str">
        <f>HYPERLINK("http://maps.google.com/maps?f=q&amp;hl=en&amp;geocode=&amp;q=44.9268781312983,-93.142288418272")</f>
        <v>http://maps.google.com/maps?f=q&amp;hl=en&amp;geocode=&amp;q=44.9268781312983,-93.142288418272</v>
      </c>
    </row>
    <row r="2677" spans="1:7" ht="15" x14ac:dyDescent="0.3">
      <c r="A2677">
        <v>44.926878131298302</v>
      </c>
      <c r="B2677">
        <v>-93.142288418272003</v>
      </c>
      <c r="C2677" t="s">
        <v>41</v>
      </c>
      <c r="D2677" t="s">
        <v>1886</v>
      </c>
      <c r="F2677" s="21"/>
      <c r="G2677" s="16" t="str">
        <f>HYPERLINK("http://maps.google.com/maps?f=q&amp;hl=en&amp;geocode=&amp;q=44.9268781312983,-93.142288418272")</f>
        <v>http://maps.google.com/maps?f=q&amp;hl=en&amp;geocode=&amp;q=44.9268781312983,-93.142288418272</v>
      </c>
    </row>
    <row r="2678" spans="1:7" ht="15" x14ac:dyDescent="0.3">
      <c r="A2678">
        <v>44.926878131298302</v>
      </c>
      <c r="B2678">
        <v>-93.142288418272003</v>
      </c>
      <c r="C2678" t="s">
        <v>41</v>
      </c>
      <c r="D2678" t="s">
        <v>1886</v>
      </c>
      <c r="F2678" s="21"/>
      <c r="G2678" s="16" t="str">
        <f>HYPERLINK("http://maps.google.com/maps?f=q&amp;hl=en&amp;geocode=&amp;q=44.9268781312983,-93.142288418272")</f>
        <v>http://maps.google.com/maps?f=q&amp;hl=en&amp;geocode=&amp;q=44.9268781312983,-93.142288418272</v>
      </c>
    </row>
    <row r="2679" spans="1:7" ht="15" x14ac:dyDescent="0.3">
      <c r="A2679">
        <v>33.031986113691303</v>
      </c>
      <c r="B2679">
        <v>-88.767706969312599</v>
      </c>
      <c r="C2679" t="s">
        <v>41</v>
      </c>
      <c r="D2679" t="s">
        <v>1887</v>
      </c>
      <c r="F2679" s="21"/>
      <c r="G2679" s="16" t="str">
        <f>HYPERLINK("http://maps.google.com/maps?f=q&amp;hl=en&amp;geocode=&amp;q=33.0319861136913,-88.7677069693126")</f>
        <v>http://maps.google.com/maps?f=q&amp;hl=en&amp;geocode=&amp;q=33.0319861136913,-88.7677069693126</v>
      </c>
    </row>
    <row r="2680" spans="1:7" ht="15" x14ac:dyDescent="0.3">
      <c r="A2680">
        <v>39.993137976556497</v>
      </c>
      <c r="B2680">
        <v>-75.148046187072495</v>
      </c>
      <c r="C2680" t="s">
        <v>41</v>
      </c>
      <c r="D2680" t="s">
        <v>1888</v>
      </c>
      <c r="F2680" s="21"/>
      <c r="G2680" s="16" t="str">
        <f>HYPERLINK("http://maps.google.com/maps?f=q&amp;hl=en&amp;geocode=&amp;q=39.9931379765565,-75.1480461870725")</f>
        <v>http://maps.google.com/maps?f=q&amp;hl=en&amp;geocode=&amp;q=39.9931379765565,-75.1480461870725</v>
      </c>
    </row>
    <row r="2681" spans="1:7" ht="15" x14ac:dyDescent="0.3">
      <c r="A2681">
        <v>41.316954569061203</v>
      </c>
      <c r="B2681">
        <v>-104.25314722597901</v>
      </c>
      <c r="C2681" t="s">
        <v>41</v>
      </c>
      <c r="D2681" t="s">
        <v>1889</v>
      </c>
      <c r="F2681" s="21"/>
      <c r="G2681" s="16" t="str">
        <f>HYPERLINK("http://maps.google.com/maps?f=q&amp;hl=en&amp;geocode=&amp;q=41.3169545690612,-104.253147225979")</f>
        <v>http://maps.google.com/maps?f=q&amp;hl=en&amp;geocode=&amp;q=41.3169545690612,-104.253147225979</v>
      </c>
    </row>
    <row r="2682" spans="1:7" ht="15" x14ac:dyDescent="0.3">
      <c r="A2682">
        <v>33.031986113691303</v>
      </c>
      <c r="B2682">
        <v>-88.767706969312599</v>
      </c>
      <c r="C2682" t="s">
        <v>41</v>
      </c>
      <c r="D2682" t="s">
        <v>1887</v>
      </c>
      <c r="F2682" s="21"/>
      <c r="G2682" s="16" t="str">
        <f>HYPERLINK("http://maps.google.com/maps?f=q&amp;hl=en&amp;geocode=&amp;q=33.0319861136913,-88.7677069693126")</f>
        <v>http://maps.google.com/maps?f=q&amp;hl=en&amp;geocode=&amp;q=33.0319861136913,-88.7677069693126</v>
      </c>
    </row>
    <row r="2683" spans="1:7" ht="15" x14ac:dyDescent="0.3">
      <c r="A2683">
        <v>38.842887146380001</v>
      </c>
      <c r="B2683">
        <v>-89.966782267509601</v>
      </c>
      <c r="C2683" t="s">
        <v>41</v>
      </c>
      <c r="D2683" t="s">
        <v>1585</v>
      </c>
      <c r="F2683" s="21"/>
      <c r="G2683" s="16" t="str">
        <f>HYPERLINK("http://maps.google.com/maps?f=q&amp;hl=en&amp;geocode=&amp;q=38.84288714638,-89.9667822675096")</f>
        <v>http://maps.google.com/maps?f=q&amp;hl=en&amp;geocode=&amp;q=38.84288714638,-89.9667822675096</v>
      </c>
    </row>
    <row r="2684" spans="1:7" ht="15" x14ac:dyDescent="0.3">
      <c r="A2684">
        <v>40.000169999999997</v>
      </c>
      <c r="B2684">
        <v>-75.105040000000002</v>
      </c>
      <c r="C2684" t="s">
        <v>41</v>
      </c>
      <c r="D2684" t="s">
        <v>1890</v>
      </c>
      <c r="F2684" s="21"/>
      <c r="G2684" s="16" t="str">
        <f>HYPERLINK("http://maps.google.com/maps?f=q&amp;hl=en&amp;geocode=&amp;q=40.00017,-75.10504")</f>
        <v>http://maps.google.com/maps?f=q&amp;hl=en&amp;geocode=&amp;q=40.00017,-75.10504</v>
      </c>
    </row>
    <row r="2685" spans="1:7" ht="15" x14ac:dyDescent="0.3">
      <c r="A2685">
        <v>39.7455</v>
      </c>
      <c r="B2685">
        <v>-84.634550000000004</v>
      </c>
      <c r="C2685" t="s">
        <v>41</v>
      </c>
      <c r="D2685" t="s">
        <v>1891</v>
      </c>
      <c r="F2685" s="21"/>
      <c r="G2685" s="16" t="str">
        <f>HYPERLINK("http://maps.google.com/maps?f=q&amp;hl=en&amp;geocode=&amp;q=39.7455,-84.63455")</f>
        <v>http://maps.google.com/maps?f=q&amp;hl=en&amp;geocode=&amp;q=39.7455,-84.63455</v>
      </c>
    </row>
    <row r="2686" spans="1:7" ht="15" x14ac:dyDescent="0.3">
      <c r="A2686">
        <v>42.015268136893802</v>
      </c>
      <c r="B2686">
        <v>-87.853954177796695</v>
      </c>
      <c r="C2686" t="s">
        <v>41</v>
      </c>
      <c r="D2686" t="s">
        <v>1892</v>
      </c>
      <c r="F2686" s="21"/>
      <c r="G2686" s="16" t="str">
        <f>HYPERLINK("http://maps.google.com/maps?f=q&amp;hl=en&amp;geocode=&amp;q=42.0152681368938,-87.8539541777967")</f>
        <v>http://maps.google.com/maps?f=q&amp;hl=en&amp;geocode=&amp;q=42.0152681368938,-87.8539541777967</v>
      </c>
    </row>
    <row r="2687" spans="1:7" ht="15" x14ac:dyDescent="0.3">
      <c r="A2687">
        <v>-32.487789900000003</v>
      </c>
      <c r="B2687">
        <v>137.76979</v>
      </c>
      <c r="C2687" t="s">
        <v>41</v>
      </c>
      <c r="D2687" t="s">
        <v>49</v>
      </c>
      <c r="F2687" s="21"/>
      <c r="G2687" s="16" t="str">
        <f>HYPERLINK("http://maps.google.com/maps?f=q&amp;hl=en&amp;geocode=&amp;q=-32.4877899,137.76979")</f>
        <v>http://maps.google.com/maps?f=q&amp;hl=en&amp;geocode=&amp;q=-32.4877899,137.76979</v>
      </c>
    </row>
    <row r="2688" spans="1:7" ht="15" x14ac:dyDescent="0.3">
      <c r="A2688">
        <v>-32.487789900000003</v>
      </c>
      <c r="B2688">
        <v>137.76979</v>
      </c>
      <c r="C2688" t="s">
        <v>41</v>
      </c>
      <c r="D2688" t="s">
        <v>49</v>
      </c>
      <c r="F2688" s="21"/>
      <c r="G2688" s="16" t="str">
        <f>HYPERLINK("http://maps.google.com/maps?f=q&amp;hl=en&amp;geocode=&amp;q=-32.4877899,137.76979")</f>
        <v>http://maps.google.com/maps?f=q&amp;hl=en&amp;geocode=&amp;q=-32.4877899,137.76979</v>
      </c>
    </row>
    <row r="2689" spans="1:7" ht="15" x14ac:dyDescent="0.3">
      <c r="A2689">
        <v>37.93871</v>
      </c>
      <c r="B2689">
        <v>-86.754599999999996</v>
      </c>
      <c r="C2689" t="s">
        <v>42</v>
      </c>
      <c r="D2689" t="s">
        <v>1893</v>
      </c>
      <c r="F2689" s="21"/>
      <c r="G2689" s="16" t="str">
        <f>HYPERLINK("http://maps.google.com/maps?f=q&amp;hl=en&amp;geocode=&amp;q=37.93871,-86.7546")</f>
        <v>http://maps.google.com/maps?f=q&amp;hl=en&amp;geocode=&amp;q=37.93871,-86.7546</v>
      </c>
    </row>
    <row r="2690" spans="1:7" ht="15" x14ac:dyDescent="0.3">
      <c r="A2690">
        <v>39.917909999999999</v>
      </c>
      <c r="B2690">
        <v>-75.239109999999997</v>
      </c>
      <c r="C2690" t="s">
        <v>41</v>
      </c>
      <c r="D2690" t="s">
        <v>1894</v>
      </c>
      <c r="F2690" s="21"/>
      <c r="G2690" s="16" t="str">
        <f>HYPERLINK("http://maps.google.com/maps?f=q&amp;hl=en&amp;geocode=&amp;q=39.91791,-75.23911")</f>
        <v>http://maps.google.com/maps?f=q&amp;hl=en&amp;geocode=&amp;q=39.91791,-75.23911</v>
      </c>
    </row>
    <row r="2691" spans="1:7" ht="15" x14ac:dyDescent="0.3">
      <c r="A2691">
        <v>40.464408874511697</v>
      </c>
      <c r="B2691">
        <v>-74.315460205078097</v>
      </c>
      <c r="C2691" t="s">
        <v>41</v>
      </c>
      <c r="D2691" t="s">
        <v>1895</v>
      </c>
      <c r="F2691" s="21"/>
      <c r="G2691" s="16" t="str">
        <f>HYPERLINK("http://maps.google.com/maps?f=q&amp;hl=en&amp;geocode=&amp;q=40.4644088745117,-74.3154602050781")</f>
        <v>http://maps.google.com/maps?f=q&amp;hl=en&amp;geocode=&amp;q=40.4644088745117,-74.3154602050781</v>
      </c>
    </row>
    <row r="2692" spans="1:7" ht="15" x14ac:dyDescent="0.3">
      <c r="A2692">
        <v>36.386256589092298</v>
      </c>
      <c r="B2692">
        <v>-78.625878324697496</v>
      </c>
      <c r="C2692" t="s">
        <v>41</v>
      </c>
      <c r="D2692" t="s">
        <v>1896</v>
      </c>
      <c r="F2692" s="21"/>
      <c r="G2692" s="16" t="str">
        <f>HYPERLINK("http://maps.google.com/maps?f=q&amp;hl=en&amp;geocode=&amp;q=36.3862565890923,-78.6258783246975")</f>
        <v>http://maps.google.com/maps?f=q&amp;hl=en&amp;geocode=&amp;q=36.3862565890923,-78.6258783246975</v>
      </c>
    </row>
    <row r="2693" spans="1:7" ht="15" x14ac:dyDescent="0.3">
      <c r="A2693">
        <v>55.671138763427699</v>
      </c>
      <c r="B2693">
        <v>12.5500383377075</v>
      </c>
      <c r="C2693" t="s">
        <v>43</v>
      </c>
      <c r="D2693" t="s">
        <v>1897</v>
      </c>
      <c r="F2693" s="21"/>
      <c r="G2693" s="16" t="str">
        <f>HYPERLINK("http://maps.google.com/maps?f=q&amp;hl=en&amp;geocode=&amp;q=55.6711387634277,12.5500383377075")</f>
        <v>http://maps.google.com/maps?f=q&amp;hl=en&amp;geocode=&amp;q=55.6711387634277,12.5500383377075</v>
      </c>
    </row>
    <row r="2694" spans="1:7" ht="15" x14ac:dyDescent="0.3">
      <c r="A2694">
        <v>39.891500000000001</v>
      </c>
      <c r="B2694">
        <v>-75.401820000000001</v>
      </c>
      <c r="C2694" t="s">
        <v>43</v>
      </c>
      <c r="D2694" t="s">
        <v>1898</v>
      </c>
      <c r="F2694" s="21"/>
      <c r="G2694" s="16" t="str">
        <f>HYPERLINK("http://maps.google.com/maps?f=q&amp;hl=en&amp;geocode=&amp;q=39.8915,-75.40182")</f>
        <v>http://maps.google.com/maps?f=q&amp;hl=en&amp;geocode=&amp;q=39.8915,-75.40182</v>
      </c>
    </row>
    <row r="2695" spans="1:7" ht="15" x14ac:dyDescent="0.3">
      <c r="A2695">
        <v>43.239310000000003</v>
      </c>
      <c r="B2695">
        <v>-78.656620000000004</v>
      </c>
      <c r="C2695" t="s">
        <v>41</v>
      </c>
      <c r="D2695" t="s">
        <v>850</v>
      </c>
      <c r="F2695" s="21"/>
      <c r="G2695" s="16" t="str">
        <f>HYPERLINK("http://maps.google.com/maps?f=q&amp;hl=en&amp;geocode=&amp;q=43.23931,-78.65662")</f>
        <v>http://maps.google.com/maps?f=q&amp;hl=en&amp;geocode=&amp;q=43.23931,-78.65662</v>
      </c>
    </row>
    <row r="2696" spans="1:7" ht="15" x14ac:dyDescent="0.3">
      <c r="A2696">
        <v>40.020421123198801</v>
      </c>
      <c r="B2696">
        <v>-75.063549505905897</v>
      </c>
      <c r="C2696" t="s">
        <v>41</v>
      </c>
      <c r="D2696" t="s">
        <v>1899</v>
      </c>
      <c r="F2696" s="21"/>
      <c r="G2696" s="16" t="str">
        <f>HYPERLINK("http://maps.google.com/maps?f=q&amp;hl=en&amp;geocode=&amp;q=40.0204211231988,-75.0635495059059")</f>
        <v>http://maps.google.com/maps?f=q&amp;hl=en&amp;geocode=&amp;q=40.0204211231988,-75.0635495059059</v>
      </c>
    </row>
    <row r="2697" spans="1:7" ht="15" x14ac:dyDescent="0.3">
      <c r="A2697">
        <v>40.736609999999999</v>
      </c>
      <c r="B2697">
        <v>-73.326859999999996</v>
      </c>
      <c r="C2697" t="s">
        <v>42</v>
      </c>
      <c r="D2697" t="s">
        <v>1900</v>
      </c>
      <c r="F2697" s="21"/>
      <c r="G2697" s="16" t="str">
        <f>HYPERLINK("http://maps.google.com/maps?f=q&amp;hl=en&amp;geocode=&amp;q=40.73661,-73.32686")</f>
        <v>http://maps.google.com/maps?f=q&amp;hl=en&amp;geocode=&amp;q=40.73661,-73.32686</v>
      </c>
    </row>
    <row r="2698" spans="1:7" ht="15" x14ac:dyDescent="0.3">
      <c r="A2698">
        <v>39.95438</v>
      </c>
      <c r="B2698">
        <v>-75.230069999999998</v>
      </c>
      <c r="C2698" t="s">
        <v>43</v>
      </c>
      <c r="D2698" t="s">
        <v>1901</v>
      </c>
      <c r="F2698" s="21"/>
      <c r="G2698" s="16" t="str">
        <f>HYPERLINK("http://maps.google.com/maps?f=q&amp;hl=en&amp;geocode=&amp;q=39.95438,-75.23007")</f>
        <v>http://maps.google.com/maps?f=q&amp;hl=en&amp;geocode=&amp;q=39.95438,-75.23007</v>
      </c>
    </row>
    <row r="2699" spans="1:7" ht="15" x14ac:dyDescent="0.3">
      <c r="A2699">
        <v>36.067732427247897</v>
      </c>
      <c r="B2699">
        <v>-79.397036006356103</v>
      </c>
      <c r="C2699" t="s">
        <v>41</v>
      </c>
      <c r="D2699" t="s">
        <v>1857</v>
      </c>
      <c r="F2699" s="21"/>
      <c r="G2699" s="16" t="str">
        <f>HYPERLINK("http://maps.google.com/maps?f=q&amp;hl=en&amp;geocode=&amp;q=36.0677324272479,-79.3970360063561")</f>
        <v>http://maps.google.com/maps?f=q&amp;hl=en&amp;geocode=&amp;q=36.0677324272479,-79.3970360063561</v>
      </c>
    </row>
    <row r="2700" spans="1:7" ht="15" x14ac:dyDescent="0.3">
      <c r="A2700">
        <v>40.040700000000001</v>
      </c>
      <c r="B2700">
        <v>-75.122559999999993</v>
      </c>
      <c r="C2700" t="s">
        <v>42</v>
      </c>
      <c r="D2700" t="s">
        <v>1902</v>
      </c>
      <c r="F2700" s="21"/>
      <c r="G2700" s="16" t="str">
        <f>HYPERLINK("http://maps.google.com/maps?f=q&amp;hl=en&amp;geocode=&amp;q=40.0407,-75.12256")</f>
        <v>http://maps.google.com/maps?f=q&amp;hl=en&amp;geocode=&amp;q=40.0407,-75.12256</v>
      </c>
    </row>
    <row r="2701" spans="1:7" ht="15" x14ac:dyDescent="0.3">
      <c r="A2701">
        <v>40.040700000000001</v>
      </c>
      <c r="B2701">
        <v>-75.122559999999993</v>
      </c>
      <c r="C2701" t="s">
        <v>42</v>
      </c>
      <c r="D2701" t="s">
        <v>1902</v>
      </c>
      <c r="F2701" s="21"/>
      <c r="G2701" s="16" t="str">
        <f>HYPERLINK("http://maps.google.com/maps?f=q&amp;hl=en&amp;geocode=&amp;q=40.0407,-75.12256")</f>
        <v>http://maps.google.com/maps?f=q&amp;hl=en&amp;geocode=&amp;q=40.0407,-75.12256</v>
      </c>
    </row>
    <row r="2702" spans="1:7" ht="15" x14ac:dyDescent="0.3">
      <c r="A2702">
        <v>40.040700000000001</v>
      </c>
      <c r="B2702">
        <v>-75.122559999999993</v>
      </c>
      <c r="C2702" t="s">
        <v>42</v>
      </c>
      <c r="D2702" t="s">
        <v>1902</v>
      </c>
      <c r="F2702" s="21"/>
      <c r="G2702" s="16" t="str">
        <f>HYPERLINK("http://maps.google.com/maps?f=q&amp;hl=en&amp;geocode=&amp;q=40.0407,-75.12256")</f>
        <v>http://maps.google.com/maps?f=q&amp;hl=en&amp;geocode=&amp;q=40.0407,-75.12256</v>
      </c>
    </row>
    <row r="2703" spans="1:7" ht="15" x14ac:dyDescent="0.3">
      <c r="A2703">
        <v>36.383634418760103</v>
      </c>
      <c r="B2703">
        <v>-78.635280298519305</v>
      </c>
      <c r="C2703" t="s">
        <v>41</v>
      </c>
      <c r="D2703" t="s">
        <v>51</v>
      </c>
      <c r="F2703" s="21"/>
      <c r="G2703" s="16" t="str">
        <f>HYPERLINK("http://maps.google.com/maps?f=q&amp;hl=en&amp;geocode=&amp;q=36.3836344187601,-78.6352802985193")</f>
        <v>http://maps.google.com/maps?f=q&amp;hl=en&amp;geocode=&amp;q=36.3836344187601,-78.6352802985193</v>
      </c>
    </row>
    <row r="2704" spans="1:7" ht="15" x14ac:dyDescent="0.3">
      <c r="A2704">
        <v>29.977157986390999</v>
      </c>
      <c r="B2704">
        <v>-81.819988853617602</v>
      </c>
      <c r="C2704" t="s">
        <v>41</v>
      </c>
      <c r="D2704" t="s">
        <v>1903</v>
      </c>
      <c r="F2704" s="21"/>
      <c r="G2704" s="16" t="str">
        <f>HYPERLINK("http://maps.google.com/maps?f=q&amp;hl=en&amp;geocode=&amp;q=29.977157986391,-81.8199888536176")</f>
        <v>http://maps.google.com/maps?f=q&amp;hl=en&amp;geocode=&amp;q=29.977157986391,-81.8199888536176</v>
      </c>
    </row>
    <row r="2705" spans="1:7" ht="15" x14ac:dyDescent="0.3">
      <c r="A2705">
        <v>39.902050018310497</v>
      </c>
      <c r="B2705">
        <v>-75.1798095703125</v>
      </c>
      <c r="C2705" t="s">
        <v>41</v>
      </c>
      <c r="D2705" t="s">
        <v>1195</v>
      </c>
      <c r="F2705" s="21"/>
      <c r="G2705" s="16" t="str">
        <f>HYPERLINK("http://maps.google.com/maps?f=q&amp;hl=en&amp;geocode=&amp;q=39.9020500183105,-75.1798095703125")</f>
        <v>http://maps.google.com/maps?f=q&amp;hl=en&amp;geocode=&amp;q=39.9020500183105,-75.1798095703125</v>
      </c>
    </row>
    <row r="2706" spans="1:7" ht="15" x14ac:dyDescent="0.3">
      <c r="A2706">
        <v>43.332384500870802</v>
      </c>
      <c r="B2706">
        <v>-78.753091422731799</v>
      </c>
      <c r="C2706" t="s">
        <v>41</v>
      </c>
      <c r="D2706" t="s">
        <v>871</v>
      </c>
      <c r="F2706" s="21"/>
      <c r="G2706" s="16" t="str">
        <f>HYPERLINK("http://maps.google.com/maps?f=q&amp;hl=en&amp;geocode=&amp;q=43.3323845008708,-78.7530914227318")</f>
        <v>http://maps.google.com/maps?f=q&amp;hl=en&amp;geocode=&amp;q=43.3323845008708,-78.7530914227318</v>
      </c>
    </row>
    <row r="2707" spans="1:7" ht="15" x14ac:dyDescent="0.3">
      <c r="A2707">
        <v>51.491977691650398</v>
      </c>
      <c r="B2707">
        <v>5.4675998687744096</v>
      </c>
      <c r="C2707" t="s">
        <v>43</v>
      </c>
      <c r="D2707" t="s">
        <v>1904</v>
      </c>
      <c r="F2707" s="21"/>
      <c r="G2707" s="16" t="str">
        <f>HYPERLINK("http://maps.google.com/maps?f=q&amp;hl=en&amp;geocode=&amp;q=51.4919776916504,5.46759986877441")</f>
        <v>http://maps.google.com/maps?f=q&amp;hl=en&amp;geocode=&amp;q=51.4919776916504,5.46759986877441</v>
      </c>
    </row>
    <row r="2708" spans="1:7" ht="15" x14ac:dyDescent="0.3">
      <c r="A2708">
        <v>40.078620000000001</v>
      </c>
      <c r="B2708">
        <v>-75.086420000000004</v>
      </c>
      <c r="C2708" t="s">
        <v>41</v>
      </c>
      <c r="D2708" t="s">
        <v>247</v>
      </c>
      <c r="F2708" s="21"/>
      <c r="G2708" s="16" t="str">
        <f>HYPERLINK("http://maps.google.com/maps?f=q&amp;hl=en&amp;geocode=&amp;q=40.07862,-75.08642")</f>
        <v>http://maps.google.com/maps?f=q&amp;hl=en&amp;geocode=&amp;q=40.07862,-75.08642</v>
      </c>
    </row>
    <row r="2709" spans="1:7" ht="15" x14ac:dyDescent="0.3">
      <c r="A2709">
        <v>40.382856428182102</v>
      </c>
      <c r="B2709">
        <v>-79.908729392595603</v>
      </c>
      <c r="C2709" t="s">
        <v>41</v>
      </c>
      <c r="D2709" t="s">
        <v>1905</v>
      </c>
      <c r="F2709" s="21"/>
      <c r="G2709" s="16" t="str">
        <f>HYPERLINK("http://maps.google.com/maps?f=q&amp;hl=en&amp;geocode=&amp;q=40.3828564281821,-79.9087293925956")</f>
        <v>http://maps.google.com/maps?f=q&amp;hl=en&amp;geocode=&amp;q=40.3828564281821,-79.9087293925956</v>
      </c>
    </row>
    <row r="2710" spans="1:7" ht="15" x14ac:dyDescent="0.3">
      <c r="A2710">
        <v>39.988059999999997</v>
      </c>
      <c r="B2710">
        <v>-75.092119999999994</v>
      </c>
      <c r="C2710" t="s">
        <v>41</v>
      </c>
      <c r="D2710" t="s">
        <v>1906</v>
      </c>
      <c r="F2710" s="21"/>
      <c r="G2710" s="16" t="str">
        <f>HYPERLINK("http://maps.google.com/maps?f=q&amp;hl=en&amp;geocode=&amp;q=39.98806,-75.09212")</f>
        <v>http://maps.google.com/maps?f=q&amp;hl=en&amp;geocode=&amp;q=39.98806,-75.09212</v>
      </c>
    </row>
    <row r="2711" spans="1:7" ht="15" x14ac:dyDescent="0.3">
      <c r="A2711">
        <v>39.939024432412999</v>
      </c>
      <c r="B2711">
        <v>-75.219832811076301</v>
      </c>
      <c r="C2711" t="s">
        <v>41</v>
      </c>
      <c r="D2711" t="s">
        <v>1907</v>
      </c>
      <c r="F2711" s="21"/>
      <c r="G2711" s="16" t="str">
        <f>HYPERLINK("http://maps.google.com/maps?f=q&amp;hl=en&amp;geocode=&amp;q=39.939024432413,-75.2198328110763")</f>
        <v>http://maps.google.com/maps?f=q&amp;hl=en&amp;geocode=&amp;q=39.939024432413,-75.2198328110763</v>
      </c>
    </row>
    <row r="2712" spans="1:7" ht="15" x14ac:dyDescent="0.3">
      <c r="A2712">
        <v>-34.039112091064503</v>
      </c>
      <c r="B2712">
        <v>138.88005065918</v>
      </c>
      <c r="C2712" t="s">
        <v>41</v>
      </c>
      <c r="D2712" t="s">
        <v>1908</v>
      </c>
      <c r="F2712" s="21"/>
      <c r="G2712" s="16" t="str">
        <f>HYPERLINK("http://maps.google.com/maps?f=q&amp;hl=en&amp;geocode=&amp;q=-34.0391120910645,138.88005065918")</f>
        <v>http://maps.google.com/maps?f=q&amp;hl=en&amp;geocode=&amp;q=-34.0391120910645,138.88005065918</v>
      </c>
    </row>
    <row r="2713" spans="1:7" ht="15" x14ac:dyDescent="0.3">
      <c r="A2713">
        <v>52.950611114502003</v>
      </c>
      <c r="B2713">
        <v>-0.95639002323150601</v>
      </c>
      <c r="C2713" t="s">
        <v>41</v>
      </c>
      <c r="D2713" t="s">
        <v>1909</v>
      </c>
      <c r="F2713" s="21"/>
      <c r="G2713" s="16" t="str">
        <f>HYPERLINK("http://maps.google.com/maps?f=q&amp;hl=en&amp;geocode=&amp;q=52.950611114502,-0.956390023231506")</f>
        <v>http://maps.google.com/maps?f=q&amp;hl=en&amp;geocode=&amp;q=52.950611114502,-0.956390023231506</v>
      </c>
    </row>
    <row r="2714" spans="1:7" ht="15" x14ac:dyDescent="0.3">
      <c r="A2714">
        <v>40.652949781826997</v>
      </c>
      <c r="B2714">
        <v>-93.538754479876204</v>
      </c>
      <c r="C2714" t="s">
        <v>41</v>
      </c>
      <c r="D2714" t="s">
        <v>1910</v>
      </c>
      <c r="F2714" s="21"/>
      <c r="G2714" s="16" t="str">
        <f>HYPERLINK("http://maps.google.com/maps?f=q&amp;hl=en&amp;geocode=&amp;q=40.652949781827,-93.5387544798762")</f>
        <v>http://maps.google.com/maps?f=q&amp;hl=en&amp;geocode=&amp;q=40.652949781827,-93.5387544798762</v>
      </c>
    </row>
    <row r="2715" spans="1:7" ht="15" x14ac:dyDescent="0.3">
      <c r="A2715">
        <v>43.642800000000001</v>
      </c>
      <c r="B2715">
        <v>-94.105369999999994</v>
      </c>
      <c r="C2715" t="s">
        <v>43</v>
      </c>
      <c r="D2715" t="s">
        <v>1911</v>
      </c>
      <c r="F2715" s="21"/>
      <c r="G2715" s="16" t="str">
        <f>HYPERLINK("http://maps.google.com/maps?f=q&amp;hl=en&amp;geocode=&amp;q=43.6428,-94.10537")</f>
        <v>http://maps.google.com/maps?f=q&amp;hl=en&amp;geocode=&amp;q=43.6428,-94.10537</v>
      </c>
    </row>
    <row r="2716" spans="1:7" ht="15" x14ac:dyDescent="0.3">
      <c r="A2716">
        <v>43.642800000000001</v>
      </c>
      <c r="B2716">
        <v>-94.105369999999994</v>
      </c>
      <c r="C2716" t="s">
        <v>43</v>
      </c>
      <c r="D2716" t="s">
        <v>1912</v>
      </c>
      <c r="F2716" s="21"/>
      <c r="G2716" s="16" t="str">
        <f>HYPERLINK("http://maps.google.com/maps?f=q&amp;hl=en&amp;geocode=&amp;q=43.6428,-94.10537")</f>
        <v>http://maps.google.com/maps?f=q&amp;hl=en&amp;geocode=&amp;q=43.6428,-94.10537</v>
      </c>
    </row>
    <row r="2717" spans="1:7" ht="15" x14ac:dyDescent="0.3">
      <c r="A2717">
        <v>-32.47813</v>
      </c>
      <c r="B2717">
        <v>137.75239999999999</v>
      </c>
      <c r="C2717" t="s">
        <v>41</v>
      </c>
      <c r="D2717" t="s">
        <v>1913</v>
      </c>
      <c r="F2717" s="21"/>
      <c r="G2717" s="16" t="str">
        <f>HYPERLINK("http://maps.google.com/maps?f=q&amp;hl=en&amp;geocode=&amp;q=-32.47813,137.7524")</f>
        <v>http://maps.google.com/maps?f=q&amp;hl=en&amp;geocode=&amp;q=-32.47813,137.7524</v>
      </c>
    </row>
    <row r="2718" spans="1:7" ht="15" x14ac:dyDescent="0.3">
      <c r="A2718">
        <v>41.5089111328125</v>
      </c>
      <c r="B2718">
        <v>-87.073318481445298</v>
      </c>
      <c r="C2718" t="s">
        <v>43</v>
      </c>
      <c r="D2718" t="s">
        <v>1914</v>
      </c>
      <c r="F2718" s="21"/>
      <c r="G2718" s="16" t="str">
        <f>HYPERLINK("http://maps.google.com/maps?f=q&amp;hl=en&amp;geocode=&amp;q=41.5089111328125,-87.0733184814453")</f>
        <v>http://maps.google.com/maps?f=q&amp;hl=en&amp;geocode=&amp;q=41.5089111328125,-87.0733184814453</v>
      </c>
    </row>
    <row r="2719" spans="1:7" ht="15" x14ac:dyDescent="0.3">
      <c r="A2719" t="s">
        <v>44</v>
      </c>
      <c r="B2719" t="s">
        <v>44</v>
      </c>
      <c r="C2719" t="s">
        <v>44</v>
      </c>
      <c r="D2719" t="s">
        <v>655</v>
      </c>
      <c r="F2719" s="21"/>
      <c r="G2719" s="16"/>
    </row>
    <row r="2720" spans="1:7" ht="15" x14ac:dyDescent="0.3">
      <c r="A2720" t="s">
        <v>44</v>
      </c>
      <c r="B2720" t="s">
        <v>44</v>
      </c>
      <c r="C2720" t="s">
        <v>44</v>
      </c>
      <c r="D2720" t="s">
        <v>655</v>
      </c>
      <c r="F2720" s="21"/>
      <c r="G2720" s="16"/>
    </row>
    <row r="2721" spans="1:7" ht="15" x14ac:dyDescent="0.3">
      <c r="A2721">
        <v>38.901220000000002</v>
      </c>
      <c r="B2721">
        <v>-76.916790000000006</v>
      </c>
      <c r="C2721" t="s">
        <v>42</v>
      </c>
      <c r="D2721" t="s">
        <v>1915</v>
      </c>
      <c r="F2721" s="21"/>
      <c r="G2721" s="16" t="str">
        <f>HYPERLINK("http://maps.google.com/maps?f=q&amp;hl=en&amp;geocode=&amp;q=38.90122,-76.91679")</f>
        <v>http://maps.google.com/maps?f=q&amp;hl=en&amp;geocode=&amp;q=38.90122,-76.91679</v>
      </c>
    </row>
    <row r="2722" spans="1:7" ht="15" x14ac:dyDescent="0.3">
      <c r="A2722">
        <v>32.9539794921875</v>
      </c>
      <c r="B2722">
        <v>-96.817680358886705</v>
      </c>
      <c r="C2722" t="s">
        <v>43</v>
      </c>
      <c r="D2722" t="s">
        <v>1059</v>
      </c>
      <c r="F2722" s="21"/>
      <c r="G2722" s="16" t="str">
        <f>HYPERLINK("http://maps.google.com/maps?f=q&amp;hl=en&amp;geocode=&amp;q=32.9539794921875,-96.8176803588867")</f>
        <v>http://maps.google.com/maps?f=q&amp;hl=en&amp;geocode=&amp;q=32.9539794921875,-96.8176803588867</v>
      </c>
    </row>
    <row r="2723" spans="1:7" ht="15" x14ac:dyDescent="0.3">
      <c r="A2723">
        <v>43.4533081054688</v>
      </c>
      <c r="B2723">
        <v>-96.429718017578097</v>
      </c>
      <c r="C2723" t="s">
        <v>43</v>
      </c>
      <c r="D2723" t="s">
        <v>663</v>
      </c>
      <c r="F2723" s="21"/>
      <c r="G2723" s="16" t="str">
        <f>HYPERLINK("http://maps.google.com/maps?f=q&amp;hl=en&amp;geocode=&amp;q=43.4533081054688,-96.4297180175781")</f>
        <v>http://maps.google.com/maps?f=q&amp;hl=en&amp;geocode=&amp;q=43.4533081054688,-96.4297180175781</v>
      </c>
    </row>
    <row r="2724" spans="1:7" ht="15" x14ac:dyDescent="0.3">
      <c r="A2724">
        <v>41.601711273193402</v>
      </c>
      <c r="B2724">
        <v>-93.647491455078097</v>
      </c>
      <c r="C2724" t="s">
        <v>43</v>
      </c>
      <c r="D2724" t="s">
        <v>872</v>
      </c>
      <c r="F2724" s="21"/>
      <c r="G2724" s="16" t="str">
        <f>HYPERLINK("http://maps.google.com/maps?f=q&amp;hl=en&amp;geocode=&amp;q=41.6017112731934,-93.6474914550781")</f>
        <v>http://maps.google.com/maps?f=q&amp;hl=en&amp;geocode=&amp;q=41.6017112731934,-93.6474914550781</v>
      </c>
    </row>
    <row r="2725" spans="1:7" ht="15" x14ac:dyDescent="0.3">
      <c r="A2725">
        <v>44.106400000000001</v>
      </c>
      <c r="B2725">
        <v>-121.26222</v>
      </c>
      <c r="C2725" t="s">
        <v>42</v>
      </c>
      <c r="D2725" t="s">
        <v>1916</v>
      </c>
      <c r="F2725" s="21"/>
      <c r="G2725" s="16" t="str">
        <f>HYPERLINK("http://maps.google.com/maps?f=q&amp;hl=en&amp;geocode=&amp;q=44.1064,-121.26222")</f>
        <v>http://maps.google.com/maps?f=q&amp;hl=en&amp;geocode=&amp;q=44.1064,-121.26222</v>
      </c>
    </row>
    <row r="2726" spans="1:7" ht="15" x14ac:dyDescent="0.3">
      <c r="A2726">
        <v>41.527938145478402</v>
      </c>
      <c r="B2726">
        <v>-83.853721780438306</v>
      </c>
      <c r="C2726" t="s">
        <v>41</v>
      </c>
      <c r="D2726" t="s">
        <v>1917</v>
      </c>
      <c r="F2726" s="21"/>
      <c r="G2726" s="16" t="str">
        <f>HYPERLINK("http://maps.google.com/maps?f=q&amp;hl=en&amp;geocode=&amp;q=41.5279381454784,-83.8537217804383")</f>
        <v>http://maps.google.com/maps?f=q&amp;hl=en&amp;geocode=&amp;q=41.5279381454784,-83.8537217804383</v>
      </c>
    </row>
    <row r="2727" spans="1:7" ht="15" x14ac:dyDescent="0.3">
      <c r="A2727">
        <v>40.652949781826997</v>
      </c>
      <c r="B2727">
        <v>-93.538754479876204</v>
      </c>
      <c r="C2727" t="s">
        <v>41</v>
      </c>
      <c r="D2727" t="s">
        <v>1910</v>
      </c>
      <c r="F2727" s="21"/>
      <c r="G2727" s="16" t="str">
        <f>HYPERLINK("http://maps.google.com/maps?f=q&amp;hl=en&amp;geocode=&amp;q=40.652949781827,-93.5387544798762")</f>
        <v>http://maps.google.com/maps?f=q&amp;hl=en&amp;geocode=&amp;q=40.652949781827,-93.5387544798762</v>
      </c>
    </row>
    <row r="2728" spans="1:7" ht="15" x14ac:dyDescent="0.3">
      <c r="A2728">
        <v>39.902050018310497</v>
      </c>
      <c r="B2728">
        <v>-75.1798095703125</v>
      </c>
      <c r="C2728" t="s">
        <v>41</v>
      </c>
      <c r="D2728" t="s">
        <v>1195</v>
      </c>
      <c r="F2728" s="21"/>
      <c r="G2728" s="16" t="str">
        <f>HYPERLINK("http://maps.google.com/maps?f=q&amp;hl=en&amp;geocode=&amp;q=39.9020500183105,-75.1798095703125")</f>
        <v>http://maps.google.com/maps?f=q&amp;hl=en&amp;geocode=&amp;q=39.9020500183105,-75.1798095703125</v>
      </c>
    </row>
    <row r="2729" spans="1:7" ht="15" x14ac:dyDescent="0.3">
      <c r="A2729">
        <v>39.902050018310497</v>
      </c>
      <c r="B2729">
        <v>-75.1798095703125</v>
      </c>
      <c r="C2729" t="s">
        <v>41</v>
      </c>
      <c r="D2729" t="s">
        <v>1195</v>
      </c>
      <c r="F2729" s="21"/>
      <c r="G2729" s="16" t="str">
        <f>HYPERLINK("http://maps.google.com/maps?f=q&amp;hl=en&amp;geocode=&amp;q=39.9020500183105,-75.1798095703125")</f>
        <v>http://maps.google.com/maps?f=q&amp;hl=en&amp;geocode=&amp;q=39.9020500183105,-75.1798095703125</v>
      </c>
    </row>
    <row r="2730" spans="1:7" ht="15" x14ac:dyDescent="0.3">
      <c r="A2730">
        <v>39.902050018310497</v>
      </c>
      <c r="B2730">
        <v>-75.1798095703125</v>
      </c>
      <c r="C2730" t="s">
        <v>41</v>
      </c>
      <c r="D2730" t="s">
        <v>1195</v>
      </c>
      <c r="F2730" s="21"/>
      <c r="G2730" s="16" t="str">
        <f>HYPERLINK("http://maps.google.com/maps?f=q&amp;hl=en&amp;geocode=&amp;q=39.9020500183105,-75.1798095703125")</f>
        <v>http://maps.google.com/maps?f=q&amp;hl=en&amp;geocode=&amp;q=39.9020500183105,-75.1798095703125</v>
      </c>
    </row>
    <row r="2731" spans="1:7" ht="15" x14ac:dyDescent="0.3">
      <c r="A2731">
        <v>39.902050018310497</v>
      </c>
      <c r="B2731">
        <v>-75.1798095703125</v>
      </c>
      <c r="C2731" t="s">
        <v>41</v>
      </c>
      <c r="D2731" t="s">
        <v>1195</v>
      </c>
      <c r="F2731" s="21"/>
      <c r="G2731" s="16" t="str">
        <f>HYPERLINK("http://maps.google.com/maps?f=q&amp;hl=en&amp;geocode=&amp;q=39.9020500183105,-75.1798095703125")</f>
        <v>http://maps.google.com/maps?f=q&amp;hl=en&amp;geocode=&amp;q=39.9020500183105,-75.1798095703125</v>
      </c>
    </row>
    <row r="2732" spans="1:7" ht="15" x14ac:dyDescent="0.3">
      <c r="A2732">
        <v>39.902050018310497</v>
      </c>
      <c r="B2732">
        <v>-75.1798095703125</v>
      </c>
      <c r="C2732" t="s">
        <v>41</v>
      </c>
      <c r="D2732" t="s">
        <v>1195</v>
      </c>
      <c r="F2732" s="21"/>
      <c r="G2732" s="16" t="str">
        <f>HYPERLINK("http://maps.google.com/maps?f=q&amp;hl=en&amp;geocode=&amp;q=39.9020500183105,-75.1798095703125")</f>
        <v>http://maps.google.com/maps?f=q&amp;hl=en&amp;geocode=&amp;q=39.9020500183105,-75.1798095703125</v>
      </c>
    </row>
    <row r="2733" spans="1:7" ht="15" x14ac:dyDescent="0.3">
      <c r="A2733">
        <v>39.902050018310497</v>
      </c>
      <c r="B2733">
        <v>-75.1798095703125</v>
      </c>
      <c r="C2733" t="s">
        <v>41</v>
      </c>
      <c r="D2733" t="s">
        <v>1195</v>
      </c>
      <c r="F2733" s="21"/>
      <c r="G2733" s="16" t="str">
        <f>HYPERLINK("http://maps.google.com/maps?f=q&amp;hl=en&amp;geocode=&amp;q=39.9020500183105,-75.1798095703125")</f>
        <v>http://maps.google.com/maps?f=q&amp;hl=en&amp;geocode=&amp;q=39.9020500183105,-75.1798095703125</v>
      </c>
    </row>
    <row r="2734" spans="1:7" ht="15" x14ac:dyDescent="0.3">
      <c r="A2734">
        <v>39.902050018310497</v>
      </c>
      <c r="B2734">
        <v>-75.1798095703125</v>
      </c>
      <c r="C2734" t="s">
        <v>41</v>
      </c>
      <c r="D2734" t="s">
        <v>1195</v>
      </c>
      <c r="F2734" s="21"/>
      <c r="G2734" s="16" t="str">
        <f>HYPERLINK("http://maps.google.com/maps?f=q&amp;hl=en&amp;geocode=&amp;q=39.9020500183105,-75.1798095703125")</f>
        <v>http://maps.google.com/maps?f=q&amp;hl=en&amp;geocode=&amp;q=39.9020500183105,-75.1798095703125</v>
      </c>
    </row>
    <row r="2735" spans="1:7" ht="15" x14ac:dyDescent="0.3">
      <c r="A2735">
        <v>39.902050018310497</v>
      </c>
      <c r="B2735">
        <v>-75.1798095703125</v>
      </c>
      <c r="C2735" t="s">
        <v>41</v>
      </c>
      <c r="D2735" t="s">
        <v>1195</v>
      </c>
      <c r="F2735" s="21"/>
      <c r="G2735" s="16" t="str">
        <f>HYPERLINK("http://maps.google.com/maps?f=q&amp;hl=en&amp;geocode=&amp;q=39.9020500183105,-75.1798095703125")</f>
        <v>http://maps.google.com/maps?f=q&amp;hl=en&amp;geocode=&amp;q=39.9020500183105,-75.1798095703125</v>
      </c>
    </row>
    <row r="2736" spans="1:7" ht="15" x14ac:dyDescent="0.3">
      <c r="A2736">
        <v>39.902050018310497</v>
      </c>
      <c r="B2736">
        <v>-75.1798095703125</v>
      </c>
      <c r="C2736" t="s">
        <v>41</v>
      </c>
      <c r="D2736" t="s">
        <v>1195</v>
      </c>
      <c r="F2736" s="21"/>
      <c r="G2736" s="16" t="str">
        <f>HYPERLINK("http://maps.google.com/maps?f=q&amp;hl=en&amp;geocode=&amp;q=39.9020500183105,-75.1798095703125")</f>
        <v>http://maps.google.com/maps?f=q&amp;hl=en&amp;geocode=&amp;q=39.9020500183105,-75.1798095703125</v>
      </c>
    </row>
    <row r="2737" spans="1:7" ht="15" x14ac:dyDescent="0.3">
      <c r="A2737">
        <v>39.902050018310497</v>
      </c>
      <c r="B2737">
        <v>-75.1798095703125</v>
      </c>
      <c r="C2737" t="s">
        <v>41</v>
      </c>
      <c r="D2737" t="s">
        <v>1195</v>
      </c>
      <c r="F2737" s="21"/>
      <c r="G2737" s="16" t="str">
        <f>HYPERLINK("http://maps.google.com/maps?f=q&amp;hl=en&amp;geocode=&amp;q=39.9020500183105,-75.1798095703125")</f>
        <v>http://maps.google.com/maps?f=q&amp;hl=en&amp;geocode=&amp;q=39.9020500183105,-75.1798095703125</v>
      </c>
    </row>
    <row r="2738" spans="1:7" ht="15" x14ac:dyDescent="0.3">
      <c r="A2738">
        <v>39.902050018310497</v>
      </c>
      <c r="B2738">
        <v>-75.1798095703125</v>
      </c>
      <c r="C2738" t="s">
        <v>41</v>
      </c>
      <c r="D2738" t="s">
        <v>1195</v>
      </c>
      <c r="F2738" s="21"/>
      <c r="G2738" s="16" t="str">
        <f>HYPERLINK("http://maps.google.com/maps?f=q&amp;hl=en&amp;geocode=&amp;q=39.9020500183105,-75.1798095703125")</f>
        <v>http://maps.google.com/maps?f=q&amp;hl=en&amp;geocode=&amp;q=39.9020500183105,-75.1798095703125</v>
      </c>
    </row>
    <row r="2739" spans="1:7" ht="15" x14ac:dyDescent="0.3">
      <c r="A2739">
        <v>32.082140239188803</v>
      </c>
      <c r="B2739">
        <v>-83.800395206036399</v>
      </c>
      <c r="C2739" t="s">
        <v>41</v>
      </c>
      <c r="D2739" t="s">
        <v>1918</v>
      </c>
      <c r="F2739" s="21"/>
      <c r="G2739" s="16" t="str">
        <f>HYPERLINK("http://maps.google.com/maps?f=q&amp;hl=en&amp;geocode=&amp;q=32.0821402391888,-83.8003952060364")</f>
        <v>http://maps.google.com/maps?f=q&amp;hl=en&amp;geocode=&amp;q=32.0821402391888,-83.8003952060364</v>
      </c>
    </row>
    <row r="2740" spans="1:7" ht="15" x14ac:dyDescent="0.3">
      <c r="A2740">
        <v>44.641788482666001</v>
      </c>
      <c r="B2740">
        <v>-89.736740112304702</v>
      </c>
      <c r="C2740" t="s">
        <v>41</v>
      </c>
      <c r="D2740" t="s">
        <v>1353</v>
      </c>
      <c r="F2740" s="21"/>
      <c r="G2740" s="16" t="str">
        <f>HYPERLINK("http://maps.google.com/maps?f=q&amp;hl=en&amp;geocode=&amp;q=44.641788482666,-89.7367401123047")</f>
        <v>http://maps.google.com/maps?f=q&amp;hl=en&amp;geocode=&amp;q=44.641788482666,-89.7367401123047</v>
      </c>
    </row>
    <row r="2741" spans="1:7" ht="15" x14ac:dyDescent="0.3">
      <c r="A2741">
        <v>-32.487789900000003</v>
      </c>
      <c r="B2741">
        <v>137.76979</v>
      </c>
      <c r="C2741" t="s">
        <v>41</v>
      </c>
      <c r="D2741" t="s">
        <v>49</v>
      </c>
      <c r="F2741" s="21"/>
      <c r="G2741" s="16" t="str">
        <f>HYPERLINK("http://maps.google.com/maps?f=q&amp;hl=en&amp;geocode=&amp;q=-32.4877899,137.76979")</f>
        <v>http://maps.google.com/maps?f=q&amp;hl=en&amp;geocode=&amp;q=-32.4877899,137.76979</v>
      </c>
    </row>
    <row r="2742" spans="1:7" ht="15" x14ac:dyDescent="0.3">
      <c r="A2742">
        <v>37.476024105646097</v>
      </c>
      <c r="B2742">
        <v>-93.669746660253196</v>
      </c>
      <c r="C2742" t="s">
        <v>41</v>
      </c>
      <c r="D2742" t="s">
        <v>1919</v>
      </c>
      <c r="F2742" s="21"/>
      <c r="G2742" s="16" t="str">
        <f>HYPERLINK("http://maps.google.com/maps?f=q&amp;hl=en&amp;geocode=&amp;q=37.4760241056461,-93.6697466602532")</f>
        <v>http://maps.google.com/maps?f=q&amp;hl=en&amp;geocode=&amp;q=37.4760241056461,-93.6697466602532</v>
      </c>
    </row>
    <row r="2743" spans="1:7" ht="15" x14ac:dyDescent="0.3">
      <c r="A2743">
        <v>40.731078496532703</v>
      </c>
      <c r="B2743">
        <v>-83.999894972774896</v>
      </c>
      <c r="C2743" t="s">
        <v>41</v>
      </c>
      <c r="D2743" t="s">
        <v>1920</v>
      </c>
      <c r="F2743" s="21"/>
      <c r="G2743" s="16" t="str">
        <f>HYPERLINK("http://maps.google.com/maps?f=q&amp;hl=en&amp;geocode=&amp;q=40.7310784965327,-83.9998949727749")</f>
        <v>http://maps.google.com/maps?f=q&amp;hl=en&amp;geocode=&amp;q=40.7310784965327,-83.9998949727749</v>
      </c>
    </row>
    <row r="2744" spans="1:7" ht="15" x14ac:dyDescent="0.3">
      <c r="A2744">
        <v>55.25911</v>
      </c>
      <c r="B2744">
        <v>11.59831</v>
      </c>
      <c r="C2744" t="s">
        <v>41</v>
      </c>
      <c r="D2744" t="s">
        <v>484</v>
      </c>
      <c r="F2744" s="21"/>
      <c r="G2744" s="16" t="str">
        <f>HYPERLINK("http://maps.google.com/maps?f=q&amp;hl=en&amp;geocode=&amp;q=55.25911,11.59831")</f>
        <v>http://maps.google.com/maps?f=q&amp;hl=en&amp;geocode=&amp;q=55.25911,11.59831</v>
      </c>
    </row>
    <row r="2745" spans="1:7" ht="15" x14ac:dyDescent="0.3">
      <c r="A2745">
        <v>55.25911</v>
      </c>
      <c r="B2745">
        <v>11.59831</v>
      </c>
      <c r="C2745" t="s">
        <v>41</v>
      </c>
      <c r="D2745" t="s">
        <v>484</v>
      </c>
      <c r="F2745" s="21"/>
      <c r="G2745" s="16" t="str">
        <f>HYPERLINK("http://maps.google.com/maps?f=q&amp;hl=en&amp;geocode=&amp;q=55.25911,11.59831")</f>
        <v>http://maps.google.com/maps?f=q&amp;hl=en&amp;geocode=&amp;q=55.25911,11.59831</v>
      </c>
    </row>
    <row r="2746" spans="1:7" ht="15" x14ac:dyDescent="0.3">
      <c r="A2746">
        <v>55.25911</v>
      </c>
      <c r="B2746">
        <v>11.59831</v>
      </c>
      <c r="C2746" t="s">
        <v>41</v>
      </c>
      <c r="D2746" t="s">
        <v>484</v>
      </c>
      <c r="F2746" s="21"/>
      <c r="G2746" s="16" t="str">
        <f>HYPERLINK("http://maps.google.com/maps?f=q&amp;hl=en&amp;geocode=&amp;q=55.25911,11.59831")</f>
        <v>http://maps.google.com/maps?f=q&amp;hl=en&amp;geocode=&amp;q=55.25911,11.59831</v>
      </c>
    </row>
    <row r="2747" spans="1:7" ht="15" x14ac:dyDescent="0.3">
      <c r="A2747">
        <v>55.25911</v>
      </c>
      <c r="B2747">
        <v>11.59831</v>
      </c>
      <c r="C2747" t="s">
        <v>41</v>
      </c>
      <c r="D2747" t="s">
        <v>484</v>
      </c>
      <c r="F2747" s="21"/>
      <c r="G2747" s="16" t="str">
        <f>HYPERLINK("http://maps.google.com/maps?f=q&amp;hl=en&amp;geocode=&amp;q=55.25911,11.59831")</f>
        <v>http://maps.google.com/maps?f=q&amp;hl=en&amp;geocode=&amp;q=55.25911,11.59831</v>
      </c>
    </row>
    <row r="2748" spans="1:7" ht="15" x14ac:dyDescent="0.3">
      <c r="A2748">
        <v>41.868020000000001</v>
      </c>
      <c r="B2748">
        <v>-91.57611</v>
      </c>
      <c r="C2748" t="s">
        <v>41</v>
      </c>
      <c r="D2748" t="s">
        <v>243</v>
      </c>
      <c r="F2748" s="21"/>
      <c r="G2748" s="16" t="str">
        <f>HYPERLINK("http://maps.google.com/maps?f=q&amp;hl=en&amp;geocode=&amp;q=41.86802,-91.57611")</f>
        <v>http://maps.google.com/maps?f=q&amp;hl=en&amp;geocode=&amp;q=41.86802,-91.57611</v>
      </c>
    </row>
    <row r="2749" spans="1:7" ht="15" x14ac:dyDescent="0.3">
      <c r="A2749">
        <v>43.239310000000003</v>
      </c>
      <c r="B2749">
        <v>-78.656620000000004</v>
      </c>
      <c r="C2749" t="s">
        <v>41</v>
      </c>
      <c r="D2749" t="s">
        <v>850</v>
      </c>
      <c r="F2749" s="21"/>
      <c r="G2749" s="16" t="str">
        <f>HYPERLINK("http://maps.google.com/maps?f=q&amp;hl=en&amp;geocode=&amp;q=43.23931,-78.65662")</f>
        <v>http://maps.google.com/maps?f=q&amp;hl=en&amp;geocode=&amp;q=43.23931,-78.65662</v>
      </c>
    </row>
    <row r="2750" spans="1:7" ht="15" x14ac:dyDescent="0.3">
      <c r="A2750">
        <v>40.743064222527202</v>
      </c>
      <c r="B2750">
        <v>-73.255428567604</v>
      </c>
      <c r="C2750" t="s">
        <v>42</v>
      </c>
      <c r="D2750" t="s">
        <v>1921</v>
      </c>
      <c r="F2750" s="21"/>
      <c r="G2750" s="16" t="str">
        <f>HYPERLINK("http://maps.google.com/maps?f=q&amp;hl=en&amp;geocode=&amp;q=40.7430642225272,-73.255428567604")</f>
        <v>http://maps.google.com/maps?f=q&amp;hl=en&amp;geocode=&amp;q=40.7430642225272,-73.255428567604</v>
      </c>
    </row>
    <row r="2751" spans="1:7" ht="15" x14ac:dyDescent="0.3">
      <c r="A2751">
        <v>39.964741807726398</v>
      </c>
      <c r="B2751">
        <v>-75.231684684514804</v>
      </c>
      <c r="C2751" t="s">
        <v>41</v>
      </c>
      <c r="D2751" t="s">
        <v>1742</v>
      </c>
      <c r="F2751" s="21"/>
      <c r="G2751" s="16" t="str">
        <f>HYPERLINK("http://maps.google.com/maps?f=q&amp;hl=en&amp;geocode=&amp;q=39.9647418077264,-75.2316846845148")</f>
        <v>http://maps.google.com/maps?f=q&amp;hl=en&amp;geocode=&amp;q=39.9647418077264,-75.2316846845148</v>
      </c>
    </row>
    <row r="2752" spans="1:7" ht="15" x14ac:dyDescent="0.3">
      <c r="A2752">
        <v>40.0095026692955</v>
      </c>
      <c r="B2752">
        <v>-75.103838500995806</v>
      </c>
      <c r="C2752" t="s">
        <v>41</v>
      </c>
      <c r="D2752" t="s">
        <v>1922</v>
      </c>
      <c r="F2752" s="21"/>
      <c r="G2752" s="16" t="str">
        <f>HYPERLINK("http://maps.google.com/maps?f=q&amp;hl=en&amp;geocode=&amp;q=40.0095026692955,-75.1038385009958")</f>
        <v>http://maps.google.com/maps?f=q&amp;hl=en&amp;geocode=&amp;q=40.0095026692955,-75.1038385009958</v>
      </c>
    </row>
    <row r="2753" spans="1:7" ht="15" x14ac:dyDescent="0.3">
      <c r="A2753">
        <v>47.344679900000003</v>
      </c>
      <c r="B2753">
        <v>13.199260000000001</v>
      </c>
      <c r="C2753" t="s">
        <v>41</v>
      </c>
      <c r="D2753" t="s">
        <v>1089</v>
      </c>
      <c r="F2753" s="21"/>
      <c r="G2753" s="16" t="str">
        <f>HYPERLINK("http://maps.google.com/maps?f=q&amp;hl=en&amp;geocode=&amp;q=47.3446799,13.19926")</f>
        <v>http://maps.google.com/maps?f=q&amp;hl=en&amp;geocode=&amp;q=47.3446799,13.19926</v>
      </c>
    </row>
    <row r="2754" spans="1:7" ht="15" x14ac:dyDescent="0.3">
      <c r="A2754">
        <v>47.344679900000003</v>
      </c>
      <c r="B2754">
        <v>13.199260000000001</v>
      </c>
      <c r="C2754" t="s">
        <v>41</v>
      </c>
      <c r="D2754" t="s">
        <v>1089</v>
      </c>
      <c r="F2754" s="21"/>
      <c r="G2754" s="16" t="str">
        <f>HYPERLINK("http://maps.google.com/maps?f=q&amp;hl=en&amp;geocode=&amp;q=47.3446799,13.19926")</f>
        <v>http://maps.google.com/maps?f=q&amp;hl=en&amp;geocode=&amp;q=47.3446799,13.19926</v>
      </c>
    </row>
    <row r="2755" spans="1:7" ht="15" x14ac:dyDescent="0.3">
      <c r="A2755">
        <v>47.344679900000003</v>
      </c>
      <c r="B2755">
        <v>13.199260000000001</v>
      </c>
      <c r="C2755" t="s">
        <v>41</v>
      </c>
      <c r="D2755" t="s">
        <v>1089</v>
      </c>
      <c r="F2755" s="21"/>
      <c r="G2755" s="16" t="str">
        <f>HYPERLINK("http://maps.google.com/maps?f=q&amp;hl=en&amp;geocode=&amp;q=47.3446799,13.19926")</f>
        <v>http://maps.google.com/maps?f=q&amp;hl=en&amp;geocode=&amp;q=47.3446799,13.19926</v>
      </c>
    </row>
    <row r="2756" spans="1:7" ht="15" x14ac:dyDescent="0.3">
      <c r="A2756">
        <v>40.020499999999998</v>
      </c>
      <c r="B2756">
        <v>-75.206119999999999</v>
      </c>
      <c r="C2756" t="s">
        <v>41</v>
      </c>
      <c r="D2756" t="s">
        <v>1923</v>
      </c>
      <c r="F2756" s="21"/>
      <c r="G2756" s="16" t="str">
        <f>HYPERLINK("http://maps.google.com/maps?f=q&amp;hl=en&amp;geocode=&amp;q=40.0205,-75.20612")</f>
        <v>http://maps.google.com/maps?f=q&amp;hl=en&amp;geocode=&amp;q=40.0205,-75.20612</v>
      </c>
    </row>
    <row r="2757" spans="1:7" ht="15" x14ac:dyDescent="0.3">
      <c r="A2757">
        <v>47.206405034933503</v>
      </c>
      <c r="B2757">
        <v>-122.44607187664</v>
      </c>
      <c r="C2757" t="s">
        <v>41</v>
      </c>
      <c r="D2757" t="s">
        <v>1924</v>
      </c>
      <c r="F2757" s="21"/>
      <c r="G2757" s="16" t="str">
        <f>HYPERLINK("http://maps.google.com/maps?f=q&amp;hl=en&amp;geocode=&amp;q=47.2064050349335,-122.44607187664")</f>
        <v>http://maps.google.com/maps?f=q&amp;hl=en&amp;geocode=&amp;q=47.2064050349335,-122.44607187664</v>
      </c>
    </row>
    <row r="2758" spans="1:7" ht="15" x14ac:dyDescent="0.3">
      <c r="A2758">
        <v>35.079763598775301</v>
      </c>
      <c r="B2758">
        <v>-114.167664993546</v>
      </c>
      <c r="C2758" t="s">
        <v>43</v>
      </c>
      <c r="D2758" t="s">
        <v>1925</v>
      </c>
      <c r="F2758" s="21"/>
      <c r="G2758" s="16" t="str">
        <f>HYPERLINK("http://maps.google.com/maps?f=q&amp;hl=en&amp;geocode=&amp;q=35.0797635987753,-114.167664993546")</f>
        <v>http://maps.google.com/maps?f=q&amp;hl=en&amp;geocode=&amp;q=35.0797635987753,-114.167664993546</v>
      </c>
    </row>
    <row r="2759" spans="1:7" ht="15" x14ac:dyDescent="0.3">
      <c r="A2759">
        <v>-26.188575744628899</v>
      </c>
      <c r="B2759">
        <v>27.929327011108398</v>
      </c>
      <c r="C2759" t="s">
        <v>43</v>
      </c>
      <c r="D2759" t="s">
        <v>1926</v>
      </c>
      <c r="F2759" s="21"/>
      <c r="G2759" s="16" t="str">
        <f>HYPERLINK("http://maps.google.com/maps?f=q&amp;hl=en&amp;geocode=&amp;q=-26.1885757446289,27.9293270111084")</f>
        <v>http://maps.google.com/maps?f=q&amp;hl=en&amp;geocode=&amp;q=-26.1885757446289,27.9293270111084</v>
      </c>
    </row>
    <row r="2760" spans="1:7" ht="15" x14ac:dyDescent="0.3">
      <c r="A2760">
        <v>39.164679999999997</v>
      </c>
      <c r="B2760">
        <v>-121.64972</v>
      </c>
      <c r="C2760" t="s">
        <v>42</v>
      </c>
      <c r="D2760" t="s">
        <v>1927</v>
      </c>
      <c r="F2760" s="21"/>
      <c r="G2760" s="16" t="str">
        <f>HYPERLINK("http://maps.google.com/maps?f=q&amp;hl=en&amp;geocode=&amp;q=39.16468,-121.64972")</f>
        <v>http://maps.google.com/maps?f=q&amp;hl=en&amp;geocode=&amp;q=39.16468,-121.64972</v>
      </c>
    </row>
    <row r="2761" spans="1:7" ht="15" x14ac:dyDescent="0.3">
      <c r="A2761">
        <v>-26.188575744628899</v>
      </c>
      <c r="B2761">
        <v>27.929327011108398</v>
      </c>
      <c r="C2761" t="s">
        <v>43</v>
      </c>
      <c r="D2761" t="s">
        <v>1926</v>
      </c>
      <c r="F2761" s="21"/>
      <c r="G2761" s="16" t="str">
        <f>HYPERLINK("http://maps.google.com/maps?f=q&amp;hl=en&amp;geocode=&amp;q=-26.1885757446289,27.9293270111084")</f>
        <v>http://maps.google.com/maps?f=q&amp;hl=en&amp;geocode=&amp;q=-26.1885757446289,27.9293270111084</v>
      </c>
    </row>
    <row r="2762" spans="1:7" ht="15" x14ac:dyDescent="0.3">
      <c r="A2762" t="s">
        <v>44</v>
      </c>
      <c r="B2762" t="s">
        <v>44</v>
      </c>
      <c r="C2762" t="s">
        <v>44</v>
      </c>
      <c r="D2762" t="s">
        <v>1004</v>
      </c>
      <c r="F2762" s="21"/>
      <c r="G2762" s="16"/>
    </row>
    <row r="2763" spans="1:7" ht="15" x14ac:dyDescent="0.3">
      <c r="A2763">
        <v>35.428350000000002</v>
      </c>
      <c r="B2763">
        <v>-97.134460000000004</v>
      </c>
      <c r="C2763" t="s">
        <v>42</v>
      </c>
      <c r="D2763" t="s">
        <v>412</v>
      </c>
      <c r="F2763" s="21"/>
      <c r="G2763" s="16" t="str">
        <f>HYPERLINK("http://maps.google.com/maps?f=q&amp;hl=en&amp;geocode=&amp;q=35.42835,-97.13446")</f>
        <v>http://maps.google.com/maps?f=q&amp;hl=en&amp;geocode=&amp;q=35.42835,-97.13446</v>
      </c>
    </row>
    <row r="2764" spans="1:7" ht="15" x14ac:dyDescent="0.3">
      <c r="A2764">
        <v>46.687984466552699</v>
      </c>
      <c r="B2764">
        <v>7.6761589050293004</v>
      </c>
      <c r="C2764" t="s">
        <v>43</v>
      </c>
      <c r="D2764" t="s">
        <v>1928</v>
      </c>
      <c r="F2764" s="21"/>
      <c r="G2764" s="16" t="str">
        <f>HYPERLINK("http://maps.google.com/maps?f=q&amp;hl=en&amp;geocode=&amp;q=46.6879844665527,7.6761589050293")</f>
        <v>http://maps.google.com/maps?f=q&amp;hl=en&amp;geocode=&amp;q=46.6879844665527,7.6761589050293</v>
      </c>
    </row>
    <row r="2765" spans="1:7" ht="15" x14ac:dyDescent="0.3">
      <c r="A2765">
        <v>30.33568</v>
      </c>
      <c r="B2765">
        <v>-89.971180000000004</v>
      </c>
      <c r="C2765" t="s">
        <v>42</v>
      </c>
      <c r="D2765" t="s">
        <v>1929</v>
      </c>
      <c r="F2765" s="21"/>
      <c r="G2765" s="16" t="str">
        <f>HYPERLINK("http://maps.google.com/maps?f=q&amp;hl=en&amp;geocode=&amp;q=30.33568,-89.97118")</f>
        <v>http://maps.google.com/maps?f=q&amp;hl=en&amp;geocode=&amp;q=30.33568,-89.97118</v>
      </c>
    </row>
    <row r="2766" spans="1:7" ht="15" x14ac:dyDescent="0.3">
      <c r="A2766" t="s">
        <v>44</v>
      </c>
      <c r="B2766" t="s">
        <v>44</v>
      </c>
      <c r="C2766" t="s">
        <v>44</v>
      </c>
      <c r="D2766" t="s">
        <v>814</v>
      </c>
      <c r="F2766" s="21"/>
      <c r="G2766" s="16"/>
    </row>
    <row r="2767" spans="1:7" ht="15" x14ac:dyDescent="0.3">
      <c r="A2767">
        <v>39.935858756904601</v>
      </c>
      <c r="B2767">
        <v>-75.2252816802078</v>
      </c>
      <c r="C2767" t="s">
        <v>41</v>
      </c>
      <c r="D2767" t="s">
        <v>1930</v>
      </c>
      <c r="F2767" s="21"/>
      <c r="G2767" s="16" t="str">
        <f>HYPERLINK("http://maps.google.com/maps?f=q&amp;hl=en&amp;geocode=&amp;q=39.9358587569046,-75.2252816802078")</f>
        <v>http://maps.google.com/maps?f=q&amp;hl=en&amp;geocode=&amp;q=39.9358587569046,-75.2252816802078</v>
      </c>
    </row>
    <row r="2768" spans="1:7" ht="15" x14ac:dyDescent="0.3">
      <c r="A2768">
        <v>-35.082410000000003</v>
      </c>
      <c r="B2768">
        <v>138.52958000000001</v>
      </c>
      <c r="C2768" t="s">
        <v>41</v>
      </c>
      <c r="D2768" t="s">
        <v>1931</v>
      </c>
      <c r="F2768" s="21"/>
      <c r="G2768" s="16" t="str">
        <f>HYPERLINK("http://maps.google.com/maps?f=q&amp;hl=en&amp;geocode=&amp;q=-35.08241,138.52958")</f>
        <v>http://maps.google.com/maps?f=q&amp;hl=en&amp;geocode=&amp;q=-35.08241,138.52958</v>
      </c>
    </row>
    <row r="2769" spans="1:7" ht="15" x14ac:dyDescent="0.3">
      <c r="A2769" t="s">
        <v>44</v>
      </c>
      <c r="B2769" t="s">
        <v>44</v>
      </c>
      <c r="C2769" t="s">
        <v>44</v>
      </c>
      <c r="D2769" t="s">
        <v>981</v>
      </c>
      <c r="F2769" s="21"/>
      <c r="G2769" s="16"/>
    </row>
    <row r="2770" spans="1:7" ht="15" x14ac:dyDescent="0.3">
      <c r="A2770">
        <v>39.98798</v>
      </c>
      <c r="B2770">
        <v>-75.107820000000004</v>
      </c>
      <c r="C2770" t="s">
        <v>41</v>
      </c>
      <c r="D2770" t="s">
        <v>1932</v>
      </c>
      <c r="F2770" s="21"/>
      <c r="G2770" s="16" t="str">
        <f>HYPERLINK("http://maps.google.com/maps?f=q&amp;hl=en&amp;geocode=&amp;q=39.98798,-75.10782")</f>
        <v>http://maps.google.com/maps?f=q&amp;hl=en&amp;geocode=&amp;q=39.98798,-75.10782</v>
      </c>
    </row>
    <row r="2771" spans="1:7" ht="15" x14ac:dyDescent="0.3">
      <c r="A2771">
        <v>39.9861</v>
      </c>
      <c r="B2771">
        <v>-75.111379999999997</v>
      </c>
      <c r="C2771" t="s">
        <v>41</v>
      </c>
      <c r="D2771" t="s">
        <v>1933</v>
      </c>
      <c r="F2771" s="21"/>
      <c r="G2771" s="16" t="str">
        <f>HYPERLINK("http://maps.google.com/maps?f=q&amp;hl=en&amp;geocode=&amp;q=39.9861,-75.11138")</f>
        <v>http://maps.google.com/maps?f=q&amp;hl=en&amp;geocode=&amp;q=39.9861,-75.11138</v>
      </c>
    </row>
    <row r="2772" spans="1:7" ht="15" x14ac:dyDescent="0.3">
      <c r="A2772">
        <v>39.987356789543497</v>
      </c>
      <c r="B2772">
        <v>-75.108673745125103</v>
      </c>
      <c r="C2772" t="s">
        <v>41</v>
      </c>
      <c r="D2772" t="s">
        <v>1215</v>
      </c>
      <c r="F2772" s="21"/>
      <c r="G2772" s="16" t="str">
        <f>HYPERLINK("http://maps.google.com/maps?f=q&amp;hl=en&amp;geocode=&amp;q=39.9873567895435,-75.1086737451251")</f>
        <v>http://maps.google.com/maps?f=q&amp;hl=en&amp;geocode=&amp;q=39.9873567895435,-75.1086737451251</v>
      </c>
    </row>
    <row r="2773" spans="1:7" ht="15" x14ac:dyDescent="0.3">
      <c r="A2773">
        <v>49.607986450195298</v>
      </c>
      <c r="B2773">
        <v>6.1098670959472701</v>
      </c>
      <c r="C2773" t="s">
        <v>43</v>
      </c>
      <c r="D2773" t="s">
        <v>1934</v>
      </c>
      <c r="F2773" s="21"/>
      <c r="G2773" s="16" t="str">
        <f>HYPERLINK("http://maps.google.com/maps?f=q&amp;hl=en&amp;geocode=&amp;q=49.6079864501953,6.10986709594727")</f>
        <v>http://maps.google.com/maps?f=q&amp;hl=en&amp;geocode=&amp;q=49.6079864501953,6.10986709594727</v>
      </c>
    </row>
    <row r="2774" spans="1:7" ht="15" x14ac:dyDescent="0.3">
      <c r="A2774">
        <v>35.550813955232499</v>
      </c>
      <c r="B2774">
        <v>-100.97201196637199</v>
      </c>
      <c r="C2774" t="s">
        <v>41</v>
      </c>
      <c r="D2774" t="s">
        <v>1935</v>
      </c>
      <c r="F2774" s="21"/>
      <c r="G2774" s="16" t="str">
        <f>HYPERLINK("http://maps.google.com/maps?f=q&amp;hl=en&amp;geocode=&amp;q=35.5508139552325,-100.972011966372")</f>
        <v>http://maps.google.com/maps?f=q&amp;hl=en&amp;geocode=&amp;q=35.5508139552325,-100.972011966372</v>
      </c>
    </row>
    <row r="2775" spans="1:7" ht="15" x14ac:dyDescent="0.3">
      <c r="A2775">
        <v>55.670021057128899</v>
      </c>
      <c r="B2775">
        <v>12.120795249939</v>
      </c>
      <c r="C2775" t="s">
        <v>43</v>
      </c>
      <c r="D2775" t="s">
        <v>1936</v>
      </c>
      <c r="F2775" s="21"/>
      <c r="G2775" s="16" t="str">
        <f>HYPERLINK("http://maps.google.com/maps?f=q&amp;hl=en&amp;geocode=&amp;q=55.6700210571289,12.120795249939")</f>
        <v>http://maps.google.com/maps?f=q&amp;hl=en&amp;geocode=&amp;q=55.6700210571289,12.120795249939</v>
      </c>
    </row>
    <row r="2776" spans="1:7" ht="15" x14ac:dyDescent="0.3">
      <c r="A2776">
        <v>39.971469999999997</v>
      </c>
      <c r="B2776">
        <v>-75.263739999999999</v>
      </c>
      <c r="C2776" t="s">
        <v>41</v>
      </c>
      <c r="D2776" t="s">
        <v>1937</v>
      </c>
      <c r="F2776" s="21"/>
      <c r="G2776" s="16" t="str">
        <f>HYPERLINK("http://maps.google.com/maps?f=q&amp;hl=en&amp;geocode=&amp;q=39.97147,-75.26374")</f>
        <v>http://maps.google.com/maps?f=q&amp;hl=en&amp;geocode=&amp;q=39.97147,-75.26374</v>
      </c>
    </row>
    <row r="2777" spans="1:7" ht="15" x14ac:dyDescent="0.3">
      <c r="A2777">
        <v>39.478946856042199</v>
      </c>
      <c r="B2777">
        <v>-74.696210245496601</v>
      </c>
      <c r="C2777" t="s">
        <v>43</v>
      </c>
      <c r="D2777" t="s">
        <v>1938</v>
      </c>
      <c r="F2777" s="21"/>
      <c r="G2777" s="16" t="str">
        <f>HYPERLINK("http://maps.google.com/maps?f=q&amp;hl=en&amp;geocode=&amp;q=39.4789468560422,-74.6962102454966")</f>
        <v>http://maps.google.com/maps?f=q&amp;hl=en&amp;geocode=&amp;q=39.4789468560422,-74.6962102454966</v>
      </c>
    </row>
    <row r="2778" spans="1:7" ht="15" x14ac:dyDescent="0.3">
      <c r="A2778">
        <v>39.157010835172997</v>
      </c>
      <c r="B2778">
        <v>-96.045341963517401</v>
      </c>
      <c r="C2778" t="s">
        <v>41</v>
      </c>
      <c r="D2778" t="s">
        <v>1939</v>
      </c>
      <c r="F2778" s="21"/>
      <c r="G2778" s="16" t="str">
        <f>HYPERLINK("http://maps.google.com/maps?f=q&amp;hl=en&amp;geocode=&amp;q=39.157010835173,-96.0453419635174")</f>
        <v>http://maps.google.com/maps?f=q&amp;hl=en&amp;geocode=&amp;q=39.157010835173,-96.0453419635174</v>
      </c>
    </row>
    <row r="2779" spans="1:7" ht="15" x14ac:dyDescent="0.3">
      <c r="A2779">
        <v>38.58887</v>
      </c>
      <c r="B2779">
        <v>-90.28819</v>
      </c>
      <c r="C2779" t="s">
        <v>41</v>
      </c>
      <c r="D2779" t="s">
        <v>429</v>
      </c>
      <c r="F2779" s="21"/>
      <c r="G2779" s="16" t="str">
        <f>HYPERLINK("http://maps.google.com/maps?f=q&amp;hl=en&amp;geocode=&amp;q=38.58887,-90.28819")</f>
        <v>http://maps.google.com/maps?f=q&amp;hl=en&amp;geocode=&amp;q=38.58887,-90.28819</v>
      </c>
    </row>
    <row r="2780" spans="1:7" ht="15" x14ac:dyDescent="0.3">
      <c r="A2780">
        <v>39.4432563781738</v>
      </c>
      <c r="B2780">
        <v>-98.957336425781307</v>
      </c>
      <c r="C2780" t="s">
        <v>43</v>
      </c>
      <c r="D2780" t="s">
        <v>1940</v>
      </c>
      <c r="F2780" s="21"/>
      <c r="G2780" s="16" t="str">
        <f>HYPERLINK("http://maps.google.com/maps?f=q&amp;hl=en&amp;geocode=&amp;q=39.4432563781738,-98.9573364257813")</f>
        <v>http://maps.google.com/maps?f=q&amp;hl=en&amp;geocode=&amp;q=39.4432563781738,-98.9573364257813</v>
      </c>
    </row>
    <row r="2781" spans="1:7" ht="15" x14ac:dyDescent="0.3">
      <c r="A2781">
        <v>39.4432563781738</v>
      </c>
      <c r="B2781">
        <v>-98.957336425781307</v>
      </c>
      <c r="C2781" t="s">
        <v>43</v>
      </c>
      <c r="D2781" t="s">
        <v>1940</v>
      </c>
      <c r="F2781" s="21"/>
      <c r="G2781" s="16" t="str">
        <f>HYPERLINK("http://maps.google.com/maps?f=q&amp;hl=en&amp;geocode=&amp;q=39.4432563781738,-98.9573364257813")</f>
        <v>http://maps.google.com/maps?f=q&amp;hl=en&amp;geocode=&amp;q=39.4432563781738,-98.9573364257813</v>
      </c>
    </row>
    <row r="2782" spans="1:7" ht="15" x14ac:dyDescent="0.3">
      <c r="A2782">
        <v>37.006450000000001</v>
      </c>
      <c r="B2782">
        <v>-85.395020000000002</v>
      </c>
      <c r="C2782" t="s">
        <v>42</v>
      </c>
      <c r="D2782" t="s">
        <v>1941</v>
      </c>
      <c r="F2782" s="21"/>
      <c r="G2782" s="16" t="str">
        <f>HYPERLINK("http://maps.google.com/maps?f=q&amp;hl=en&amp;geocode=&amp;q=37.00645,-85.39502")</f>
        <v>http://maps.google.com/maps?f=q&amp;hl=en&amp;geocode=&amp;q=37.00645,-85.39502</v>
      </c>
    </row>
    <row r="2783" spans="1:7" ht="15" x14ac:dyDescent="0.3">
      <c r="A2783">
        <v>44.875728607177699</v>
      </c>
      <c r="B2783">
        <v>-98.517570495605497</v>
      </c>
      <c r="C2783" t="s">
        <v>43</v>
      </c>
      <c r="D2783" t="s">
        <v>1942</v>
      </c>
      <c r="F2783" s="21"/>
      <c r="G2783" s="16" t="str">
        <f>HYPERLINK("http://maps.google.com/maps?f=q&amp;hl=en&amp;geocode=&amp;q=44.8757286071777,-98.5175704956055")</f>
        <v>http://maps.google.com/maps?f=q&amp;hl=en&amp;geocode=&amp;q=44.8757286071777,-98.5175704956055</v>
      </c>
    </row>
    <row r="2784" spans="1:7" ht="15" x14ac:dyDescent="0.3">
      <c r="A2784">
        <v>39.981514357222203</v>
      </c>
      <c r="B2784">
        <v>-75.1135650848951</v>
      </c>
      <c r="C2784" t="s">
        <v>41</v>
      </c>
      <c r="D2784" t="s">
        <v>1943</v>
      </c>
      <c r="F2784" s="21"/>
      <c r="G2784" s="16" t="str">
        <f>HYPERLINK("http://maps.google.com/maps?f=q&amp;hl=en&amp;geocode=&amp;q=39.9815143572222,-75.1135650848951")</f>
        <v>http://maps.google.com/maps?f=q&amp;hl=en&amp;geocode=&amp;q=39.9815143572222,-75.1135650848951</v>
      </c>
    </row>
    <row r="2785" spans="1:7" ht="15" x14ac:dyDescent="0.3">
      <c r="A2785" t="s">
        <v>44</v>
      </c>
      <c r="B2785" t="s">
        <v>44</v>
      </c>
      <c r="C2785" t="s">
        <v>44</v>
      </c>
      <c r="D2785" t="s">
        <v>1944</v>
      </c>
      <c r="F2785" s="21"/>
      <c r="G2785" s="16"/>
    </row>
    <row r="2786" spans="1:7" ht="15" x14ac:dyDescent="0.3">
      <c r="A2786" t="s">
        <v>44</v>
      </c>
      <c r="B2786" t="s">
        <v>44</v>
      </c>
      <c r="C2786" t="s">
        <v>44</v>
      </c>
      <c r="D2786" t="s">
        <v>1944</v>
      </c>
      <c r="F2786" s="21"/>
      <c r="G2786" s="16"/>
    </row>
    <row r="2787" spans="1:7" ht="15" x14ac:dyDescent="0.3">
      <c r="A2787">
        <v>35.076482063598398</v>
      </c>
      <c r="B2787">
        <v>-88.251108870814093</v>
      </c>
      <c r="C2787" t="s">
        <v>41</v>
      </c>
      <c r="D2787" t="s">
        <v>298</v>
      </c>
      <c r="F2787" s="21"/>
      <c r="G2787" s="16" t="str">
        <f>HYPERLINK("http://maps.google.com/maps?f=q&amp;hl=en&amp;geocode=&amp;q=35.0764820635984,-88.2511088708141")</f>
        <v>http://maps.google.com/maps?f=q&amp;hl=en&amp;geocode=&amp;q=35.0764820635984,-88.2511088708141</v>
      </c>
    </row>
    <row r="2788" spans="1:7" ht="15" x14ac:dyDescent="0.3">
      <c r="A2788">
        <v>39.113248678801199</v>
      </c>
      <c r="B2788">
        <v>-75.564800959720003</v>
      </c>
      <c r="C2788" t="s">
        <v>41</v>
      </c>
      <c r="D2788" t="s">
        <v>1945</v>
      </c>
      <c r="F2788" s="21"/>
      <c r="G2788" s="16" t="str">
        <f>HYPERLINK("http://maps.google.com/maps?f=q&amp;hl=en&amp;geocode=&amp;q=39.1132486788012,-75.56480095972")</f>
        <v>http://maps.google.com/maps?f=q&amp;hl=en&amp;geocode=&amp;q=39.1132486788012,-75.56480095972</v>
      </c>
    </row>
    <row r="2789" spans="1:7" ht="15" x14ac:dyDescent="0.3">
      <c r="A2789">
        <v>40.048650000000002</v>
      </c>
      <c r="B2789">
        <v>-75.066590000000005</v>
      </c>
      <c r="C2789" t="s">
        <v>42</v>
      </c>
      <c r="D2789" t="s">
        <v>1946</v>
      </c>
      <c r="F2789" s="21"/>
      <c r="G2789" s="16" t="str">
        <f>HYPERLINK("http://maps.google.com/maps?f=q&amp;hl=en&amp;geocode=&amp;q=40.04865,-75.06659")</f>
        <v>http://maps.google.com/maps?f=q&amp;hl=en&amp;geocode=&amp;q=40.04865,-75.06659</v>
      </c>
    </row>
    <row r="2790" spans="1:7" ht="15" x14ac:dyDescent="0.3">
      <c r="A2790">
        <v>32.8433239564202</v>
      </c>
      <c r="B2790">
        <v>-109.82606313460499</v>
      </c>
      <c r="C2790" t="s">
        <v>41</v>
      </c>
      <c r="D2790" t="s">
        <v>1947</v>
      </c>
      <c r="F2790" s="21"/>
      <c r="G2790" s="16" t="str">
        <f>HYPERLINK("http://maps.google.com/maps?f=q&amp;hl=en&amp;geocode=&amp;q=32.8433239564202,-109.826063134605")</f>
        <v>http://maps.google.com/maps?f=q&amp;hl=en&amp;geocode=&amp;q=32.8433239564202,-109.826063134605</v>
      </c>
    </row>
    <row r="2791" spans="1:7" ht="15" x14ac:dyDescent="0.3">
      <c r="A2791">
        <v>39.590197850645502</v>
      </c>
      <c r="B2791">
        <v>-75.1006856874844</v>
      </c>
      <c r="C2791" t="s">
        <v>41</v>
      </c>
      <c r="D2791" t="s">
        <v>1948</v>
      </c>
      <c r="F2791" s="21"/>
      <c r="G2791" s="16" t="str">
        <f>HYPERLINK("http://maps.google.com/maps?f=q&amp;hl=en&amp;geocode=&amp;q=39.5901978506455,-75.1006856874844")</f>
        <v>http://maps.google.com/maps?f=q&amp;hl=en&amp;geocode=&amp;q=39.5901978506455,-75.1006856874844</v>
      </c>
    </row>
    <row r="2792" spans="1:7" ht="15" x14ac:dyDescent="0.3">
      <c r="A2792">
        <v>39.96181</v>
      </c>
      <c r="B2792">
        <v>-75.226519999999994</v>
      </c>
      <c r="C2792" t="s">
        <v>43</v>
      </c>
      <c r="D2792" t="s">
        <v>1949</v>
      </c>
      <c r="F2792" s="21"/>
      <c r="G2792" s="16" t="str">
        <f>HYPERLINK("http://maps.google.com/maps?f=q&amp;hl=en&amp;geocode=&amp;q=39.96181,-75.22652")</f>
        <v>http://maps.google.com/maps?f=q&amp;hl=en&amp;geocode=&amp;q=39.96181,-75.22652</v>
      </c>
    </row>
    <row r="2793" spans="1:7" ht="15" x14ac:dyDescent="0.3">
      <c r="A2793">
        <v>39.96181</v>
      </c>
      <c r="B2793">
        <v>-75.226519999999994</v>
      </c>
      <c r="C2793" t="s">
        <v>43</v>
      </c>
      <c r="D2793" t="s">
        <v>1949</v>
      </c>
      <c r="F2793" s="21"/>
      <c r="G2793" s="16" t="str">
        <f>HYPERLINK("http://maps.google.com/maps?f=q&amp;hl=en&amp;geocode=&amp;q=39.96181,-75.22652")</f>
        <v>http://maps.google.com/maps?f=q&amp;hl=en&amp;geocode=&amp;q=39.96181,-75.22652</v>
      </c>
    </row>
    <row r="2794" spans="1:7" ht="15" x14ac:dyDescent="0.3">
      <c r="A2794">
        <v>50.733329772949197</v>
      </c>
      <c r="B2794">
        <v>4.5333299636840803</v>
      </c>
      <c r="C2794" t="s">
        <v>43</v>
      </c>
      <c r="D2794" t="s">
        <v>1950</v>
      </c>
      <c r="F2794" s="21"/>
      <c r="G2794" s="16" t="str">
        <f>HYPERLINK("http://maps.google.com/maps?f=q&amp;hl=en&amp;geocode=&amp;q=50.7333297729492,4.53332996368408")</f>
        <v>http://maps.google.com/maps?f=q&amp;hl=en&amp;geocode=&amp;q=50.7333297729492,4.53332996368408</v>
      </c>
    </row>
    <row r="2795" spans="1:7" ht="15" x14ac:dyDescent="0.3">
      <c r="A2795">
        <v>48.008468627929702</v>
      </c>
      <c r="B2795">
        <v>12.169349670410201</v>
      </c>
      <c r="C2795" t="s">
        <v>43</v>
      </c>
      <c r="D2795" t="s">
        <v>1951</v>
      </c>
      <c r="F2795" s="21"/>
      <c r="G2795" s="16" t="str">
        <f>HYPERLINK("http://maps.google.com/maps?f=q&amp;hl=en&amp;geocode=&amp;q=48.0084686279297,12.1693496704102")</f>
        <v>http://maps.google.com/maps?f=q&amp;hl=en&amp;geocode=&amp;q=48.0084686279297,12.1693496704102</v>
      </c>
    </row>
    <row r="2796" spans="1:7" ht="15" x14ac:dyDescent="0.3">
      <c r="A2796">
        <v>42.054851531982401</v>
      </c>
      <c r="B2796">
        <v>-89.030372619628906</v>
      </c>
      <c r="C2796" t="s">
        <v>41</v>
      </c>
      <c r="D2796" t="s">
        <v>1952</v>
      </c>
      <c r="F2796" s="21"/>
      <c r="G2796" s="16" t="str">
        <f>HYPERLINK("http://maps.google.com/maps?f=q&amp;hl=en&amp;geocode=&amp;q=42.0548515319824,-89.0303726196289")</f>
        <v>http://maps.google.com/maps?f=q&amp;hl=en&amp;geocode=&amp;q=42.0548515319824,-89.0303726196289</v>
      </c>
    </row>
    <row r="2797" spans="1:7" ht="15" x14ac:dyDescent="0.3">
      <c r="A2797">
        <v>41.177131652832003</v>
      </c>
      <c r="B2797">
        <v>-75.988906860351605</v>
      </c>
      <c r="C2797" t="s">
        <v>41</v>
      </c>
      <c r="D2797" t="s">
        <v>1953</v>
      </c>
      <c r="F2797" s="21"/>
      <c r="G2797" s="16" t="str">
        <f>HYPERLINK("http://maps.google.com/maps?f=q&amp;hl=en&amp;geocode=&amp;q=41.177131652832,-75.9889068603516")</f>
        <v>http://maps.google.com/maps?f=q&amp;hl=en&amp;geocode=&amp;q=41.177131652832,-75.9889068603516</v>
      </c>
    </row>
    <row r="2798" spans="1:7" ht="15" x14ac:dyDescent="0.3">
      <c r="A2798">
        <v>-42.881641387939503</v>
      </c>
      <c r="B2798">
        <v>147.331619262695</v>
      </c>
      <c r="C2798" t="s">
        <v>41</v>
      </c>
      <c r="D2798" t="s">
        <v>1954</v>
      </c>
      <c r="F2798" s="21"/>
      <c r="G2798" s="16" t="str">
        <f>HYPERLINK("http://maps.google.com/maps?f=q&amp;hl=en&amp;geocode=&amp;q=-42.8816413879395,147.331619262695")</f>
        <v>http://maps.google.com/maps?f=q&amp;hl=en&amp;geocode=&amp;q=-42.8816413879395,147.331619262695</v>
      </c>
    </row>
    <row r="2799" spans="1:7" ht="15" x14ac:dyDescent="0.3">
      <c r="A2799" t="s">
        <v>44</v>
      </c>
      <c r="B2799" t="s">
        <v>44</v>
      </c>
      <c r="C2799" t="s">
        <v>44</v>
      </c>
      <c r="D2799" t="s">
        <v>1955</v>
      </c>
      <c r="F2799" s="21"/>
      <c r="G2799" s="16"/>
    </row>
    <row r="2800" spans="1:7" ht="15" x14ac:dyDescent="0.3">
      <c r="A2800">
        <v>45.315280914306598</v>
      </c>
      <c r="B2800">
        <v>-69.203948974609403</v>
      </c>
      <c r="C2800" t="s">
        <v>41</v>
      </c>
      <c r="D2800" t="s">
        <v>1956</v>
      </c>
      <c r="F2800" s="21"/>
      <c r="G2800" s="16" t="str">
        <f>HYPERLINK("http://maps.google.com/maps?f=q&amp;hl=en&amp;geocode=&amp;q=45.3152809143066,-69.2039489746094")</f>
        <v>http://maps.google.com/maps?f=q&amp;hl=en&amp;geocode=&amp;q=45.3152809143066,-69.2039489746094</v>
      </c>
    </row>
    <row r="2801" spans="1:7" ht="15" x14ac:dyDescent="0.3">
      <c r="A2801">
        <v>39.974530000000001</v>
      </c>
      <c r="B2801">
        <v>-75.238280000000003</v>
      </c>
      <c r="C2801" t="s">
        <v>43</v>
      </c>
      <c r="D2801" t="s">
        <v>1957</v>
      </c>
      <c r="F2801" s="21"/>
      <c r="G2801" s="16" t="str">
        <f>HYPERLINK("http://maps.google.com/maps?f=q&amp;hl=en&amp;geocode=&amp;q=39.97453,-75.23828")</f>
        <v>http://maps.google.com/maps?f=q&amp;hl=en&amp;geocode=&amp;q=39.97453,-75.23828</v>
      </c>
    </row>
    <row r="2802" spans="1:7" ht="15" x14ac:dyDescent="0.3">
      <c r="A2802">
        <v>38.622457357798197</v>
      </c>
      <c r="B2802">
        <v>-90.325918167229304</v>
      </c>
      <c r="C2802" t="s">
        <v>41</v>
      </c>
      <c r="D2802" t="s">
        <v>1958</v>
      </c>
      <c r="F2802" s="21"/>
      <c r="G2802" s="16" t="str">
        <f>HYPERLINK("http://maps.google.com/maps?f=q&amp;hl=en&amp;geocode=&amp;q=38.6224573577982,-90.3259181672293")</f>
        <v>http://maps.google.com/maps?f=q&amp;hl=en&amp;geocode=&amp;q=38.6224573577982,-90.3259181672293</v>
      </c>
    </row>
    <row r="2803" spans="1:7" ht="15" x14ac:dyDescent="0.3">
      <c r="A2803">
        <v>41.575179755221697</v>
      </c>
      <c r="B2803">
        <v>-73.071488322468596</v>
      </c>
      <c r="C2803" t="s">
        <v>41</v>
      </c>
      <c r="D2803" t="s">
        <v>1959</v>
      </c>
      <c r="F2803" s="21"/>
      <c r="G2803" s="16" t="str">
        <f>HYPERLINK("http://maps.google.com/maps?f=q&amp;hl=en&amp;geocode=&amp;q=41.5751797552217,-73.0714883224686")</f>
        <v>http://maps.google.com/maps?f=q&amp;hl=en&amp;geocode=&amp;q=41.5751797552217,-73.0714883224686</v>
      </c>
    </row>
    <row r="2804" spans="1:7" ht="15" x14ac:dyDescent="0.3">
      <c r="A2804">
        <v>55.25911</v>
      </c>
      <c r="B2804">
        <v>11.59831</v>
      </c>
      <c r="C2804" t="s">
        <v>41</v>
      </c>
      <c r="D2804" t="s">
        <v>484</v>
      </c>
      <c r="F2804" s="21"/>
      <c r="G2804" s="16" t="str">
        <f>HYPERLINK("http://maps.google.com/maps?f=q&amp;hl=en&amp;geocode=&amp;q=55.25911,11.59831")</f>
        <v>http://maps.google.com/maps?f=q&amp;hl=en&amp;geocode=&amp;q=55.25911,11.59831</v>
      </c>
    </row>
    <row r="2805" spans="1:7" ht="15" x14ac:dyDescent="0.3">
      <c r="A2805">
        <v>55.25911</v>
      </c>
      <c r="B2805">
        <v>11.59831</v>
      </c>
      <c r="C2805" t="s">
        <v>41</v>
      </c>
      <c r="D2805" t="s">
        <v>484</v>
      </c>
      <c r="F2805" s="21"/>
      <c r="G2805" s="16" t="str">
        <f>HYPERLINK("http://maps.google.com/maps?f=q&amp;hl=en&amp;geocode=&amp;q=55.25911,11.59831")</f>
        <v>http://maps.google.com/maps?f=q&amp;hl=en&amp;geocode=&amp;q=55.25911,11.59831</v>
      </c>
    </row>
    <row r="2806" spans="1:7" ht="15" x14ac:dyDescent="0.3">
      <c r="A2806" t="s">
        <v>44</v>
      </c>
      <c r="B2806" t="s">
        <v>44</v>
      </c>
      <c r="C2806" t="s">
        <v>44</v>
      </c>
      <c r="D2806" t="s">
        <v>1960</v>
      </c>
      <c r="F2806" s="21"/>
      <c r="G2806" s="16"/>
    </row>
    <row r="2807" spans="1:7" ht="15" x14ac:dyDescent="0.3">
      <c r="A2807" t="s">
        <v>44</v>
      </c>
      <c r="B2807" t="s">
        <v>44</v>
      </c>
      <c r="C2807" t="s">
        <v>44</v>
      </c>
      <c r="D2807" t="s">
        <v>1961</v>
      </c>
      <c r="F2807" s="21"/>
      <c r="G2807" s="16"/>
    </row>
    <row r="2808" spans="1:7" ht="15" x14ac:dyDescent="0.3">
      <c r="A2808">
        <v>47.411106109619098</v>
      </c>
      <c r="B2808">
        <v>13.218259811401399</v>
      </c>
      <c r="C2808" t="s">
        <v>43</v>
      </c>
      <c r="D2808" t="s">
        <v>1962</v>
      </c>
      <c r="F2808" s="21"/>
      <c r="G2808" s="16" t="str">
        <f>HYPERLINK("http://maps.google.com/maps?f=q&amp;hl=en&amp;geocode=&amp;q=47.4111061096191,13.2182598114014")</f>
        <v>http://maps.google.com/maps?f=q&amp;hl=en&amp;geocode=&amp;q=47.4111061096191,13.2182598114014</v>
      </c>
    </row>
    <row r="2809" spans="1:7" ht="15" x14ac:dyDescent="0.3">
      <c r="A2809">
        <v>-26.188575744628899</v>
      </c>
      <c r="B2809">
        <v>27.929327011108398</v>
      </c>
      <c r="C2809" t="s">
        <v>43</v>
      </c>
      <c r="D2809" t="s">
        <v>1963</v>
      </c>
      <c r="F2809" s="21"/>
      <c r="G2809" s="16" t="str">
        <f>HYPERLINK("http://maps.google.com/maps?f=q&amp;hl=en&amp;geocode=&amp;q=-26.1885757446289,27.9293270111084")</f>
        <v>http://maps.google.com/maps?f=q&amp;hl=en&amp;geocode=&amp;q=-26.1885757446289,27.9293270111084</v>
      </c>
    </row>
    <row r="2810" spans="1:7" ht="15" x14ac:dyDescent="0.3">
      <c r="A2810">
        <v>39.981029999999997</v>
      </c>
      <c r="B2810">
        <v>-75.110590000000002</v>
      </c>
      <c r="C2810" t="s">
        <v>41</v>
      </c>
      <c r="D2810" t="s">
        <v>1309</v>
      </c>
      <c r="F2810" s="21"/>
      <c r="G2810" s="16" t="str">
        <f>HYPERLINK("http://maps.google.com/maps?f=q&amp;hl=en&amp;geocode=&amp;q=39.98103,-75.11059")</f>
        <v>http://maps.google.com/maps?f=q&amp;hl=en&amp;geocode=&amp;q=39.98103,-75.11059</v>
      </c>
    </row>
    <row r="2811" spans="1:7" ht="15" x14ac:dyDescent="0.3">
      <c r="A2811">
        <v>49.617465972900398</v>
      </c>
      <c r="B2811">
        <v>6.1158747673034703</v>
      </c>
      <c r="C2811" t="s">
        <v>41</v>
      </c>
      <c r="D2811" t="s">
        <v>1964</v>
      </c>
      <c r="F2811" s="21"/>
      <c r="G2811" s="16" t="str">
        <f>HYPERLINK("http://maps.google.com/maps?f=q&amp;hl=en&amp;geocode=&amp;q=49.6174659729004,6.11587476730347")</f>
        <v>http://maps.google.com/maps?f=q&amp;hl=en&amp;geocode=&amp;q=49.6174659729004,6.11587476730347</v>
      </c>
    </row>
    <row r="2812" spans="1:7" ht="15" x14ac:dyDescent="0.3">
      <c r="A2812">
        <v>33.290967775503702</v>
      </c>
      <c r="B2812">
        <v>-80.802670126782502</v>
      </c>
      <c r="C2812" t="s">
        <v>41</v>
      </c>
      <c r="D2812" t="s">
        <v>1965</v>
      </c>
      <c r="F2812" s="21"/>
      <c r="G2812" s="16" t="str">
        <f>HYPERLINK("http://maps.google.com/maps?f=q&amp;hl=en&amp;geocode=&amp;q=33.2909677755037,-80.8026701267825")</f>
        <v>http://maps.google.com/maps?f=q&amp;hl=en&amp;geocode=&amp;q=33.2909677755037,-80.8026701267825</v>
      </c>
    </row>
    <row r="2813" spans="1:7" ht="15" x14ac:dyDescent="0.3">
      <c r="A2813">
        <v>39.818615155618303</v>
      </c>
      <c r="B2813">
        <v>-121.966251971498</v>
      </c>
      <c r="C2813" t="s">
        <v>41</v>
      </c>
      <c r="D2813" t="s">
        <v>1966</v>
      </c>
      <c r="F2813" s="21"/>
      <c r="G2813" s="16" t="str">
        <f>HYPERLINK("http://maps.google.com/maps?f=q&amp;hl=en&amp;geocode=&amp;q=39.8186151556183,-121.966251971498")</f>
        <v>http://maps.google.com/maps?f=q&amp;hl=en&amp;geocode=&amp;q=39.8186151556183,-121.966251971498</v>
      </c>
    </row>
    <row r="2814" spans="1:7" ht="15" x14ac:dyDescent="0.3">
      <c r="A2814">
        <v>37.050380706787102</v>
      </c>
      <c r="B2814">
        <v>-122.07330322265599</v>
      </c>
      <c r="C2814" t="s">
        <v>43</v>
      </c>
      <c r="D2814" t="s">
        <v>1967</v>
      </c>
      <c r="F2814" s="21"/>
      <c r="G2814" s="16" t="str">
        <f>HYPERLINK("http://maps.google.com/maps?f=q&amp;hl=en&amp;geocode=&amp;q=37.0503807067871,-122.073303222656")</f>
        <v>http://maps.google.com/maps?f=q&amp;hl=en&amp;geocode=&amp;q=37.0503807067871,-122.073303222656</v>
      </c>
    </row>
    <row r="2815" spans="1:7" ht="15" x14ac:dyDescent="0.3">
      <c r="A2815">
        <v>50.424399999999999</v>
      </c>
      <c r="B2815">
        <v>4.4586300000000003</v>
      </c>
      <c r="C2815" t="s">
        <v>41</v>
      </c>
      <c r="D2815" t="s">
        <v>1334</v>
      </c>
      <c r="F2815" s="21"/>
      <c r="G2815" s="16" t="str">
        <f>HYPERLINK("http://maps.google.com/maps?f=q&amp;hl=en&amp;geocode=&amp;q=50.4244,4.45863")</f>
        <v>http://maps.google.com/maps?f=q&amp;hl=en&amp;geocode=&amp;q=50.4244,4.45863</v>
      </c>
    </row>
    <row r="2816" spans="1:7" ht="15" x14ac:dyDescent="0.3">
      <c r="A2816">
        <v>-31.950477600097699</v>
      </c>
      <c r="B2816">
        <v>115.86053466796901</v>
      </c>
      <c r="C2816" t="s">
        <v>43</v>
      </c>
      <c r="D2816" t="s">
        <v>433</v>
      </c>
      <c r="F2816" s="21"/>
      <c r="G2816" s="16" t="str">
        <f>HYPERLINK("http://maps.google.com/maps?f=q&amp;hl=en&amp;geocode=&amp;q=-31.9504776000977,115.860534667969")</f>
        <v>http://maps.google.com/maps?f=q&amp;hl=en&amp;geocode=&amp;q=-31.9504776000977,115.860534667969</v>
      </c>
    </row>
    <row r="2817" spans="1:7" ht="15" x14ac:dyDescent="0.3">
      <c r="A2817">
        <v>32.384909999999998</v>
      </c>
      <c r="B2817">
        <v>-86.193430000000006</v>
      </c>
      <c r="C2817" t="s">
        <v>42</v>
      </c>
      <c r="D2817" t="s">
        <v>1351</v>
      </c>
      <c r="F2817" s="21"/>
      <c r="G2817" s="16" t="str">
        <f>HYPERLINK("http://maps.google.com/maps?f=q&amp;hl=en&amp;geocode=&amp;q=32.38491,-86.19343")</f>
        <v>http://maps.google.com/maps?f=q&amp;hl=en&amp;geocode=&amp;q=32.38491,-86.19343</v>
      </c>
    </row>
    <row r="2818" spans="1:7" ht="15" x14ac:dyDescent="0.3">
      <c r="A2818">
        <v>40.024738311767599</v>
      </c>
      <c r="B2818">
        <v>-75.213882446289105</v>
      </c>
      <c r="C2818" t="s">
        <v>43</v>
      </c>
      <c r="D2818" t="s">
        <v>123</v>
      </c>
      <c r="F2818" s="21"/>
      <c r="G2818" s="16" t="str">
        <f>HYPERLINK("http://maps.google.com/maps?f=q&amp;hl=en&amp;geocode=&amp;q=40.0247383117676,-75.2138824462891")</f>
        <v>http://maps.google.com/maps?f=q&amp;hl=en&amp;geocode=&amp;q=40.0247383117676,-75.2138824462891</v>
      </c>
    </row>
    <row r="2819" spans="1:7" ht="15" x14ac:dyDescent="0.3">
      <c r="A2819">
        <v>39.932180000000002</v>
      </c>
      <c r="B2819">
        <v>-75.227059999999994</v>
      </c>
      <c r="C2819" t="s">
        <v>41</v>
      </c>
      <c r="D2819" t="s">
        <v>623</v>
      </c>
      <c r="F2819" s="21"/>
      <c r="G2819" s="16" t="str">
        <f>HYPERLINK("http://maps.google.com/maps?f=q&amp;hl=en&amp;geocode=&amp;q=39.93218,-75.22706")</f>
        <v>http://maps.google.com/maps?f=q&amp;hl=en&amp;geocode=&amp;q=39.93218,-75.22706</v>
      </c>
    </row>
    <row r="2820" spans="1:7" ht="15" x14ac:dyDescent="0.3">
      <c r="A2820">
        <v>-32.7033500671387</v>
      </c>
      <c r="B2820">
        <v>137.70617675781301</v>
      </c>
      <c r="C2820" t="s">
        <v>41</v>
      </c>
      <c r="D2820" t="s">
        <v>52</v>
      </c>
      <c r="F2820" s="21"/>
      <c r="G2820" s="16" t="str">
        <f>HYPERLINK("http://maps.google.com/maps?f=q&amp;hl=en&amp;geocode=&amp;q=-32.7033500671387,137.706176757813")</f>
        <v>http://maps.google.com/maps?f=q&amp;hl=en&amp;geocode=&amp;q=-32.7033500671387,137.706176757813</v>
      </c>
    </row>
    <row r="2821" spans="1:7" ht="15" x14ac:dyDescent="0.3">
      <c r="A2821">
        <v>41.554405100104802</v>
      </c>
      <c r="B2821">
        <v>-88.197592136295896</v>
      </c>
      <c r="C2821" t="s">
        <v>41</v>
      </c>
      <c r="D2821" t="s">
        <v>1968</v>
      </c>
      <c r="F2821" s="21"/>
      <c r="G2821" s="16" t="str">
        <f>HYPERLINK("http://maps.google.com/maps?f=q&amp;hl=en&amp;geocode=&amp;q=41.5544051001048,-88.1975921362959")</f>
        <v>http://maps.google.com/maps?f=q&amp;hl=en&amp;geocode=&amp;q=41.5544051001048,-88.1975921362959</v>
      </c>
    </row>
    <row r="2822" spans="1:7" ht="15" x14ac:dyDescent="0.3">
      <c r="A2822">
        <v>39.865760511763199</v>
      </c>
      <c r="B2822">
        <v>-75.523339050829904</v>
      </c>
      <c r="C2822" t="s">
        <v>41</v>
      </c>
      <c r="D2822" t="s">
        <v>1969</v>
      </c>
      <c r="F2822" s="21"/>
      <c r="G2822" s="16" t="str">
        <f>HYPERLINK("http://maps.google.com/maps?f=q&amp;hl=en&amp;geocode=&amp;q=39.8657605117632,-75.5233390508299")</f>
        <v>http://maps.google.com/maps?f=q&amp;hl=en&amp;geocode=&amp;q=39.8657605117632,-75.5233390508299</v>
      </c>
    </row>
    <row r="2823" spans="1:7" ht="15" x14ac:dyDescent="0.3">
      <c r="A2823">
        <v>39.865511624769297</v>
      </c>
      <c r="B2823">
        <v>-75.523476531166395</v>
      </c>
      <c r="C2823" t="s">
        <v>41</v>
      </c>
      <c r="D2823" t="s">
        <v>1645</v>
      </c>
      <c r="F2823" s="21"/>
      <c r="G2823" s="16" t="str">
        <f>HYPERLINK("http://maps.google.com/maps?f=q&amp;hl=en&amp;geocode=&amp;q=39.8655116247693,-75.5234765311664")</f>
        <v>http://maps.google.com/maps?f=q&amp;hl=en&amp;geocode=&amp;q=39.8655116247693,-75.5234765311664</v>
      </c>
    </row>
    <row r="2824" spans="1:7" ht="15" x14ac:dyDescent="0.3">
      <c r="A2824">
        <v>40.132370000000002</v>
      </c>
      <c r="B2824">
        <v>-75.007909999999995</v>
      </c>
      <c r="C2824" t="s">
        <v>41</v>
      </c>
      <c r="D2824" t="s">
        <v>55</v>
      </c>
      <c r="F2824" s="21"/>
      <c r="G2824" s="16" t="str">
        <f>HYPERLINK("http://maps.google.com/maps?f=q&amp;hl=en&amp;geocode=&amp;q=40.13237,-75.00791")</f>
        <v>http://maps.google.com/maps?f=q&amp;hl=en&amp;geocode=&amp;q=40.13237,-75.00791</v>
      </c>
    </row>
    <row r="2825" spans="1:7" ht="15" x14ac:dyDescent="0.3">
      <c r="A2825">
        <v>50.3648490905762</v>
      </c>
      <c r="B2825">
        <v>5.4648299217224103</v>
      </c>
      <c r="C2825" t="s">
        <v>43</v>
      </c>
      <c r="D2825" t="s">
        <v>1970</v>
      </c>
      <c r="F2825" s="21"/>
      <c r="G2825" s="16" t="str">
        <f>HYPERLINK("http://maps.google.com/maps?f=q&amp;hl=en&amp;geocode=&amp;q=50.3648490905762,5.46482992172241")</f>
        <v>http://maps.google.com/maps?f=q&amp;hl=en&amp;geocode=&amp;q=50.3648490905762,5.46482992172241</v>
      </c>
    </row>
    <row r="2826" spans="1:7" ht="15" x14ac:dyDescent="0.3">
      <c r="A2826" t="s">
        <v>44</v>
      </c>
      <c r="B2826" t="s">
        <v>44</v>
      </c>
      <c r="C2826" t="s">
        <v>44</v>
      </c>
      <c r="D2826" t="s">
        <v>1971</v>
      </c>
      <c r="F2826" s="21"/>
      <c r="G2826" s="16"/>
    </row>
    <row r="2827" spans="1:7" ht="15" x14ac:dyDescent="0.3">
      <c r="A2827">
        <v>32.275119781494098</v>
      </c>
      <c r="B2827">
        <v>-90.137168884277301</v>
      </c>
      <c r="C2827" t="s">
        <v>43</v>
      </c>
      <c r="D2827" t="s">
        <v>106</v>
      </c>
      <c r="F2827" s="21"/>
      <c r="G2827" s="16" t="str">
        <f>HYPERLINK("http://maps.google.com/maps?f=q&amp;hl=en&amp;geocode=&amp;q=32.2751197814941,-90.1371688842773")</f>
        <v>http://maps.google.com/maps?f=q&amp;hl=en&amp;geocode=&amp;q=32.2751197814941,-90.1371688842773</v>
      </c>
    </row>
    <row r="2828" spans="1:7" ht="15" x14ac:dyDescent="0.3">
      <c r="A2828">
        <v>38.772280000000002</v>
      </c>
      <c r="B2828">
        <v>-112.08293</v>
      </c>
      <c r="C2828" t="s">
        <v>43</v>
      </c>
      <c r="D2828" t="s">
        <v>690</v>
      </c>
      <c r="F2828" s="21"/>
      <c r="G2828" s="16" t="str">
        <f>HYPERLINK("http://maps.google.com/maps?f=q&amp;hl=en&amp;geocode=&amp;q=38.77228,-112.08293")</f>
        <v>http://maps.google.com/maps?f=q&amp;hl=en&amp;geocode=&amp;q=38.77228,-112.08293</v>
      </c>
    </row>
    <row r="2829" spans="1:7" ht="15" x14ac:dyDescent="0.3">
      <c r="A2829">
        <v>40.816410064697301</v>
      </c>
      <c r="B2829">
        <v>-78.236106872558594</v>
      </c>
      <c r="C2829" t="s">
        <v>41</v>
      </c>
      <c r="D2829" t="s">
        <v>1972</v>
      </c>
      <c r="F2829" s="21"/>
      <c r="G2829" s="16" t="str">
        <f>HYPERLINK("http://maps.google.com/maps?f=q&amp;hl=en&amp;geocode=&amp;q=40.8164100646973,-78.2361068725586")</f>
        <v>http://maps.google.com/maps?f=q&amp;hl=en&amp;geocode=&amp;q=40.8164100646973,-78.2361068725586</v>
      </c>
    </row>
    <row r="2830" spans="1:7" ht="15" x14ac:dyDescent="0.3">
      <c r="A2830">
        <v>41.125869750976598</v>
      </c>
      <c r="B2830">
        <v>16.8666591644287</v>
      </c>
      <c r="C2830" t="s">
        <v>43</v>
      </c>
      <c r="D2830" t="s">
        <v>1973</v>
      </c>
      <c r="F2830" s="21"/>
      <c r="G2830" s="16" t="str">
        <f>HYPERLINK("http://maps.google.com/maps?f=q&amp;hl=en&amp;geocode=&amp;q=41.1258697509766,16.8666591644287")</f>
        <v>http://maps.google.com/maps?f=q&amp;hl=en&amp;geocode=&amp;q=41.1258697509766,16.8666591644287</v>
      </c>
    </row>
    <row r="2831" spans="1:7" ht="15" x14ac:dyDescent="0.3">
      <c r="A2831">
        <v>37.193010000000001</v>
      </c>
      <c r="B2831">
        <v>-79.925550000000001</v>
      </c>
      <c r="C2831" t="s">
        <v>43</v>
      </c>
      <c r="D2831" t="s">
        <v>1444</v>
      </c>
      <c r="F2831" s="21"/>
      <c r="G2831" s="16" t="str">
        <f>HYPERLINK("http://maps.google.com/maps?f=q&amp;hl=en&amp;geocode=&amp;q=37.19301,-79.92555")</f>
        <v>http://maps.google.com/maps?f=q&amp;hl=en&amp;geocode=&amp;q=37.19301,-79.92555</v>
      </c>
    </row>
    <row r="2832" spans="1:7" ht="15" x14ac:dyDescent="0.3">
      <c r="A2832">
        <v>38.947154998779297</v>
      </c>
      <c r="B2832">
        <v>-8.9184045791625994</v>
      </c>
      <c r="C2832" t="s">
        <v>41</v>
      </c>
      <c r="D2832" t="s">
        <v>1646</v>
      </c>
      <c r="F2832" s="21"/>
      <c r="G2832" s="16" t="str">
        <f>HYPERLINK("http://maps.google.com/maps?f=q&amp;hl=en&amp;geocode=&amp;q=38.9471549987793,-8.9184045791626")</f>
        <v>http://maps.google.com/maps?f=q&amp;hl=en&amp;geocode=&amp;q=38.9471549987793,-8.9184045791626</v>
      </c>
    </row>
    <row r="2833" spans="1:7" ht="15" x14ac:dyDescent="0.3">
      <c r="A2833">
        <v>39.28275</v>
      </c>
      <c r="B2833">
        <v>-76.523840000000007</v>
      </c>
      <c r="C2833" t="s">
        <v>41</v>
      </c>
      <c r="D2833" t="s">
        <v>1974</v>
      </c>
      <c r="F2833" s="21"/>
      <c r="G2833" s="16" t="str">
        <f>HYPERLINK("http://maps.google.com/maps?f=q&amp;hl=en&amp;geocode=&amp;q=39.28275,-76.52384")</f>
        <v>http://maps.google.com/maps?f=q&amp;hl=en&amp;geocode=&amp;q=39.28275,-76.52384</v>
      </c>
    </row>
    <row r="2834" spans="1:7" ht="15" x14ac:dyDescent="0.3">
      <c r="A2834">
        <v>38.947154998779297</v>
      </c>
      <c r="B2834">
        <v>-8.9184045791625994</v>
      </c>
      <c r="C2834" t="s">
        <v>41</v>
      </c>
      <c r="D2834" t="s">
        <v>1646</v>
      </c>
      <c r="F2834" s="21"/>
      <c r="G2834" s="16" t="str">
        <f>HYPERLINK("http://maps.google.com/maps?f=q&amp;hl=en&amp;geocode=&amp;q=38.9471549987793,-8.9184045791626")</f>
        <v>http://maps.google.com/maps?f=q&amp;hl=en&amp;geocode=&amp;q=38.9471549987793,-8.9184045791626</v>
      </c>
    </row>
    <row r="2835" spans="1:7" ht="15" x14ac:dyDescent="0.3">
      <c r="A2835">
        <v>38.947154998779297</v>
      </c>
      <c r="B2835">
        <v>-8.9184045791625994</v>
      </c>
      <c r="C2835" t="s">
        <v>41</v>
      </c>
      <c r="D2835" t="s">
        <v>1646</v>
      </c>
      <c r="F2835" s="21"/>
      <c r="G2835" s="16" t="str">
        <f>HYPERLINK("http://maps.google.com/maps?f=q&amp;hl=en&amp;geocode=&amp;q=38.9471549987793,-8.9184045791626")</f>
        <v>http://maps.google.com/maps?f=q&amp;hl=en&amp;geocode=&amp;q=38.9471549987793,-8.9184045791626</v>
      </c>
    </row>
    <row r="2836" spans="1:7" ht="15" x14ac:dyDescent="0.3">
      <c r="A2836">
        <v>38.947154998779297</v>
      </c>
      <c r="B2836">
        <v>-8.9184045791625994</v>
      </c>
      <c r="C2836" t="s">
        <v>41</v>
      </c>
      <c r="D2836" t="s">
        <v>1646</v>
      </c>
      <c r="F2836" s="21"/>
      <c r="G2836" s="16" t="str">
        <f>HYPERLINK("http://maps.google.com/maps?f=q&amp;hl=en&amp;geocode=&amp;q=38.9471549987793,-8.9184045791626")</f>
        <v>http://maps.google.com/maps?f=q&amp;hl=en&amp;geocode=&amp;q=38.9471549987793,-8.9184045791626</v>
      </c>
    </row>
    <row r="2837" spans="1:7" ht="15" x14ac:dyDescent="0.3">
      <c r="A2837">
        <v>38.947154998779297</v>
      </c>
      <c r="B2837">
        <v>-8.9184045791625994</v>
      </c>
      <c r="C2837" t="s">
        <v>41</v>
      </c>
      <c r="D2837" t="s">
        <v>1646</v>
      </c>
      <c r="F2837" s="21"/>
      <c r="G2837" s="16" t="str">
        <f>HYPERLINK("http://maps.google.com/maps?f=q&amp;hl=en&amp;geocode=&amp;q=38.9471549987793,-8.9184045791626")</f>
        <v>http://maps.google.com/maps?f=q&amp;hl=en&amp;geocode=&amp;q=38.9471549987793,-8.9184045791626</v>
      </c>
    </row>
    <row r="2838" spans="1:7" ht="15" x14ac:dyDescent="0.3">
      <c r="A2838">
        <v>38.947154998779297</v>
      </c>
      <c r="B2838">
        <v>-8.9184045791625994</v>
      </c>
      <c r="C2838" t="s">
        <v>41</v>
      </c>
      <c r="D2838" t="s">
        <v>1646</v>
      </c>
      <c r="F2838" s="21"/>
      <c r="G2838" s="16" t="str">
        <f>HYPERLINK("http://maps.google.com/maps?f=q&amp;hl=en&amp;geocode=&amp;q=38.9471549987793,-8.9184045791626")</f>
        <v>http://maps.google.com/maps?f=q&amp;hl=en&amp;geocode=&amp;q=38.9471549987793,-8.9184045791626</v>
      </c>
    </row>
    <row r="2839" spans="1:7" ht="15" x14ac:dyDescent="0.3">
      <c r="A2839">
        <v>39.971420000000002</v>
      </c>
      <c r="B2839">
        <v>-75.225880000000004</v>
      </c>
      <c r="C2839" t="s">
        <v>42</v>
      </c>
      <c r="D2839" t="s">
        <v>1975</v>
      </c>
      <c r="F2839" s="21"/>
      <c r="G2839" s="16" t="str">
        <f>HYPERLINK("http://maps.google.com/maps?f=q&amp;hl=en&amp;geocode=&amp;q=39.97142,-75.22588")</f>
        <v>http://maps.google.com/maps?f=q&amp;hl=en&amp;geocode=&amp;q=39.97142,-75.22588</v>
      </c>
    </row>
    <row r="2840" spans="1:7" ht="15" x14ac:dyDescent="0.3">
      <c r="A2840">
        <v>38.947154998779297</v>
      </c>
      <c r="B2840">
        <v>-8.9184045791625994</v>
      </c>
      <c r="C2840" t="s">
        <v>41</v>
      </c>
      <c r="D2840" t="s">
        <v>1646</v>
      </c>
      <c r="F2840" s="21"/>
      <c r="G2840" s="16" t="str">
        <f>HYPERLINK("http://maps.google.com/maps?f=q&amp;hl=en&amp;geocode=&amp;q=38.9471549987793,-8.9184045791626")</f>
        <v>http://maps.google.com/maps?f=q&amp;hl=en&amp;geocode=&amp;q=38.9471549987793,-8.9184045791626</v>
      </c>
    </row>
    <row r="2841" spans="1:7" ht="15" x14ac:dyDescent="0.3">
      <c r="A2841">
        <v>38.947154998779297</v>
      </c>
      <c r="B2841">
        <v>-8.9184045791625994</v>
      </c>
      <c r="C2841" t="s">
        <v>41</v>
      </c>
      <c r="D2841" t="s">
        <v>1646</v>
      </c>
      <c r="F2841" s="21"/>
      <c r="G2841" s="16" t="str">
        <f>HYPERLINK("http://maps.google.com/maps?f=q&amp;hl=en&amp;geocode=&amp;q=38.9471549987793,-8.9184045791626")</f>
        <v>http://maps.google.com/maps?f=q&amp;hl=en&amp;geocode=&amp;q=38.9471549987793,-8.9184045791626</v>
      </c>
    </row>
    <row r="2842" spans="1:7" ht="15" x14ac:dyDescent="0.3">
      <c r="A2842">
        <v>38.947154998779297</v>
      </c>
      <c r="B2842">
        <v>-8.9184045791625994</v>
      </c>
      <c r="C2842" t="s">
        <v>41</v>
      </c>
      <c r="D2842" t="s">
        <v>1646</v>
      </c>
      <c r="F2842" s="21"/>
      <c r="G2842" s="16" t="str">
        <f>HYPERLINK("http://maps.google.com/maps?f=q&amp;hl=en&amp;geocode=&amp;q=38.9471549987793,-8.9184045791626")</f>
        <v>http://maps.google.com/maps?f=q&amp;hl=en&amp;geocode=&amp;q=38.9471549987793,-8.9184045791626</v>
      </c>
    </row>
    <row r="2843" spans="1:7" ht="15" x14ac:dyDescent="0.3">
      <c r="A2843">
        <v>38.947154998779297</v>
      </c>
      <c r="B2843">
        <v>-8.9184045791625994</v>
      </c>
      <c r="C2843" t="s">
        <v>41</v>
      </c>
      <c r="D2843" t="s">
        <v>1646</v>
      </c>
      <c r="F2843" s="21"/>
      <c r="G2843" s="16" t="str">
        <f>HYPERLINK("http://maps.google.com/maps?f=q&amp;hl=en&amp;geocode=&amp;q=38.9471549987793,-8.9184045791626")</f>
        <v>http://maps.google.com/maps?f=q&amp;hl=en&amp;geocode=&amp;q=38.9471549987793,-8.9184045791626</v>
      </c>
    </row>
    <row r="2844" spans="1:7" ht="15" x14ac:dyDescent="0.3">
      <c r="A2844">
        <v>-32.476999900000003</v>
      </c>
      <c r="B2844">
        <v>115.78574</v>
      </c>
      <c r="C2844" t="s">
        <v>41</v>
      </c>
      <c r="D2844" t="s">
        <v>306</v>
      </c>
      <c r="F2844" s="21"/>
      <c r="G2844" s="16" t="str">
        <f>HYPERLINK("http://maps.google.com/maps?f=q&amp;hl=en&amp;geocode=&amp;q=-32.4769999,115.78574")</f>
        <v>http://maps.google.com/maps?f=q&amp;hl=en&amp;geocode=&amp;q=-32.4769999,115.78574</v>
      </c>
    </row>
    <row r="2845" spans="1:7" ht="15" x14ac:dyDescent="0.3">
      <c r="A2845">
        <v>41.153622051066698</v>
      </c>
      <c r="B2845">
        <v>-111.911943634571</v>
      </c>
      <c r="C2845" t="s">
        <v>41</v>
      </c>
      <c r="D2845" t="s">
        <v>592</v>
      </c>
      <c r="F2845" s="21"/>
      <c r="G2845" s="16" t="str">
        <f>HYPERLINK("http://maps.google.com/maps?f=q&amp;hl=en&amp;geocode=&amp;q=41.1536220510667,-111.911943634571")</f>
        <v>http://maps.google.com/maps?f=q&amp;hl=en&amp;geocode=&amp;q=41.1536220510667,-111.911943634571</v>
      </c>
    </row>
    <row r="2846" spans="1:7" ht="15" x14ac:dyDescent="0.3">
      <c r="A2846">
        <v>32.100527169247997</v>
      </c>
      <c r="B2846">
        <v>-90.0029342065055</v>
      </c>
      <c r="C2846" t="s">
        <v>41</v>
      </c>
      <c r="D2846" t="s">
        <v>1976</v>
      </c>
      <c r="F2846" s="21"/>
      <c r="G2846" s="16" t="str">
        <f>HYPERLINK("http://maps.google.com/maps?f=q&amp;hl=en&amp;geocode=&amp;q=32.100527169248,-90.0029342065055")</f>
        <v>http://maps.google.com/maps?f=q&amp;hl=en&amp;geocode=&amp;q=32.100527169248,-90.0029342065055</v>
      </c>
    </row>
    <row r="2847" spans="1:7" ht="15" x14ac:dyDescent="0.3">
      <c r="A2847" t="s">
        <v>44</v>
      </c>
      <c r="B2847" t="s">
        <v>44</v>
      </c>
      <c r="C2847" t="s">
        <v>44</v>
      </c>
      <c r="D2847" t="s">
        <v>1977</v>
      </c>
      <c r="F2847" s="21"/>
      <c r="G2847" s="16"/>
    </row>
    <row r="2848" spans="1:7" ht="15" x14ac:dyDescent="0.3">
      <c r="A2848">
        <v>42.885390000000001</v>
      </c>
      <c r="B2848">
        <v>-83.120050000000006</v>
      </c>
      <c r="C2848" t="s">
        <v>41</v>
      </c>
      <c r="D2848" t="s">
        <v>1978</v>
      </c>
      <c r="F2848" s="21"/>
      <c r="G2848" s="16" t="str">
        <f>HYPERLINK("http://maps.google.com/maps?f=q&amp;hl=en&amp;geocode=&amp;q=42.88539,-83.12005")</f>
        <v>http://maps.google.com/maps?f=q&amp;hl=en&amp;geocode=&amp;q=42.88539,-83.12005</v>
      </c>
    </row>
    <row r="2849" spans="1:7" ht="15" x14ac:dyDescent="0.3">
      <c r="A2849">
        <v>28.59911</v>
      </c>
      <c r="B2849">
        <v>-81.676720000000003</v>
      </c>
      <c r="C2849" t="s">
        <v>43</v>
      </c>
      <c r="D2849" t="s">
        <v>1979</v>
      </c>
      <c r="F2849" s="21"/>
      <c r="G2849" s="16" t="str">
        <f>HYPERLINK("http://maps.google.com/maps?f=q&amp;hl=en&amp;geocode=&amp;q=28.59911,-81.67672")</f>
        <v>http://maps.google.com/maps?f=q&amp;hl=en&amp;geocode=&amp;q=28.59911,-81.67672</v>
      </c>
    </row>
    <row r="2850" spans="1:7" ht="15" x14ac:dyDescent="0.3">
      <c r="A2850">
        <v>39.951979999999999</v>
      </c>
      <c r="B2850">
        <v>-75.240960000000001</v>
      </c>
      <c r="C2850" t="s">
        <v>41</v>
      </c>
      <c r="D2850" t="s">
        <v>1980</v>
      </c>
      <c r="F2850" s="21"/>
      <c r="G2850" s="16" t="str">
        <f>HYPERLINK("http://maps.google.com/maps?f=q&amp;hl=en&amp;geocode=&amp;q=39.95198,-75.24096")</f>
        <v>http://maps.google.com/maps?f=q&amp;hl=en&amp;geocode=&amp;q=39.95198,-75.24096</v>
      </c>
    </row>
    <row r="2851" spans="1:7" ht="15" x14ac:dyDescent="0.3">
      <c r="A2851">
        <v>38.407607067009401</v>
      </c>
      <c r="B2851">
        <v>-85.383473964529699</v>
      </c>
      <c r="C2851" t="s">
        <v>41</v>
      </c>
      <c r="D2851" t="s">
        <v>1981</v>
      </c>
      <c r="F2851" s="21"/>
      <c r="G2851" s="16" t="str">
        <f>HYPERLINK("http://maps.google.com/maps?f=q&amp;hl=en&amp;geocode=&amp;q=38.4076070670094,-85.3834739645297")</f>
        <v>http://maps.google.com/maps?f=q&amp;hl=en&amp;geocode=&amp;q=38.4076070670094,-85.3834739645297</v>
      </c>
    </row>
    <row r="2852" spans="1:7" ht="15" x14ac:dyDescent="0.3">
      <c r="A2852">
        <v>40.024619260599501</v>
      </c>
      <c r="B2852">
        <v>-75.131679512591504</v>
      </c>
      <c r="C2852" t="s">
        <v>41</v>
      </c>
      <c r="D2852" t="s">
        <v>513</v>
      </c>
      <c r="F2852" s="21"/>
      <c r="G2852" s="16" t="str">
        <f>HYPERLINK("http://maps.google.com/maps?f=q&amp;hl=en&amp;geocode=&amp;q=40.0246192605995,-75.1316795125915")</f>
        <v>http://maps.google.com/maps?f=q&amp;hl=en&amp;geocode=&amp;q=40.0246192605995,-75.1316795125915</v>
      </c>
    </row>
    <row r="2853" spans="1:7" ht="15" x14ac:dyDescent="0.3">
      <c r="A2853">
        <v>43.300186157226598</v>
      </c>
      <c r="B2853">
        <v>5.3815221786498997</v>
      </c>
      <c r="C2853" t="s">
        <v>41</v>
      </c>
      <c r="D2853" t="s">
        <v>1982</v>
      </c>
      <c r="F2853" s="21"/>
      <c r="G2853" s="16" t="str">
        <f>HYPERLINK("http://maps.google.com/maps?f=q&amp;hl=en&amp;geocode=&amp;q=43.3001861572266,5.3815221786499")</f>
        <v>http://maps.google.com/maps?f=q&amp;hl=en&amp;geocode=&amp;q=43.3001861572266,5.3815221786499</v>
      </c>
    </row>
    <row r="2854" spans="1:7" ht="15" x14ac:dyDescent="0.3">
      <c r="A2854">
        <v>-34.859650000000002</v>
      </c>
      <c r="B2854">
        <v>138.50916000000001</v>
      </c>
      <c r="C2854" t="s">
        <v>41</v>
      </c>
      <c r="D2854" t="s">
        <v>1424</v>
      </c>
      <c r="F2854" s="21"/>
      <c r="G2854" s="16" t="str">
        <f>HYPERLINK("http://maps.google.com/maps?f=q&amp;hl=en&amp;geocode=&amp;q=-34.85965,138.50916")</f>
        <v>http://maps.google.com/maps?f=q&amp;hl=en&amp;geocode=&amp;q=-34.85965,138.50916</v>
      </c>
    </row>
    <row r="2855" spans="1:7" ht="15" x14ac:dyDescent="0.3">
      <c r="A2855">
        <v>39.988872243854701</v>
      </c>
      <c r="B2855">
        <v>-75.126833795865707</v>
      </c>
      <c r="C2855" t="s">
        <v>41</v>
      </c>
      <c r="D2855" t="s">
        <v>1983</v>
      </c>
      <c r="F2855" s="21"/>
      <c r="G2855" s="16" t="str">
        <f>HYPERLINK("http://maps.google.com/maps?f=q&amp;hl=en&amp;geocode=&amp;q=39.9888722438547,-75.1268337958657")</f>
        <v>http://maps.google.com/maps?f=q&amp;hl=en&amp;geocode=&amp;q=39.9888722438547,-75.1268337958657</v>
      </c>
    </row>
    <row r="2856" spans="1:7" ht="15" x14ac:dyDescent="0.3">
      <c r="A2856">
        <v>35.993344378543199</v>
      </c>
      <c r="B2856">
        <v>-82.551687839892097</v>
      </c>
      <c r="C2856" t="s">
        <v>43</v>
      </c>
      <c r="D2856" t="s">
        <v>1984</v>
      </c>
      <c r="F2856" s="21"/>
      <c r="G2856" s="16" t="str">
        <f>HYPERLINK("http://maps.google.com/maps?f=q&amp;hl=en&amp;geocode=&amp;q=35.9933443785432,-82.5516878398921")</f>
        <v>http://maps.google.com/maps?f=q&amp;hl=en&amp;geocode=&amp;q=35.9933443785432,-82.5516878398921</v>
      </c>
    </row>
    <row r="2857" spans="1:7" ht="15" x14ac:dyDescent="0.3">
      <c r="A2857">
        <v>36.004190000000001</v>
      </c>
      <c r="B2857">
        <v>-83.856703999999993</v>
      </c>
      <c r="C2857" t="s">
        <v>41</v>
      </c>
      <c r="D2857" t="s">
        <v>1985</v>
      </c>
      <c r="F2857" s="21"/>
      <c r="G2857" s="16" t="str">
        <f>HYPERLINK("http://maps.google.com/maps?f=q&amp;hl=en&amp;geocode=&amp;q=36.00419,-83.856704")</f>
        <v>http://maps.google.com/maps?f=q&amp;hl=en&amp;geocode=&amp;q=36.00419,-83.856704</v>
      </c>
    </row>
    <row r="2858" spans="1:7" ht="15" x14ac:dyDescent="0.3">
      <c r="A2858">
        <v>-27.669080000000001</v>
      </c>
      <c r="B2858">
        <v>152.92021</v>
      </c>
      <c r="C2858" t="s">
        <v>41</v>
      </c>
      <c r="D2858" t="s">
        <v>694</v>
      </c>
      <c r="F2858" s="21"/>
      <c r="G2858" s="16" t="str">
        <f>HYPERLINK("http://maps.google.com/maps?f=q&amp;hl=en&amp;geocode=&amp;q=-27.66908,152.92021")</f>
        <v>http://maps.google.com/maps?f=q&amp;hl=en&amp;geocode=&amp;q=-27.66908,152.92021</v>
      </c>
    </row>
    <row r="2859" spans="1:7" ht="15" x14ac:dyDescent="0.3">
      <c r="A2859">
        <v>39.4432563781738</v>
      </c>
      <c r="B2859">
        <v>-98.957336425781307</v>
      </c>
      <c r="C2859" t="s">
        <v>43</v>
      </c>
      <c r="D2859" t="s">
        <v>1986</v>
      </c>
      <c r="F2859" s="21"/>
      <c r="G2859" s="16" t="str">
        <f>HYPERLINK("http://maps.google.com/maps?f=q&amp;hl=en&amp;geocode=&amp;q=39.4432563781738,-98.9573364257813")</f>
        <v>http://maps.google.com/maps?f=q&amp;hl=en&amp;geocode=&amp;q=39.4432563781738,-98.9573364257813</v>
      </c>
    </row>
    <row r="2860" spans="1:7" ht="15" x14ac:dyDescent="0.3">
      <c r="A2860">
        <v>30.299074998091601</v>
      </c>
      <c r="B2860">
        <v>-85.532838087110093</v>
      </c>
      <c r="C2860" t="s">
        <v>41</v>
      </c>
      <c r="D2860" t="s">
        <v>432</v>
      </c>
      <c r="F2860" s="21"/>
      <c r="G2860" s="16" t="str">
        <f>HYPERLINK("http://maps.google.com/maps?f=q&amp;hl=en&amp;geocode=&amp;q=30.2990749980916,-85.5328380871101")</f>
        <v>http://maps.google.com/maps?f=q&amp;hl=en&amp;geocode=&amp;q=30.2990749980916,-85.5328380871101</v>
      </c>
    </row>
    <row r="2861" spans="1:7" ht="15" x14ac:dyDescent="0.3">
      <c r="A2861">
        <v>-32.487789900000003</v>
      </c>
      <c r="B2861">
        <v>137.76979</v>
      </c>
      <c r="C2861" t="s">
        <v>41</v>
      </c>
      <c r="D2861" t="s">
        <v>49</v>
      </c>
      <c r="F2861" s="21"/>
      <c r="G2861" s="16" t="str">
        <f>HYPERLINK("http://maps.google.com/maps?f=q&amp;hl=en&amp;geocode=&amp;q=-32.4877899,137.76979")</f>
        <v>http://maps.google.com/maps?f=q&amp;hl=en&amp;geocode=&amp;q=-32.4877899,137.76979</v>
      </c>
    </row>
    <row r="2862" spans="1:7" ht="15" x14ac:dyDescent="0.3">
      <c r="A2862">
        <v>44.977687843744803</v>
      </c>
      <c r="B2862">
        <v>-93.053169522719998</v>
      </c>
      <c r="C2862" t="s">
        <v>41</v>
      </c>
      <c r="D2862" t="s">
        <v>1987</v>
      </c>
      <c r="F2862" s="21"/>
      <c r="G2862" s="16" t="str">
        <f>HYPERLINK("http://maps.google.com/maps?f=q&amp;hl=en&amp;geocode=&amp;q=44.9776878437448,-93.05316952272")</f>
        <v>http://maps.google.com/maps?f=q&amp;hl=en&amp;geocode=&amp;q=44.9776878437448,-93.05316952272</v>
      </c>
    </row>
    <row r="2863" spans="1:7" ht="15" x14ac:dyDescent="0.3">
      <c r="A2863">
        <v>33.507581497955897</v>
      </c>
      <c r="B2863">
        <v>-81.722275061550306</v>
      </c>
      <c r="C2863" t="s">
        <v>43</v>
      </c>
      <c r="D2863" t="s">
        <v>677</v>
      </c>
      <c r="F2863" s="21"/>
      <c r="G2863" s="16" t="str">
        <f>HYPERLINK("http://maps.google.com/maps?f=q&amp;hl=en&amp;geocode=&amp;q=33.5075814979559,-81.7222750615503")</f>
        <v>http://maps.google.com/maps?f=q&amp;hl=en&amp;geocode=&amp;q=33.5075814979559,-81.7222750615503</v>
      </c>
    </row>
    <row r="2864" spans="1:7" ht="15" x14ac:dyDescent="0.3">
      <c r="A2864">
        <v>34.597130089819302</v>
      </c>
      <c r="B2864">
        <v>-83.449278012360907</v>
      </c>
      <c r="C2864" t="s">
        <v>41</v>
      </c>
      <c r="D2864" t="s">
        <v>678</v>
      </c>
      <c r="F2864" s="21"/>
      <c r="G2864" s="16" t="str">
        <f>HYPERLINK("http://maps.google.com/maps?f=q&amp;hl=en&amp;geocode=&amp;q=34.5971300898193,-83.4492780123609")</f>
        <v>http://maps.google.com/maps?f=q&amp;hl=en&amp;geocode=&amp;q=34.5971300898193,-83.4492780123609</v>
      </c>
    </row>
    <row r="2865" spans="1:7" ht="15" x14ac:dyDescent="0.3">
      <c r="A2865">
        <v>33.936018308014397</v>
      </c>
      <c r="B2865">
        <v>-84.533137842325502</v>
      </c>
      <c r="C2865" t="s">
        <v>43</v>
      </c>
      <c r="D2865" t="s">
        <v>410</v>
      </c>
      <c r="F2865" s="21"/>
      <c r="G2865" s="16" t="str">
        <f>HYPERLINK("http://maps.google.com/maps?f=q&amp;hl=en&amp;geocode=&amp;q=33.9360183080144,-84.5331378423255")</f>
        <v>http://maps.google.com/maps?f=q&amp;hl=en&amp;geocode=&amp;q=33.9360183080144,-84.5331378423255</v>
      </c>
    </row>
    <row r="2866" spans="1:7" ht="15" x14ac:dyDescent="0.3">
      <c r="A2866">
        <v>43.439143824690198</v>
      </c>
      <c r="B2866">
        <v>-112.03292167458901</v>
      </c>
      <c r="C2866" t="s">
        <v>41</v>
      </c>
      <c r="D2866" t="s">
        <v>1988</v>
      </c>
      <c r="F2866" s="21"/>
      <c r="G2866" s="16" t="str">
        <f>HYPERLINK("http://maps.google.com/maps?f=q&amp;hl=en&amp;geocode=&amp;q=43.4391438246902,-112.032921674589")</f>
        <v>http://maps.google.com/maps?f=q&amp;hl=en&amp;geocode=&amp;q=43.4391438246902,-112.032921674589</v>
      </c>
    </row>
    <row r="2867" spans="1:7" ht="15" x14ac:dyDescent="0.3">
      <c r="A2867">
        <v>39.516919999999999</v>
      </c>
      <c r="B2867">
        <v>-77.992649999999998</v>
      </c>
      <c r="C2867" t="s">
        <v>42</v>
      </c>
      <c r="D2867" t="s">
        <v>1989</v>
      </c>
      <c r="F2867" s="21"/>
      <c r="G2867" s="16" t="str">
        <f>HYPERLINK("http://maps.google.com/maps?f=q&amp;hl=en&amp;geocode=&amp;q=39.51692,-77.99265")</f>
        <v>http://maps.google.com/maps?f=q&amp;hl=en&amp;geocode=&amp;q=39.51692,-77.99265</v>
      </c>
    </row>
    <row r="2868" spans="1:7" ht="15" x14ac:dyDescent="0.3">
      <c r="A2868">
        <v>41.343288421630902</v>
      </c>
      <c r="B2868">
        <v>-77.064483642578097</v>
      </c>
      <c r="C2868" t="s">
        <v>41</v>
      </c>
      <c r="D2868" t="s">
        <v>1990</v>
      </c>
      <c r="F2868" s="21"/>
      <c r="G2868" s="16" t="str">
        <f>HYPERLINK("http://maps.google.com/maps?f=q&amp;hl=en&amp;geocode=&amp;q=41.3432884216309,-77.0644836425781")</f>
        <v>http://maps.google.com/maps?f=q&amp;hl=en&amp;geocode=&amp;q=41.3432884216309,-77.0644836425781</v>
      </c>
    </row>
    <row r="2869" spans="1:7" ht="15" x14ac:dyDescent="0.3">
      <c r="A2869">
        <v>39.431381225585902</v>
      </c>
      <c r="B2869">
        <v>-76.3048095703125</v>
      </c>
      <c r="C2869" t="s">
        <v>43</v>
      </c>
      <c r="D2869" t="s">
        <v>1991</v>
      </c>
      <c r="F2869" s="21"/>
      <c r="G2869" s="16" t="str">
        <f>HYPERLINK("http://maps.google.com/maps?f=q&amp;hl=en&amp;geocode=&amp;q=39.4313812255859,-76.3048095703125")</f>
        <v>http://maps.google.com/maps?f=q&amp;hl=en&amp;geocode=&amp;q=39.4313812255859,-76.3048095703125</v>
      </c>
    </row>
    <row r="2870" spans="1:7" ht="15" x14ac:dyDescent="0.3">
      <c r="A2870">
        <v>40.032490000000003</v>
      </c>
      <c r="B2870">
        <v>-75.225560000000002</v>
      </c>
      <c r="C2870" t="s">
        <v>41</v>
      </c>
      <c r="D2870" t="s">
        <v>396</v>
      </c>
      <c r="F2870" s="21"/>
      <c r="G2870" s="16" t="str">
        <f>HYPERLINK("http://maps.google.com/maps?f=q&amp;hl=en&amp;geocode=&amp;q=40.03249,-75.22556")</f>
        <v>http://maps.google.com/maps?f=q&amp;hl=en&amp;geocode=&amp;q=40.03249,-75.22556</v>
      </c>
    </row>
    <row r="2871" spans="1:7" ht="15" x14ac:dyDescent="0.3">
      <c r="A2871">
        <v>45.166260000000001</v>
      </c>
      <c r="B2871">
        <v>-67.292349999999999</v>
      </c>
      <c r="C2871" t="s">
        <v>41</v>
      </c>
      <c r="D2871" t="s">
        <v>1992</v>
      </c>
      <c r="F2871" s="21"/>
      <c r="G2871" s="16" t="str">
        <f>HYPERLINK("http://maps.google.com/maps?f=q&amp;hl=en&amp;geocode=&amp;q=45.16626,-67.29235")</f>
        <v>http://maps.google.com/maps?f=q&amp;hl=en&amp;geocode=&amp;q=45.16626,-67.29235</v>
      </c>
    </row>
    <row r="2872" spans="1:7" ht="15" x14ac:dyDescent="0.3">
      <c r="A2872">
        <v>49.603424072265597</v>
      </c>
      <c r="B2872">
        <v>6.1307120323181197</v>
      </c>
      <c r="C2872" t="s">
        <v>41</v>
      </c>
      <c r="D2872" t="s">
        <v>1993</v>
      </c>
      <c r="F2872" s="21"/>
      <c r="G2872" s="16" t="str">
        <f>HYPERLINK("http://maps.google.com/maps?f=q&amp;hl=en&amp;geocode=&amp;q=49.6034240722656,6.13071203231812")</f>
        <v>http://maps.google.com/maps?f=q&amp;hl=en&amp;geocode=&amp;q=49.6034240722656,6.13071203231812</v>
      </c>
    </row>
    <row r="2873" spans="1:7" ht="15" x14ac:dyDescent="0.3">
      <c r="A2873">
        <v>32.025970000000001</v>
      </c>
      <c r="B2873">
        <v>-84.428240000000002</v>
      </c>
      <c r="C2873" t="s">
        <v>42</v>
      </c>
      <c r="D2873" t="s">
        <v>1994</v>
      </c>
      <c r="F2873" s="21"/>
      <c r="G2873" s="16" t="str">
        <f>HYPERLINK("http://maps.google.com/maps?f=q&amp;hl=en&amp;geocode=&amp;q=32.02597,-84.42824")</f>
        <v>http://maps.google.com/maps?f=q&amp;hl=en&amp;geocode=&amp;q=32.02597,-84.42824</v>
      </c>
    </row>
    <row r="2874" spans="1:7" ht="15" x14ac:dyDescent="0.3">
      <c r="A2874">
        <v>32.025970000000001</v>
      </c>
      <c r="B2874">
        <v>-84.428240000000002</v>
      </c>
      <c r="C2874" t="s">
        <v>42</v>
      </c>
      <c r="D2874" t="s">
        <v>1994</v>
      </c>
      <c r="F2874" s="21"/>
      <c r="G2874" s="16" t="str">
        <f>HYPERLINK("http://maps.google.com/maps?f=q&amp;hl=en&amp;geocode=&amp;q=32.02597,-84.42824")</f>
        <v>http://maps.google.com/maps?f=q&amp;hl=en&amp;geocode=&amp;q=32.02597,-84.42824</v>
      </c>
    </row>
    <row r="2875" spans="1:7" ht="15" x14ac:dyDescent="0.3">
      <c r="A2875">
        <v>36.869439967404404</v>
      </c>
      <c r="B2875">
        <v>-76.242804020342504</v>
      </c>
      <c r="C2875" t="s">
        <v>41</v>
      </c>
      <c r="D2875" t="s">
        <v>1995</v>
      </c>
      <c r="F2875" s="21"/>
      <c r="G2875" s="16" t="str">
        <f>HYPERLINK("http://maps.google.com/maps?f=q&amp;hl=en&amp;geocode=&amp;q=36.8694399674044,-76.2428040203425")</f>
        <v>http://maps.google.com/maps?f=q&amp;hl=en&amp;geocode=&amp;q=36.8694399674044,-76.2428040203425</v>
      </c>
    </row>
    <row r="2876" spans="1:7" ht="15" x14ac:dyDescent="0.3">
      <c r="A2876">
        <v>36.869439967404404</v>
      </c>
      <c r="B2876">
        <v>-76.242804020342504</v>
      </c>
      <c r="C2876" t="s">
        <v>41</v>
      </c>
      <c r="D2876" t="s">
        <v>1995</v>
      </c>
      <c r="F2876" s="21"/>
      <c r="G2876" s="16" t="str">
        <f>HYPERLINK("http://maps.google.com/maps?f=q&amp;hl=en&amp;geocode=&amp;q=36.8694399674044,-76.2428040203425")</f>
        <v>http://maps.google.com/maps?f=q&amp;hl=en&amp;geocode=&amp;q=36.8694399674044,-76.2428040203425</v>
      </c>
    </row>
    <row r="2877" spans="1:7" ht="15" x14ac:dyDescent="0.3">
      <c r="A2877">
        <v>36.869439967404404</v>
      </c>
      <c r="B2877">
        <v>-76.242804020342504</v>
      </c>
      <c r="C2877" t="s">
        <v>41</v>
      </c>
      <c r="D2877" t="s">
        <v>1995</v>
      </c>
      <c r="F2877" s="21"/>
      <c r="G2877" s="16" t="str">
        <f>HYPERLINK("http://maps.google.com/maps?f=q&amp;hl=en&amp;geocode=&amp;q=36.8694399674044,-76.2428040203425")</f>
        <v>http://maps.google.com/maps?f=q&amp;hl=en&amp;geocode=&amp;q=36.8694399674044,-76.2428040203425</v>
      </c>
    </row>
    <row r="2878" spans="1:7" ht="15" x14ac:dyDescent="0.3">
      <c r="A2878">
        <v>36.869439967404404</v>
      </c>
      <c r="B2878">
        <v>-76.242804020342504</v>
      </c>
      <c r="C2878" t="s">
        <v>41</v>
      </c>
      <c r="D2878" t="s">
        <v>1995</v>
      </c>
      <c r="F2878" s="21"/>
      <c r="G2878" s="16" t="str">
        <f>HYPERLINK("http://maps.google.com/maps?f=q&amp;hl=en&amp;geocode=&amp;q=36.8694399674044,-76.2428040203425")</f>
        <v>http://maps.google.com/maps?f=q&amp;hl=en&amp;geocode=&amp;q=36.8694399674044,-76.2428040203425</v>
      </c>
    </row>
    <row r="2879" spans="1:7" ht="15" x14ac:dyDescent="0.3">
      <c r="A2879">
        <v>36.869439967404404</v>
      </c>
      <c r="B2879">
        <v>-76.242804020342504</v>
      </c>
      <c r="C2879" t="s">
        <v>41</v>
      </c>
      <c r="D2879" t="s">
        <v>1995</v>
      </c>
      <c r="F2879" s="21"/>
      <c r="G2879" s="16" t="str">
        <f>HYPERLINK("http://maps.google.com/maps?f=q&amp;hl=en&amp;geocode=&amp;q=36.8694399674044,-76.2428040203425")</f>
        <v>http://maps.google.com/maps?f=q&amp;hl=en&amp;geocode=&amp;q=36.8694399674044,-76.2428040203425</v>
      </c>
    </row>
    <row r="2880" spans="1:7" ht="15" x14ac:dyDescent="0.3">
      <c r="A2880">
        <v>36.869439967404404</v>
      </c>
      <c r="B2880">
        <v>-76.242804020342504</v>
      </c>
      <c r="C2880" t="s">
        <v>41</v>
      </c>
      <c r="D2880" t="s">
        <v>1995</v>
      </c>
      <c r="F2880" s="21"/>
      <c r="G2880" s="16" t="str">
        <f>HYPERLINK("http://maps.google.com/maps?f=q&amp;hl=en&amp;geocode=&amp;q=36.8694399674044,-76.2428040203425")</f>
        <v>http://maps.google.com/maps?f=q&amp;hl=en&amp;geocode=&amp;q=36.8694399674044,-76.2428040203425</v>
      </c>
    </row>
    <row r="2881" spans="1:7" ht="15" x14ac:dyDescent="0.3">
      <c r="A2881">
        <v>35.446579999999997</v>
      </c>
      <c r="B2881">
        <v>-86.657899999999998</v>
      </c>
      <c r="C2881" t="s">
        <v>43</v>
      </c>
      <c r="D2881" t="s">
        <v>1996</v>
      </c>
      <c r="F2881" s="21"/>
      <c r="G2881" s="16" t="str">
        <f>HYPERLINK("http://maps.google.com/maps?f=q&amp;hl=en&amp;geocode=&amp;q=35.44658,-86.6579")</f>
        <v>http://maps.google.com/maps?f=q&amp;hl=en&amp;geocode=&amp;q=35.44658,-86.6579</v>
      </c>
    </row>
    <row r="2882" spans="1:7" ht="15" x14ac:dyDescent="0.3">
      <c r="A2882">
        <v>39.9861</v>
      </c>
      <c r="B2882">
        <v>-75.111379999999997</v>
      </c>
      <c r="C2882" t="s">
        <v>41</v>
      </c>
      <c r="D2882" t="s">
        <v>1933</v>
      </c>
      <c r="F2882" s="21"/>
      <c r="G2882" s="16" t="str">
        <f>HYPERLINK("http://maps.google.com/maps?f=q&amp;hl=en&amp;geocode=&amp;q=39.9861,-75.11138")</f>
        <v>http://maps.google.com/maps?f=q&amp;hl=en&amp;geocode=&amp;q=39.9861,-75.11138</v>
      </c>
    </row>
    <row r="2883" spans="1:7" ht="15" x14ac:dyDescent="0.3">
      <c r="A2883">
        <v>40.076147318412197</v>
      </c>
      <c r="B2883">
        <v>-75.077860697449296</v>
      </c>
      <c r="C2883" t="s">
        <v>41</v>
      </c>
      <c r="D2883" t="s">
        <v>1997</v>
      </c>
      <c r="F2883" s="21"/>
      <c r="G2883" s="16" t="str">
        <f>HYPERLINK("http://maps.google.com/maps?f=q&amp;hl=en&amp;geocode=&amp;q=40.0761473184122,-75.0778606974493")</f>
        <v>http://maps.google.com/maps?f=q&amp;hl=en&amp;geocode=&amp;q=40.0761473184122,-75.0778606974493</v>
      </c>
    </row>
    <row r="2884" spans="1:7" ht="15" x14ac:dyDescent="0.3">
      <c r="A2884">
        <v>36.382385157353298</v>
      </c>
      <c r="B2884">
        <v>-78.628909711545006</v>
      </c>
      <c r="C2884" t="s">
        <v>41</v>
      </c>
      <c r="D2884" t="s">
        <v>138</v>
      </c>
      <c r="F2884" s="21"/>
      <c r="G2884" s="16" t="str">
        <f>HYPERLINK("http://maps.google.com/maps?f=q&amp;hl=en&amp;geocode=&amp;q=36.3823851573533,-78.628909711545")</f>
        <v>http://maps.google.com/maps?f=q&amp;hl=en&amp;geocode=&amp;q=36.3823851573533,-78.628909711545</v>
      </c>
    </row>
    <row r="2885" spans="1:7" ht="15" x14ac:dyDescent="0.3">
      <c r="A2885">
        <v>40.040390000000002</v>
      </c>
      <c r="B2885">
        <v>-75.109629999999996</v>
      </c>
      <c r="C2885" t="s">
        <v>43</v>
      </c>
      <c r="D2885" t="s">
        <v>777</v>
      </c>
      <c r="F2885" s="21"/>
      <c r="G2885" s="16" t="str">
        <f>HYPERLINK("http://maps.google.com/maps?f=q&amp;hl=en&amp;geocode=&amp;q=40.04039,-75.10963")</f>
        <v>http://maps.google.com/maps?f=q&amp;hl=en&amp;geocode=&amp;q=40.04039,-75.10963</v>
      </c>
    </row>
    <row r="2886" spans="1:7" ht="15" x14ac:dyDescent="0.3">
      <c r="A2886">
        <v>39.977490000000003</v>
      </c>
      <c r="B2886">
        <v>-75.116839999999996</v>
      </c>
      <c r="C2886" t="s">
        <v>43</v>
      </c>
      <c r="D2886" t="s">
        <v>1998</v>
      </c>
      <c r="F2886" s="21"/>
      <c r="G2886" s="16" t="str">
        <f>HYPERLINK("http://maps.google.com/maps?f=q&amp;hl=en&amp;geocode=&amp;q=39.97749,-75.11684")</f>
        <v>http://maps.google.com/maps?f=q&amp;hl=en&amp;geocode=&amp;q=39.97749,-75.11684</v>
      </c>
    </row>
    <row r="2887" spans="1:7" ht="15" x14ac:dyDescent="0.3">
      <c r="A2887">
        <v>34.925319999999999</v>
      </c>
      <c r="B2887">
        <v>-82.087239999999994</v>
      </c>
      <c r="C2887" t="s">
        <v>43</v>
      </c>
      <c r="D2887" t="s">
        <v>1999</v>
      </c>
      <c r="F2887" s="21"/>
      <c r="G2887" s="16" t="str">
        <f>HYPERLINK("http://maps.google.com/maps?f=q&amp;hl=en&amp;geocode=&amp;q=34.92532,-82.08724")</f>
        <v>http://maps.google.com/maps?f=q&amp;hl=en&amp;geocode=&amp;q=34.92532,-82.08724</v>
      </c>
    </row>
    <row r="2888" spans="1:7" ht="15" x14ac:dyDescent="0.3">
      <c r="A2888">
        <v>45.782908524613298</v>
      </c>
      <c r="B2888">
        <v>-89.103689747069694</v>
      </c>
      <c r="C2888" t="s">
        <v>41</v>
      </c>
      <c r="D2888" t="s">
        <v>736</v>
      </c>
      <c r="F2888" s="21"/>
      <c r="G2888" s="16" t="str">
        <f>HYPERLINK("http://maps.google.com/maps?f=q&amp;hl=en&amp;geocode=&amp;q=45.7829085246133,-89.1036897470697")</f>
        <v>http://maps.google.com/maps?f=q&amp;hl=en&amp;geocode=&amp;q=45.7829085246133,-89.1036897470697</v>
      </c>
    </row>
    <row r="2889" spans="1:7" ht="15" x14ac:dyDescent="0.3">
      <c r="A2889">
        <v>40.958779999999997</v>
      </c>
      <c r="B2889">
        <v>-75.97972</v>
      </c>
      <c r="C2889" t="s">
        <v>41</v>
      </c>
      <c r="D2889" t="s">
        <v>2000</v>
      </c>
      <c r="F2889" s="21"/>
      <c r="G2889" s="16" t="str">
        <f>HYPERLINK("http://maps.google.com/maps?f=q&amp;hl=en&amp;geocode=&amp;q=40.95878,-75.97972")</f>
        <v>http://maps.google.com/maps?f=q&amp;hl=en&amp;geocode=&amp;q=40.95878,-75.97972</v>
      </c>
    </row>
    <row r="2890" spans="1:7" ht="15" x14ac:dyDescent="0.3">
      <c r="A2890">
        <v>39.919600000000003</v>
      </c>
      <c r="B2890">
        <v>-75.227459999999994</v>
      </c>
      <c r="C2890" t="s">
        <v>41</v>
      </c>
      <c r="D2890" t="s">
        <v>2001</v>
      </c>
      <c r="F2890" s="21"/>
      <c r="G2890" s="16" t="str">
        <f>HYPERLINK("http://maps.google.com/maps?f=q&amp;hl=en&amp;geocode=&amp;q=39.9196,-75.22746")</f>
        <v>http://maps.google.com/maps?f=q&amp;hl=en&amp;geocode=&amp;q=39.9196,-75.22746</v>
      </c>
    </row>
    <row r="2891" spans="1:7" ht="15" x14ac:dyDescent="0.3">
      <c r="A2891">
        <v>42.659824371337898</v>
      </c>
      <c r="B2891">
        <v>23.607048034668001</v>
      </c>
      <c r="C2891" t="s">
        <v>43</v>
      </c>
      <c r="D2891" t="s">
        <v>2002</v>
      </c>
      <c r="F2891" s="21"/>
      <c r="G2891" s="16" t="str">
        <f>HYPERLINK("http://maps.google.com/maps?f=q&amp;hl=en&amp;geocode=&amp;q=42.6598243713379,23.607048034668")</f>
        <v>http://maps.google.com/maps?f=q&amp;hl=en&amp;geocode=&amp;q=42.6598243713379,23.607048034668</v>
      </c>
    </row>
    <row r="2892" spans="1:7" ht="15" x14ac:dyDescent="0.3">
      <c r="A2892">
        <v>42.028467709635699</v>
      </c>
      <c r="B2892">
        <v>-89.278583045401803</v>
      </c>
      <c r="C2892" t="s">
        <v>43</v>
      </c>
      <c r="D2892" t="s">
        <v>2003</v>
      </c>
      <c r="F2892" s="21"/>
      <c r="G2892" s="16" t="str">
        <f>HYPERLINK("http://maps.google.com/maps?f=q&amp;hl=en&amp;geocode=&amp;q=42.0284677096357,-89.2785830454018")</f>
        <v>http://maps.google.com/maps?f=q&amp;hl=en&amp;geocode=&amp;q=42.0284677096357,-89.2785830454018</v>
      </c>
    </row>
    <row r="2893" spans="1:7" ht="15" x14ac:dyDescent="0.3">
      <c r="A2893">
        <v>40.015673540799</v>
      </c>
      <c r="B2893">
        <v>-75.140275258600496</v>
      </c>
      <c r="C2893" t="s">
        <v>43</v>
      </c>
      <c r="D2893" t="s">
        <v>2004</v>
      </c>
      <c r="F2893" s="21"/>
      <c r="G2893" s="16" t="str">
        <f>HYPERLINK("http://maps.google.com/maps?f=q&amp;hl=en&amp;geocode=&amp;q=40.015673540799,-75.1402752586005")</f>
        <v>http://maps.google.com/maps?f=q&amp;hl=en&amp;geocode=&amp;q=40.015673540799,-75.1402752586005</v>
      </c>
    </row>
    <row r="2894" spans="1:7" ht="15" x14ac:dyDescent="0.3">
      <c r="A2894">
        <v>-28.15232</v>
      </c>
      <c r="B2894">
        <v>153.49374</v>
      </c>
      <c r="C2894" t="s">
        <v>41</v>
      </c>
      <c r="D2894" t="s">
        <v>2005</v>
      </c>
      <c r="F2894" s="21"/>
      <c r="G2894" s="16" t="str">
        <f>HYPERLINK("http://maps.google.com/maps?f=q&amp;hl=en&amp;geocode=&amp;q=-28.15232,153.49374")</f>
        <v>http://maps.google.com/maps?f=q&amp;hl=en&amp;geocode=&amp;q=-28.15232,153.49374</v>
      </c>
    </row>
    <row r="2895" spans="1:7" ht="15" x14ac:dyDescent="0.3">
      <c r="A2895">
        <v>-28.15232</v>
      </c>
      <c r="B2895">
        <v>153.49374</v>
      </c>
      <c r="C2895" t="s">
        <v>41</v>
      </c>
      <c r="D2895" t="s">
        <v>2005</v>
      </c>
      <c r="F2895" s="21"/>
      <c r="G2895" s="16" t="str">
        <f>HYPERLINK("http://maps.google.com/maps?f=q&amp;hl=en&amp;geocode=&amp;q=-28.15232,153.49374")</f>
        <v>http://maps.google.com/maps?f=q&amp;hl=en&amp;geocode=&amp;q=-28.15232,153.49374</v>
      </c>
    </row>
    <row r="2896" spans="1:7" ht="15" x14ac:dyDescent="0.3">
      <c r="A2896">
        <v>32.348633357171799</v>
      </c>
      <c r="B2896">
        <v>-83.886367972780704</v>
      </c>
      <c r="C2896" t="s">
        <v>41</v>
      </c>
      <c r="D2896" t="s">
        <v>2006</v>
      </c>
      <c r="F2896" s="21"/>
      <c r="G2896" s="16" t="str">
        <f>HYPERLINK("http://maps.google.com/maps?f=q&amp;hl=en&amp;geocode=&amp;q=32.3486333571718,-83.8863679727807")</f>
        <v>http://maps.google.com/maps?f=q&amp;hl=en&amp;geocode=&amp;q=32.3486333571718,-83.8863679727807</v>
      </c>
    </row>
    <row r="2897" spans="1:7" ht="15" x14ac:dyDescent="0.3">
      <c r="A2897" t="s">
        <v>44</v>
      </c>
      <c r="B2897" t="s">
        <v>44</v>
      </c>
      <c r="C2897" t="s">
        <v>44</v>
      </c>
      <c r="D2897" t="s">
        <v>2007</v>
      </c>
      <c r="F2897" s="21"/>
      <c r="G2897" s="16"/>
    </row>
    <row r="2898" spans="1:7" ht="15" x14ac:dyDescent="0.3">
      <c r="A2898">
        <v>40.045398854571502</v>
      </c>
      <c r="B2898">
        <v>-76.429225915508695</v>
      </c>
      <c r="C2898" t="s">
        <v>41</v>
      </c>
      <c r="D2898" t="s">
        <v>2008</v>
      </c>
      <c r="F2898" s="21"/>
      <c r="G2898" s="16" t="str">
        <f>HYPERLINK("http://maps.google.com/maps?f=q&amp;hl=en&amp;geocode=&amp;q=40.0453988545715,-76.4292259155087")</f>
        <v>http://maps.google.com/maps?f=q&amp;hl=en&amp;geocode=&amp;q=40.0453988545715,-76.4292259155087</v>
      </c>
    </row>
    <row r="2899" spans="1:7" ht="15" x14ac:dyDescent="0.3">
      <c r="A2899" t="s">
        <v>44</v>
      </c>
      <c r="B2899" t="s">
        <v>44</v>
      </c>
      <c r="C2899" t="s">
        <v>44</v>
      </c>
      <c r="D2899" t="s">
        <v>1004</v>
      </c>
      <c r="F2899" s="21"/>
      <c r="G2899" s="16"/>
    </row>
    <row r="2900" spans="1:7" ht="15" x14ac:dyDescent="0.3">
      <c r="A2900">
        <v>29.94772</v>
      </c>
      <c r="B2900">
        <v>-93.937799999999996</v>
      </c>
      <c r="C2900" t="s">
        <v>41</v>
      </c>
      <c r="D2900" t="s">
        <v>772</v>
      </c>
      <c r="F2900" s="21"/>
      <c r="G2900" s="16" t="str">
        <f>HYPERLINK("http://maps.google.com/maps?f=q&amp;hl=en&amp;geocode=&amp;q=29.94772,-93.9378")</f>
        <v>http://maps.google.com/maps?f=q&amp;hl=en&amp;geocode=&amp;q=29.94772,-93.9378</v>
      </c>
    </row>
    <row r="2901" spans="1:7" ht="15" x14ac:dyDescent="0.3">
      <c r="A2901">
        <v>50.124649047851598</v>
      </c>
      <c r="B2901">
        <v>-107.051307678223</v>
      </c>
      <c r="C2901" t="s">
        <v>43</v>
      </c>
      <c r="D2901" t="s">
        <v>2009</v>
      </c>
      <c r="F2901" s="21"/>
      <c r="G2901" s="16" t="str">
        <f>HYPERLINK("http://maps.google.com/maps?f=q&amp;hl=en&amp;geocode=&amp;q=50.1246490478516,-107.051307678223")</f>
        <v>http://maps.google.com/maps?f=q&amp;hl=en&amp;geocode=&amp;q=50.1246490478516,-107.051307678223</v>
      </c>
    </row>
    <row r="2902" spans="1:7" ht="15" x14ac:dyDescent="0.3">
      <c r="A2902">
        <v>47.288864135742202</v>
      </c>
      <c r="B2902">
        <v>9.3947086334228498</v>
      </c>
      <c r="C2902" t="s">
        <v>41</v>
      </c>
      <c r="D2902" t="s">
        <v>2010</v>
      </c>
      <c r="F2902" s="21"/>
      <c r="G2902" s="16" t="str">
        <f>HYPERLINK("http://maps.google.com/maps?f=q&amp;hl=en&amp;geocode=&amp;q=47.2888641357422,9.39470863342285")</f>
        <v>http://maps.google.com/maps?f=q&amp;hl=en&amp;geocode=&amp;q=47.2888641357422,9.39470863342285</v>
      </c>
    </row>
    <row r="2903" spans="1:7" ht="15" x14ac:dyDescent="0.3">
      <c r="A2903">
        <v>-32.7033500671387</v>
      </c>
      <c r="B2903">
        <v>137.70617675781301</v>
      </c>
      <c r="C2903" t="s">
        <v>41</v>
      </c>
      <c r="D2903" t="s">
        <v>52</v>
      </c>
      <c r="F2903" s="21"/>
      <c r="G2903" s="16" t="str">
        <f>HYPERLINK("http://maps.google.com/maps?f=q&amp;hl=en&amp;geocode=&amp;q=-32.7033500671387,137.706176757813")</f>
        <v>http://maps.google.com/maps?f=q&amp;hl=en&amp;geocode=&amp;q=-32.7033500671387,137.706176757813</v>
      </c>
    </row>
    <row r="2904" spans="1:7" ht="15" x14ac:dyDescent="0.3">
      <c r="A2904">
        <v>39.993279999999999</v>
      </c>
      <c r="B2904">
        <v>-75.098560000000006</v>
      </c>
      <c r="C2904" t="s">
        <v>41</v>
      </c>
      <c r="D2904" t="s">
        <v>1697</v>
      </c>
      <c r="F2904" s="21"/>
      <c r="G2904" s="16" t="str">
        <f>HYPERLINK("http://maps.google.com/maps?f=q&amp;hl=en&amp;geocode=&amp;q=39.99328,-75.09856")</f>
        <v>http://maps.google.com/maps?f=q&amp;hl=en&amp;geocode=&amp;q=39.99328,-75.09856</v>
      </c>
    </row>
    <row r="2905" spans="1:7" ht="15" x14ac:dyDescent="0.3">
      <c r="A2905">
        <v>37.131729999999997</v>
      </c>
      <c r="B2905">
        <v>-80.365399999999994</v>
      </c>
      <c r="C2905" t="s">
        <v>42</v>
      </c>
      <c r="D2905" t="s">
        <v>2011</v>
      </c>
      <c r="F2905" s="21"/>
      <c r="G2905" s="16" t="str">
        <f>HYPERLINK("http://maps.google.com/maps?f=q&amp;hl=en&amp;geocode=&amp;q=37.13173,-80.3654")</f>
        <v>http://maps.google.com/maps?f=q&amp;hl=en&amp;geocode=&amp;q=37.13173,-80.3654</v>
      </c>
    </row>
    <row r="2906" spans="1:7" ht="15" x14ac:dyDescent="0.3">
      <c r="A2906">
        <v>40.802357436675798</v>
      </c>
      <c r="B2906">
        <v>-82.198721795630604</v>
      </c>
      <c r="C2906" t="s">
        <v>41</v>
      </c>
      <c r="D2906" t="s">
        <v>2012</v>
      </c>
      <c r="F2906" s="21"/>
      <c r="G2906" s="16" t="str">
        <f>HYPERLINK("http://maps.google.com/maps?f=q&amp;hl=en&amp;geocode=&amp;q=40.8023574366758,-82.1987217956306")</f>
        <v>http://maps.google.com/maps?f=q&amp;hl=en&amp;geocode=&amp;q=40.8023574366758,-82.1987217956306</v>
      </c>
    </row>
    <row r="2907" spans="1:7" ht="15" x14ac:dyDescent="0.3">
      <c r="A2907">
        <v>39.988872243854701</v>
      </c>
      <c r="B2907">
        <v>-75.126833795865707</v>
      </c>
      <c r="C2907" t="s">
        <v>41</v>
      </c>
      <c r="D2907" t="s">
        <v>1983</v>
      </c>
      <c r="F2907" s="21"/>
      <c r="G2907" s="16" t="str">
        <f>HYPERLINK("http://maps.google.com/maps?f=q&amp;hl=en&amp;geocode=&amp;q=39.9888722438547,-75.1268337958657")</f>
        <v>http://maps.google.com/maps?f=q&amp;hl=en&amp;geocode=&amp;q=39.9888722438547,-75.1268337958657</v>
      </c>
    </row>
    <row r="2908" spans="1:7" ht="15" x14ac:dyDescent="0.3">
      <c r="A2908">
        <v>39.988872243854701</v>
      </c>
      <c r="B2908">
        <v>-75.126833795865707</v>
      </c>
      <c r="C2908" t="s">
        <v>41</v>
      </c>
      <c r="D2908" t="s">
        <v>1983</v>
      </c>
      <c r="F2908" s="21"/>
      <c r="G2908" s="16" t="str">
        <f>HYPERLINK("http://maps.google.com/maps?f=q&amp;hl=en&amp;geocode=&amp;q=39.9888722438547,-75.1268337958657")</f>
        <v>http://maps.google.com/maps?f=q&amp;hl=en&amp;geocode=&amp;q=39.9888722438547,-75.1268337958657</v>
      </c>
    </row>
    <row r="2909" spans="1:7" ht="15" x14ac:dyDescent="0.3">
      <c r="A2909">
        <v>39.988872243854701</v>
      </c>
      <c r="B2909">
        <v>-75.126833795865707</v>
      </c>
      <c r="C2909" t="s">
        <v>41</v>
      </c>
      <c r="D2909" t="s">
        <v>1983</v>
      </c>
      <c r="F2909" s="21"/>
      <c r="G2909" s="16" t="str">
        <f>HYPERLINK("http://maps.google.com/maps?f=q&amp;hl=en&amp;geocode=&amp;q=39.9888722438547,-75.1268337958657")</f>
        <v>http://maps.google.com/maps?f=q&amp;hl=en&amp;geocode=&amp;q=39.9888722438547,-75.1268337958657</v>
      </c>
    </row>
    <row r="2910" spans="1:7" ht="15" x14ac:dyDescent="0.3">
      <c r="A2910">
        <v>38.344610208520201</v>
      </c>
      <c r="B2910">
        <v>-75.080331174429006</v>
      </c>
      <c r="C2910" t="s">
        <v>41</v>
      </c>
      <c r="D2910" t="s">
        <v>1686</v>
      </c>
      <c r="F2910" s="21"/>
      <c r="G2910" s="16" t="str">
        <f>HYPERLINK("http://maps.google.com/maps?f=q&amp;hl=en&amp;geocode=&amp;q=38.3446102085202,-75.080331174429")</f>
        <v>http://maps.google.com/maps?f=q&amp;hl=en&amp;geocode=&amp;q=38.3446102085202,-75.080331174429</v>
      </c>
    </row>
    <row r="2911" spans="1:7" ht="15" x14ac:dyDescent="0.3">
      <c r="A2911">
        <v>40.040390000000002</v>
      </c>
      <c r="B2911">
        <v>-75.109629999999996</v>
      </c>
      <c r="C2911" t="s">
        <v>43</v>
      </c>
      <c r="D2911" t="s">
        <v>777</v>
      </c>
      <c r="F2911" s="21"/>
      <c r="G2911" s="16" t="str">
        <f>HYPERLINK("http://maps.google.com/maps?f=q&amp;hl=en&amp;geocode=&amp;q=40.04039,-75.10963")</f>
        <v>http://maps.google.com/maps?f=q&amp;hl=en&amp;geocode=&amp;q=40.04039,-75.10963</v>
      </c>
    </row>
    <row r="2912" spans="1:7" ht="15" x14ac:dyDescent="0.3">
      <c r="A2912">
        <v>38.344610208520201</v>
      </c>
      <c r="B2912">
        <v>-75.080331174429006</v>
      </c>
      <c r="C2912" t="s">
        <v>41</v>
      </c>
      <c r="D2912" t="s">
        <v>1686</v>
      </c>
      <c r="F2912" s="21"/>
      <c r="G2912" s="16" t="str">
        <f>HYPERLINK("http://maps.google.com/maps?f=q&amp;hl=en&amp;geocode=&amp;q=38.3446102085202,-75.080331174429")</f>
        <v>http://maps.google.com/maps?f=q&amp;hl=en&amp;geocode=&amp;q=38.3446102085202,-75.080331174429</v>
      </c>
    </row>
    <row r="2913" spans="1:7" ht="15" x14ac:dyDescent="0.3">
      <c r="A2913">
        <v>38.344610208520201</v>
      </c>
      <c r="B2913">
        <v>-75.080331174429006</v>
      </c>
      <c r="C2913" t="s">
        <v>41</v>
      </c>
      <c r="D2913" t="s">
        <v>1686</v>
      </c>
      <c r="F2913" s="21"/>
      <c r="G2913" s="16" t="str">
        <f>HYPERLINK("http://maps.google.com/maps?f=q&amp;hl=en&amp;geocode=&amp;q=38.3446102085202,-75.080331174429")</f>
        <v>http://maps.google.com/maps?f=q&amp;hl=en&amp;geocode=&amp;q=38.3446102085202,-75.080331174429</v>
      </c>
    </row>
    <row r="2914" spans="1:7" ht="15" x14ac:dyDescent="0.3">
      <c r="A2914">
        <v>38.344610208520201</v>
      </c>
      <c r="B2914">
        <v>-75.080331174429006</v>
      </c>
      <c r="C2914" t="s">
        <v>41</v>
      </c>
      <c r="D2914" t="s">
        <v>1686</v>
      </c>
      <c r="F2914" s="21"/>
      <c r="G2914" s="16" t="str">
        <f>HYPERLINK("http://maps.google.com/maps?f=q&amp;hl=en&amp;geocode=&amp;q=38.3446102085202,-75.080331174429")</f>
        <v>http://maps.google.com/maps?f=q&amp;hl=en&amp;geocode=&amp;q=38.3446102085202,-75.080331174429</v>
      </c>
    </row>
    <row r="2915" spans="1:7" ht="15" x14ac:dyDescent="0.3">
      <c r="A2915">
        <v>37.194240570068402</v>
      </c>
      <c r="B2915">
        <v>-8.5855684280395508</v>
      </c>
      <c r="C2915" t="s">
        <v>41</v>
      </c>
      <c r="D2915" t="s">
        <v>344</v>
      </c>
      <c r="F2915" s="21"/>
      <c r="G2915" s="16" t="str">
        <f>HYPERLINK("http://maps.google.com/maps?f=q&amp;hl=en&amp;geocode=&amp;q=37.1942405700684,-8.58556842803955")</f>
        <v>http://maps.google.com/maps?f=q&amp;hl=en&amp;geocode=&amp;q=37.1942405700684,-8.58556842803955</v>
      </c>
    </row>
    <row r="2916" spans="1:7" ht="15" x14ac:dyDescent="0.3">
      <c r="A2916">
        <v>33.177349999999997</v>
      </c>
      <c r="B2916">
        <v>-84.909649999999999</v>
      </c>
      <c r="C2916" t="s">
        <v>41</v>
      </c>
      <c r="D2916" t="s">
        <v>1767</v>
      </c>
      <c r="F2916" s="21"/>
      <c r="G2916" s="16" t="str">
        <f>HYPERLINK("http://maps.google.com/maps?f=q&amp;hl=en&amp;geocode=&amp;q=33.17735,-84.90965")</f>
        <v>http://maps.google.com/maps?f=q&amp;hl=en&amp;geocode=&amp;q=33.17735,-84.90965</v>
      </c>
    </row>
    <row r="2917" spans="1:7" ht="15" x14ac:dyDescent="0.3">
      <c r="A2917">
        <v>43.003691698217501</v>
      </c>
      <c r="B2917">
        <v>-95.624059458301801</v>
      </c>
      <c r="C2917" t="s">
        <v>41</v>
      </c>
      <c r="D2917" t="s">
        <v>2013</v>
      </c>
      <c r="F2917" s="21"/>
      <c r="G2917" s="16" t="str">
        <f>HYPERLINK("http://maps.google.com/maps?f=q&amp;hl=en&amp;geocode=&amp;q=43.0036916982175,-95.6240594583018")</f>
        <v>http://maps.google.com/maps?f=q&amp;hl=en&amp;geocode=&amp;q=43.0036916982175,-95.6240594583018</v>
      </c>
    </row>
    <row r="2918" spans="1:7" ht="15" x14ac:dyDescent="0.3">
      <c r="A2918">
        <v>38.924148559570298</v>
      </c>
      <c r="B2918">
        <v>-9.2327499389648402</v>
      </c>
      <c r="C2918" t="s">
        <v>41</v>
      </c>
      <c r="D2918" t="s">
        <v>2014</v>
      </c>
      <c r="F2918" s="21"/>
      <c r="G2918" s="16" t="str">
        <f>HYPERLINK("http://maps.google.com/maps?f=q&amp;hl=en&amp;geocode=&amp;q=38.9241485595703,-9.23274993896484")</f>
        <v>http://maps.google.com/maps?f=q&amp;hl=en&amp;geocode=&amp;q=38.9241485595703,-9.23274993896484</v>
      </c>
    </row>
    <row r="2919" spans="1:7" ht="15" x14ac:dyDescent="0.3">
      <c r="A2919">
        <v>49.700103759765597</v>
      </c>
      <c r="B2919">
        <v>6.1390199661254901</v>
      </c>
      <c r="C2919" t="s">
        <v>41</v>
      </c>
      <c r="D2919" t="s">
        <v>2015</v>
      </c>
      <c r="F2919" s="21"/>
      <c r="G2919" s="16" t="str">
        <f>HYPERLINK("http://maps.google.com/maps?f=q&amp;hl=en&amp;geocode=&amp;q=49.7001037597656,6.13901996612549")</f>
        <v>http://maps.google.com/maps?f=q&amp;hl=en&amp;geocode=&amp;q=49.7001037597656,6.13901996612549</v>
      </c>
    </row>
    <row r="2920" spans="1:7" ht="15" x14ac:dyDescent="0.3">
      <c r="A2920">
        <v>29.7082328796387</v>
      </c>
      <c r="B2920">
        <v>-90.006401062011705</v>
      </c>
      <c r="C2920" t="s">
        <v>43</v>
      </c>
      <c r="D2920" t="s">
        <v>98</v>
      </c>
      <c r="F2920" s="21"/>
      <c r="G2920" s="16" t="str">
        <f>HYPERLINK("http://maps.google.com/maps?f=q&amp;hl=en&amp;geocode=&amp;q=29.7082328796387,-90.0064010620117")</f>
        <v>http://maps.google.com/maps?f=q&amp;hl=en&amp;geocode=&amp;q=29.7082328796387,-90.0064010620117</v>
      </c>
    </row>
    <row r="2921" spans="1:7" ht="15" x14ac:dyDescent="0.3">
      <c r="A2921">
        <v>26.17745</v>
      </c>
      <c r="B2921">
        <v>-98.17353</v>
      </c>
      <c r="C2921" t="s">
        <v>41</v>
      </c>
      <c r="D2921" t="s">
        <v>2016</v>
      </c>
      <c r="F2921" s="21"/>
      <c r="G2921" s="16" t="str">
        <f>HYPERLINK("http://maps.google.com/maps?f=q&amp;hl=en&amp;geocode=&amp;q=26.17745,-98.17353")</f>
        <v>http://maps.google.com/maps?f=q&amp;hl=en&amp;geocode=&amp;q=26.17745,-98.17353</v>
      </c>
    </row>
    <row r="2922" spans="1:7" ht="15" x14ac:dyDescent="0.3">
      <c r="A2922">
        <v>29.7082328796387</v>
      </c>
      <c r="B2922">
        <v>-90.006401062011705</v>
      </c>
      <c r="C2922" t="s">
        <v>43</v>
      </c>
      <c r="D2922" t="s">
        <v>98</v>
      </c>
      <c r="F2922" s="21"/>
      <c r="G2922" s="16" t="str">
        <f>HYPERLINK("http://maps.google.com/maps?f=q&amp;hl=en&amp;geocode=&amp;q=29.7082328796387,-90.0064010620117")</f>
        <v>http://maps.google.com/maps?f=q&amp;hl=en&amp;geocode=&amp;q=29.7082328796387,-90.0064010620117</v>
      </c>
    </row>
    <row r="2923" spans="1:7" ht="15" x14ac:dyDescent="0.3">
      <c r="A2923">
        <v>40.097733909022097</v>
      </c>
      <c r="B2923">
        <v>-89.140571129732507</v>
      </c>
      <c r="C2923" t="s">
        <v>41</v>
      </c>
      <c r="D2923" t="s">
        <v>2017</v>
      </c>
      <c r="F2923" s="21"/>
      <c r="G2923" s="16" t="str">
        <f>HYPERLINK("http://maps.google.com/maps?f=q&amp;hl=en&amp;geocode=&amp;q=40.0977339090221,-89.1405711297325")</f>
        <v>http://maps.google.com/maps?f=q&amp;hl=en&amp;geocode=&amp;q=40.0977339090221,-89.1405711297325</v>
      </c>
    </row>
    <row r="2924" spans="1:7" ht="15" x14ac:dyDescent="0.3">
      <c r="A2924">
        <v>30.685099999999998</v>
      </c>
      <c r="B2924">
        <v>-88.143730000000005</v>
      </c>
      <c r="C2924" t="s">
        <v>41</v>
      </c>
      <c r="D2924" t="s">
        <v>2018</v>
      </c>
      <c r="F2924" s="21"/>
      <c r="G2924" s="16" t="str">
        <f>HYPERLINK("http://maps.google.com/maps?f=q&amp;hl=en&amp;geocode=&amp;q=30.6851,-88.14373")</f>
        <v>http://maps.google.com/maps?f=q&amp;hl=en&amp;geocode=&amp;q=30.6851,-88.14373</v>
      </c>
    </row>
    <row r="2925" spans="1:7" ht="15" x14ac:dyDescent="0.3">
      <c r="A2925">
        <v>30.685099999999998</v>
      </c>
      <c r="B2925">
        <v>-88.143730000000005</v>
      </c>
      <c r="C2925" t="s">
        <v>41</v>
      </c>
      <c r="D2925" t="s">
        <v>2018</v>
      </c>
      <c r="F2925" s="21"/>
      <c r="G2925" s="16" t="str">
        <f>HYPERLINK("http://maps.google.com/maps?f=q&amp;hl=en&amp;geocode=&amp;q=30.6851,-88.14373")</f>
        <v>http://maps.google.com/maps?f=q&amp;hl=en&amp;geocode=&amp;q=30.6851,-88.14373</v>
      </c>
    </row>
    <row r="2926" spans="1:7" ht="15" x14ac:dyDescent="0.3">
      <c r="A2926">
        <v>39.918970000000002</v>
      </c>
      <c r="B2926">
        <v>-75.223219999999998</v>
      </c>
      <c r="C2926" t="s">
        <v>41</v>
      </c>
      <c r="D2926" t="s">
        <v>2019</v>
      </c>
      <c r="F2926" s="21"/>
      <c r="G2926" s="16" t="str">
        <f>HYPERLINK("http://maps.google.com/maps?f=q&amp;hl=en&amp;geocode=&amp;q=39.91897,-75.22322")</f>
        <v>http://maps.google.com/maps?f=q&amp;hl=en&amp;geocode=&amp;q=39.91897,-75.22322</v>
      </c>
    </row>
    <row r="2927" spans="1:7" ht="15" x14ac:dyDescent="0.3">
      <c r="A2927">
        <v>39.918970000000002</v>
      </c>
      <c r="B2927">
        <v>-75.223219999999998</v>
      </c>
      <c r="C2927" t="s">
        <v>41</v>
      </c>
      <c r="D2927" t="s">
        <v>2019</v>
      </c>
      <c r="F2927" s="21"/>
      <c r="G2927" s="16" t="str">
        <f>HYPERLINK("http://maps.google.com/maps?f=q&amp;hl=en&amp;geocode=&amp;q=39.91897,-75.22322")</f>
        <v>http://maps.google.com/maps?f=q&amp;hl=en&amp;geocode=&amp;q=39.91897,-75.22322</v>
      </c>
    </row>
    <row r="2928" spans="1:7" ht="15" x14ac:dyDescent="0.3">
      <c r="A2928">
        <v>39.912210000000002</v>
      </c>
      <c r="B2928">
        <v>-75.241100000000003</v>
      </c>
      <c r="C2928" t="s">
        <v>41</v>
      </c>
      <c r="D2928" t="s">
        <v>2020</v>
      </c>
      <c r="F2928" s="21"/>
      <c r="G2928" s="16" t="str">
        <f>HYPERLINK("http://maps.google.com/maps?f=q&amp;hl=en&amp;geocode=&amp;q=39.91221,-75.2411")</f>
        <v>http://maps.google.com/maps?f=q&amp;hl=en&amp;geocode=&amp;q=39.91221,-75.2411</v>
      </c>
    </row>
    <row r="2929" spans="1:7" ht="15" x14ac:dyDescent="0.3">
      <c r="A2929">
        <v>50.124649047851598</v>
      </c>
      <c r="B2929">
        <v>-107.051307678223</v>
      </c>
      <c r="C2929" t="s">
        <v>43</v>
      </c>
      <c r="D2929" t="s">
        <v>2009</v>
      </c>
      <c r="F2929" s="21"/>
      <c r="G2929" s="16" t="str">
        <f>HYPERLINK("http://maps.google.com/maps?f=q&amp;hl=en&amp;geocode=&amp;q=50.1246490478516,-107.051307678223")</f>
        <v>http://maps.google.com/maps?f=q&amp;hl=en&amp;geocode=&amp;q=50.1246490478516,-107.051307678223</v>
      </c>
    </row>
    <row r="2930" spans="1:7" ht="15" x14ac:dyDescent="0.3">
      <c r="A2930">
        <v>40.347160000000002</v>
      </c>
      <c r="B2930">
        <v>-76.41225</v>
      </c>
      <c r="C2930" t="s">
        <v>43</v>
      </c>
      <c r="D2930" t="s">
        <v>2021</v>
      </c>
      <c r="F2930" s="21"/>
      <c r="G2930" s="16" t="str">
        <f>HYPERLINK("http://maps.google.com/maps?f=q&amp;hl=en&amp;geocode=&amp;q=40.34716,-76.41225")</f>
        <v>http://maps.google.com/maps?f=q&amp;hl=en&amp;geocode=&amp;q=40.34716,-76.41225</v>
      </c>
    </row>
    <row r="2931" spans="1:7" ht="15" x14ac:dyDescent="0.3">
      <c r="A2931">
        <v>40.035719999999998</v>
      </c>
      <c r="B2931">
        <v>-75.070629999999994</v>
      </c>
      <c r="C2931" t="s">
        <v>41</v>
      </c>
      <c r="D2931" t="s">
        <v>760</v>
      </c>
      <c r="F2931" s="21"/>
      <c r="G2931" s="16" t="str">
        <f>HYPERLINK("http://maps.google.com/maps?f=q&amp;hl=en&amp;geocode=&amp;q=40.03572,-75.07063")</f>
        <v>http://maps.google.com/maps?f=q&amp;hl=en&amp;geocode=&amp;q=40.03572,-75.07063</v>
      </c>
    </row>
    <row r="2932" spans="1:7" ht="15" x14ac:dyDescent="0.3">
      <c r="A2932" t="s">
        <v>44</v>
      </c>
      <c r="B2932" t="s">
        <v>44</v>
      </c>
      <c r="C2932" t="s">
        <v>44</v>
      </c>
      <c r="D2932" t="s">
        <v>2022</v>
      </c>
      <c r="F2932" s="21"/>
      <c r="G2932" s="16"/>
    </row>
    <row r="2933" spans="1:7" ht="15" x14ac:dyDescent="0.3">
      <c r="A2933">
        <v>28.59909</v>
      </c>
      <c r="B2933">
        <v>-81.674679999999995</v>
      </c>
      <c r="C2933" t="s">
        <v>43</v>
      </c>
      <c r="D2933" t="s">
        <v>2023</v>
      </c>
      <c r="F2933" s="21"/>
      <c r="G2933" s="16" t="str">
        <f>HYPERLINK("http://maps.google.com/maps?f=q&amp;hl=en&amp;geocode=&amp;q=28.59909,-81.67468")</f>
        <v>http://maps.google.com/maps?f=q&amp;hl=en&amp;geocode=&amp;q=28.59909,-81.67468</v>
      </c>
    </row>
    <row r="2934" spans="1:7" ht="15" x14ac:dyDescent="0.3">
      <c r="A2934">
        <v>32.384909999999998</v>
      </c>
      <c r="B2934">
        <v>-86.193430000000006</v>
      </c>
      <c r="C2934" t="s">
        <v>43</v>
      </c>
      <c r="D2934" t="s">
        <v>2024</v>
      </c>
      <c r="F2934" s="21"/>
      <c r="G2934" s="16" t="str">
        <f>HYPERLINK("http://maps.google.com/maps?f=q&amp;hl=en&amp;geocode=&amp;q=32.38491,-86.19343")</f>
        <v>http://maps.google.com/maps?f=q&amp;hl=en&amp;geocode=&amp;q=32.38491,-86.19343</v>
      </c>
    </row>
    <row r="2935" spans="1:7" ht="15" x14ac:dyDescent="0.3">
      <c r="A2935">
        <v>39.4793759317472</v>
      </c>
      <c r="B2935">
        <v>-74.696653854570002</v>
      </c>
      <c r="C2935" t="s">
        <v>43</v>
      </c>
      <c r="D2935" t="s">
        <v>1597</v>
      </c>
      <c r="F2935" s="21"/>
      <c r="G2935" s="16" t="str">
        <f>HYPERLINK("http://maps.google.com/maps?f=q&amp;hl=en&amp;geocode=&amp;q=39.4793759317472,-74.69665385457")</f>
        <v>http://maps.google.com/maps?f=q&amp;hl=en&amp;geocode=&amp;q=39.4793759317472,-74.69665385457</v>
      </c>
    </row>
    <row r="2936" spans="1:7" ht="15" x14ac:dyDescent="0.3">
      <c r="A2936">
        <v>34.132518913352499</v>
      </c>
      <c r="B2936">
        <v>-116.33766825913</v>
      </c>
      <c r="C2936" t="s">
        <v>41</v>
      </c>
      <c r="D2936" t="s">
        <v>2025</v>
      </c>
      <c r="F2936" s="21"/>
      <c r="G2936" s="16" t="str">
        <f>HYPERLINK("http://maps.google.com/maps?f=q&amp;hl=en&amp;geocode=&amp;q=34.1325189133525,-116.33766825913")</f>
        <v>http://maps.google.com/maps?f=q&amp;hl=en&amp;geocode=&amp;q=34.1325189133525,-116.33766825913</v>
      </c>
    </row>
    <row r="2937" spans="1:7" ht="15" x14ac:dyDescent="0.3">
      <c r="A2937">
        <v>43.341726496441296</v>
      </c>
      <c r="B2937">
        <v>-84.9053677399517</v>
      </c>
      <c r="C2937" t="s">
        <v>41</v>
      </c>
      <c r="D2937" t="s">
        <v>2026</v>
      </c>
      <c r="F2937" s="21"/>
      <c r="G2937" s="16" t="str">
        <f>HYPERLINK("http://maps.google.com/maps?f=q&amp;hl=en&amp;geocode=&amp;q=43.3417264964413,-84.9053677399517")</f>
        <v>http://maps.google.com/maps?f=q&amp;hl=en&amp;geocode=&amp;q=43.3417264964413,-84.9053677399517</v>
      </c>
    </row>
    <row r="2938" spans="1:7" ht="15" x14ac:dyDescent="0.3">
      <c r="A2938">
        <v>38.798560000000002</v>
      </c>
      <c r="B2938">
        <v>-90.20908</v>
      </c>
      <c r="C2938" t="s">
        <v>43</v>
      </c>
      <c r="D2938" t="s">
        <v>1583</v>
      </c>
      <c r="F2938" s="21"/>
      <c r="G2938" s="16" t="str">
        <f>HYPERLINK("http://maps.google.com/maps?f=q&amp;hl=en&amp;geocode=&amp;q=38.79856,-90.20908")</f>
        <v>http://maps.google.com/maps?f=q&amp;hl=en&amp;geocode=&amp;q=38.79856,-90.20908</v>
      </c>
    </row>
    <row r="2939" spans="1:7" ht="15" x14ac:dyDescent="0.3">
      <c r="A2939">
        <v>46.360959474503503</v>
      </c>
      <c r="B2939">
        <v>-120.430432699929</v>
      </c>
      <c r="C2939" t="s">
        <v>41</v>
      </c>
      <c r="D2939" t="s">
        <v>2027</v>
      </c>
      <c r="F2939" s="21"/>
      <c r="G2939" s="16" t="str">
        <f>HYPERLINK("http://maps.google.com/maps?f=q&amp;hl=en&amp;geocode=&amp;q=46.3609594745035,-120.430432699929")</f>
        <v>http://maps.google.com/maps?f=q&amp;hl=en&amp;geocode=&amp;q=46.3609594745035,-120.430432699929</v>
      </c>
    </row>
    <row r="2940" spans="1:7" ht="15" x14ac:dyDescent="0.3">
      <c r="A2940">
        <v>33.496170831993801</v>
      </c>
      <c r="B2940">
        <v>-112.07953407155</v>
      </c>
      <c r="C2940" t="s">
        <v>43</v>
      </c>
      <c r="D2940" t="s">
        <v>2028</v>
      </c>
      <c r="F2940" s="21"/>
      <c r="G2940" s="16" t="str">
        <f>HYPERLINK("http://maps.google.com/maps?f=q&amp;hl=en&amp;geocode=&amp;q=33.4961708319938,-112.07953407155")</f>
        <v>http://maps.google.com/maps?f=q&amp;hl=en&amp;geocode=&amp;q=33.4961708319938,-112.07953407155</v>
      </c>
    </row>
    <row r="2941" spans="1:7" ht="15" x14ac:dyDescent="0.3">
      <c r="A2941">
        <v>43.025587855921799</v>
      </c>
      <c r="B2941">
        <v>-74.985908809015001</v>
      </c>
      <c r="C2941" t="s">
        <v>41</v>
      </c>
      <c r="D2941" t="s">
        <v>1185</v>
      </c>
      <c r="F2941" s="21"/>
      <c r="G2941" s="16" t="str">
        <f>HYPERLINK("http://maps.google.com/maps?f=q&amp;hl=en&amp;geocode=&amp;q=43.0255878559218,-74.985908809015")</f>
        <v>http://maps.google.com/maps?f=q&amp;hl=en&amp;geocode=&amp;q=43.0255878559218,-74.985908809015</v>
      </c>
    </row>
    <row r="2942" spans="1:7" ht="15" x14ac:dyDescent="0.3">
      <c r="A2942">
        <v>43.025587855921799</v>
      </c>
      <c r="B2942">
        <v>-74.985908809015001</v>
      </c>
      <c r="C2942" t="s">
        <v>41</v>
      </c>
      <c r="D2942" t="s">
        <v>1185</v>
      </c>
      <c r="F2942" s="21"/>
      <c r="G2942" s="16" t="str">
        <f>HYPERLINK("http://maps.google.com/maps?f=q&amp;hl=en&amp;geocode=&amp;q=43.0255878559218,-74.985908809015")</f>
        <v>http://maps.google.com/maps?f=q&amp;hl=en&amp;geocode=&amp;q=43.0255878559218,-74.985908809015</v>
      </c>
    </row>
    <row r="2943" spans="1:7" ht="15" x14ac:dyDescent="0.3">
      <c r="A2943">
        <v>43.025587855921799</v>
      </c>
      <c r="B2943">
        <v>-74.985908809015001</v>
      </c>
      <c r="C2943" t="s">
        <v>41</v>
      </c>
      <c r="D2943" t="s">
        <v>1185</v>
      </c>
      <c r="F2943" s="21"/>
      <c r="G2943" s="16" t="str">
        <f>HYPERLINK("http://maps.google.com/maps?f=q&amp;hl=en&amp;geocode=&amp;q=43.0255878559218,-74.985908809015")</f>
        <v>http://maps.google.com/maps?f=q&amp;hl=en&amp;geocode=&amp;q=43.0255878559218,-74.985908809015</v>
      </c>
    </row>
    <row r="2944" spans="1:7" ht="15" x14ac:dyDescent="0.3">
      <c r="A2944">
        <v>43.026002337311901</v>
      </c>
      <c r="B2944">
        <v>-74.984932691468202</v>
      </c>
      <c r="C2944" t="s">
        <v>41</v>
      </c>
      <c r="D2944" t="s">
        <v>2029</v>
      </c>
      <c r="F2944" s="21"/>
      <c r="G2944" s="16" t="str">
        <f>HYPERLINK("http://maps.google.com/maps?f=q&amp;hl=en&amp;geocode=&amp;q=43.0260023373119,-74.9849326914682")</f>
        <v>http://maps.google.com/maps?f=q&amp;hl=en&amp;geocode=&amp;q=43.0260023373119,-74.9849326914682</v>
      </c>
    </row>
    <row r="2945" spans="1:7" ht="15" x14ac:dyDescent="0.3">
      <c r="A2945">
        <v>36.580077932587301</v>
      </c>
      <c r="B2945">
        <v>-76.107553997900993</v>
      </c>
      <c r="C2945" t="s">
        <v>43</v>
      </c>
      <c r="D2945" t="s">
        <v>2030</v>
      </c>
      <c r="F2945" s="21"/>
      <c r="G2945" s="16" t="str">
        <f>HYPERLINK("http://maps.google.com/maps?f=q&amp;hl=en&amp;geocode=&amp;q=36.5800779325873,-76.107553997901")</f>
        <v>http://maps.google.com/maps?f=q&amp;hl=en&amp;geocode=&amp;q=36.5800779325873,-76.107553997901</v>
      </c>
    </row>
    <row r="2946" spans="1:7" ht="15" x14ac:dyDescent="0.3">
      <c r="A2946">
        <v>32.842917479765298</v>
      </c>
      <c r="B2946">
        <v>-109.82603657522201</v>
      </c>
      <c r="C2946" t="s">
        <v>41</v>
      </c>
      <c r="D2946" t="s">
        <v>2031</v>
      </c>
      <c r="F2946" s="21"/>
      <c r="G2946" s="16" t="str">
        <f>HYPERLINK("http://maps.google.com/maps?f=q&amp;hl=en&amp;geocode=&amp;q=32.8429174797653,-109.826036575222")</f>
        <v>http://maps.google.com/maps?f=q&amp;hl=en&amp;geocode=&amp;q=32.8429174797653,-109.826036575222</v>
      </c>
    </row>
    <row r="2947" spans="1:7" ht="15" x14ac:dyDescent="0.3">
      <c r="A2947">
        <v>34.7532697706432</v>
      </c>
      <c r="B2947">
        <v>-106.755612537263</v>
      </c>
      <c r="C2947" t="s">
        <v>41</v>
      </c>
      <c r="D2947" t="s">
        <v>926</v>
      </c>
      <c r="F2947" s="21"/>
      <c r="G2947" s="16" t="str">
        <f>HYPERLINK("http://maps.google.com/maps?f=q&amp;hl=en&amp;geocode=&amp;q=34.7532697706432,-106.755612537263")</f>
        <v>http://maps.google.com/maps?f=q&amp;hl=en&amp;geocode=&amp;q=34.7532697706432,-106.755612537263</v>
      </c>
    </row>
    <row r="2948" spans="1:7" ht="15" x14ac:dyDescent="0.3">
      <c r="A2948">
        <v>33.9038276672363</v>
      </c>
      <c r="B2948">
        <v>-80.893760681152301</v>
      </c>
      <c r="C2948" t="s">
        <v>41</v>
      </c>
      <c r="D2948" t="s">
        <v>2032</v>
      </c>
      <c r="F2948" s="21"/>
      <c r="G2948" s="16" t="str">
        <f>HYPERLINK("http://maps.google.com/maps?f=q&amp;hl=en&amp;geocode=&amp;q=33.9038276672363,-80.8937606811523")</f>
        <v>http://maps.google.com/maps?f=q&amp;hl=en&amp;geocode=&amp;q=33.9038276672363,-80.8937606811523</v>
      </c>
    </row>
    <row r="2949" spans="1:7" ht="15" x14ac:dyDescent="0.3">
      <c r="A2949">
        <v>39.950530000000001</v>
      </c>
      <c r="B2949">
        <v>-75.222939999999994</v>
      </c>
      <c r="C2949" t="s">
        <v>41</v>
      </c>
      <c r="D2949" t="s">
        <v>434</v>
      </c>
      <c r="F2949" s="21"/>
      <c r="G2949" s="16" t="str">
        <f>HYPERLINK("http://maps.google.com/maps?f=q&amp;hl=en&amp;geocode=&amp;q=39.95053,-75.22294")</f>
        <v>http://maps.google.com/maps?f=q&amp;hl=en&amp;geocode=&amp;q=39.95053,-75.22294</v>
      </c>
    </row>
    <row r="2950" spans="1:7" ht="15" x14ac:dyDescent="0.3">
      <c r="A2950" t="s">
        <v>44</v>
      </c>
      <c r="B2950" t="s">
        <v>44</v>
      </c>
      <c r="C2950" t="s">
        <v>44</v>
      </c>
      <c r="D2950" t="s">
        <v>1004</v>
      </c>
      <c r="F2950" s="21"/>
      <c r="G2950" s="16"/>
    </row>
    <row r="2951" spans="1:7" ht="15" x14ac:dyDescent="0.3">
      <c r="A2951">
        <v>36.80688</v>
      </c>
      <c r="B2951">
        <v>-76.415170000000003</v>
      </c>
      <c r="C2951" t="s">
        <v>41</v>
      </c>
      <c r="D2951" t="s">
        <v>1302</v>
      </c>
      <c r="F2951" s="21"/>
      <c r="G2951" s="16" t="str">
        <f>HYPERLINK("http://maps.google.com/maps?f=q&amp;hl=en&amp;geocode=&amp;q=36.80688,-76.41517")</f>
        <v>http://maps.google.com/maps?f=q&amp;hl=en&amp;geocode=&amp;q=36.80688,-76.41517</v>
      </c>
    </row>
    <row r="2952" spans="1:7" ht="15" x14ac:dyDescent="0.3">
      <c r="A2952">
        <v>36.80688</v>
      </c>
      <c r="B2952">
        <v>-76.415170000000003</v>
      </c>
      <c r="C2952" t="s">
        <v>41</v>
      </c>
      <c r="D2952" t="s">
        <v>1302</v>
      </c>
      <c r="F2952" s="21"/>
      <c r="G2952" s="16" t="str">
        <f>HYPERLINK("http://maps.google.com/maps?f=q&amp;hl=en&amp;geocode=&amp;q=36.80688,-76.41517")</f>
        <v>http://maps.google.com/maps?f=q&amp;hl=en&amp;geocode=&amp;q=36.80688,-76.41517</v>
      </c>
    </row>
    <row r="2953" spans="1:7" ht="15" x14ac:dyDescent="0.3">
      <c r="A2953">
        <v>36.80688</v>
      </c>
      <c r="B2953">
        <v>-76.415170000000003</v>
      </c>
      <c r="C2953" t="s">
        <v>41</v>
      </c>
      <c r="D2953" t="s">
        <v>1302</v>
      </c>
      <c r="F2953" s="21"/>
      <c r="G2953" s="16" t="str">
        <f>HYPERLINK("http://maps.google.com/maps?f=q&amp;hl=en&amp;geocode=&amp;q=36.80688,-76.41517")</f>
        <v>http://maps.google.com/maps?f=q&amp;hl=en&amp;geocode=&amp;q=36.80688,-76.41517</v>
      </c>
    </row>
    <row r="2954" spans="1:7" ht="15" x14ac:dyDescent="0.3">
      <c r="A2954">
        <v>36.80688</v>
      </c>
      <c r="B2954">
        <v>-76.415170000000003</v>
      </c>
      <c r="C2954" t="s">
        <v>41</v>
      </c>
      <c r="D2954" t="s">
        <v>1302</v>
      </c>
      <c r="F2954" s="21"/>
      <c r="G2954" s="16" t="str">
        <f>HYPERLINK("http://maps.google.com/maps?f=q&amp;hl=en&amp;geocode=&amp;q=36.80688,-76.41517")</f>
        <v>http://maps.google.com/maps?f=q&amp;hl=en&amp;geocode=&amp;q=36.80688,-76.41517</v>
      </c>
    </row>
    <row r="2955" spans="1:7" ht="15" x14ac:dyDescent="0.3">
      <c r="A2955">
        <v>36.80688</v>
      </c>
      <c r="B2955">
        <v>-76.415170000000003</v>
      </c>
      <c r="C2955" t="s">
        <v>41</v>
      </c>
      <c r="D2955" t="s">
        <v>1302</v>
      </c>
      <c r="F2955" s="21"/>
      <c r="G2955" s="16" t="str">
        <f>HYPERLINK("http://maps.google.com/maps?f=q&amp;hl=en&amp;geocode=&amp;q=36.80688,-76.41517")</f>
        <v>http://maps.google.com/maps?f=q&amp;hl=en&amp;geocode=&amp;q=36.80688,-76.41517</v>
      </c>
    </row>
    <row r="2956" spans="1:7" ht="15" x14ac:dyDescent="0.3">
      <c r="A2956">
        <v>36.80688</v>
      </c>
      <c r="B2956">
        <v>-76.415170000000003</v>
      </c>
      <c r="C2956" t="s">
        <v>41</v>
      </c>
      <c r="D2956" t="s">
        <v>1302</v>
      </c>
      <c r="F2956" s="21"/>
      <c r="G2956" s="16" t="str">
        <f>HYPERLINK("http://maps.google.com/maps?f=q&amp;hl=en&amp;geocode=&amp;q=36.80688,-76.41517")</f>
        <v>http://maps.google.com/maps?f=q&amp;hl=en&amp;geocode=&amp;q=36.80688,-76.41517</v>
      </c>
    </row>
    <row r="2957" spans="1:7" ht="15" x14ac:dyDescent="0.3">
      <c r="A2957">
        <v>39.998660000000001</v>
      </c>
      <c r="B2957">
        <v>-75.074979999999996</v>
      </c>
      <c r="C2957" t="s">
        <v>41</v>
      </c>
      <c r="D2957" t="s">
        <v>2033</v>
      </c>
      <c r="F2957" s="21"/>
      <c r="G2957" s="16" t="str">
        <f>HYPERLINK("http://maps.google.com/maps?f=q&amp;hl=en&amp;geocode=&amp;q=39.99866,-75.07498")</f>
        <v>http://maps.google.com/maps?f=q&amp;hl=en&amp;geocode=&amp;q=39.99866,-75.07498</v>
      </c>
    </row>
    <row r="2958" spans="1:7" ht="15" x14ac:dyDescent="0.3">
      <c r="A2958">
        <v>47.337039947509801</v>
      </c>
      <c r="B2958">
        <v>19.8872585296631</v>
      </c>
      <c r="C2958" t="s">
        <v>41</v>
      </c>
      <c r="D2958" t="s">
        <v>2034</v>
      </c>
      <c r="F2958" s="21"/>
      <c r="G2958" s="16" t="str">
        <f>HYPERLINK("http://maps.google.com/maps?f=q&amp;hl=en&amp;geocode=&amp;q=47.3370399475098,19.8872585296631")</f>
        <v>http://maps.google.com/maps?f=q&amp;hl=en&amp;geocode=&amp;q=47.3370399475098,19.8872585296631</v>
      </c>
    </row>
    <row r="2959" spans="1:7" ht="15" x14ac:dyDescent="0.3">
      <c r="A2959">
        <v>49.580135345458999</v>
      </c>
      <c r="B2959">
        <v>6.1600489616393999</v>
      </c>
      <c r="C2959" t="s">
        <v>41</v>
      </c>
      <c r="D2959" t="s">
        <v>2035</v>
      </c>
      <c r="F2959" s="21"/>
      <c r="G2959" s="16" t="str">
        <f>HYPERLINK("http://maps.google.com/maps?f=q&amp;hl=en&amp;geocode=&amp;q=49.580135345459,6.1600489616394")</f>
        <v>http://maps.google.com/maps?f=q&amp;hl=en&amp;geocode=&amp;q=49.580135345459,6.1600489616394</v>
      </c>
    </row>
    <row r="2960" spans="1:7" ht="15" x14ac:dyDescent="0.3">
      <c r="A2960">
        <v>47.0154418945313</v>
      </c>
      <c r="B2960">
        <v>3.7381799221038801</v>
      </c>
      <c r="C2960" t="s">
        <v>43</v>
      </c>
      <c r="D2960" t="s">
        <v>2036</v>
      </c>
      <c r="F2960" s="21"/>
      <c r="G2960" s="16" t="str">
        <f>HYPERLINK("http://maps.google.com/maps?f=q&amp;hl=en&amp;geocode=&amp;q=47.0154418945313,3.73817992210388")</f>
        <v>http://maps.google.com/maps?f=q&amp;hl=en&amp;geocode=&amp;q=47.0154418945313,3.73817992210388</v>
      </c>
    </row>
    <row r="2961" spans="1:7" ht="15" x14ac:dyDescent="0.3">
      <c r="A2961">
        <v>40.040390000000002</v>
      </c>
      <c r="B2961">
        <v>-75.109629999999996</v>
      </c>
      <c r="C2961" t="s">
        <v>43</v>
      </c>
      <c r="D2961" t="s">
        <v>777</v>
      </c>
      <c r="F2961" s="21"/>
      <c r="G2961" s="16" t="str">
        <f>HYPERLINK("http://maps.google.com/maps?f=q&amp;hl=en&amp;geocode=&amp;q=40.04039,-75.10963")</f>
        <v>http://maps.google.com/maps?f=q&amp;hl=en&amp;geocode=&amp;q=40.04039,-75.10963</v>
      </c>
    </row>
    <row r="2962" spans="1:7" ht="15" x14ac:dyDescent="0.3">
      <c r="A2962" t="s">
        <v>44</v>
      </c>
      <c r="B2962" t="s">
        <v>44</v>
      </c>
      <c r="C2962" t="s">
        <v>44</v>
      </c>
      <c r="D2962" t="s">
        <v>2037</v>
      </c>
      <c r="F2962" s="21"/>
      <c r="G2962" s="16"/>
    </row>
    <row r="2963" spans="1:7" ht="15" x14ac:dyDescent="0.3">
      <c r="A2963" t="s">
        <v>44</v>
      </c>
      <c r="B2963" t="s">
        <v>44</v>
      </c>
      <c r="C2963" t="s">
        <v>44</v>
      </c>
      <c r="D2963" t="s">
        <v>2037</v>
      </c>
      <c r="F2963" s="21"/>
      <c r="G2963" s="16"/>
    </row>
    <row r="2964" spans="1:7" ht="15" x14ac:dyDescent="0.3">
      <c r="A2964" t="s">
        <v>44</v>
      </c>
      <c r="B2964" t="s">
        <v>44</v>
      </c>
      <c r="C2964" t="s">
        <v>44</v>
      </c>
      <c r="D2964" t="s">
        <v>2037</v>
      </c>
      <c r="F2964" s="21"/>
      <c r="G2964" s="16"/>
    </row>
    <row r="2965" spans="1:7" ht="15" x14ac:dyDescent="0.3">
      <c r="A2965">
        <v>43.042699998994699</v>
      </c>
      <c r="B2965">
        <v>-83.659048570791896</v>
      </c>
      <c r="C2965" t="s">
        <v>41</v>
      </c>
      <c r="D2965" t="s">
        <v>1631</v>
      </c>
      <c r="F2965" s="21"/>
      <c r="G2965" s="16" t="str">
        <f>HYPERLINK("http://maps.google.com/maps?f=q&amp;hl=en&amp;geocode=&amp;q=43.0426999989947,-83.6590485707919")</f>
        <v>http://maps.google.com/maps?f=q&amp;hl=en&amp;geocode=&amp;q=43.0426999989947,-83.6590485707919</v>
      </c>
    </row>
    <row r="2966" spans="1:7" ht="15" x14ac:dyDescent="0.3">
      <c r="A2966">
        <v>39.994509000000001</v>
      </c>
      <c r="B2966">
        <v>-75.092248999999995</v>
      </c>
      <c r="C2966" t="s">
        <v>41</v>
      </c>
      <c r="D2966" t="s">
        <v>553</v>
      </c>
      <c r="F2966" s="21"/>
      <c r="G2966" s="16" t="str">
        <f>HYPERLINK("http://maps.google.com/maps?f=q&amp;hl=en&amp;geocode=&amp;q=39.994509,-75.092249")</f>
        <v>http://maps.google.com/maps?f=q&amp;hl=en&amp;geocode=&amp;q=39.994509,-75.092249</v>
      </c>
    </row>
    <row r="2967" spans="1:7" ht="15" x14ac:dyDescent="0.3">
      <c r="A2967">
        <v>39.989109999999997</v>
      </c>
      <c r="B2967">
        <v>-75.139499999999998</v>
      </c>
      <c r="C2967" t="s">
        <v>41</v>
      </c>
      <c r="D2967" t="s">
        <v>2038</v>
      </c>
      <c r="F2967" s="21"/>
      <c r="G2967" s="16" t="str">
        <f>HYPERLINK("http://maps.google.com/maps?f=q&amp;hl=en&amp;geocode=&amp;q=39.98911,-75.1395")</f>
        <v>http://maps.google.com/maps?f=q&amp;hl=en&amp;geocode=&amp;q=39.98911,-75.1395</v>
      </c>
    </row>
    <row r="2968" spans="1:7" ht="15" x14ac:dyDescent="0.3">
      <c r="A2968">
        <v>41.059559999999998</v>
      </c>
      <c r="B2968">
        <v>-85.139120000000005</v>
      </c>
      <c r="C2968" t="s">
        <v>43</v>
      </c>
      <c r="D2968" t="s">
        <v>2039</v>
      </c>
      <c r="F2968" s="21"/>
      <c r="G2968" s="16" t="str">
        <f>HYPERLINK("http://maps.google.com/maps?f=q&amp;hl=en&amp;geocode=&amp;q=41.05956,-85.13912")</f>
        <v>http://maps.google.com/maps?f=q&amp;hl=en&amp;geocode=&amp;q=41.05956,-85.13912</v>
      </c>
    </row>
    <row r="2969" spans="1:7" ht="15" x14ac:dyDescent="0.3">
      <c r="A2969">
        <v>39.989109999999997</v>
      </c>
      <c r="B2969">
        <v>-75.139499999999998</v>
      </c>
      <c r="C2969" t="s">
        <v>41</v>
      </c>
      <c r="D2969" t="s">
        <v>2038</v>
      </c>
      <c r="F2969" s="21"/>
      <c r="G2969" s="16" t="str">
        <f>HYPERLINK("http://maps.google.com/maps?f=q&amp;hl=en&amp;geocode=&amp;q=39.98911,-75.1395")</f>
        <v>http://maps.google.com/maps?f=q&amp;hl=en&amp;geocode=&amp;q=39.98911,-75.1395</v>
      </c>
    </row>
    <row r="2970" spans="1:7" ht="15" x14ac:dyDescent="0.3">
      <c r="A2970">
        <v>43.042699998994699</v>
      </c>
      <c r="B2970">
        <v>-83.659048570791896</v>
      </c>
      <c r="C2970" t="s">
        <v>41</v>
      </c>
      <c r="D2970" t="s">
        <v>1631</v>
      </c>
      <c r="F2970" s="21"/>
      <c r="G2970" s="16" t="str">
        <f>HYPERLINK("http://maps.google.com/maps?f=q&amp;hl=en&amp;geocode=&amp;q=43.0426999989947,-83.6590485707919")</f>
        <v>http://maps.google.com/maps?f=q&amp;hl=en&amp;geocode=&amp;q=43.0426999989947,-83.6590485707919</v>
      </c>
    </row>
    <row r="2971" spans="1:7" ht="15" x14ac:dyDescent="0.3">
      <c r="A2971">
        <v>43.042699998994699</v>
      </c>
      <c r="B2971">
        <v>-83.659048570791896</v>
      </c>
      <c r="C2971" t="s">
        <v>41</v>
      </c>
      <c r="D2971" t="s">
        <v>1631</v>
      </c>
      <c r="F2971" s="21"/>
      <c r="G2971" s="16" t="str">
        <f>HYPERLINK("http://maps.google.com/maps?f=q&amp;hl=en&amp;geocode=&amp;q=43.0426999989947,-83.6590485707919")</f>
        <v>http://maps.google.com/maps?f=q&amp;hl=en&amp;geocode=&amp;q=43.0426999989947,-83.6590485707919</v>
      </c>
    </row>
    <row r="2972" spans="1:7" ht="15" x14ac:dyDescent="0.3">
      <c r="A2972">
        <v>43.042699998994699</v>
      </c>
      <c r="B2972">
        <v>-83.659048570791896</v>
      </c>
      <c r="C2972" t="s">
        <v>41</v>
      </c>
      <c r="D2972" t="s">
        <v>1631</v>
      </c>
      <c r="F2972" s="21"/>
      <c r="G2972" s="16" t="str">
        <f>HYPERLINK("http://maps.google.com/maps?f=q&amp;hl=en&amp;geocode=&amp;q=43.0426999989947,-83.6590485707919")</f>
        <v>http://maps.google.com/maps?f=q&amp;hl=en&amp;geocode=&amp;q=43.0426999989947,-83.6590485707919</v>
      </c>
    </row>
    <row r="2973" spans="1:7" ht="15" x14ac:dyDescent="0.3">
      <c r="A2973">
        <v>43.042699998994699</v>
      </c>
      <c r="B2973">
        <v>-83.659048570791896</v>
      </c>
      <c r="C2973" t="s">
        <v>41</v>
      </c>
      <c r="D2973" t="s">
        <v>1631</v>
      </c>
      <c r="F2973" s="21"/>
      <c r="G2973" s="16" t="str">
        <f>HYPERLINK("http://maps.google.com/maps?f=q&amp;hl=en&amp;geocode=&amp;q=43.0426999989947,-83.6590485707919")</f>
        <v>http://maps.google.com/maps?f=q&amp;hl=en&amp;geocode=&amp;q=43.0426999989947,-83.6590485707919</v>
      </c>
    </row>
    <row r="2974" spans="1:7" ht="15" x14ac:dyDescent="0.3">
      <c r="A2974">
        <v>43.042699998994699</v>
      </c>
      <c r="B2974">
        <v>-83.659048570791896</v>
      </c>
      <c r="C2974" t="s">
        <v>41</v>
      </c>
      <c r="D2974" t="s">
        <v>1631</v>
      </c>
      <c r="F2974" s="21"/>
      <c r="G2974" s="16" t="str">
        <f>HYPERLINK("http://maps.google.com/maps?f=q&amp;hl=en&amp;geocode=&amp;q=43.0426999989947,-83.6590485707919")</f>
        <v>http://maps.google.com/maps?f=q&amp;hl=en&amp;geocode=&amp;q=43.0426999989947,-83.6590485707919</v>
      </c>
    </row>
    <row r="2975" spans="1:7" ht="15" x14ac:dyDescent="0.3">
      <c r="A2975">
        <v>35.741379999999999</v>
      </c>
      <c r="B2975">
        <v>-83.647649999999999</v>
      </c>
      <c r="C2975" t="s">
        <v>42</v>
      </c>
      <c r="D2975" t="s">
        <v>2040</v>
      </c>
      <c r="F2975" s="21"/>
      <c r="G2975" s="16" t="str">
        <f>HYPERLINK("http://maps.google.com/maps?f=q&amp;hl=en&amp;geocode=&amp;q=35.74138,-83.64765")</f>
        <v>http://maps.google.com/maps?f=q&amp;hl=en&amp;geocode=&amp;q=35.74138,-83.64765</v>
      </c>
    </row>
    <row r="2976" spans="1:7" ht="15" x14ac:dyDescent="0.3">
      <c r="A2976">
        <v>59.922351837158203</v>
      </c>
      <c r="B2976">
        <v>11.178321838378899</v>
      </c>
      <c r="C2976" t="s">
        <v>43</v>
      </c>
      <c r="D2976" t="s">
        <v>2041</v>
      </c>
      <c r="F2976" s="21"/>
      <c r="G2976" s="16" t="str">
        <f>HYPERLINK("http://maps.google.com/maps?f=q&amp;hl=en&amp;geocode=&amp;q=59.9223518371582,11.1783218383789")</f>
        <v>http://maps.google.com/maps?f=q&amp;hl=en&amp;geocode=&amp;q=59.9223518371582,11.1783218383789</v>
      </c>
    </row>
    <row r="2977" spans="1:7" ht="15" x14ac:dyDescent="0.3">
      <c r="A2977">
        <v>40.038453769809102</v>
      </c>
      <c r="B2977">
        <v>-75.067328237851498</v>
      </c>
      <c r="C2977" t="s">
        <v>41</v>
      </c>
      <c r="D2977" t="s">
        <v>1763</v>
      </c>
      <c r="F2977" s="21"/>
      <c r="G2977" s="16" t="str">
        <f>HYPERLINK("http://maps.google.com/maps?f=q&amp;hl=en&amp;geocode=&amp;q=40.0384537698091,-75.0673282378515")</f>
        <v>http://maps.google.com/maps?f=q&amp;hl=en&amp;geocode=&amp;q=40.0384537698091,-75.0673282378515</v>
      </c>
    </row>
    <row r="2978" spans="1:7" ht="15" x14ac:dyDescent="0.3">
      <c r="A2978">
        <v>41.150809799585097</v>
      </c>
      <c r="B2978">
        <v>-111.91224162536101</v>
      </c>
      <c r="C2978" t="s">
        <v>41</v>
      </c>
      <c r="D2978" t="s">
        <v>2042</v>
      </c>
      <c r="F2978" s="21"/>
      <c r="G2978" s="16" t="str">
        <f>HYPERLINK("http://maps.google.com/maps?f=q&amp;hl=en&amp;geocode=&amp;q=41.1508097995851,-111.912241625361")</f>
        <v>http://maps.google.com/maps?f=q&amp;hl=en&amp;geocode=&amp;q=41.1508097995851,-111.912241625361</v>
      </c>
    </row>
    <row r="2979" spans="1:7" ht="15" x14ac:dyDescent="0.3">
      <c r="A2979">
        <v>35.5703557132749</v>
      </c>
      <c r="B2979">
        <v>-112.242703367583</v>
      </c>
      <c r="C2979" t="s">
        <v>41</v>
      </c>
      <c r="D2979" t="s">
        <v>2043</v>
      </c>
      <c r="F2979" s="21"/>
      <c r="G2979" s="16" t="str">
        <f>HYPERLINK("http://maps.google.com/maps?f=q&amp;hl=en&amp;geocode=&amp;q=35.5703557132749,-112.242703367583")</f>
        <v>http://maps.google.com/maps?f=q&amp;hl=en&amp;geocode=&amp;q=35.5703557132749,-112.242703367583</v>
      </c>
    </row>
    <row r="2980" spans="1:7" ht="15" x14ac:dyDescent="0.3">
      <c r="A2980">
        <v>26.631586571916301</v>
      </c>
      <c r="B2980">
        <v>-81.870256023008693</v>
      </c>
      <c r="C2980" t="s">
        <v>41</v>
      </c>
      <c r="D2980" t="s">
        <v>2044</v>
      </c>
      <c r="F2980" s="21"/>
      <c r="G2980" s="16" t="str">
        <f>HYPERLINK("http://maps.google.com/maps?f=q&amp;hl=en&amp;geocode=&amp;q=26.6315865719163,-81.8702560230087")</f>
        <v>http://maps.google.com/maps?f=q&amp;hl=en&amp;geocode=&amp;q=26.6315865719163,-81.8702560230087</v>
      </c>
    </row>
    <row r="2981" spans="1:7" ht="15" x14ac:dyDescent="0.3">
      <c r="A2981">
        <v>43.623171170947003</v>
      </c>
      <c r="B2981">
        <v>-82.921175461837905</v>
      </c>
      <c r="C2981" t="s">
        <v>41</v>
      </c>
      <c r="D2981" t="s">
        <v>2045</v>
      </c>
      <c r="F2981" s="21"/>
      <c r="G2981" s="16" t="str">
        <f>HYPERLINK("http://maps.google.com/maps?f=q&amp;hl=en&amp;geocode=&amp;q=43.623171170947,-82.9211754618379")</f>
        <v>http://maps.google.com/maps?f=q&amp;hl=en&amp;geocode=&amp;q=43.623171170947,-82.9211754618379</v>
      </c>
    </row>
    <row r="2982" spans="1:7" ht="15" x14ac:dyDescent="0.3">
      <c r="A2982">
        <v>39.302944973351401</v>
      </c>
      <c r="B2982">
        <v>-85.767415294934807</v>
      </c>
      <c r="C2982" t="s">
        <v>43</v>
      </c>
      <c r="D2982" t="s">
        <v>2046</v>
      </c>
      <c r="F2982" s="21"/>
      <c r="G2982" s="16" t="str">
        <f>HYPERLINK("http://maps.google.com/maps?f=q&amp;hl=en&amp;geocode=&amp;q=39.3029449733514,-85.7674152949348")</f>
        <v>http://maps.google.com/maps?f=q&amp;hl=en&amp;geocode=&amp;q=39.3029449733514,-85.7674152949348</v>
      </c>
    </row>
    <row r="2983" spans="1:7" ht="15" x14ac:dyDescent="0.3">
      <c r="A2983">
        <v>27.270293512274002</v>
      </c>
      <c r="B2983">
        <v>-80.276742795341406</v>
      </c>
      <c r="C2983" t="s">
        <v>41</v>
      </c>
      <c r="D2983" t="s">
        <v>2047</v>
      </c>
      <c r="F2983" s="21"/>
      <c r="G2983" s="16" t="str">
        <f>HYPERLINK("http://maps.google.com/maps?f=q&amp;hl=en&amp;geocode=&amp;q=27.270293512274,-80.2767427953414")</f>
        <v>http://maps.google.com/maps?f=q&amp;hl=en&amp;geocode=&amp;q=27.270293512274,-80.2767427953414</v>
      </c>
    </row>
    <row r="2984" spans="1:7" ht="15" x14ac:dyDescent="0.3">
      <c r="A2984">
        <v>27.270293512274002</v>
      </c>
      <c r="B2984">
        <v>-80.276742795341406</v>
      </c>
      <c r="C2984" t="s">
        <v>41</v>
      </c>
      <c r="D2984" t="s">
        <v>2047</v>
      </c>
      <c r="F2984" s="21"/>
      <c r="G2984" s="16" t="str">
        <f>HYPERLINK("http://maps.google.com/maps?f=q&amp;hl=en&amp;geocode=&amp;q=27.270293512274,-80.2767427953414")</f>
        <v>http://maps.google.com/maps?f=q&amp;hl=en&amp;geocode=&amp;q=27.270293512274,-80.2767427953414</v>
      </c>
    </row>
    <row r="2985" spans="1:7" ht="15" x14ac:dyDescent="0.3">
      <c r="A2985">
        <v>39.0928314631714</v>
      </c>
      <c r="B2985">
        <v>-89.394338122902795</v>
      </c>
      <c r="C2985" t="s">
        <v>41</v>
      </c>
      <c r="D2985" t="s">
        <v>2048</v>
      </c>
      <c r="F2985" s="21"/>
      <c r="G2985" s="16" t="str">
        <f>HYPERLINK("http://maps.google.com/maps?f=q&amp;hl=en&amp;geocode=&amp;q=39.0928314631714,-89.3943381229028")</f>
        <v>http://maps.google.com/maps?f=q&amp;hl=en&amp;geocode=&amp;q=39.0928314631714,-89.3943381229028</v>
      </c>
    </row>
    <row r="2986" spans="1:7" ht="15" x14ac:dyDescent="0.3">
      <c r="A2986">
        <v>33.690705325467697</v>
      </c>
      <c r="B2986">
        <v>-82.805230209567597</v>
      </c>
      <c r="C2986" t="s">
        <v>41</v>
      </c>
      <c r="D2986" t="s">
        <v>2049</v>
      </c>
      <c r="F2986" s="21"/>
      <c r="G2986" s="16" t="str">
        <f>HYPERLINK("http://maps.google.com/maps?f=q&amp;hl=en&amp;geocode=&amp;q=33.6907053254677,-82.8052302095676")</f>
        <v>http://maps.google.com/maps?f=q&amp;hl=en&amp;geocode=&amp;q=33.6907053254677,-82.8052302095676</v>
      </c>
    </row>
    <row r="2987" spans="1:7" ht="15" x14ac:dyDescent="0.3">
      <c r="A2987">
        <v>39.008125305175803</v>
      </c>
      <c r="B2987">
        <v>-75.467475891113295</v>
      </c>
      <c r="C2987" t="s">
        <v>41</v>
      </c>
      <c r="D2987" t="s">
        <v>2050</v>
      </c>
      <c r="F2987" s="21"/>
      <c r="G2987" s="16" t="str">
        <f>HYPERLINK("http://maps.google.com/maps?f=q&amp;hl=en&amp;geocode=&amp;q=39.0081253051758,-75.4674758911133")</f>
        <v>http://maps.google.com/maps?f=q&amp;hl=en&amp;geocode=&amp;q=39.0081253051758,-75.4674758911133</v>
      </c>
    </row>
    <row r="2988" spans="1:7" ht="15" x14ac:dyDescent="0.3">
      <c r="A2988">
        <v>54.781295776367202</v>
      </c>
      <c r="B2988">
        <v>11.962433815002401</v>
      </c>
      <c r="C2988" t="s">
        <v>41</v>
      </c>
      <c r="D2988" t="s">
        <v>2051</v>
      </c>
      <c r="F2988" s="21"/>
      <c r="G2988" s="16" t="str">
        <f>HYPERLINK("http://maps.google.com/maps?f=q&amp;hl=en&amp;geocode=&amp;q=54.7812957763672,11.9624338150024")</f>
        <v>http://maps.google.com/maps?f=q&amp;hl=en&amp;geocode=&amp;q=54.7812957763672,11.9624338150024</v>
      </c>
    </row>
    <row r="2989" spans="1:7" ht="15" x14ac:dyDescent="0.3">
      <c r="A2989">
        <v>43.528829999999999</v>
      </c>
      <c r="B2989">
        <v>-116.5654</v>
      </c>
      <c r="C2989" t="s">
        <v>42</v>
      </c>
      <c r="D2989" t="s">
        <v>2052</v>
      </c>
      <c r="F2989" s="21"/>
      <c r="G2989" s="16" t="str">
        <f>HYPERLINK("http://maps.google.com/maps?f=q&amp;hl=en&amp;geocode=&amp;q=43.52883,-116.5654")</f>
        <v>http://maps.google.com/maps?f=q&amp;hl=en&amp;geocode=&amp;q=43.52883,-116.5654</v>
      </c>
    </row>
    <row r="2990" spans="1:7" ht="15" x14ac:dyDescent="0.3">
      <c r="A2990">
        <v>41.153622051066698</v>
      </c>
      <c r="B2990">
        <v>-111.911943634571</v>
      </c>
      <c r="C2990" t="s">
        <v>41</v>
      </c>
      <c r="D2990" t="s">
        <v>592</v>
      </c>
      <c r="F2990" s="21"/>
      <c r="G2990" s="16" t="str">
        <f>HYPERLINK("http://maps.google.com/maps?f=q&amp;hl=en&amp;geocode=&amp;q=41.1536220510667,-111.911943634571")</f>
        <v>http://maps.google.com/maps?f=q&amp;hl=en&amp;geocode=&amp;q=41.1536220510667,-111.911943634571</v>
      </c>
    </row>
    <row r="2991" spans="1:7" ht="15" x14ac:dyDescent="0.3">
      <c r="A2991">
        <v>-35.360946655273402</v>
      </c>
      <c r="B2991">
        <v>140.87896728515599</v>
      </c>
      <c r="C2991" t="s">
        <v>41</v>
      </c>
      <c r="D2991" t="s">
        <v>2053</v>
      </c>
      <c r="F2991" s="21"/>
      <c r="G2991" s="16" t="str">
        <f>HYPERLINK("http://maps.google.com/maps?f=q&amp;hl=en&amp;geocode=&amp;q=-35.3609466552734,140.878967285156")</f>
        <v>http://maps.google.com/maps?f=q&amp;hl=en&amp;geocode=&amp;q=-35.3609466552734,140.878967285156</v>
      </c>
    </row>
    <row r="2992" spans="1:7" ht="15" x14ac:dyDescent="0.3">
      <c r="A2992">
        <v>36.085169999999998</v>
      </c>
      <c r="B2992">
        <v>-87.013120000000001</v>
      </c>
      <c r="C2992" t="s">
        <v>43</v>
      </c>
      <c r="D2992" t="s">
        <v>2054</v>
      </c>
      <c r="F2992" s="21"/>
      <c r="G2992" s="16" t="str">
        <f>HYPERLINK("http://maps.google.com/maps?f=q&amp;hl=en&amp;geocode=&amp;q=36.08517,-87.01312")</f>
        <v>http://maps.google.com/maps?f=q&amp;hl=en&amp;geocode=&amp;q=36.08517,-87.01312</v>
      </c>
    </row>
    <row r="2993" spans="1:7" ht="15" x14ac:dyDescent="0.3">
      <c r="A2993">
        <v>48.341358184814503</v>
      </c>
      <c r="B2993">
        <v>-100.952018737793</v>
      </c>
      <c r="C2993" t="s">
        <v>43</v>
      </c>
      <c r="D2993" t="s">
        <v>2055</v>
      </c>
      <c r="F2993" s="21"/>
      <c r="G2993" s="16" t="str">
        <f>HYPERLINK("http://maps.google.com/maps?f=q&amp;hl=en&amp;geocode=&amp;q=48.3413581848145,-100.952018737793")</f>
        <v>http://maps.google.com/maps?f=q&amp;hl=en&amp;geocode=&amp;q=48.3413581848145,-100.952018737793</v>
      </c>
    </row>
    <row r="2994" spans="1:7" ht="15" x14ac:dyDescent="0.3">
      <c r="A2994">
        <v>42.373187393100899</v>
      </c>
      <c r="B2994">
        <v>-87.862309837820504</v>
      </c>
      <c r="C2994" t="s">
        <v>41</v>
      </c>
      <c r="D2994" t="s">
        <v>2056</v>
      </c>
      <c r="F2994" s="21"/>
      <c r="G2994" s="16" t="str">
        <f>HYPERLINK("http://maps.google.com/maps?f=q&amp;hl=en&amp;geocode=&amp;q=42.3731873931009,-87.8623098378205")</f>
        <v>http://maps.google.com/maps?f=q&amp;hl=en&amp;geocode=&amp;q=42.3731873931009,-87.8623098378205</v>
      </c>
    </row>
    <row r="2995" spans="1:7" ht="15" x14ac:dyDescent="0.3">
      <c r="A2995">
        <v>50.81512</v>
      </c>
      <c r="B2995">
        <v>4.3746</v>
      </c>
      <c r="C2995" t="s">
        <v>41</v>
      </c>
      <c r="D2995" t="s">
        <v>2057</v>
      </c>
      <c r="F2995" s="21"/>
      <c r="G2995" s="16" t="str">
        <f>HYPERLINK("http://maps.google.com/maps?f=q&amp;hl=en&amp;geocode=&amp;q=50.81512,4.3746")</f>
        <v>http://maps.google.com/maps?f=q&amp;hl=en&amp;geocode=&amp;q=50.81512,4.3746</v>
      </c>
    </row>
    <row r="2996" spans="1:7" ht="15" x14ac:dyDescent="0.3">
      <c r="A2996">
        <v>39.994804167110402</v>
      </c>
      <c r="B2996">
        <v>-75.094444740971795</v>
      </c>
      <c r="C2996" t="s">
        <v>41</v>
      </c>
      <c r="D2996" t="s">
        <v>2058</v>
      </c>
      <c r="F2996" s="21"/>
      <c r="G2996" s="16" t="str">
        <f>HYPERLINK("http://maps.google.com/maps?f=q&amp;hl=en&amp;geocode=&amp;q=39.9948041671104,-75.0944447409718")</f>
        <v>http://maps.google.com/maps?f=q&amp;hl=en&amp;geocode=&amp;q=39.9948041671104,-75.0944447409718</v>
      </c>
    </row>
    <row r="2997" spans="1:7" ht="15" x14ac:dyDescent="0.3">
      <c r="A2997">
        <v>54.901432037353501</v>
      </c>
      <c r="B2997">
        <v>10.7508296966553</v>
      </c>
      <c r="C2997" t="s">
        <v>43</v>
      </c>
      <c r="D2997" t="s">
        <v>2059</v>
      </c>
      <c r="F2997" s="21"/>
      <c r="G2997" s="16" t="str">
        <f>HYPERLINK("http://maps.google.com/maps?f=q&amp;hl=en&amp;geocode=&amp;q=54.9014320373535,10.7508296966553")</f>
        <v>http://maps.google.com/maps?f=q&amp;hl=en&amp;geocode=&amp;q=54.9014320373535,10.7508296966553</v>
      </c>
    </row>
    <row r="2998" spans="1:7" ht="15" x14ac:dyDescent="0.3">
      <c r="A2998">
        <v>-27.495454788208001</v>
      </c>
      <c r="B2998">
        <v>151.798095703125</v>
      </c>
      <c r="C2998" t="s">
        <v>41</v>
      </c>
      <c r="D2998">
        <v>4400</v>
      </c>
      <c r="F2998" s="21"/>
      <c r="G2998" s="16" t="str">
        <f>HYPERLINK("http://maps.google.com/maps?f=q&amp;hl=en&amp;geocode=&amp;q=-27.495454788208,151.798095703125")</f>
        <v>http://maps.google.com/maps?f=q&amp;hl=en&amp;geocode=&amp;q=-27.495454788208,151.798095703125</v>
      </c>
    </row>
    <row r="2999" spans="1:7" ht="15" x14ac:dyDescent="0.3">
      <c r="A2999">
        <v>37.240623474121101</v>
      </c>
      <c r="B2999">
        <v>-82.900451660156307</v>
      </c>
      <c r="C2999" t="s">
        <v>43</v>
      </c>
      <c r="D2999" t="s">
        <v>2060</v>
      </c>
      <c r="F2999" s="21"/>
      <c r="G2999" s="16" t="str">
        <f>HYPERLINK("http://maps.google.com/maps?f=q&amp;hl=en&amp;geocode=&amp;q=37.2406234741211,-82.9004516601563")</f>
        <v>http://maps.google.com/maps?f=q&amp;hl=en&amp;geocode=&amp;q=37.2406234741211,-82.9004516601563</v>
      </c>
    </row>
    <row r="3000" spans="1:7" ht="15" x14ac:dyDescent="0.3">
      <c r="A3000">
        <v>-35.176499999999997</v>
      </c>
      <c r="B3000">
        <v>138.83448999999999</v>
      </c>
      <c r="C3000" t="s">
        <v>41</v>
      </c>
      <c r="D3000" t="s">
        <v>2061</v>
      </c>
      <c r="F3000" s="21"/>
      <c r="G3000" s="16" t="str">
        <f>HYPERLINK("http://maps.google.com/maps?f=q&amp;hl=en&amp;geocode=&amp;q=-35.1765,138.83449")</f>
        <v>http://maps.google.com/maps?f=q&amp;hl=en&amp;geocode=&amp;q=-35.1765,138.83449</v>
      </c>
    </row>
    <row r="3001" spans="1:7" ht="15" x14ac:dyDescent="0.3">
      <c r="A3001" t="s">
        <v>44</v>
      </c>
      <c r="B3001" t="s">
        <v>44</v>
      </c>
      <c r="C3001" t="s">
        <v>44</v>
      </c>
      <c r="D3001" t="s">
        <v>2062</v>
      </c>
      <c r="F3001" s="21"/>
      <c r="G3001" s="16"/>
    </row>
    <row r="3002" spans="1:7" ht="15" x14ac:dyDescent="0.3">
      <c r="A3002">
        <v>34.053489685058601</v>
      </c>
      <c r="B3002">
        <v>-118.245323181152</v>
      </c>
      <c r="C3002" t="s">
        <v>43</v>
      </c>
      <c r="D3002" t="s">
        <v>2063</v>
      </c>
      <c r="F3002" s="21"/>
      <c r="G3002" s="16" t="str">
        <f>HYPERLINK("http://maps.google.com/maps?f=q&amp;hl=en&amp;geocode=&amp;q=34.0534896850586,-118.245323181152")</f>
        <v>http://maps.google.com/maps?f=q&amp;hl=en&amp;geocode=&amp;q=34.0534896850586,-118.245323181152</v>
      </c>
    </row>
    <row r="3003" spans="1:7" ht="15" x14ac:dyDescent="0.3">
      <c r="A3003">
        <v>39.627360000000003</v>
      </c>
      <c r="B3003">
        <v>-84.155280000000005</v>
      </c>
      <c r="C3003" t="s">
        <v>41</v>
      </c>
      <c r="D3003" t="s">
        <v>2064</v>
      </c>
      <c r="F3003" s="21"/>
      <c r="G3003" s="16" t="str">
        <f>HYPERLINK("http://maps.google.com/maps?f=q&amp;hl=en&amp;geocode=&amp;q=39.62736,-84.15528")</f>
        <v>http://maps.google.com/maps?f=q&amp;hl=en&amp;geocode=&amp;q=39.62736,-84.15528</v>
      </c>
    </row>
    <row r="3004" spans="1:7" ht="15" x14ac:dyDescent="0.3">
      <c r="A3004">
        <v>39.948359748369803</v>
      </c>
      <c r="B3004">
        <v>-75.2397064042935</v>
      </c>
      <c r="C3004" t="s">
        <v>41</v>
      </c>
      <c r="D3004" t="s">
        <v>319</v>
      </c>
      <c r="F3004" s="21"/>
      <c r="G3004" s="16" t="str">
        <f>HYPERLINK("http://maps.google.com/maps?f=q&amp;hl=en&amp;geocode=&amp;q=39.9483597483698,-75.2397064042935")</f>
        <v>http://maps.google.com/maps?f=q&amp;hl=en&amp;geocode=&amp;q=39.9483597483698,-75.2397064042935</v>
      </c>
    </row>
    <row r="3005" spans="1:7" ht="15" x14ac:dyDescent="0.3">
      <c r="A3005">
        <v>47.411106109619098</v>
      </c>
      <c r="B3005">
        <v>13.218259811401399</v>
      </c>
      <c r="C3005" t="s">
        <v>43</v>
      </c>
      <c r="D3005" t="s">
        <v>2065</v>
      </c>
      <c r="F3005" s="21"/>
      <c r="G3005" s="16" t="str">
        <f>HYPERLINK("http://maps.google.com/maps?f=q&amp;hl=en&amp;geocode=&amp;q=47.4111061096191,13.2182598114014")</f>
        <v>http://maps.google.com/maps?f=q&amp;hl=en&amp;geocode=&amp;q=47.4111061096191,13.2182598114014</v>
      </c>
    </row>
    <row r="3006" spans="1:7" ht="15" x14ac:dyDescent="0.3">
      <c r="A3006">
        <v>63.321678161621101</v>
      </c>
      <c r="B3006">
        <v>12.539099693298301</v>
      </c>
      <c r="C3006" t="s">
        <v>43</v>
      </c>
      <c r="D3006" t="s">
        <v>2066</v>
      </c>
      <c r="F3006" s="21"/>
      <c r="G3006" s="16" t="str">
        <f>HYPERLINK("http://maps.google.com/maps?f=q&amp;hl=en&amp;geocode=&amp;q=63.3216781616211,12.5390996932983")</f>
        <v>http://maps.google.com/maps?f=q&amp;hl=en&amp;geocode=&amp;q=63.3216781616211,12.5390996932983</v>
      </c>
    </row>
    <row r="3007" spans="1:7" ht="15" x14ac:dyDescent="0.3">
      <c r="A3007">
        <v>32.990949999999998</v>
      </c>
      <c r="B3007">
        <v>-97.446380000000005</v>
      </c>
      <c r="C3007" t="s">
        <v>42</v>
      </c>
      <c r="D3007" t="s">
        <v>2067</v>
      </c>
      <c r="F3007" s="21"/>
      <c r="G3007" s="16" t="str">
        <f>HYPERLINK("http://maps.google.com/maps?f=q&amp;hl=en&amp;geocode=&amp;q=32.99095,-97.44638")</f>
        <v>http://maps.google.com/maps?f=q&amp;hl=en&amp;geocode=&amp;q=32.99095,-97.44638</v>
      </c>
    </row>
    <row r="3008" spans="1:7" ht="15" x14ac:dyDescent="0.3">
      <c r="A3008">
        <v>33.866190000000003</v>
      </c>
      <c r="B3008">
        <v>-78.623670000000004</v>
      </c>
      <c r="C3008" t="s">
        <v>43</v>
      </c>
      <c r="D3008" t="s">
        <v>2068</v>
      </c>
      <c r="F3008" s="21"/>
      <c r="G3008" s="16" t="str">
        <f>HYPERLINK("http://maps.google.com/maps?f=q&amp;hl=en&amp;geocode=&amp;q=33.86619,-78.62367")</f>
        <v>http://maps.google.com/maps?f=q&amp;hl=en&amp;geocode=&amp;q=33.86619,-78.62367</v>
      </c>
    </row>
    <row r="3009" spans="1:7" ht="15" x14ac:dyDescent="0.3">
      <c r="A3009">
        <v>35.694267272949197</v>
      </c>
      <c r="B3009">
        <v>139.41233825683599</v>
      </c>
      <c r="C3009" t="s">
        <v>43</v>
      </c>
      <c r="D3009" t="s">
        <v>2069</v>
      </c>
      <c r="F3009" s="21"/>
      <c r="G3009" s="16" t="str">
        <f>HYPERLINK("http://maps.google.com/maps?f=q&amp;hl=en&amp;geocode=&amp;q=35.6942672729492,139.412338256836")</f>
        <v>http://maps.google.com/maps?f=q&amp;hl=en&amp;geocode=&amp;q=35.6942672729492,139.412338256836</v>
      </c>
    </row>
    <row r="3010" spans="1:7" ht="15" x14ac:dyDescent="0.3">
      <c r="A3010">
        <v>49.265548706054702</v>
      </c>
      <c r="B3010">
        <v>0.87524998188018799</v>
      </c>
      <c r="C3010" t="s">
        <v>43</v>
      </c>
      <c r="D3010" t="s">
        <v>2070</v>
      </c>
      <c r="F3010" s="21"/>
      <c r="G3010" s="16" t="str">
        <f>HYPERLINK("http://maps.google.com/maps?f=q&amp;hl=en&amp;geocode=&amp;q=49.2655487060547,0.875249981880188")</f>
        <v>http://maps.google.com/maps?f=q&amp;hl=en&amp;geocode=&amp;q=49.2655487060547,0.875249981880188</v>
      </c>
    </row>
    <row r="3011" spans="1:7" ht="15" x14ac:dyDescent="0.3">
      <c r="A3011">
        <v>38.403678894042997</v>
      </c>
      <c r="B3011">
        <v>-7.5113649368286097</v>
      </c>
      <c r="C3011" t="s">
        <v>43</v>
      </c>
      <c r="D3011" t="s">
        <v>2071</v>
      </c>
      <c r="F3011" s="21"/>
      <c r="G3011" s="16" t="str">
        <f>HYPERLINK("http://maps.google.com/maps?f=q&amp;hl=en&amp;geocode=&amp;q=38.403678894043,-7.51136493682861")</f>
        <v>http://maps.google.com/maps?f=q&amp;hl=en&amp;geocode=&amp;q=38.403678894043,-7.51136493682861</v>
      </c>
    </row>
    <row r="3012" spans="1:7" ht="15" x14ac:dyDescent="0.3">
      <c r="A3012">
        <v>48.023200988769503</v>
      </c>
      <c r="B3012">
        <v>18.953281402587901</v>
      </c>
      <c r="C3012" t="s">
        <v>41</v>
      </c>
      <c r="D3012" t="s">
        <v>2072</v>
      </c>
      <c r="F3012" s="21"/>
      <c r="G3012" s="16" t="str">
        <f>HYPERLINK("http://maps.google.com/maps?f=q&amp;hl=en&amp;geocode=&amp;q=48.0232009887695,18.9532814025879")</f>
        <v>http://maps.google.com/maps?f=q&amp;hl=en&amp;geocode=&amp;q=48.0232009887695,18.9532814025879</v>
      </c>
    </row>
    <row r="3013" spans="1:7" ht="15" x14ac:dyDescent="0.3">
      <c r="A3013">
        <v>41.544265390400199</v>
      </c>
      <c r="B3013">
        <v>-83.858599856437493</v>
      </c>
      <c r="C3013" t="s">
        <v>41</v>
      </c>
      <c r="D3013" t="s">
        <v>2073</v>
      </c>
      <c r="F3013" s="21"/>
      <c r="G3013" s="16" t="str">
        <f>HYPERLINK("http://maps.google.com/maps?f=q&amp;hl=en&amp;geocode=&amp;q=41.5442653904002,-83.8585998564375")</f>
        <v>http://maps.google.com/maps?f=q&amp;hl=en&amp;geocode=&amp;q=41.5442653904002,-83.8585998564375</v>
      </c>
    </row>
    <row r="3014" spans="1:7" ht="15" x14ac:dyDescent="0.3">
      <c r="A3014" t="s">
        <v>44</v>
      </c>
      <c r="B3014" t="s">
        <v>44</v>
      </c>
      <c r="C3014" t="s">
        <v>44</v>
      </c>
      <c r="D3014" t="s">
        <v>1004</v>
      </c>
      <c r="F3014" s="21"/>
      <c r="G3014" s="16"/>
    </row>
    <row r="3015" spans="1:7" ht="15" x14ac:dyDescent="0.3">
      <c r="A3015">
        <v>40.841453083040598</v>
      </c>
      <c r="B3015">
        <v>-74.196758665050595</v>
      </c>
      <c r="C3015" t="s">
        <v>41</v>
      </c>
      <c r="D3015" t="s">
        <v>2074</v>
      </c>
      <c r="F3015" s="21"/>
      <c r="G3015" s="16" t="str">
        <f>HYPERLINK("http://maps.google.com/maps?f=q&amp;hl=en&amp;geocode=&amp;q=40.8414530830406,-74.1967586650506")</f>
        <v>http://maps.google.com/maps?f=q&amp;hl=en&amp;geocode=&amp;q=40.8414530830406,-74.1967586650506</v>
      </c>
    </row>
    <row r="3016" spans="1:7" ht="15" x14ac:dyDescent="0.3">
      <c r="A3016" t="s">
        <v>44</v>
      </c>
      <c r="B3016" t="s">
        <v>44</v>
      </c>
      <c r="C3016" t="s">
        <v>44</v>
      </c>
      <c r="D3016" t="s">
        <v>981</v>
      </c>
      <c r="F3016" s="21"/>
      <c r="G3016" s="16"/>
    </row>
    <row r="3017" spans="1:7" ht="15" x14ac:dyDescent="0.3">
      <c r="A3017">
        <v>41.0684994310325</v>
      </c>
      <c r="B3017">
        <v>-81.252542115577796</v>
      </c>
      <c r="C3017" t="s">
        <v>41</v>
      </c>
      <c r="D3017" t="s">
        <v>2075</v>
      </c>
      <c r="F3017" s="21"/>
      <c r="G3017" s="16" t="str">
        <f>HYPERLINK("http://maps.google.com/maps?f=q&amp;hl=en&amp;geocode=&amp;q=41.0684994310325,-81.2525421155778")</f>
        <v>http://maps.google.com/maps?f=q&amp;hl=en&amp;geocode=&amp;q=41.0684994310325,-81.2525421155778</v>
      </c>
    </row>
    <row r="3018" spans="1:7" ht="15" x14ac:dyDescent="0.3">
      <c r="A3018">
        <v>41.073617878881599</v>
      </c>
      <c r="B3018">
        <v>-81.248220167043002</v>
      </c>
      <c r="C3018" t="s">
        <v>41</v>
      </c>
      <c r="D3018" t="s">
        <v>404</v>
      </c>
      <c r="F3018" s="21"/>
      <c r="G3018" s="16" t="str">
        <f>HYPERLINK("http://maps.google.com/maps?f=q&amp;hl=en&amp;geocode=&amp;q=41.0736178788816,-81.248220167043")</f>
        <v>http://maps.google.com/maps?f=q&amp;hl=en&amp;geocode=&amp;q=41.0736178788816,-81.248220167043</v>
      </c>
    </row>
    <row r="3019" spans="1:7" ht="15" x14ac:dyDescent="0.3">
      <c r="A3019">
        <v>44.641788482666001</v>
      </c>
      <c r="B3019">
        <v>-89.736740112304702</v>
      </c>
      <c r="C3019" t="s">
        <v>41</v>
      </c>
      <c r="D3019" t="s">
        <v>1353</v>
      </c>
      <c r="F3019" s="21"/>
      <c r="G3019" s="16" t="str">
        <f>HYPERLINK("http://maps.google.com/maps?f=q&amp;hl=en&amp;geocode=&amp;q=44.641788482666,-89.7367401123047")</f>
        <v>http://maps.google.com/maps?f=q&amp;hl=en&amp;geocode=&amp;q=44.641788482666,-89.7367401123047</v>
      </c>
    </row>
    <row r="3020" spans="1:7" ht="15" x14ac:dyDescent="0.3">
      <c r="A3020">
        <v>48.532464556924403</v>
      </c>
      <c r="B3020">
        <v>-107.28696674996</v>
      </c>
      <c r="C3020" t="s">
        <v>41</v>
      </c>
      <c r="D3020" t="s">
        <v>2076</v>
      </c>
      <c r="F3020" s="21"/>
      <c r="G3020" s="16" t="str">
        <f>HYPERLINK("http://maps.google.com/maps?f=q&amp;hl=en&amp;geocode=&amp;q=48.5324645569244,-107.28696674996")</f>
        <v>http://maps.google.com/maps?f=q&amp;hl=en&amp;geocode=&amp;q=48.5324645569244,-107.28696674996</v>
      </c>
    </row>
    <row r="3021" spans="1:7" ht="15" x14ac:dyDescent="0.3">
      <c r="A3021">
        <v>48.532464556924403</v>
      </c>
      <c r="B3021">
        <v>-107.28696674996</v>
      </c>
      <c r="C3021" t="s">
        <v>41</v>
      </c>
      <c r="D3021" t="s">
        <v>2076</v>
      </c>
      <c r="F3021" s="21"/>
      <c r="G3021" s="16" t="str">
        <f>HYPERLINK("http://maps.google.com/maps?f=q&amp;hl=en&amp;geocode=&amp;q=48.5324645569244,-107.28696674996")</f>
        <v>http://maps.google.com/maps?f=q&amp;hl=en&amp;geocode=&amp;q=48.5324645569244,-107.28696674996</v>
      </c>
    </row>
    <row r="3022" spans="1:7" ht="15" x14ac:dyDescent="0.3">
      <c r="A3022">
        <v>48.532464556924403</v>
      </c>
      <c r="B3022">
        <v>-107.28696674996</v>
      </c>
      <c r="C3022" t="s">
        <v>41</v>
      </c>
      <c r="D3022" t="s">
        <v>2076</v>
      </c>
      <c r="F3022" s="21"/>
      <c r="G3022" s="16" t="str">
        <f>HYPERLINK("http://maps.google.com/maps?f=q&amp;hl=en&amp;geocode=&amp;q=48.5324645569244,-107.28696674996")</f>
        <v>http://maps.google.com/maps?f=q&amp;hl=en&amp;geocode=&amp;q=48.5324645569244,-107.28696674996</v>
      </c>
    </row>
    <row r="3023" spans="1:7" ht="15" x14ac:dyDescent="0.3">
      <c r="A3023">
        <v>48.532464556924403</v>
      </c>
      <c r="B3023">
        <v>-107.28696674996</v>
      </c>
      <c r="C3023" t="s">
        <v>41</v>
      </c>
      <c r="D3023" t="s">
        <v>2076</v>
      </c>
      <c r="F3023" s="21"/>
      <c r="G3023" s="16" t="str">
        <f>HYPERLINK("http://maps.google.com/maps?f=q&amp;hl=en&amp;geocode=&amp;q=48.5324645569244,-107.28696674996")</f>
        <v>http://maps.google.com/maps?f=q&amp;hl=en&amp;geocode=&amp;q=48.5324645569244,-107.28696674996</v>
      </c>
    </row>
    <row r="3024" spans="1:7" ht="15" x14ac:dyDescent="0.3">
      <c r="A3024">
        <v>38.887286695733899</v>
      </c>
      <c r="B3024">
        <v>-76.925467935584905</v>
      </c>
      <c r="C3024" t="s">
        <v>43</v>
      </c>
      <c r="D3024" t="s">
        <v>2077</v>
      </c>
      <c r="F3024" s="21"/>
      <c r="G3024" s="16" t="str">
        <f>HYPERLINK("http://maps.google.com/maps?f=q&amp;hl=en&amp;geocode=&amp;q=38.8872866957339,-76.9254679355849")</f>
        <v>http://maps.google.com/maps?f=q&amp;hl=en&amp;geocode=&amp;q=38.8872866957339,-76.9254679355849</v>
      </c>
    </row>
    <row r="3025" spans="1:7" ht="15" x14ac:dyDescent="0.3">
      <c r="A3025">
        <v>-37.742954254150398</v>
      </c>
      <c r="B3025">
        <v>144.80043029785199</v>
      </c>
      <c r="C3025" t="s">
        <v>41</v>
      </c>
      <c r="D3025" t="s">
        <v>2078</v>
      </c>
      <c r="F3025" s="21"/>
      <c r="G3025" s="16" t="str">
        <f>HYPERLINK("http://maps.google.com/maps?f=q&amp;hl=en&amp;geocode=&amp;q=-37.7429542541504,144.800430297852")</f>
        <v>http://maps.google.com/maps?f=q&amp;hl=en&amp;geocode=&amp;q=-37.7429542541504,144.800430297852</v>
      </c>
    </row>
    <row r="3026" spans="1:7" ht="15" x14ac:dyDescent="0.3">
      <c r="A3026">
        <v>32.306834365939302</v>
      </c>
      <c r="B3026">
        <v>-84.785814057968295</v>
      </c>
      <c r="C3026" t="s">
        <v>41</v>
      </c>
      <c r="D3026" t="s">
        <v>367</v>
      </c>
      <c r="F3026" s="21"/>
      <c r="G3026" s="16" t="str">
        <f>HYPERLINK("http://maps.google.com/maps?f=q&amp;hl=en&amp;geocode=&amp;q=32.3068343659393,-84.7858140579683")</f>
        <v>http://maps.google.com/maps?f=q&amp;hl=en&amp;geocode=&amp;q=32.3068343659393,-84.7858140579683</v>
      </c>
    </row>
    <row r="3027" spans="1:7" ht="15" x14ac:dyDescent="0.3">
      <c r="A3027">
        <v>43.952244623329698</v>
      </c>
      <c r="B3027">
        <v>-85.652331312533306</v>
      </c>
      <c r="C3027" t="s">
        <v>43</v>
      </c>
      <c r="D3027" t="s">
        <v>1642</v>
      </c>
      <c r="F3027" s="21"/>
      <c r="G3027" s="16" t="str">
        <f>HYPERLINK("http://maps.google.com/maps?f=q&amp;hl=en&amp;geocode=&amp;q=43.9522446233297,-85.6523313125333")</f>
        <v>http://maps.google.com/maps?f=q&amp;hl=en&amp;geocode=&amp;q=43.9522446233297,-85.6523313125333</v>
      </c>
    </row>
    <row r="3028" spans="1:7" ht="15" x14ac:dyDescent="0.3">
      <c r="A3028">
        <v>43.951902041685301</v>
      </c>
      <c r="B3028">
        <v>-85.6523282676972</v>
      </c>
      <c r="C3028" t="s">
        <v>43</v>
      </c>
      <c r="D3028" t="s">
        <v>2079</v>
      </c>
      <c r="F3028" s="21"/>
      <c r="G3028" s="16" t="str">
        <f>HYPERLINK("http://maps.google.com/maps?f=q&amp;hl=en&amp;geocode=&amp;q=43.9519020416853,-85.6523282676972")</f>
        <v>http://maps.google.com/maps?f=q&amp;hl=en&amp;geocode=&amp;q=43.9519020416853,-85.6523282676972</v>
      </c>
    </row>
    <row r="3029" spans="1:7" ht="15" x14ac:dyDescent="0.3">
      <c r="A3029">
        <v>30.013597252129799</v>
      </c>
      <c r="B3029">
        <v>-90.178112333309699</v>
      </c>
      <c r="C3029" t="s">
        <v>41</v>
      </c>
      <c r="D3029" t="s">
        <v>176</v>
      </c>
      <c r="F3029" s="21"/>
      <c r="G3029" s="16" t="str">
        <f>HYPERLINK("http://maps.google.com/maps?f=q&amp;hl=en&amp;geocode=&amp;q=30.0135972521298,-90.1781123333097")</f>
        <v>http://maps.google.com/maps?f=q&amp;hl=en&amp;geocode=&amp;q=30.0135972521298,-90.1781123333097</v>
      </c>
    </row>
    <row r="3030" spans="1:7" ht="15" x14ac:dyDescent="0.3">
      <c r="A3030">
        <v>40.008872544716098</v>
      </c>
      <c r="B3030">
        <v>-75.099149544148503</v>
      </c>
      <c r="C3030" t="s">
        <v>41</v>
      </c>
      <c r="D3030" t="s">
        <v>2080</v>
      </c>
      <c r="F3030" s="21"/>
      <c r="G3030" s="16" t="str">
        <f>HYPERLINK("http://maps.google.com/maps?f=q&amp;hl=en&amp;geocode=&amp;q=40.0088725447161,-75.0991495441485")</f>
        <v>http://maps.google.com/maps?f=q&amp;hl=en&amp;geocode=&amp;q=40.0088725447161,-75.0991495441485</v>
      </c>
    </row>
    <row r="3031" spans="1:7" ht="15" x14ac:dyDescent="0.3">
      <c r="A3031">
        <v>39.971670000000003</v>
      </c>
      <c r="B3031">
        <v>-75.237740000000002</v>
      </c>
      <c r="C3031" t="s">
        <v>42</v>
      </c>
      <c r="D3031" t="s">
        <v>2081</v>
      </c>
      <c r="F3031" s="21"/>
      <c r="G3031" s="16" t="str">
        <f>HYPERLINK("http://maps.google.com/maps?f=q&amp;hl=en&amp;geocode=&amp;q=39.97167,-75.23774")</f>
        <v>http://maps.google.com/maps?f=q&amp;hl=en&amp;geocode=&amp;q=39.97167,-75.23774</v>
      </c>
    </row>
    <row r="3032" spans="1:7" ht="15" x14ac:dyDescent="0.3">
      <c r="A3032">
        <v>40.130405224579597</v>
      </c>
      <c r="B3032">
        <v>-111.57063245152</v>
      </c>
      <c r="C3032" t="s">
        <v>43</v>
      </c>
      <c r="D3032" t="s">
        <v>2082</v>
      </c>
      <c r="F3032" s="21"/>
      <c r="G3032" s="16" t="str">
        <f>HYPERLINK("http://maps.google.com/maps?f=q&amp;hl=en&amp;geocode=&amp;q=40.1304052245796,-111.57063245152")</f>
        <v>http://maps.google.com/maps?f=q&amp;hl=en&amp;geocode=&amp;q=40.1304052245796,-111.57063245152</v>
      </c>
    </row>
    <row r="3033" spans="1:7" ht="15" x14ac:dyDescent="0.3">
      <c r="A3033">
        <v>39.795592808581702</v>
      </c>
      <c r="B3033">
        <v>-75.577417085209703</v>
      </c>
      <c r="C3033" t="s">
        <v>41</v>
      </c>
      <c r="D3033" t="s">
        <v>2083</v>
      </c>
      <c r="F3033" s="21"/>
      <c r="G3033" s="16" t="str">
        <f>HYPERLINK("http://maps.google.com/maps?f=q&amp;hl=en&amp;geocode=&amp;q=39.7955928085817,-75.5774170852097")</f>
        <v>http://maps.google.com/maps?f=q&amp;hl=en&amp;geocode=&amp;q=39.7955928085817,-75.5774170852097</v>
      </c>
    </row>
    <row r="3034" spans="1:7" ht="15" x14ac:dyDescent="0.3">
      <c r="A3034">
        <v>42.275947570800803</v>
      </c>
      <c r="B3034">
        <v>-85.567756652832003</v>
      </c>
      <c r="C3034" t="s">
        <v>41</v>
      </c>
      <c r="D3034" t="s">
        <v>2084</v>
      </c>
      <c r="F3034" s="21"/>
      <c r="G3034" s="16" t="str">
        <f>HYPERLINK("http://maps.google.com/maps?f=q&amp;hl=en&amp;geocode=&amp;q=42.2759475708008,-85.567756652832")</f>
        <v>http://maps.google.com/maps?f=q&amp;hl=en&amp;geocode=&amp;q=42.2759475708008,-85.567756652832</v>
      </c>
    </row>
    <row r="3035" spans="1:7" ht="15" x14ac:dyDescent="0.3">
      <c r="A3035">
        <v>40.280343137265596</v>
      </c>
      <c r="B3035">
        <v>-111.639331025869</v>
      </c>
      <c r="C3035" t="s">
        <v>41</v>
      </c>
      <c r="D3035" t="s">
        <v>2085</v>
      </c>
      <c r="F3035" s="21"/>
      <c r="G3035" s="16" t="str">
        <f>HYPERLINK("http://maps.google.com/maps?f=q&amp;hl=en&amp;geocode=&amp;q=40.2803431372656,-111.639331025869")</f>
        <v>http://maps.google.com/maps?f=q&amp;hl=en&amp;geocode=&amp;q=40.2803431372656,-111.639331025869</v>
      </c>
    </row>
    <row r="3036" spans="1:7" ht="15" x14ac:dyDescent="0.3">
      <c r="A3036">
        <v>40.288955655937599</v>
      </c>
      <c r="B3036">
        <v>-74.588386185819303</v>
      </c>
      <c r="C3036" t="s">
        <v>41</v>
      </c>
      <c r="D3036" t="s">
        <v>2086</v>
      </c>
      <c r="F3036" s="21"/>
      <c r="G3036" s="16" t="str">
        <f>HYPERLINK("http://maps.google.com/maps?f=q&amp;hl=en&amp;geocode=&amp;q=40.2889556559376,-74.5883861858193")</f>
        <v>http://maps.google.com/maps?f=q&amp;hl=en&amp;geocode=&amp;q=40.2889556559376,-74.5883861858193</v>
      </c>
    </row>
    <row r="3037" spans="1:7" ht="15" x14ac:dyDescent="0.3">
      <c r="A3037">
        <v>38.181660000000001</v>
      </c>
      <c r="B3037">
        <v>-99.114000000000004</v>
      </c>
      <c r="C3037" t="s">
        <v>43</v>
      </c>
      <c r="D3037" t="s">
        <v>2087</v>
      </c>
      <c r="F3037" s="21"/>
      <c r="G3037" s="16" t="str">
        <f>HYPERLINK("http://maps.google.com/maps?f=q&amp;hl=en&amp;geocode=&amp;q=38.18166,-99.114")</f>
        <v>http://maps.google.com/maps?f=q&amp;hl=en&amp;geocode=&amp;q=38.18166,-99.114</v>
      </c>
    </row>
    <row r="3038" spans="1:7" ht="15" x14ac:dyDescent="0.3">
      <c r="A3038">
        <v>40.037979125976598</v>
      </c>
      <c r="B3038">
        <v>-75.223060607910199</v>
      </c>
      <c r="C3038" t="s">
        <v>41</v>
      </c>
      <c r="D3038" t="s">
        <v>590</v>
      </c>
      <c r="F3038" s="21"/>
      <c r="G3038" s="16" t="str">
        <f>HYPERLINK("http://maps.google.com/maps?f=q&amp;hl=en&amp;geocode=&amp;q=40.0379791259766,-75.2230606079102")</f>
        <v>http://maps.google.com/maps?f=q&amp;hl=en&amp;geocode=&amp;q=40.0379791259766,-75.2230606079102</v>
      </c>
    </row>
    <row r="3039" spans="1:7" ht="15" x14ac:dyDescent="0.3">
      <c r="A3039">
        <v>40.309431037145899</v>
      </c>
      <c r="B3039">
        <v>-78.318906932637205</v>
      </c>
      <c r="C3039" t="s">
        <v>41</v>
      </c>
      <c r="D3039" t="s">
        <v>2088</v>
      </c>
      <c r="F3039" s="21"/>
      <c r="G3039" s="16" t="str">
        <f>HYPERLINK("http://maps.google.com/maps?f=q&amp;hl=en&amp;geocode=&amp;q=40.3094310371459,-78.3189069326372")</f>
        <v>http://maps.google.com/maps?f=q&amp;hl=en&amp;geocode=&amp;q=40.3094310371459,-78.3189069326372</v>
      </c>
    </row>
    <row r="3040" spans="1:7" ht="15" x14ac:dyDescent="0.3">
      <c r="A3040">
        <v>40.309427654542702</v>
      </c>
      <c r="B3040">
        <v>-78.318889223535194</v>
      </c>
      <c r="C3040" t="s">
        <v>41</v>
      </c>
      <c r="D3040" t="s">
        <v>674</v>
      </c>
      <c r="F3040" s="21"/>
      <c r="G3040" s="16" t="str">
        <f>HYPERLINK("http://maps.google.com/maps?f=q&amp;hl=en&amp;geocode=&amp;q=40.3094276545427,-78.3188892235352")</f>
        <v>http://maps.google.com/maps?f=q&amp;hl=en&amp;geocode=&amp;q=40.3094276545427,-78.3188892235352</v>
      </c>
    </row>
    <row r="3041" spans="1:7" ht="15" x14ac:dyDescent="0.3">
      <c r="A3041">
        <v>42.997422656800801</v>
      </c>
      <c r="B3041">
        <v>-95.623939346082395</v>
      </c>
      <c r="C3041" t="s">
        <v>41</v>
      </c>
      <c r="D3041" t="s">
        <v>71</v>
      </c>
      <c r="F3041" s="21"/>
      <c r="G3041" s="16" t="str">
        <f>HYPERLINK("http://maps.google.com/maps?f=q&amp;hl=en&amp;geocode=&amp;q=42.9974226568008,-95.6239393460824")</f>
        <v>http://maps.google.com/maps?f=q&amp;hl=en&amp;geocode=&amp;q=42.9974226568008,-95.6239393460824</v>
      </c>
    </row>
    <row r="3042" spans="1:7" ht="15" x14ac:dyDescent="0.3">
      <c r="A3042">
        <v>33.593525385079602</v>
      </c>
      <c r="B3042">
        <v>-84.233393162309298</v>
      </c>
      <c r="C3042" t="s">
        <v>41</v>
      </c>
      <c r="D3042" t="s">
        <v>564</v>
      </c>
      <c r="F3042" s="21"/>
      <c r="G3042" s="16" t="str">
        <f>HYPERLINK("http://maps.google.com/maps?f=q&amp;hl=en&amp;geocode=&amp;q=33.5935253850796,-84.2333931623093")</f>
        <v>http://maps.google.com/maps?f=q&amp;hl=en&amp;geocode=&amp;q=33.5935253850796,-84.2333931623093</v>
      </c>
    </row>
    <row r="3043" spans="1:7" ht="15" x14ac:dyDescent="0.3">
      <c r="A3043">
        <v>40.548250000000003</v>
      </c>
      <c r="B3043">
        <v>-76.382840000000002</v>
      </c>
      <c r="C3043" t="s">
        <v>41</v>
      </c>
      <c r="D3043" t="s">
        <v>1057</v>
      </c>
      <c r="F3043" s="21"/>
      <c r="G3043" s="16" t="str">
        <f>HYPERLINK("http://maps.google.com/maps?f=q&amp;hl=en&amp;geocode=&amp;q=40.54825,-76.38284")</f>
        <v>http://maps.google.com/maps?f=q&amp;hl=en&amp;geocode=&amp;q=40.54825,-76.38284</v>
      </c>
    </row>
    <row r="3044" spans="1:7" ht="15" x14ac:dyDescent="0.3">
      <c r="A3044">
        <v>44.813098907470703</v>
      </c>
      <c r="B3044">
        <v>20.463260650634801</v>
      </c>
      <c r="C3044" t="s">
        <v>43</v>
      </c>
      <c r="D3044" t="s">
        <v>2089</v>
      </c>
      <c r="F3044" s="21"/>
      <c r="G3044" s="16" t="str">
        <f>HYPERLINK("http://maps.google.com/maps?f=q&amp;hl=en&amp;geocode=&amp;q=44.8130989074707,20.4632606506348")</f>
        <v>http://maps.google.com/maps?f=q&amp;hl=en&amp;geocode=&amp;q=44.8130989074707,20.4632606506348</v>
      </c>
    </row>
    <row r="3045" spans="1:7" ht="15" x14ac:dyDescent="0.3">
      <c r="A3045">
        <v>39.691450700147897</v>
      </c>
      <c r="B3045">
        <v>-86.261624234364206</v>
      </c>
      <c r="C3045" t="s">
        <v>41</v>
      </c>
      <c r="D3045" t="s">
        <v>2090</v>
      </c>
      <c r="F3045" s="21"/>
      <c r="G3045" s="16" t="str">
        <f>HYPERLINK("http://maps.google.com/maps?f=q&amp;hl=en&amp;geocode=&amp;q=39.6914507001479,-86.2616242343642")</f>
        <v>http://maps.google.com/maps?f=q&amp;hl=en&amp;geocode=&amp;q=39.6914507001479,-86.2616242343642</v>
      </c>
    </row>
    <row r="3046" spans="1:7" ht="15" x14ac:dyDescent="0.3">
      <c r="A3046">
        <v>40.046480000000003</v>
      </c>
      <c r="B3046">
        <v>-75.220389999999995</v>
      </c>
      <c r="C3046" t="s">
        <v>41</v>
      </c>
      <c r="D3046" t="s">
        <v>2091</v>
      </c>
      <c r="F3046" s="21"/>
      <c r="G3046" s="16" t="str">
        <f>HYPERLINK("http://maps.google.com/maps?f=q&amp;hl=en&amp;geocode=&amp;q=40.04648,-75.22039")</f>
        <v>http://maps.google.com/maps?f=q&amp;hl=en&amp;geocode=&amp;q=40.04648,-75.22039</v>
      </c>
    </row>
    <row r="3047" spans="1:7" ht="15" x14ac:dyDescent="0.3">
      <c r="A3047">
        <v>32.755537913045103</v>
      </c>
      <c r="B3047">
        <v>-117.09698060321</v>
      </c>
      <c r="C3047" t="s">
        <v>43</v>
      </c>
      <c r="D3047" t="s">
        <v>2092</v>
      </c>
      <c r="F3047" s="21"/>
      <c r="G3047" s="16" t="str">
        <f>HYPERLINK("http://maps.google.com/maps?f=q&amp;hl=en&amp;geocode=&amp;q=32.7555379130451,-117.09698060321")</f>
        <v>http://maps.google.com/maps?f=q&amp;hl=en&amp;geocode=&amp;q=32.7555379130451,-117.09698060321</v>
      </c>
    </row>
    <row r="3048" spans="1:7" ht="15" x14ac:dyDescent="0.3">
      <c r="A3048">
        <v>39.804832409985401</v>
      </c>
      <c r="B3048">
        <v>-75.158123259429999</v>
      </c>
      <c r="C3048" t="s">
        <v>43</v>
      </c>
      <c r="D3048" t="s">
        <v>2093</v>
      </c>
      <c r="F3048" s="21"/>
      <c r="G3048" s="16" t="str">
        <f>HYPERLINK("http://maps.google.com/maps?f=q&amp;hl=en&amp;geocode=&amp;q=39.8048324099854,-75.15812325943")</f>
        <v>http://maps.google.com/maps?f=q&amp;hl=en&amp;geocode=&amp;q=39.8048324099854,-75.15812325943</v>
      </c>
    </row>
    <row r="3049" spans="1:7" ht="15" x14ac:dyDescent="0.3">
      <c r="A3049">
        <v>39.992872103540499</v>
      </c>
      <c r="B3049">
        <v>-75.119624381858401</v>
      </c>
      <c r="C3049" t="s">
        <v>41</v>
      </c>
      <c r="D3049" t="s">
        <v>2094</v>
      </c>
      <c r="F3049" s="21"/>
      <c r="G3049" s="16" t="str">
        <f>HYPERLINK("http://maps.google.com/maps?f=q&amp;hl=en&amp;geocode=&amp;q=39.9928721035405,-75.1196243818584")</f>
        <v>http://maps.google.com/maps?f=q&amp;hl=en&amp;geocode=&amp;q=39.9928721035405,-75.1196243818584</v>
      </c>
    </row>
    <row r="3050" spans="1:7" ht="15" x14ac:dyDescent="0.3">
      <c r="A3050">
        <v>39.9259250263936</v>
      </c>
      <c r="B3050">
        <v>-75.228034146946598</v>
      </c>
      <c r="C3050" t="s">
        <v>43</v>
      </c>
      <c r="D3050" t="s">
        <v>2095</v>
      </c>
      <c r="F3050" s="21"/>
      <c r="G3050" s="16" t="str">
        <f>HYPERLINK("http://maps.google.com/maps?f=q&amp;hl=en&amp;geocode=&amp;q=39.9259250263936,-75.2280341469466")</f>
        <v>http://maps.google.com/maps?f=q&amp;hl=en&amp;geocode=&amp;q=39.9259250263936,-75.2280341469466</v>
      </c>
    </row>
    <row r="3051" spans="1:7" ht="15" x14ac:dyDescent="0.3">
      <c r="A3051">
        <v>39.9444145410652</v>
      </c>
      <c r="B3051">
        <v>-75.228753068017994</v>
      </c>
      <c r="C3051" t="s">
        <v>41</v>
      </c>
      <c r="D3051" t="s">
        <v>162</v>
      </c>
      <c r="F3051" s="21"/>
      <c r="G3051" s="16" t="str">
        <f>HYPERLINK("http://maps.google.com/maps?f=q&amp;hl=en&amp;geocode=&amp;q=39.9444145410652,-75.228753068018")</f>
        <v>http://maps.google.com/maps?f=q&amp;hl=en&amp;geocode=&amp;q=39.9444145410652,-75.228753068018</v>
      </c>
    </row>
    <row r="3052" spans="1:7" ht="15" x14ac:dyDescent="0.3">
      <c r="A3052" t="s">
        <v>44</v>
      </c>
      <c r="B3052" t="s">
        <v>44</v>
      </c>
      <c r="C3052" t="s">
        <v>44</v>
      </c>
      <c r="D3052" t="s">
        <v>2096</v>
      </c>
      <c r="F3052" s="21"/>
      <c r="G3052" s="16"/>
    </row>
    <row r="3053" spans="1:7" ht="15" x14ac:dyDescent="0.3">
      <c r="A3053">
        <v>-36.884181976318402</v>
      </c>
      <c r="B3053">
        <v>147.82412719726599</v>
      </c>
      <c r="C3053" t="s">
        <v>43</v>
      </c>
      <c r="D3053" t="s">
        <v>2097</v>
      </c>
      <c r="F3053" s="21"/>
      <c r="G3053" s="16" t="str">
        <f>HYPERLINK("http://maps.google.com/maps?f=q&amp;hl=en&amp;geocode=&amp;q=-36.8841819763184,147.824127197266")</f>
        <v>http://maps.google.com/maps?f=q&amp;hl=en&amp;geocode=&amp;q=-36.8841819763184,147.824127197266</v>
      </c>
    </row>
    <row r="3054" spans="1:7" ht="15" x14ac:dyDescent="0.3">
      <c r="A3054">
        <v>-36.884181976318402</v>
      </c>
      <c r="B3054">
        <v>147.82412719726599</v>
      </c>
      <c r="C3054" t="s">
        <v>43</v>
      </c>
      <c r="D3054" t="s">
        <v>2098</v>
      </c>
      <c r="F3054" s="21"/>
      <c r="G3054" s="16" t="str">
        <f>HYPERLINK("http://maps.google.com/maps?f=q&amp;hl=en&amp;geocode=&amp;q=-36.8841819763184,147.824127197266")</f>
        <v>http://maps.google.com/maps?f=q&amp;hl=en&amp;geocode=&amp;q=-36.8841819763184,147.824127197266</v>
      </c>
    </row>
    <row r="3055" spans="1:7" ht="15" x14ac:dyDescent="0.3">
      <c r="A3055">
        <v>55.25911</v>
      </c>
      <c r="B3055">
        <v>11.59831</v>
      </c>
      <c r="C3055" t="s">
        <v>41</v>
      </c>
      <c r="D3055" t="s">
        <v>2080</v>
      </c>
      <c r="F3055" s="21"/>
      <c r="G3055" s="16" t="str">
        <f>HYPERLINK("http://maps.google.com/maps?f=q&amp;hl=en&amp;geocode=&amp;q=55.25911,11.59831")</f>
        <v>http://maps.google.com/maps?f=q&amp;hl=en&amp;geocode=&amp;q=55.25911,11.59831</v>
      </c>
    </row>
    <row r="3056" spans="1:7" ht="15" x14ac:dyDescent="0.3">
      <c r="A3056">
        <v>55.25911</v>
      </c>
      <c r="B3056">
        <v>11.59831</v>
      </c>
      <c r="C3056" t="s">
        <v>41</v>
      </c>
      <c r="D3056" t="s">
        <v>484</v>
      </c>
      <c r="F3056" s="21"/>
      <c r="G3056" s="16" t="str">
        <f>HYPERLINK("http://maps.google.com/maps?f=q&amp;hl=en&amp;geocode=&amp;q=55.25911,11.59831")</f>
        <v>http://maps.google.com/maps?f=q&amp;hl=en&amp;geocode=&amp;q=55.25911,11.59831</v>
      </c>
    </row>
    <row r="3057" spans="1:7" ht="15" x14ac:dyDescent="0.3">
      <c r="A3057">
        <v>55.25911</v>
      </c>
      <c r="B3057">
        <v>11.59831</v>
      </c>
      <c r="C3057" t="s">
        <v>41</v>
      </c>
      <c r="D3057" t="s">
        <v>484</v>
      </c>
      <c r="F3057" s="21"/>
      <c r="G3057" s="16" t="str">
        <f>HYPERLINK("http://maps.google.com/maps?f=q&amp;hl=en&amp;geocode=&amp;q=55.25911,11.59831")</f>
        <v>http://maps.google.com/maps?f=q&amp;hl=en&amp;geocode=&amp;q=55.25911,11.59831</v>
      </c>
    </row>
    <row r="3058" spans="1:7" ht="15" x14ac:dyDescent="0.3">
      <c r="A3058">
        <v>35.260919999999999</v>
      </c>
      <c r="B3058">
        <v>-113.99321999999999</v>
      </c>
      <c r="C3058" t="s">
        <v>41</v>
      </c>
      <c r="D3058" t="s">
        <v>2099</v>
      </c>
      <c r="F3058" s="21"/>
      <c r="G3058" s="16" t="str">
        <f>HYPERLINK("http://maps.google.com/maps?f=q&amp;hl=en&amp;geocode=&amp;q=35.26092,-113.99322")</f>
        <v>http://maps.google.com/maps?f=q&amp;hl=en&amp;geocode=&amp;q=35.26092,-113.99322</v>
      </c>
    </row>
    <row r="3059" spans="1:7" ht="15" x14ac:dyDescent="0.3">
      <c r="A3059">
        <v>41.316469412807699</v>
      </c>
      <c r="B3059">
        <v>-75.830986067701403</v>
      </c>
      <c r="C3059" t="s">
        <v>43</v>
      </c>
      <c r="D3059" t="s">
        <v>2100</v>
      </c>
      <c r="F3059" s="21"/>
      <c r="G3059" s="16" t="str">
        <f>HYPERLINK("http://maps.google.com/maps?f=q&amp;hl=en&amp;geocode=&amp;q=41.3164694128077,-75.8309860677014")</f>
        <v>http://maps.google.com/maps?f=q&amp;hl=en&amp;geocode=&amp;q=41.3164694128077,-75.8309860677014</v>
      </c>
    </row>
    <row r="3060" spans="1:7" ht="15" x14ac:dyDescent="0.3">
      <c r="A3060" t="s">
        <v>44</v>
      </c>
      <c r="B3060" t="s">
        <v>44</v>
      </c>
      <c r="C3060" t="s">
        <v>44</v>
      </c>
      <c r="D3060" t="s">
        <v>2101</v>
      </c>
      <c r="F3060" s="21"/>
      <c r="G3060" s="16"/>
    </row>
    <row r="3061" spans="1:7" ht="15" x14ac:dyDescent="0.3">
      <c r="A3061">
        <v>40.483969999999999</v>
      </c>
      <c r="B3061">
        <v>-89.053049999999999</v>
      </c>
      <c r="C3061" t="s">
        <v>42</v>
      </c>
      <c r="D3061" t="s">
        <v>2102</v>
      </c>
      <c r="F3061" s="21"/>
      <c r="G3061" s="16" t="str">
        <f>HYPERLINK("http://maps.google.com/maps?f=q&amp;hl=en&amp;geocode=&amp;q=40.48397,-89.05305")</f>
        <v>http://maps.google.com/maps?f=q&amp;hl=en&amp;geocode=&amp;q=40.48397,-89.05305</v>
      </c>
    </row>
    <row r="3062" spans="1:7" ht="15" x14ac:dyDescent="0.3">
      <c r="A3062">
        <v>38.947154998779297</v>
      </c>
      <c r="B3062">
        <v>-8.9184045791625994</v>
      </c>
      <c r="C3062" t="s">
        <v>41</v>
      </c>
      <c r="D3062" t="s">
        <v>2103</v>
      </c>
      <c r="F3062" s="21"/>
      <c r="G3062" s="16" t="str">
        <f>HYPERLINK("http://maps.google.com/maps?f=q&amp;hl=en&amp;geocode=&amp;q=38.9471549987793,-8.9184045791626")</f>
        <v>http://maps.google.com/maps?f=q&amp;hl=en&amp;geocode=&amp;q=38.9471549987793,-8.9184045791626</v>
      </c>
    </row>
    <row r="3063" spans="1:7" ht="15" x14ac:dyDescent="0.3">
      <c r="A3063">
        <v>39.957380000000001</v>
      </c>
      <c r="B3063">
        <v>-75.241709999999998</v>
      </c>
      <c r="C3063" t="s">
        <v>43</v>
      </c>
      <c r="D3063" t="s">
        <v>2104</v>
      </c>
      <c r="F3063" s="21"/>
      <c r="G3063" s="16" t="str">
        <f>HYPERLINK("http://maps.google.com/maps?f=q&amp;hl=en&amp;geocode=&amp;q=39.95738,-75.24171")</f>
        <v>http://maps.google.com/maps?f=q&amp;hl=en&amp;geocode=&amp;q=39.95738,-75.24171</v>
      </c>
    </row>
    <row r="3064" spans="1:7" ht="15" x14ac:dyDescent="0.3">
      <c r="A3064">
        <v>39.758800000000001</v>
      </c>
      <c r="B3064">
        <v>-105.00869</v>
      </c>
      <c r="C3064" t="s">
        <v>42</v>
      </c>
      <c r="D3064" t="s">
        <v>2105</v>
      </c>
      <c r="F3064" s="21"/>
      <c r="G3064" s="16" t="str">
        <f>HYPERLINK("http://maps.google.com/maps?f=q&amp;hl=en&amp;geocode=&amp;q=39.7588,-105.00869")</f>
        <v>http://maps.google.com/maps?f=q&amp;hl=en&amp;geocode=&amp;q=39.7588,-105.00869</v>
      </c>
    </row>
    <row r="3065" spans="1:7" ht="15" x14ac:dyDescent="0.3">
      <c r="A3065">
        <v>39.992872103540499</v>
      </c>
      <c r="B3065">
        <v>-75.119624381858401</v>
      </c>
      <c r="C3065" t="s">
        <v>41</v>
      </c>
      <c r="D3065" t="s">
        <v>2094</v>
      </c>
      <c r="F3065" s="21"/>
      <c r="G3065" s="16" t="str">
        <f>HYPERLINK("http://maps.google.com/maps?f=q&amp;hl=en&amp;geocode=&amp;q=39.9928721035405,-75.1196243818584")</f>
        <v>http://maps.google.com/maps?f=q&amp;hl=en&amp;geocode=&amp;q=39.9928721035405,-75.1196243818584</v>
      </c>
    </row>
    <row r="3066" spans="1:7" ht="15" x14ac:dyDescent="0.3">
      <c r="A3066">
        <v>39.992872103540499</v>
      </c>
      <c r="B3066">
        <v>-75.119624381858401</v>
      </c>
      <c r="C3066" t="s">
        <v>41</v>
      </c>
      <c r="D3066" t="s">
        <v>2094</v>
      </c>
      <c r="F3066" s="21"/>
      <c r="G3066" s="16" t="str">
        <f>HYPERLINK("http://maps.google.com/maps?f=q&amp;hl=en&amp;geocode=&amp;q=39.9928721035405,-75.1196243818584")</f>
        <v>http://maps.google.com/maps?f=q&amp;hl=en&amp;geocode=&amp;q=39.9928721035405,-75.1196243818584</v>
      </c>
    </row>
    <row r="3067" spans="1:7" ht="15" x14ac:dyDescent="0.3">
      <c r="A3067">
        <v>39.992872103540499</v>
      </c>
      <c r="B3067">
        <v>-75.119624381858401</v>
      </c>
      <c r="C3067" t="s">
        <v>41</v>
      </c>
      <c r="D3067" t="s">
        <v>2094</v>
      </c>
      <c r="F3067" s="21"/>
      <c r="G3067" s="16" t="str">
        <f>HYPERLINK("http://maps.google.com/maps?f=q&amp;hl=en&amp;geocode=&amp;q=39.9928721035405,-75.1196243818584")</f>
        <v>http://maps.google.com/maps?f=q&amp;hl=en&amp;geocode=&amp;q=39.9928721035405,-75.1196243818584</v>
      </c>
    </row>
    <row r="3068" spans="1:7" ht="15" x14ac:dyDescent="0.3">
      <c r="A3068">
        <v>36.167973095479802</v>
      </c>
      <c r="B3068">
        <v>-90.526400897077295</v>
      </c>
      <c r="C3068" t="s">
        <v>42</v>
      </c>
      <c r="D3068" t="s">
        <v>2106</v>
      </c>
      <c r="F3068" s="21"/>
      <c r="G3068" s="16" t="str">
        <f>HYPERLINK("http://maps.google.com/maps?f=q&amp;hl=en&amp;geocode=&amp;q=36.1679730954798,-90.5264008970773")</f>
        <v>http://maps.google.com/maps?f=q&amp;hl=en&amp;geocode=&amp;q=36.1679730954798,-90.5264008970773</v>
      </c>
    </row>
    <row r="3069" spans="1:7" ht="15" x14ac:dyDescent="0.3">
      <c r="A3069">
        <v>40.024738311767599</v>
      </c>
      <c r="B3069">
        <v>-75.213882446289105</v>
      </c>
      <c r="C3069" t="s">
        <v>43</v>
      </c>
      <c r="D3069" t="s">
        <v>123</v>
      </c>
      <c r="F3069" s="21"/>
      <c r="G3069" s="16" t="str">
        <f>HYPERLINK("http://maps.google.com/maps?f=q&amp;hl=en&amp;geocode=&amp;q=40.0247383117676,-75.2138824462891")</f>
        <v>http://maps.google.com/maps?f=q&amp;hl=en&amp;geocode=&amp;q=40.0247383117676,-75.2138824462891</v>
      </c>
    </row>
    <row r="3070" spans="1:7" ht="15" x14ac:dyDescent="0.3">
      <c r="A3070">
        <v>32.928100000000001</v>
      </c>
      <c r="B3070">
        <v>-117.20565000000001</v>
      </c>
      <c r="C3070" t="s">
        <v>43</v>
      </c>
      <c r="D3070" t="s">
        <v>2107</v>
      </c>
      <c r="F3070" s="21"/>
      <c r="G3070" s="16" t="str">
        <f>HYPERLINK("http://maps.google.com/maps?f=q&amp;hl=en&amp;geocode=&amp;q=32.9281,-117.20565")</f>
        <v>http://maps.google.com/maps?f=q&amp;hl=en&amp;geocode=&amp;q=32.9281,-117.20565</v>
      </c>
    </row>
    <row r="3071" spans="1:7" ht="15" x14ac:dyDescent="0.3">
      <c r="A3071">
        <v>40.702362487094199</v>
      </c>
      <c r="B3071">
        <v>-96.644348761146304</v>
      </c>
      <c r="C3071" t="s">
        <v>41</v>
      </c>
      <c r="D3071" t="s">
        <v>2108</v>
      </c>
      <c r="F3071" s="21"/>
      <c r="G3071" s="16" t="str">
        <f>HYPERLINK("http://maps.google.com/maps?f=q&amp;hl=en&amp;geocode=&amp;q=40.7023624870942,-96.6443487611463")</f>
        <v>http://maps.google.com/maps?f=q&amp;hl=en&amp;geocode=&amp;q=40.7023624870942,-96.6443487611463</v>
      </c>
    </row>
    <row r="3072" spans="1:7" ht="15" x14ac:dyDescent="0.3">
      <c r="A3072" t="s">
        <v>44</v>
      </c>
      <c r="B3072" t="s">
        <v>44</v>
      </c>
      <c r="C3072" t="s">
        <v>44</v>
      </c>
      <c r="D3072" t="s">
        <v>981</v>
      </c>
      <c r="F3072" s="21"/>
      <c r="G3072" s="16"/>
    </row>
    <row r="3073" spans="1:7" ht="15" x14ac:dyDescent="0.3">
      <c r="A3073" t="s">
        <v>44</v>
      </c>
      <c r="B3073" t="s">
        <v>44</v>
      </c>
      <c r="C3073" t="s">
        <v>44</v>
      </c>
      <c r="D3073" t="s">
        <v>1004</v>
      </c>
      <c r="F3073" s="21"/>
      <c r="G3073" s="16"/>
    </row>
    <row r="3074" spans="1:7" ht="15" x14ac:dyDescent="0.3">
      <c r="A3074">
        <v>40.3780410446129</v>
      </c>
      <c r="B3074">
        <v>-75.597350724230395</v>
      </c>
      <c r="C3074" t="s">
        <v>41</v>
      </c>
      <c r="D3074" t="s">
        <v>2109</v>
      </c>
      <c r="F3074" s="21"/>
      <c r="G3074" s="16" t="str">
        <f>HYPERLINK("http://maps.google.com/maps?f=q&amp;hl=en&amp;geocode=&amp;q=40.3780410446129,-75.5973507242304")</f>
        <v>http://maps.google.com/maps?f=q&amp;hl=en&amp;geocode=&amp;q=40.3780410446129,-75.5973507242304</v>
      </c>
    </row>
    <row r="3075" spans="1:7" ht="15" x14ac:dyDescent="0.3">
      <c r="A3075">
        <v>32.9539794921875</v>
      </c>
      <c r="B3075">
        <v>-96.817680358886705</v>
      </c>
      <c r="C3075" t="s">
        <v>43</v>
      </c>
      <c r="D3075" t="s">
        <v>2110</v>
      </c>
      <c r="F3075" s="21"/>
      <c r="G3075" s="16" t="str">
        <f>HYPERLINK("http://maps.google.com/maps?f=q&amp;hl=en&amp;geocode=&amp;q=32.9539794921875,-96.8176803588867")</f>
        <v>http://maps.google.com/maps?f=q&amp;hl=en&amp;geocode=&amp;q=32.9539794921875,-96.8176803588867</v>
      </c>
    </row>
    <row r="3076" spans="1:7" ht="15" x14ac:dyDescent="0.3">
      <c r="A3076">
        <v>40.037979125976598</v>
      </c>
      <c r="B3076">
        <v>-75.223060607910199</v>
      </c>
      <c r="C3076" t="s">
        <v>41</v>
      </c>
      <c r="D3076" t="s">
        <v>132</v>
      </c>
      <c r="F3076" s="21"/>
      <c r="G3076" s="16" t="str">
        <f>HYPERLINK("http://maps.google.com/maps?f=q&amp;hl=en&amp;geocode=&amp;q=40.0379791259766,-75.2230606079102")</f>
        <v>http://maps.google.com/maps?f=q&amp;hl=en&amp;geocode=&amp;q=40.0379791259766,-75.2230606079102</v>
      </c>
    </row>
    <row r="3077" spans="1:7" ht="15" x14ac:dyDescent="0.3">
      <c r="A3077">
        <v>37.468611478822297</v>
      </c>
      <c r="B3077">
        <v>-120.921616162768</v>
      </c>
      <c r="C3077" t="s">
        <v>41</v>
      </c>
      <c r="D3077" t="s">
        <v>2111</v>
      </c>
      <c r="F3077" s="21"/>
      <c r="G3077" s="16" t="str">
        <f>HYPERLINK("http://maps.google.com/maps?f=q&amp;hl=en&amp;geocode=&amp;q=37.4686114788223,-120.921616162768")</f>
        <v>http://maps.google.com/maps?f=q&amp;hl=en&amp;geocode=&amp;q=37.4686114788223,-120.921616162768</v>
      </c>
    </row>
    <row r="3078" spans="1:7" ht="15" x14ac:dyDescent="0.3">
      <c r="A3078">
        <v>41.615405850183102</v>
      </c>
      <c r="B3078">
        <v>-83.6070000037098</v>
      </c>
      <c r="C3078" t="s">
        <v>41</v>
      </c>
      <c r="D3078" t="s">
        <v>2112</v>
      </c>
      <c r="F3078" s="21"/>
      <c r="G3078" s="16" t="str">
        <f>HYPERLINK("http://maps.google.com/maps?f=q&amp;hl=en&amp;geocode=&amp;q=41.6154058501831,-83.6070000037098")</f>
        <v>http://maps.google.com/maps?f=q&amp;hl=en&amp;geocode=&amp;q=41.6154058501831,-83.6070000037098</v>
      </c>
    </row>
    <row r="3079" spans="1:7" ht="15" x14ac:dyDescent="0.3">
      <c r="A3079">
        <v>-34.989310000000003</v>
      </c>
      <c r="B3079">
        <v>117.84967</v>
      </c>
      <c r="C3079" t="s">
        <v>41</v>
      </c>
      <c r="D3079" t="s">
        <v>2113</v>
      </c>
      <c r="F3079" s="21"/>
      <c r="G3079" s="16" t="str">
        <f>HYPERLINK("http://maps.google.com/maps?f=q&amp;hl=en&amp;geocode=&amp;q=-34.98931,117.84967")</f>
        <v>http://maps.google.com/maps?f=q&amp;hl=en&amp;geocode=&amp;q=-34.98931,117.84967</v>
      </c>
    </row>
    <row r="3080" spans="1:7" ht="15" x14ac:dyDescent="0.3">
      <c r="A3080">
        <v>43.195515986386802</v>
      </c>
      <c r="B3080">
        <v>-75.439315270490397</v>
      </c>
      <c r="C3080" t="s">
        <v>41</v>
      </c>
      <c r="D3080" t="s">
        <v>2114</v>
      </c>
      <c r="F3080" s="21"/>
      <c r="G3080" s="16" t="str">
        <f>HYPERLINK("http://maps.google.com/maps?f=q&amp;hl=en&amp;geocode=&amp;q=43.1955159863868,-75.4393152704904")</f>
        <v>http://maps.google.com/maps?f=q&amp;hl=en&amp;geocode=&amp;q=43.1955159863868,-75.4393152704904</v>
      </c>
    </row>
    <row r="3081" spans="1:7" ht="15" x14ac:dyDescent="0.3">
      <c r="A3081">
        <v>34.175599870628503</v>
      </c>
      <c r="B3081">
        <v>-83.779038819063103</v>
      </c>
      <c r="C3081" t="s">
        <v>42</v>
      </c>
      <c r="D3081" t="s">
        <v>2115</v>
      </c>
      <c r="F3081" s="21"/>
      <c r="G3081" s="16" t="str">
        <f>HYPERLINK("http://maps.google.com/maps?f=q&amp;hl=en&amp;geocode=&amp;q=34.1755998706285,-83.7790388190631")</f>
        <v>http://maps.google.com/maps?f=q&amp;hl=en&amp;geocode=&amp;q=34.1755998706285,-83.7790388190631</v>
      </c>
    </row>
    <row r="3082" spans="1:7" ht="15" x14ac:dyDescent="0.3">
      <c r="A3082">
        <v>40.72081</v>
      </c>
      <c r="B3082">
        <v>-74.167320000000004</v>
      </c>
      <c r="C3082" t="s">
        <v>43</v>
      </c>
      <c r="D3082" t="s">
        <v>2116</v>
      </c>
      <c r="F3082" s="21"/>
      <c r="G3082" s="16" t="str">
        <f>HYPERLINK("http://maps.google.com/maps?f=q&amp;hl=en&amp;geocode=&amp;q=40.72081,-74.16732")</f>
        <v>http://maps.google.com/maps?f=q&amp;hl=en&amp;geocode=&amp;q=40.72081,-74.16732</v>
      </c>
    </row>
    <row r="3083" spans="1:7" ht="15" x14ac:dyDescent="0.3">
      <c r="A3083">
        <v>40.02778</v>
      </c>
      <c r="B3083">
        <v>-75.047430000000006</v>
      </c>
      <c r="C3083" t="s">
        <v>41</v>
      </c>
      <c r="D3083" t="s">
        <v>2117</v>
      </c>
      <c r="F3083" s="21"/>
      <c r="G3083" s="16" t="str">
        <f>HYPERLINK("http://maps.google.com/maps?f=q&amp;hl=en&amp;geocode=&amp;q=40.02778,-75.04743")</f>
        <v>http://maps.google.com/maps?f=q&amp;hl=en&amp;geocode=&amp;q=40.02778,-75.04743</v>
      </c>
    </row>
    <row r="3084" spans="1:7" ht="15" x14ac:dyDescent="0.3">
      <c r="A3084">
        <v>33.3581109291028</v>
      </c>
      <c r="B3084">
        <v>-111.902057543352</v>
      </c>
      <c r="C3084" t="s">
        <v>41</v>
      </c>
      <c r="D3084" t="s">
        <v>781</v>
      </c>
      <c r="F3084" s="21"/>
      <c r="G3084" s="16" t="str">
        <f>HYPERLINK("http://maps.google.com/maps?f=q&amp;hl=en&amp;geocode=&amp;q=33.3581109291028,-111.902057543352")</f>
        <v>http://maps.google.com/maps?f=q&amp;hl=en&amp;geocode=&amp;q=33.3581109291028,-111.902057543352</v>
      </c>
    </row>
    <row r="3085" spans="1:7" ht="15" x14ac:dyDescent="0.3">
      <c r="A3085">
        <v>42.156185150146499</v>
      </c>
      <c r="B3085">
        <v>-71.566192626953097</v>
      </c>
      <c r="C3085" t="s">
        <v>41</v>
      </c>
      <c r="D3085" t="s">
        <v>925</v>
      </c>
      <c r="F3085" s="21"/>
      <c r="G3085" s="16" t="str">
        <f>HYPERLINK("http://maps.google.com/maps?f=q&amp;hl=en&amp;geocode=&amp;q=42.1561851501465,-71.5661926269531")</f>
        <v>http://maps.google.com/maps?f=q&amp;hl=en&amp;geocode=&amp;q=42.1561851501465,-71.5661926269531</v>
      </c>
    </row>
    <row r="3086" spans="1:7" ht="15" x14ac:dyDescent="0.3">
      <c r="A3086">
        <v>40.894489288330099</v>
      </c>
      <c r="B3086">
        <v>-72.892898559570298</v>
      </c>
      <c r="C3086" t="s">
        <v>43</v>
      </c>
      <c r="D3086" t="s">
        <v>2118</v>
      </c>
      <c r="F3086" s="21"/>
      <c r="G3086" s="16" t="str">
        <f>HYPERLINK("http://maps.google.com/maps?f=q&amp;hl=en&amp;geocode=&amp;q=40.8944892883301,-72.8928985595703")</f>
        <v>http://maps.google.com/maps?f=q&amp;hl=en&amp;geocode=&amp;q=40.8944892883301,-72.8928985595703</v>
      </c>
    </row>
    <row r="3087" spans="1:7" ht="15" x14ac:dyDescent="0.3">
      <c r="A3087">
        <v>40.894489288330099</v>
      </c>
      <c r="B3087">
        <v>-72.892898559570298</v>
      </c>
      <c r="C3087" t="s">
        <v>43</v>
      </c>
      <c r="D3087" t="s">
        <v>2119</v>
      </c>
      <c r="F3087" s="21"/>
      <c r="G3087" s="16" t="str">
        <f>HYPERLINK("http://maps.google.com/maps?f=q&amp;hl=en&amp;geocode=&amp;q=40.8944892883301,-72.8928985595703")</f>
        <v>http://maps.google.com/maps?f=q&amp;hl=en&amp;geocode=&amp;q=40.8944892883301,-72.8928985595703</v>
      </c>
    </row>
    <row r="3088" spans="1:7" ht="15" x14ac:dyDescent="0.3">
      <c r="A3088">
        <v>47.044811248779297</v>
      </c>
      <c r="B3088">
        <v>3.4317500591278098</v>
      </c>
      <c r="C3088" t="s">
        <v>43</v>
      </c>
      <c r="D3088" t="s">
        <v>2120</v>
      </c>
      <c r="F3088" s="21"/>
      <c r="G3088" s="16" t="str">
        <f>HYPERLINK("http://maps.google.com/maps?f=q&amp;hl=en&amp;geocode=&amp;q=47.0448112487793,3.43175005912781")</f>
        <v>http://maps.google.com/maps?f=q&amp;hl=en&amp;geocode=&amp;q=47.0448112487793,3.43175005912781</v>
      </c>
    </row>
    <row r="3089" spans="1:7" ht="15" x14ac:dyDescent="0.3">
      <c r="A3089">
        <v>40.525310516600101</v>
      </c>
      <c r="B3089">
        <v>-112.281418791325</v>
      </c>
      <c r="C3089" t="s">
        <v>41</v>
      </c>
      <c r="D3089" t="s">
        <v>2121</v>
      </c>
      <c r="F3089" s="21"/>
      <c r="G3089" s="16" t="str">
        <f>HYPERLINK("http://maps.google.com/maps?f=q&amp;hl=en&amp;geocode=&amp;q=40.5253105166001,-112.281418791325")</f>
        <v>http://maps.google.com/maps?f=q&amp;hl=en&amp;geocode=&amp;q=40.5253105166001,-112.281418791325</v>
      </c>
    </row>
    <row r="3090" spans="1:7" ht="15" x14ac:dyDescent="0.3">
      <c r="A3090">
        <v>34.456910000000001</v>
      </c>
      <c r="B3090">
        <v>-112.37573</v>
      </c>
      <c r="C3090" t="s">
        <v>42</v>
      </c>
      <c r="D3090" t="s">
        <v>2122</v>
      </c>
      <c r="F3090" s="21"/>
      <c r="G3090" s="16" t="str">
        <f>HYPERLINK("http://maps.google.com/maps?f=q&amp;hl=en&amp;geocode=&amp;q=34.45691,-112.37573")</f>
        <v>http://maps.google.com/maps?f=q&amp;hl=en&amp;geocode=&amp;q=34.45691,-112.37573</v>
      </c>
    </row>
    <row r="3091" spans="1:7" ht="15" x14ac:dyDescent="0.3">
      <c r="A3091">
        <v>39.941314455342201</v>
      </c>
      <c r="B3091">
        <v>-75.230082866934097</v>
      </c>
      <c r="C3091" t="s">
        <v>41</v>
      </c>
      <c r="D3091" t="s">
        <v>2123</v>
      </c>
      <c r="F3091" s="21"/>
      <c r="G3091" s="16" t="str">
        <f>HYPERLINK("http://maps.google.com/maps?f=q&amp;hl=en&amp;geocode=&amp;q=39.9413144553422,-75.2300828669341")</f>
        <v>http://maps.google.com/maps?f=q&amp;hl=en&amp;geocode=&amp;q=39.9413144553422,-75.2300828669341</v>
      </c>
    </row>
    <row r="3092" spans="1:7" ht="15" x14ac:dyDescent="0.3">
      <c r="A3092">
        <v>38.304560000000002</v>
      </c>
      <c r="B3092">
        <v>-91.638675000000006</v>
      </c>
      <c r="C3092" t="s">
        <v>43</v>
      </c>
      <c r="D3092" t="s">
        <v>2124</v>
      </c>
      <c r="F3092" s="21"/>
      <c r="G3092" s="16" t="str">
        <f>HYPERLINK("http://maps.google.com/maps?f=q&amp;hl=en&amp;geocode=&amp;q=38.30456,-91.638675")</f>
        <v>http://maps.google.com/maps?f=q&amp;hl=en&amp;geocode=&amp;q=38.30456,-91.638675</v>
      </c>
    </row>
    <row r="3093" spans="1:7" ht="15" x14ac:dyDescent="0.3">
      <c r="A3093">
        <v>38.304560000000002</v>
      </c>
      <c r="B3093">
        <v>-91.638675000000006</v>
      </c>
      <c r="C3093" t="s">
        <v>43</v>
      </c>
      <c r="D3093" t="s">
        <v>2125</v>
      </c>
      <c r="F3093" s="21"/>
      <c r="G3093" s="16" t="str">
        <f>HYPERLINK("http://maps.google.com/maps?f=q&amp;hl=en&amp;geocode=&amp;q=38.30456,-91.638675")</f>
        <v>http://maps.google.com/maps?f=q&amp;hl=en&amp;geocode=&amp;q=38.30456,-91.638675</v>
      </c>
    </row>
    <row r="3094" spans="1:7" ht="15" x14ac:dyDescent="0.3">
      <c r="A3094">
        <v>34.456910000000001</v>
      </c>
      <c r="B3094">
        <v>-112.37573</v>
      </c>
      <c r="C3094" t="s">
        <v>42</v>
      </c>
      <c r="D3094" t="s">
        <v>2122</v>
      </c>
      <c r="F3094" s="21"/>
      <c r="G3094" s="16" t="str">
        <f>HYPERLINK("http://maps.google.com/maps?f=q&amp;hl=en&amp;geocode=&amp;q=34.45691,-112.37573")</f>
        <v>http://maps.google.com/maps?f=q&amp;hl=en&amp;geocode=&amp;q=34.45691,-112.37573</v>
      </c>
    </row>
    <row r="3095" spans="1:7" ht="15" x14ac:dyDescent="0.3">
      <c r="A3095">
        <v>32.755537913045103</v>
      </c>
      <c r="B3095">
        <v>-117.09698060321</v>
      </c>
      <c r="C3095" t="s">
        <v>43</v>
      </c>
      <c r="D3095" t="s">
        <v>2092</v>
      </c>
      <c r="F3095" s="21"/>
      <c r="G3095" s="16" t="str">
        <f>HYPERLINK("http://maps.google.com/maps?f=q&amp;hl=en&amp;geocode=&amp;q=32.7555379130451,-117.09698060321")</f>
        <v>http://maps.google.com/maps?f=q&amp;hl=en&amp;geocode=&amp;q=32.7555379130451,-117.09698060321</v>
      </c>
    </row>
    <row r="3096" spans="1:7" ht="15" x14ac:dyDescent="0.3">
      <c r="A3096">
        <v>32.755537913045103</v>
      </c>
      <c r="B3096">
        <v>-117.09698060321</v>
      </c>
      <c r="C3096" t="s">
        <v>43</v>
      </c>
      <c r="D3096" t="s">
        <v>2092</v>
      </c>
      <c r="F3096" s="21"/>
      <c r="G3096" s="16" t="str">
        <f>HYPERLINK("http://maps.google.com/maps?f=q&amp;hl=en&amp;geocode=&amp;q=32.7555379130451,-117.09698060321")</f>
        <v>http://maps.google.com/maps?f=q&amp;hl=en&amp;geocode=&amp;q=32.7555379130451,-117.09698060321</v>
      </c>
    </row>
    <row r="3097" spans="1:7" ht="15" x14ac:dyDescent="0.3">
      <c r="A3097">
        <v>55.709686279296903</v>
      </c>
      <c r="B3097">
        <v>11.7013349533081</v>
      </c>
      <c r="C3097" t="s">
        <v>41</v>
      </c>
      <c r="D3097" t="s">
        <v>2126</v>
      </c>
      <c r="F3097" s="21"/>
      <c r="G3097" s="16" t="str">
        <f>HYPERLINK("http://maps.google.com/maps?f=q&amp;hl=en&amp;geocode=&amp;q=55.7096862792969,11.7013349533081")</f>
        <v>http://maps.google.com/maps?f=q&amp;hl=en&amp;geocode=&amp;q=55.7096862792969,11.7013349533081</v>
      </c>
    </row>
    <row r="3098" spans="1:7" ht="15" x14ac:dyDescent="0.3">
      <c r="A3098">
        <v>33.016487831665799</v>
      </c>
      <c r="B3098">
        <v>-91.279265384572795</v>
      </c>
      <c r="C3098" t="s">
        <v>41</v>
      </c>
      <c r="D3098" t="s">
        <v>2127</v>
      </c>
      <c r="F3098" s="21"/>
      <c r="G3098" s="16" t="str">
        <f>HYPERLINK("http://maps.google.com/maps?f=q&amp;hl=en&amp;geocode=&amp;q=33.0164878316658,-91.2792653845728")</f>
        <v>http://maps.google.com/maps?f=q&amp;hl=en&amp;geocode=&amp;q=33.0164878316658,-91.2792653845728</v>
      </c>
    </row>
    <row r="3099" spans="1:7" ht="15" x14ac:dyDescent="0.3">
      <c r="A3099">
        <v>55.709686279296903</v>
      </c>
      <c r="B3099">
        <v>11.7013349533081</v>
      </c>
      <c r="C3099" t="s">
        <v>41</v>
      </c>
      <c r="D3099" t="s">
        <v>2126</v>
      </c>
      <c r="F3099" s="21"/>
      <c r="G3099" s="16" t="str">
        <f>HYPERLINK("http://maps.google.com/maps?f=q&amp;hl=en&amp;geocode=&amp;q=55.7096862792969,11.7013349533081")</f>
        <v>http://maps.google.com/maps?f=q&amp;hl=en&amp;geocode=&amp;q=55.7096862792969,11.7013349533081</v>
      </c>
    </row>
    <row r="3100" spans="1:7" ht="15" x14ac:dyDescent="0.3">
      <c r="A3100">
        <v>50.648963928222699</v>
      </c>
      <c r="B3100">
        <v>4.64150190353394</v>
      </c>
      <c r="C3100" t="s">
        <v>43</v>
      </c>
      <c r="D3100" t="s">
        <v>1031</v>
      </c>
      <c r="F3100" s="21"/>
      <c r="G3100" s="16" t="str">
        <f>HYPERLINK("http://maps.google.com/maps?f=q&amp;hl=en&amp;geocode=&amp;q=50.6489639282227,4.64150190353394")</f>
        <v>http://maps.google.com/maps?f=q&amp;hl=en&amp;geocode=&amp;q=50.6489639282227,4.64150190353394</v>
      </c>
    </row>
    <row r="3101" spans="1:7" ht="15" x14ac:dyDescent="0.3">
      <c r="A3101">
        <v>40.024738311767599</v>
      </c>
      <c r="B3101">
        <v>-75.213882446289105</v>
      </c>
      <c r="C3101" t="s">
        <v>43</v>
      </c>
      <c r="D3101" t="s">
        <v>2128</v>
      </c>
      <c r="F3101" s="21"/>
      <c r="G3101" s="16" t="str">
        <f>HYPERLINK("http://maps.google.com/maps?f=q&amp;hl=en&amp;geocode=&amp;q=40.0247383117676,-75.2138824462891")</f>
        <v>http://maps.google.com/maps?f=q&amp;hl=en&amp;geocode=&amp;q=40.0247383117676,-75.2138824462891</v>
      </c>
    </row>
    <row r="3102" spans="1:7" ht="15" x14ac:dyDescent="0.3">
      <c r="A3102">
        <v>32.755537913045103</v>
      </c>
      <c r="B3102">
        <v>-117.09698060321</v>
      </c>
      <c r="C3102" t="s">
        <v>43</v>
      </c>
      <c r="D3102" t="s">
        <v>2092</v>
      </c>
      <c r="F3102" s="21"/>
      <c r="G3102" s="16" t="str">
        <f>HYPERLINK("http://maps.google.com/maps?f=q&amp;hl=en&amp;geocode=&amp;q=32.7555379130451,-117.09698060321")</f>
        <v>http://maps.google.com/maps?f=q&amp;hl=en&amp;geocode=&amp;q=32.7555379130451,-117.09698060321</v>
      </c>
    </row>
    <row r="3103" spans="1:7" ht="15" x14ac:dyDescent="0.3">
      <c r="A3103">
        <v>32.755537913045103</v>
      </c>
      <c r="B3103">
        <v>-117.09698060321</v>
      </c>
      <c r="C3103" t="s">
        <v>43</v>
      </c>
      <c r="D3103" t="s">
        <v>2092</v>
      </c>
      <c r="F3103" s="21"/>
      <c r="G3103" s="16" t="str">
        <f>HYPERLINK("http://maps.google.com/maps?f=q&amp;hl=en&amp;geocode=&amp;q=32.7555379130451,-117.09698060321")</f>
        <v>http://maps.google.com/maps?f=q&amp;hl=en&amp;geocode=&amp;q=32.7555379130451,-117.09698060321</v>
      </c>
    </row>
    <row r="3104" spans="1:7" ht="15" x14ac:dyDescent="0.3">
      <c r="A3104">
        <v>32.755537913045103</v>
      </c>
      <c r="B3104">
        <v>-117.09698060321</v>
      </c>
      <c r="C3104" t="s">
        <v>43</v>
      </c>
      <c r="D3104" t="s">
        <v>2092</v>
      </c>
      <c r="F3104" s="21"/>
      <c r="G3104" s="16" t="str">
        <f>HYPERLINK("http://maps.google.com/maps?f=q&amp;hl=en&amp;geocode=&amp;q=32.7555379130451,-117.09698060321")</f>
        <v>http://maps.google.com/maps?f=q&amp;hl=en&amp;geocode=&amp;q=32.7555379130451,-117.09698060321</v>
      </c>
    </row>
    <row r="3105" spans="1:7" ht="15" x14ac:dyDescent="0.3">
      <c r="A3105">
        <v>32.755537913045103</v>
      </c>
      <c r="B3105">
        <v>-117.09698060321</v>
      </c>
      <c r="C3105" t="s">
        <v>43</v>
      </c>
      <c r="D3105" t="s">
        <v>2092</v>
      </c>
      <c r="F3105" s="21"/>
      <c r="G3105" s="16" t="str">
        <f>HYPERLINK("http://maps.google.com/maps?f=q&amp;hl=en&amp;geocode=&amp;q=32.7555379130451,-117.09698060321")</f>
        <v>http://maps.google.com/maps?f=q&amp;hl=en&amp;geocode=&amp;q=32.7555379130451,-117.09698060321</v>
      </c>
    </row>
    <row r="3106" spans="1:7" ht="15" x14ac:dyDescent="0.3">
      <c r="A3106">
        <v>32.755537913045103</v>
      </c>
      <c r="B3106">
        <v>-117.09698060321</v>
      </c>
      <c r="C3106" t="s">
        <v>43</v>
      </c>
      <c r="D3106" t="s">
        <v>2092</v>
      </c>
      <c r="F3106" s="21"/>
      <c r="G3106" s="16" t="str">
        <f>HYPERLINK("http://maps.google.com/maps?f=q&amp;hl=en&amp;geocode=&amp;q=32.7555379130451,-117.09698060321")</f>
        <v>http://maps.google.com/maps?f=q&amp;hl=en&amp;geocode=&amp;q=32.7555379130451,-117.09698060321</v>
      </c>
    </row>
    <row r="3107" spans="1:7" ht="15" x14ac:dyDescent="0.3">
      <c r="A3107">
        <v>32.755537913045103</v>
      </c>
      <c r="B3107">
        <v>-117.09698060321</v>
      </c>
      <c r="C3107" t="s">
        <v>43</v>
      </c>
      <c r="D3107" t="s">
        <v>2092</v>
      </c>
      <c r="F3107" s="21"/>
      <c r="G3107" s="16" t="str">
        <f>HYPERLINK("http://maps.google.com/maps?f=q&amp;hl=en&amp;geocode=&amp;q=32.7555379130451,-117.09698060321")</f>
        <v>http://maps.google.com/maps?f=q&amp;hl=en&amp;geocode=&amp;q=32.7555379130451,-117.09698060321</v>
      </c>
    </row>
    <row r="3108" spans="1:7" ht="15" x14ac:dyDescent="0.3">
      <c r="A3108">
        <v>45.048069000244098</v>
      </c>
      <c r="B3108">
        <v>-105.001792907715</v>
      </c>
      <c r="C3108" t="s">
        <v>41</v>
      </c>
      <c r="D3108" t="s">
        <v>2129</v>
      </c>
      <c r="F3108" s="21"/>
      <c r="G3108" s="16" t="str">
        <f>HYPERLINK("http://maps.google.com/maps?f=q&amp;hl=en&amp;geocode=&amp;q=45.0480690002441,-105.001792907715")</f>
        <v>http://maps.google.com/maps?f=q&amp;hl=en&amp;geocode=&amp;q=45.0480690002441,-105.001792907715</v>
      </c>
    </row>
    <row r="3109" spans="1:7" ht="15" x14ac:dyDescent="0.3">
      <c r="A3109">
        <v>32.755537913045103</v>
      </c>
      <c r="B3109">
        <v>-117.09698060321</v>
      </c>
      <c r="C3109" t="s">
        <v>43</v>
      </c>
      <c r="D3109" t="s">
        <v>2092</v>
      </c>
      <c r="F3109" s="21"/>
      <c r="G3109" s="16" t="str">
        <f>HYPERLINK("http://maps.google.com/maps?f=q&amp;hl=en&amp;geocode=&amp;q=32.7555379130451,-117.09698060321")</f>
        <v>http://maps.google.com/maps?f=q&amp;hl=en&amp;geocode=&amp;q=32.7555379130451,-117.09698060321</v>
      </c>
    </row>
    <row r="3110" spans="1:7" ht="15" x14ac:dyDescent="0.3">
      <c r="A3110" t="s">
        <v>44</v>
      </c>
      <c r="B3110" t="s">
        <v>44</v>
      </c>
      <c r="C3110" t="s">
        <v>44</v>
      </c>
      <c r="D3110" t="s">
        <v>2130</v>
      </c>
      <c r="F3110" s="21"/>
      <c r="G3110" s="16"/>
    </row>
    <row r="3111" spans="1:7" ht="15" x14ac:dyDescent="0.3">
      <c r="A3111">
        <v>32.755537913045103</v>
      </c>
      <c r="B3111">
        <v>-117.09698060321</v>
      </c>
      <c r="C3111" t="s">
        <v>43</v>
      </c>
      <c r="D3111" t="s">
        <v>2092</v>
      </c>
      <c r="F3111" s="21"/>
      <c r="G3111" s="16" t="str">
        <f>HYPERLINK("http://maps.google.com/maps?f=q&amp;hl=en&amp;geocode=&amp;q=32.7555379130451,-117.09698060321")</f>
        <v>http://maps.google.com/maps?f=q&amp;hl=en&amp;geocode=&amp;q=32.7555379130451,-117.09698060321</v>
      </c>
    </row>
    <row r="3112" spans="1:7" ht="15" x14ac:dyDescent="0.3">
      <c r="A3112">
        <v>32.755537913045103</v>
      </c>
      <c r="B3112">
        <v>-117.09698060321</v>
      </c>
      <c r="C3112" t="s">
        <v>43</v>
      </c>
      <c r="D3112" t="s">
        <v>2092</v>
      </c>
      <c r="F3112" s="21"/>
      <c r="G3112" s="16" t="str">
        <f>HYPERLINK("http://maps.google.com/maps?f=q&amp;hl=en&amp;geocode=&amp;q=32.7555379130451,-117.09698060321")</f>
        <v>http://maps.google.com/maps?f=q&amp;hl=en&amp;geocode=&amp;q=32.7555379130451,-117.09698060321</v>
      </c>
    </row>
    <row r="3113" spans="1:7" ht="15" x14ac:dyDescent="0.3">
      <c r="A3113">
        <v>32.755537913045103</v>
      </c>
      <c r="B3113">
        <v>-117.09698060321</v>
      </c>
      <c r="C3113" t="s">
        <v>43</v>
      </c>
      <c r="D3113" t="s">
        <v>2092</v>
      </c>
      <c r="F3113" s="21"/>
      <c r="G3113" s="16" t="str">
        <f>HYPERLINK("http://maps.google.com/maps?f=q&amp;hl=en&amp;geocode=&amp;q=32.7555379130451,-117.09698060321")</f>
        <v>http://maps.google.com/maps?f=q&amp;hl=en&amp;geocode=&amp;q=32.7555379130451,-117.09698060321</v>
      </c>
    </row>
    <row r="3114" spans="1:7" ht="15" x14ac:dyDescent="0.3">
      <c r="A3114">
        <v>32.755537913045103</v>
      </c>
      <c r="B3114">
        <v>-117.09698060321</v>
      </c>
      <c r="C3114" t="s">
        <v>43</v>
      </c>
      <c r="D3114" t="s">
        <v>2092</v>
      </c>
      <c r="F3114" s="21"/>
      <c r="G3114" s="16" t="str">
        <f>HYPERLINK("http://maps.google.com/maps?f=q&amp;hl=en&amp;geocode=&amp;q=32.7555379130451,-117.09698060321")</f>
        <v>http://maps.google.com/maps?f=q&amp;hl=en&amp;geocode=&amp;q=32.7555379130451,-117.09698060321</v>
      </c>
    </row>
    <row r="3115" spans="1:7" ht="15" x14ac:dyDescent="0.3">
      <c r="A3115">
        <v>32.755537913045103</v>
      </c>
      <c r="B3115">
        <v>-117.09698060321</v>
      </c>
      <c r="C3115" t="s">
        <v>43</v>
      </c>
      <c r="D3115" t="s">
        <v>2092</v>
      </c>
      <c r="F3115" s="21"/>
      <c r="G3115" s="16" t="str">
        <f>HYPERLINK("http://maps.google.com/maps?f=q&amp;hl=en&amp;geocode=&amp;q=32.7555379130451,-117.09698060321")</f>
        <v>http://maps.google.com/maps?f=q&amp;hl=en&amp;geocode=&amp;q=32.7555379130451,-117.09698060321</v>
      </c>
    </row>
    <row r="3116" spans="1:7" ht="15" x14ac:dyDescent="0.3">
      <c r="A3116">
        <v>32.755537913045103</v>
      </c>
      <c r="B3116">
        <v>-117.09698060321</v>
      </c>
      <c r="C3116" t="s">
        <v>43</v>
      </c>
      <c r="D3116" t="s">
        <v>2092</v>
      </c>
      <c r="F3116" s="21"/>
      <c r="G3116" s="16" t="str">
        <f>HYPERLINK("http://maps.google.com/maps?f=q&amp;hl=en&amp;geocode=&amp;q=32.7555379130451,-117.09698060321")</f>
        <v>http://maps.google.com/maps?f=q&amp;hl=en&amp;geocode=&amp;q=32.7555379130451,-117.09698060321</v>
      </c>
    </row>
    <row r="3117" spans="1:7" ht="15" x14ac:dyDescent="0.3">
      <c r="A3117">
        <v>32.755537913045103</v>
      </c>
      <c r="B3117">
        <v>-117.09698060321</v>
      </c>
      <c r="C3117" t="s">
        <v>43</v>
      </c>
      <c r="D3117" t="s">
        <v>2092</v>
      </c>
      <c r="F3117" s="21"/>
      <c r="G3117" s="16" t="str">
        <f>HYPERLINK("http://maps.google.com/maps?f=q&amp;hl=en&amp;geocode=&amp;q=32.7555379130451,-117.09698060321")</f>
        <v>http://maps.google.com/maps?f=q&amp;hl=en&amp;geocode=&amp;q=32.7555379130451,-117.09698060321</v>
      </c>
    </row>
    <row r="3118" spans="1:7" ht="15" x14ac:dyDescent="0.3">
      <c r="A3118">
        <v>32.755537913045103</v>
      </c>
      <c r="B3118">
        <v>-117.09698060321</v>
      </c>
      <c r="C3118" t="s">
        <v>43</v>
      </c>
      <c r="D3118" t="s">
        <v>2092</v>
      </c>
      <c r="F3118" s="21"/>
      <c r="G3118" s="16" t="str">
        <f>HYPERLINK("http://maps.google.com/maps?f=q&amp;hl=en&amp;geocode=&amp;q=32.7555379130451,-117.09698060321")</f>
        <v>http://maps.google.com/maps?f=q&amp;hl=en&amp;geocode=&amp;q=32.7555379130451,-117.09698060321</v>
      </c>
    </row>
    <row r="3119" spans="1:7" ht="15" x14ac:dyDescent="0.3">
      <c r="A3119">
        <v>32.755537913045103</v>
      </c>
      <c r="B3119">
        <v>-117.09698060321</v>
      </c>
      <c r="C3119" t="s">
        <v>43</v>
      </c>
      <c r="D3119" t="s">
        <v>2092</v>
      </c>
      <c r="F3119" s="21"/>
      <c r="G3119" s="16" t="str">
        <f>HYPERLINK("http://maps.google.com/maps?f=q&amp;hl=en&amp;geocode=&amp;q=32.7555379130451,-117.09698060321")</f>
        <v>http://maps.google.com/maps?f=q&amp;hl=en&amp;geocode=&amp;q=32.7555379130451,-117.09698060321</v>
      </c>
    </row>
    <row r="3120" spans="1:7" ht="15" x14ac:dyDescent="0.3">
      <c r="A3120">
        <v>32.755537913045103</v>
      </c>
      <c r="B3120">
        <v>-117.09698060321</v>
      </c>
      <c r="C3120" t="s">
        <v>43</v>
      </c>
      <c r="D3120" t="s">
        <v>2092</v>
      </c>
      <c r="F3120" s="21"/>
      <c r="G3120" s="16" t="str">
        <f>HYPERLINK("http://maps.google.com/maps?f=q&amp;hl=en&amp;geocode=&amp;q=32.7555379130451,-117.09698060321")</f>
        <v>http://maps.google.com/maps?f=q&amp;hl=en&amp;geocode=&amp;q=32.7555379130451,-117.09698060321</v>
      </c>
    </row>
    <row r="3121" spans="1:7" ht="15" x14ac:dyDescent="0.3">
      <c r="A3121">
        <v>32.755537913045103</v>
      </c>
      <c r="B3121">
        <v>-117.09698060321</v>
      </c>
      <c r="C3121" t="s">
        <v>43</v>
      </c>
      <c r="D3121" t="s">
        <v>2092</v>
      </c>
      <c r="F3121" s="21"/>
      <c r="G3121" s="16" t="str">
        <f>HYPERLINK("http://maps.google.com/maps?f=q&amp;hl=en&amp;geocode=&amp;q=32.7555379130451,-117.09698060321")</f>
        <v>http://maps.google.com/maps?f=q&amp;hl=en&amp;geocode=&amp;q=32.7555379130451,-117.09698060321</v>
      </c>
    </row>
    <row r="3122" spans="1:7" ht="15" x14ac:dyDescent="0.3">
      <c r="A3122">
        <v>32.755537913045103</v>
      </c>
      <c r="B3122">
        <v>-117.09698060321</v>
      </c>
      <c r="C3122" t="s">
        <v>43</v>
      </c>
      <c r="D3122" t="s">
        <v>2092</v>
      </c>
      <c r="F3122" s="21"/>
      <c r="G3122" s="16" t="str">
        <f>HYPERLINK("http://maps.google.com/maps?f=q&amp;hl=en&amp;geocode=&amp;q=32.7555379130451,-117.09698060321")</f>
        <v>http://maps.google.com/maps?f=q&amp;hl=en&amp;geocode=&amp;q=32.7555379130451,-117.09698060321</v>
      </c>
    </row>
    <row r="3123" spans="1:7" ht="15" x14ac:dyDescent="0.3">
      <c r="A3123">
        <v>32.755537913045103</v>
      </c>
      <c r="B3123">
        <v>-117.09698060321</v>
      </c>
      <c r="C3123" t="s">
        <v>43</v>
      </c>
      <c r="D3123" t="s">
        <v>2092</v>
      </c>
      <c r="F3123" s="21"/>
      <c r="G3123" s="16" t="str">
        <f>HYPERLINK("http://maps.google.com/maps?f=q&amp;hl=en&amp;geocode=&amp;q=32.7555379130451,-117.09698060321")</f>
        <v>http://maps.google.com/maps?f=q&amp;hl=en&amp;geocode=&amp;q=32.7555379130451,-117.09698060321</v>
      </c>
    </row>
    <row r="3124" spans="1:7" ht="15" x14ac:dyDescent="0.3">
      <c r="A3124">
        <v>32.755537913045103</v>
      </c>
      <c r="B3124">
        <v>-117.09698060321</v>
      </c>
      <c r="C3124" t="s">
        <v>43</v>
      </c>
      <c r="D3124" t="s">
        <v>2092</v>
      </c>
      <c r="F3124" s="21"/>
      <c r="G3124" s="16" t="str">
        <f>HYPERLINK("http://maps.google.com/maps?f=q&amp;hl=en&amp;geocode=&amp;q=32.7555379130451,-117.09698060321")</f>
        <v>http://maps.google.com/maps?f=q&amp;hl=en&amp;geocode=&amp;q=32.7555379130451,-117.09698060321</v>
      </c>
    </row>
    <row r="3125" spans="1:7" ht="15" x14ac:dyDescent="0.3">
      <c r="A3125">
        <v>32.753129999999999</v>
      </c>
      <c r="B3125">
        <v>-117.09657</v>
      </c>
      <c r="C3125" t="s">
        <v>42</v>
      </c>
      <c r="D3125" t="s">
        <v>2131</v>
      </c>
      <c r="F3125" s="21"/>
      <c r="G3125" s="16" t="str">
        <f>HYPERLINK("http://maps.google.com/maps?f=q&amp;hl=en&amp;geocode=&amp;q=32.75313,-117.09657")</f>
        <v>http://maps.google.com/maps?f=q&amp;hl=en&amp;geocode=&amp;q=32.75313,-117.09657</v>
      </c>
    </row>
    <row r="3126" spans="1:7" ht="15" x14ac:dyDescent="0.3">
      <c r="A3126">
        <v>32.755537913045103</v>
      </c>
      <c r="B3126">
        <v>-117.09698060321</v>
      </c>
      <c r="C3126" t="s">
        <v>43</v>
      </c>
      <c r="D3126" t="s">
        <v>2092</v>
      </c>
      <c r="F3126" s="21"/>
      <c r="G3126" s="16" t="str">
        <f>HYPERLINK("http://maps.google.com/maps?f=q&amp;hl=en&amp;geocode=&amp;q=32.7555379130451,-117.09698060321")</f>
        <v>http://maps.google.com/maps?f=q&amp;hl=en&amp;geocode=&amp;q=32.7555379130451,-117.09698060321</v>
      </c>
    </row>
    <row r="3127" spans="1:7" ht="15" x14ac:dyDescent="0.3">
      <c r="A3127">
        <v>32.755537913045103</v>
      </c>
      <c r="B3127">
        <v>-117.09698060321</v>
      </c>
      <c r="C3127" t="s">
        <v>43</v>
      </c>
      <c r="D3127" t="s">
        <v>2092</v>
      </c>
      <c r="F3127" s="21"/>
      <c r="G3127" s="16" t="str">
        <f>HYPERLINK("http://maps.google.com/maps?f=q&amp;hl=en&amp;geocode=&amp;q=32.7555379130451,-117.09698060321")</f>
        <v>http://maps.google.com/maps?f=q&amp;hl=en&amp;geocode=&amp;q=32.7555379130451,-117.09698060321</v>
      </c>
    </row>
    <row r="3128" spans="1:7" ht="15" x14ac:dyDescent="0.3">
      <c r="A3128">
        <v>32.755537913045103</v>
      </c>
      <c r="B3128">
        <v>-117.09698060321</v>
      </c>
      <c r="C3128" t="s">
        <v>43</v>
      </c>
      <c r="D3128" t="s">
        <v>2092</v>
      </c>
      <c r="F3128" s="21"/>
      <c r="G3128" s="16" t="str">
        <f>HYPERLINK("http://maps.google.com/maps?f=q&amp;hl=en&amp;geocode=&amp;q=32.7555379130451,-117.09698060321")</f>
        <v>http://maps.google.com/maps?f=q&amp;hl=en&amp;geocode=&amp;q=32.7555379130451,-117.09698060321</v>
      </c>
    </row>
    <row r="3129" spans="1:7" ht="15" x14ac:dyDescent="0.3">
      <c r="A3129">
        <v>32.755537913045103</v>
      </c>
      <c r="B3129">
        <v>-117.09698060321</v>
      </c>
      <c r="C3129" t="s">
        <v>43</v>
      </c>
      <c r="D3129" t="s">
        <v>2092</v>
      </c>
      <c r="F3129" s="21"/>
      <c r="G3129" s="16" t="str">
        <f>HYPERLINK("http://maps.google.com/maps?f=q&amp;hl=en&amp;geocode=&amp;q=32.7555379130451,-117.09698060321")</f>
        <v>http://maps.google.com/maps?f=q&amp;hl=en&amp;geocode=&amp;q=32.7555379130451,-117.09698060321</v>
      </c>
    </row>
    <row r="3130" spans="1:7" ht="15" x14ac:dyDescent="0.3">
      <c r="A3130">
        <v>32.755537913045103</v>
      </c>
      <c r="B3130">
        <v>-117.09698060321</v>
      </c>
      <c r="C3130" t="s">
        <v>43</v>
      </c>
      <c r="D3130" t="s">
        <v>2092</v>
      </c>
      <c r="F3130" s="21"/>
      <c r="G3130" s="16" t="str">
        <f>HYPERLINK("http://maps.google.com/maps?f=q&amp;hl=en&amp;geocode=&amp;q=32.7555379130451,-117.09698060321")</f>
        <v>http://maps.google.com/maps?f=q&amp;hl=en&amp;geocode=&amp;q=32.7555379130451,-117.09698060321</v>
      </c>
    </row>
    <row r="3131" spans="1:7" ht="15" x14ac:dyDescent="0.3">
      <c r="A3131">
        <v>32.755537913045103</v>
      </c>
      <c r="B3131">
        <v>-117.09698060321</v>
      </c>
      <c r="C3131" t="s">
        <v>43</v>
      </c>
      <c r="D3131" t="s">
        <v>2092</v>
      </c>
      <c r="F3131" s="21"/>
      <c r="G3131" s="16" t="str">
        <f>HYPERLINK("http://maps.google.com/maps?f=q&amp;hl=en&amp;geocode=&amp;q=32.7555379130451,-117.09698060321")</f>
        <v>http://maps.google.com/maps?f=q&amp;hl=en&amp;geocode=&amp;q=32.7555379130451,-117.09698060321</v>
      </c>
    </row>
    <row r="3132" spans="1:7" ht="15" x14ac:dyDescent="0.3">
      <c r="A3132">
        <v>32.755537913045103</v>
      </c>
      <c r="B3132">
        <v>-117.09698060321</v>
      </c>
      <c r="C3132" t="s">
        <v>43</v>
      </c>
      <c r="D3132" t="s">
        <v>2092</v>
      </c>
      <c r="F3132" s="21"/>
      <c r="G3132" s="16" t="str">
        <f>HYPERLINK("http://maps.google.com/maps?f=q&amp;hl=en&amp;geocode=&amp;q=32.7555379130451,-117.09698060321")</f>
        <v>http://maps.google.com/maps?f=q&amp;hl=en&amp;geocode=&amp;q=32.7555379130451,-117.09698060321</v>
      </c>
    </row>
    <row r="3133" spans="1:7" ht="15" x14ac:dyDescent="0.3">
      <c r="A3133">
        <v>32.755537913045103</v>
      </c>
      <c r="B3133">
        <v>-117.09698060321</v>
      </c>
      <c r="C3133" t="s">
        <v>43</v>
      </c>
      <c r="D3133" t="s">
        <v>2092</v>
      </c>
      <c r="F3133" s="21"/>
      <c r="G3133" s="16" t="str">
        <f>HYPERLINK("http://maps.google.com/maps?f=q&amp;hl=en&amp;geocode=&amp;q=32.7555379130451,-117.09698060321")</f>
        <v>http://maps.google.com/maps?f=q&amp;hl=en&amp;geocode=&amp;q=32.7555379130451,-117.09698060321</v>
      </c>
    </row>
    <row r="3134" spans="1:7" ht="15" x14ac:dyDescent="0.3">
      <c r="A3134">
        <v>32.755537913045103</v>
      </c>
      <c r="B3134">
        <v>-117.09698060321</v>
      </c>
      <c r="C3134" t="s">
        <v>43</v>
      </c>
      <c r="D3134" t="s">
        <v>2092</v>
      </c>
      <c r="F3134" s="21"/>
      <c r="G3134" s="16" t="str">
        <f>HYPERLINK("http://maps.google.com/maps?f=q&amp;hl=en&amp;geocode=&amp;q=32.7555379130451,-117.09698060321")</f>
        <v>http://maps.google.com/maps?f=q&amp;hl=en&amp;geocode=&amp;q=32.7555379130451,-117.09698060321</v>
      </c>
    </row>
    <row r="3135" spans="1:7" ht="15" x14ac:dyDescent="0.3">
      <c r="A3135">
        <v>32.755537913045103</v>
      </c>
      <c r="B3135">
        <v>-117.09698060321</v>
      </c>
      <c r="C3135" t="s">
        <v>43</v>
      </c>
      <c r="D3135" t="s">
        <v>2092</v>
      </c>
      <c r="F3135" s="21"/>
      <c r="G3135" s="16" t="str">
        <f>HYPERLINK("http://maps.google.com/maps?f=q&amp;hl=en&amp;geocode=&amp;q=32.7555379130451,-117.09698060321")</f>
        <v>http://maps.google.com/maps?f=q&amp;hl=en&amp;geocode=&amp;q=32.7555379130451,-117.09698060321</v>
      </c>
    </row>
    <row r="3136" spans="1:7" ht="15" x14ac:dyDescent="0.3">
      <c r="A3136">
        <v>32.755537913045103</v>
      </c>
      <c r="B3136">
        <v>-117.09698060321</v>
      </c>
      <c r="C3136" t="s">
        <v>43</v>
      </c>
      <c r="D3136" t="s">
        <v>2092</v>
      </c>
      <c r="F3136" s="21"/>
      <c r="G3136" s="16" t="str">
        <f>HYPERLINK("http://maps.google.com/maps?f=q&amp;hl=en&amp;geocode=&amp;q=32.7555379130451,-117.09698060321")</f>
        <v>http://maps.google.com/maps?f=q&amp;hl=en&amp;geocode=&amp;q=32.7555379130451,-117.09698060321</v>
      </c>
    </row>
    <row r="3137" spans="1:7" ht="15" x14ac:dyDescent="0.3">
      <c r="A3137">
        <v>32.755537913045103</v>
      </c>
      <c r="B3137">
        <v>-117.09698060321</v>
      </c>
      <c r="C3137" t="s">
        <v>43</v>
      </c>
      <c r="D3137" t="s">
        <v>2092</v>
      </c>
      <c r="F3137" s="21"/>
      <c r="G3137" s="16" t="str">
        <f>HYPERLINK("http://maps.google.com/maps?f=q&amp;hl=en&amp;geocode=&amp;q=32.7555379130451,-117.09698060321")</f>
        <v>http://maps.google.com/maps?f=q&amp;hl=en&amp;geocode=&amp;q=32.7555379130451,-117.09698060321</v>
      </c>
    </row>
    <row r="3138" spans="1:7" ht="15" x14ac:dyDescent="0.3">
      <c r="A3138">
        <v>32.755537913045103</v>
      </c>
      <c r="B3138">
        <v>-117.09698060321</v>
      </c>
      <c r="C3138" t="s">
        <v>43</v>
      </c>
      <c r="D3138" t="s">
        <v>2092</v>
      </c>
      <c r="F3138" s="21"/>
      <c r="G3138" s="16" t="str">
        <f>HYPERLINK("http://maps.google.com/maps?f=q&amp;hl=en&amp;geocode=&amp;q=32.7555379130451,-117.09698060321")</f>
        <v>http://maps.google.com/maps?f=q&amp;hl=en&amp;geocode=&amp;q=32.7555379130451,-117.09698060321</v>
      </c>
    </row>
    <row r="3139" spans="1:7" ht="15" x14ac:dyDescent="0.3">
      <c r="A3139">
        <v>32.755537913045103</v>
      </c>
      <c r="B3139">
        <v>-117.09698060321</v>
      </c>
      <c r="C3139" t="s">
        <v>43</v>
      </c>
      <c r="D3139" t="s">
        <v>2092</v>
      </c>
      <c r="F3139" s="21"/>
      <c r="G3139" s="16" t="str">
        <f>HYPERLINK("http://maps.google.com/maps?f=q&amp;hl=en&amp;geocode=&amp;q=32.7555379130451,-117.09698060321")</f>
        <v>http://maps.google.com/maps?f=q&amp;hl=en&amp;geocode=&amp;q=32.7555379130451,-117.09698060321</v>
      </c>
    </row>
    <row r="3140" spans="1:7" ht="15" x14ac:dyDescent="0.3">
      <c r="A3140">
        <v>32.755537913045103</v>
      </c>
      <c r="B3140">
        <v>-117.09698060321</v>
      </c>
      <c r="C3140" t="s">
        <v>43</v>
      </c>
      <c r="D3140" t="s">
        <v>2092</v>
      </c>
      <c r="F3140" s="21"/>
      <c r="G3140" s="16" t="str">
        <f>HYPERLINK("http://maps.google.com/maps?f=q&amp;hl=en&amp;geocode=&amp;q=32.7555379130451,-117.09698060321")</f>
        <v>http://maps.google.com/maps?f=q&amp;hl=en&amp;geocode=&amp;q=32.7555379130451,-117.09698060321</v>
      </c>
    </row>
    <row r="3141" spans="1:7" ht="15" x14ac:dyDescent="0.3">
      <c r="A3141">
        <v>32.753267468769501</v>
      </c>
      <c r="B3141">
        <v>-117.096622283177</v>
      </c>
      <c r="C3141" t="s">
        <v>43</v>
      </c>
      <c r="D3141" t="s">
        <v>2132</v>
      </c>
      <c r="F3141" s="21"/>
      <c r="G3141" s="16" t="str">
        <f>HYPERLINK("http://maps.google.com/maps?f=q&amp;hl=en&amp;geocode=&amp;q=32.7532674687695,-117.096622283177")</f>
        <v>http://maps.google.com/maps?f=q&amp;hl=en&amp;geocode=&amp;q=32.7532674687695,-117.096622283177</v>
      </c>
    </row>
    <row r="3142" spans="1:7" ht="15" x14ac:dyDescent="0.3">
      <c r="A3142">
        <v>32.755537913045103</v>
      </c>
      <c r="B3142">
        <v>-117.09698060321</v>
      </c>
      <c r="C3142" t="s">
        <v>43</v>
      </c>
      <c r="D3142" t="s">
        <v>2092</v>
      </c>
      <c r="F3142" s="21"/>
      <c r="G3142" s="16" t="str">
        <f>HYPERLINK("http://maps.google.com/maps?f=q&amp;hl=en&amp;geocode=&amp;q=32.7555379130451,-117.09698060321")</f>
        <v>http://maps.google.com/maps?f=q&amp;hl=en&amp;geocode=&amp;q=32.7555379130451,-117.09698060321</v>
      </c>
    </row>
    <row r="3143" spans="1:7" ht="15" x14ac:dyDescent="0.3">
      <c r="A3143">
        <v>32.755537913045103</v>
      </c>
      <c r="B3143">
        <v>-117.09698060321</v>
      </c>
      <c r="C3143" t="s">
        <v>43</v>
      </c>
      <c r="D3143" t="s">
        <v>2092</v>
      </c>
      <c r="F3143" s="21"/>
      <c r="G3143" s="16" t="str">
        <f>HYPERLINK("http://maps.google.com/maps?f=q&amp;hl=en&amp;geocode=&amp;q=32.7555379130451,-117.09698060321")</f>
        <v>http://maps.google.com/maps?f=q&amp;hl=en&amp;geocode=&amp;q=32.7555379130451,-117.09698060321</v>
      </c>
    </row>
    <row r="3144" spans="1:7" ht="15" x14ac:dyDescent="0.3">
      <c r="A3144">
        <v>32.755537913045103</v>
      </c>
      <c r="B3144">
        <v>-117.09698060321</v>
      </c>
      <c r="C3144" t="s">
        <v>43</v>
      </c>
      <c r="D3144" t="s">
        <v>2092</v>
      </c>
      <c r="F3144" s="21"/>
      <c r="G3144" s="16" t="str">
        <f>HYPERLINK("http://maps.google.com/maps?f=q&amp;hl=en&amp;geocode=&amp;q=32.7555379130451,-117.09698060321")</f>
        <v>http://maps.google.com/maps?f=q&amp;hl=en&amp;geocode=&amp;q=32.7555379130451,-117.09698060321</v>
      </c>
    </row>
    <row r="3145" spans="1:7" ht="15" x14ac:dyDescent="0.3">
      <c r="A3145">
        <v>32.753267468769501</v>
      </c>
      <c r="B3145">
        <v>-117.096622283177</v>
      </c>
      <c r="C3145" t="s">
        <v>43</v>
      </c>
      <c r="D3145" t="s">
        <v>2132</v>
      </c>
      <c r="F3145" s="21"/>
      <c r="G3145" s="16" t="str">
        <f>HYPERLINK("http://maps.google.com/maps?f=q&amp;hl=en&amp;geocode=&amp;q=32.7532674687695,-117.096622283177")</f>
        <v>http://maps.google.com/maps?f=q&amp;hl=en&amp;geocode=&amp;q=32.7532674687695,-117.096622283177</v>
      </c>
    </row>
    <row r="3146" spans="1:7" ht="15" x14ac:dyDescent="0.3">
      <c r="A3146">
        <v>32.755537913045103</v>
      </c>
      <c r="B3146">
        <v>-117.09698060321</v>
      </c>
      <c r="C3146" t="s">
        <v>43</v>
      </c>
      <c r="D3146" t="s">
        <v>2092</v>
      </c>
      <c r="F3146" s="21"/>
      <c r="G3146" s="16" t="str">
        <f>HYPERLINK("http://maps.google.com/maps?f=q&amp;hl=en&amp;geocode=&amp;q=32.7555379130451,-117.09698060321")</f>
        <v>http://maps.google.com/maps?f=q&amp;hl=en&amp;geocode=&amp;q=32.7555379130451,-117.09698060321</v>
      </c>
    </row>
    <row r="3147" spans="1:7" ht="15" x14ac:dyDescent="0.3">
      <c r="A3147">
        <v>32.753267468769501</v>
      </c>
      <c r="B3147">
        <v>-117.096622283177</v>
      </c>
      <c r="C3147" t="s">
        <v>43</v>
      </c>
      <c r="D3147" t="s">
        <v>2132</v>
      </c>
      <c r="F3147" s="21"/>
      <c r="G3147" s="16" t="str">
        <f>HYPERLINK("http://maps.google.com/maps?f=q&amp;hl=en&amp;geocode=&amp;q=32.7532674687695,-117.096622283177")</f>
        <v>http://maps.google.com/maps?f=q&amp;hl=en&amp;geocode=&amp;q=32.7532674687695,-117.096622283177</v>
      </c>
    </row>
    <row r="3148" spans="1:7" ht="15" x14ac:dyDescent="0.3">
      <c r="A3148">
        <v>32.755537913045103</v>
      </c>
      <c r="B3148">
        <v>-117.09698060321</v>
      </c>
      <c r="C3148" t="s">
        <v>43</v>
      </c>
      <c r="D3148" t="s">
        <v>2092</v>
      </c>
      <c r="F3148" s="21"/>
      <c r="G3148" s="16" t="str">
        <f>HYPERLINK("http://maps.google.com/maps?f=q&amp;hl=en&amp;geocode=&amp;q=32.7555379130451,-117.09698060321")</f>
        <v>http://maps.google.com/maps?f=q&amp;hl=en&amp;geocode=&amp;q=32.7555379130451,-117.09698060321</v>
      </c>
    </row>
    <row r="3149" spans="1:7" ht="15" x14ac:dyDescent="0.3">
      <c r="A3149">
        <v>32.753267468769501</v>
      </c>
      <c r="B3149">
        <v>-117.096622283177</v>
      </c>
      <c r="C3149" t="s">
        <v>43</v>
      </c>
      <c r="D3149" t="s">
        <v>2132</v>
      </c>
      <c r="F3149" s="21"/>
      <c r="G3149" s="16" t="str">
        <f>HYPERLINK("http://maps.google.com/maps?f=q&amp;hl=en&amp;geocode=&amp;q=32.7532674687695,-117.096622283177")</f>
        <v>http://maps.google.com/maps?f=q&amp;hl=en&amp;geocode=&amp;q=32.7532674687695,-117.096622283177</v>
      </c>
    </row>
    <row r="3150" spans="1:7" ht="15" x14ac:dyDescent="0.3">
      <c r="A3150">
        <v>31.245507013157699</v>
      </c>
      <c r="B3150">
        <v>-102.291883378111</v>
      </c>
      <c r="C3150" t="s">
        <v>41</v>
      </c>
      <c r="D3150" t="s">
        <v>2133</v>
      </c>
      <c r="F3150" s="21"/>
      <c r="G3150" s="16" t="str">
        <f>HYPERLINK("http://maps.google.com/maps?f=q&amp;hl=en&amp;geocode=&amp;q=31.2455070131577,-102.291883378111")</f>
        <v>http://maps.google.com/maps?f=q&amp;hl=en&amp;geocode=&amp;q=31.2455070131577,-102.291883378111</v>
      </c>
    </row>
    <row r="3151" spans="1:7" ht="15" x14ac:dyDescent="0.3">
      <c r="F3151" s="21"/>
      <c r="G3151" s="16"/>
    </row>
    <row r="3152" spans="1:7" ht="15" x14ac:dyDescent="0.3">
      <c r="A3152">
        <v>42.028467709635699</v>
      </c>
      <c r="B3152">
        <v>-89.278583045401803</v>
      </c>
      <c r="C3152" t="s">
        <v>43</v>
      </c>
      <c r="D3152" t="s">
        <v>2003</v>
      </c>
      <c r="F3152" s="21"/>
      <c r="G3152" s="16" t="str">
        <f>HYPERLINK("http://maps.google.com/maps?f=q&amp;hl=en&amp;geocode=&amp;q=42.0284677096357,-89.2785830454018")</f>
        <v>http://maps.google.com/maps?f=q&amp;hl=en&amp;geocode=&amp;q=42.0284677096357,-89.2785830454018</v>
      </c>
    </row>
    <row r="3153" spans="1:7" ht="15" x14ac:dyDescent="0.3">
      <c r="A3153">
        <v>42.028467709635699</v>
      </c>
      <c r="B3153">
        <v>-89.278583045401803</v>
      </c>
      <c r="C3153" t="s">
        <v>43</v>
      </c>
      <c r="D3153" t="s">
        <v>2003</v>
      </c>
      <c r="F3153" s="21"/>
      <c r="G3153" s="16" t="str">
        <f>HYPERLINK("http://maps.google.com/maps?f=q&amp;hl=en&amp;geocode=&amp;q=42.0284677096357,-89.2785830454018")</f>
        <v>http://maps.google.com/maps?f=q&amp;hl=en&amp;geocode=&amp;q=42.0284677096357,-89.2785830454018</v>
      </c>
    </row>
    <row r="3154" spans="1:7" ht="15" x14ac:dyDescent="0.3">
      <c r="A3154">
        <v>41.649540000000002</v>
      </c>
      <c r="B3154">
        <v>-83.585999999999999</v>
      </c>
      <c r="C3154" t="s">
        <v>41</v>
      </c>
      <c r="D3154" t="s">
        <v>1083</v>
      </c>
      <c r="F3154" s="21"/>
      <c r="G3154" s="16" t="str">
        <f>HYPERLINK("http://maps.google.com/maps?f=q&amp;hl=en&amp;geocode=&amp;q=41.64954,-83.586")</f>
        <v>http://maps.google.com/maps?f=q&amp;hl=en&amp;geocode=&amp;q=41.64954,-83.586</v>
      </c>
    </row>
    <row r="3155" spans="1:7" ht="15" x14ac:dyDescent="0.3">
      <c r="A3155">
        <v>49.623825073242202</v>
      </c>
      <c r="B3155">
        <v>6.2705807685852104</v>
      </c>
      <c r="C3155" t="s">
        <v>41</v>
      </c>
      <c r="D3155" t="s">
        <v>2134</v>
      </c>
      <c r="F3155" s="21"/>
      <c r="G3155" s="16" t="str">
        <f>HYPERLINK("http://maps.google.com/maps?f=q&amp;hl=en&amp;geocode=&amp;q=49.6238250732422,6.27058076858521")</f>
        <v>http://maps.google.com/maps?f=q&amp;hl=en&amp;geocode=&amp;q=49.6238250732422,6.27058076858521</v>
      </c>
    </row>
    <row r="3156" spans="1:7" ht="15" x14ac:dyDescent="0.3">
      <c r="A3156">
        <v>55.316757202148402</v>
      </c>
      <c r="B3156">
        <v>10.7729501724243</v>
      </c>
      <c r="C3156" t="s">
        <v>43</v>
      </c>
      <c r="D3156" t="s">
        <v>2135</v>
      </c>
      <c r="F3156" s="21"/>
      <c r="G3156" s="16" t="str">
        <f>HYPERLINK("http://maps.google.com/maps?f=q&amp;hl=en&amp;geocode=&amp;q=55.3167572021484,10.7729501724243")</f>
        <v>http://maps.google.com/maps?f=q&amp;hl=en&amp;geocode=&amp;q=55.3167572021484,10.7729501724243</v>
      </c>
    </row>
    <row r="3157" spans="1:7" ht="15" x14ac:dyDescent="0.3">
      <c r="A3157" t="s">
        <v>44</v>
      </c>
      <c r="B3157" t="s">
        <v>44</v>
      </c>
      <c r="C3157" t="s">
        <v>44</v>
      </c>
      <c r="D3157" t="s">
        <v>2136</v>
      </c>
      <c r="F3157" s="21"/>
      <c r="G3157" s="16"/>
    </row>
    <row r="3158" spans="1:7" ht="15" x14ac:dyDescent="0.3">
      <c r="A3158">
        <v>40.610939025878899</v>
      </c>
      <c r="B3158">
        <v>-77.616302490234403</v>
      </c>
      <c r="C3158" t="s">
        <v>41</v>
      </c>
      <c r="D3158" t="s">
        <v>2137</v>
      </c>
      <c r="F3158" s="21"/>
      <c r="G3158" s="16" t="str">
        <f>HYPERLINK("http://maps.google.com/maps?f=q&amp;hl=en&amp;geocode=&amp;q=40.6109390258789,-77.6163024902344")</f>
        <v>http://maps.google.com/maps?f=q&amp;hl=en&amp;geocode=&amp;q=40.6109390258789,-77.6163024902344</v>
      </c>
    </row>
    <row r="3159" spans="1:7" ht="15" x14ac:dyDescent="0.3">
      <c r="A3159">
        <v>32.4807874991779</v>
      </c>
      <c r="B3159">
        <v>-90.138913816164305</v>
      </c>
      <c r="C3159" t="s">
        <v>41</v>
      </c>
      <c r="D3159" t="s">
        <v>2138</v>
      </c>
      <c r="F3159" s="21"/>
      <c r="G3159" s="16" t="str">
        <f>HYPERLINK("http://maps.google.com/maps?f=q&amp;hl=en&amp;geocode=&amp;q=32.4807874991779,-90.1389138161643")</f>
        <v>http://maps.google.com/maps?f=q&amp;hl=en&amp;geocode=&amp;q=32.4807874991779,-90.1389138161643</v>
      </c>
    </row>
    <row r="3160" spans="1:7" ht="15" x14ac:dyDescent="0.3">
      <c r="A3160">
        <v>38.798560000000002</v>
      </c>
      <c r="B3160">
        <v>-90.20908</v>
      </c>
      <c r="C3160" t="s">
        <v>43</v>
      </c>
      <c r="D3160" t="s">
        <v>413</v>
      </c>
      <c r="F3160" s="21"/>
      <c r="G3160" s="16" t="str">
        <f>HYPERLINK("http://maps.google.com/maps?f=q&amp;hl=en&amp;geocode=&amp;q=38.79856,-90.20908")</f>
        <v>http://maps.google.com/maps?f=q&amp;hl=en&amp;geocode=&amp;q=38.79856,-90.20908</v>
      </c>
    </row>
    <row r="3161" spans="1:7" ht="15" x14ac:dyDescent="0.3">
      <c r="A3161">
        <v>40.005633262006398</v>
      </c>
      <c r="B3161">
        <v>-83.061130266683406</v>
      </c>
      <c r="C3161" t="s">
        <v>41</v>
      </c>
      <c r="D3161" t="s">
        <v>2139</v>
      </c>
      <c r="F3161" s="21"/>
      <c r="G3161" s="16" t="str">
        <f>HYPERLINK("http://maps.google.com/maps?f=q&amp;hl=en&amp;geocode=&amp;q=40.0056332620064,-83.0611302666834")</f>
        <v>http://maps.google.com/maps?f=q&amp;hl=en&amp;geocode=&amp;q=40.0056332620064,-83.0611302666834</v>
      </c>
    </row>
    <row r="3162" spans="1:7" ht="15" x14ac:dyDescent="0.3">
      <c r="A3162">
        <v>40.046520000000001</v>
      </c>
      <c r="B3162">
        <v>-75.123310000000004</v>
      </c>
      <c r="C3162" t="s">
        <v>43</v>
      </c>
      <c r="D3162" t="s">
        <v>2140</v>
      </c>
      <c r="F3162" s="21"/>
      <c r="G3162" s="16" t="str">
        <f>HYPERLINK("http://maps.google.com/maps?f=q&amp;hl=en&amp;geocode=&amp;q=40.04652,-75.12331")</f>
        <v>http://maps.google.com/maps?f=q&amp;hl=en&amp;geocode=&amp;q=40.04652,-75.12331</v>
      </c>
    </row>
    <row r="3163" spans="1:7" ht="15" x14ac:dyDescent="0.3">
      <c r="A3163" t="s">
        <v>44</v>
      </c>
      <c r="B3163" t="s">
        <v>44</v>
      </c>
      <c r="C3163" t="s">
        <v>44</v>
      </c>
      <c r="D3163" t="s">
        <v>2141</v>
      </c>
      <c r="F3163" s="21"/>
      <c r="G3163" s="16"/>
    </row>
    <row r="3164" spans="1:7" ht="15" x14ac:dyDescent="0.3">
      <c r="A3164">
        <v>-37.040729522705099</v>
      </c>
      <c r="B3164">
        <v>174.87356567382801</v>
      </c>
      <c r="C3164" t="s">
        <v>41</v>
      </c>
      <c r="D3164" t="s">
        <v>2142</v>
      </c>
      <c r="F3164" s="21"/>
      <c r="G3164" s="16" t="str">
        <f>HYPERLINK("http://maps.google.com/maps?f=q&amp;hl=en&amp;geocode=&amp;q=-37.0407295227051,174.873565673828")</f>
        <v>http://maps.google.com/maps?f=q&amp;hl=en&amp;geocode=&amp;q=-37.0407295227051,174.873565673828</v>
      </c>
    </row>
    <row r="3165" spans="1:7" ht="15" x14ac:dyDescent="0.3">
      <c r="A3165">
        <v>42.597015380859403</v>
      </c>
      <c r="B3165">
        <v>23.6127319335938</v>
      </c>
      <c r="C3165" t="s">
        <v>41</v>
      </c>
      <c r="D3165" t="s">
        <v>2143</v>
      </c>
      <c r="F3165" s="21"/>
      <c r="G3165" s="16" t="str">
        <f>HYPERLINK("http://maps.google.com/maps?f=q&amp;hl=en&amp;geocode=&amp;q=42.5970153808594,23.6127319335938")</f>
        <v>http://maps.google.com/maps?f=q&amp;hl=en&amp;geocode=&amp;q=42.5970153808594,23.6127319335938</v>
      </c>
    </row>
    <row r="3166" spans="1:7" ht="15" x14ac:dyDescent="0.3">
      <c r="A3166">
        <v>45.648745043489598</v>
      </c>
      <c r="B3166">
        <v>-84.504105519923101</v>
      </c>
      <c r="C3166" t="s">
        <v>41</v>
      </c>
      <c r="D3166" t="s">
        <v>754</v>
      </c>
      <c r="F3166" s="21"/>
      <c r="G3166" s="16" t="str">
        <f>HYPERLINK("http://maps.google.com/maps?f=q&amp;hl=en&amp;geocode=&amp;q=45.6487450434896,-84.5041055199231")</f>
        <v>http://maps.google.com/maps?f=q&amp;hl=en&amp;geocode=&amp;q=45.6487450434896,-84.5041055199231</v>
      </c>
    </row>
    <row r="3167" spans="1:7" ht="15" x14ac:dyDescent="0.3">
      <c r="A3167">
        <v>41.0805348871475</v>
      </c>
      <c r="B3167">
        <v>-112.06960551109201</v>
      </c>
      <c r="C3167" t="s">
        <v>41</v>
      </c>
      <c r="D3167" t="s">
        <v>2144</v>
      </c>
      <c r="F3167" s="21"/>
      <c r="G3167" s="16" t="str">
        <f>HYPERLINK("http://maps.google.com/maps?f=q&amp;hl=en&amp;geocode=&amp;q=41.0805348871475,-112.069605511092")</f>
        <v>http://maps.google.com/maps?f=q&amp;hl=en&amp;geocode=&amp;q=41.0805348871475,-112.069605511092</v>
      </c>
    </row>
    <row r="3168" spans="1:7" ht="15" x14ac:dyDescent="0.3">
      <c r="A3168">
        <v>40.002470000000002</v>
      </c>
      <c r="B3168">
        <v>-75.560370000000006</v>
      </c>
      <c r="C3168" t="s">
        <v>42</v>
      </c>
      <c r="D3168" t="s">
        <v>2145</v>
      </c>
      <c r="F3168" s="21"/>
      <c r="G3168" s="16" t="str">
        <f>HYPERLINK("http://maps.google.com/maps?f=q&amp;hl=en&amp;geocode=&amp;q=40.00247,-75.56037")</f>
        <v>http://maps.google.com/maps?f=q&amp;hl=en&amp;geocode=&amp;q=40.00247,-75.56037</v>
      </c>
    </row>
    <row r="3169" spans="1:7" ht="15" x14ac:dyDescent="0.3">
      <c r="A3169">
        <v>46.995337081837597</v>
      </c>
      <c r="B3169">
        <v>-101.320916872849</v>
      </c>
      <c r="C3169" t="s">
        <v>41</v>
      </c>
      <c r="D3169" t="s">
        <v>2146</v>
      </c>
      <c r="F3169" s="21"/>
      <c r="G3169" s="16" t="str">
        <f>HYPERLINK("http://maps.google.com/maps?f=q&amp;hl=en&amp;geocode=&amp;q=46.9953370818376,-101.320916872849")</f>
        <v>http://maps.google.com/maps?f=q&amp;hl=en&amp;geocode=&amp;q=46.9953370818376,-101.320916872849</v>
      </c>
    </row>
    <row r="3170" spans="1:7" ht="15" x14ac:dyDescent="0.3">
      <c r="A3170">
        <v>39.972520000000003</v>
      </c>
      <c r="B3170">
        <v>-75.167410000000004</v>
      </c>
      <c r="C3170" t="s">
        <v>43</v>
      </c>
      <c r="D3170" t="s">
        <v>2147</v>
      </c>
      <c r="F3170" s="21"/>
      <c r="G3170" s="16" t="str">
        <f>HYPERLINK("http://maps.google.com/maps?f=q&amp;hl=en&amp;geocode=&amp;q=39.97252,-75.16741")</f>
        <v>http://maps.google.com/maps?f=q&amp;hl=en&amp;geocode=&amp;q=39.97252,-75.16741</v>
      </c>
    </row>
    <row r="3171" spans="1:7" ht="15" x14ac:dyDescent="0.3">
      <c r="A3171">
        <v>39.4432563781738</v>
      </c>
      <c r="B3171">
        <v>-98.957336425781307</v>
      </c>
      <c r="C3171" t="s">
        <v>43</v>
      </c>
      <c r="D3171" t="s">
        <v>2148</v>
      </c>
      <c r="F3171" s="21"/>
      <c r="G3171" s="16" t="str">
        <f>HYPERLINK("http://maps.google.com/maps?f=q&amp;hl=en&amp;geocode=&amp;q=39.4432563781738,-98.9573364257813")</f>
        <v>http://maps.google.com/maps?f=q&amp;hl=en&amp;geocode=&amp;q=39.4432563781738,-98.9573364257813</v>
      </c>
    </row>
    <row r="3172" spans="1:7" ht="15" x14ac:dyDescent="0.3">
      <c r="A3172" t="s">
        <v>44</v>
      </c>
      <c r="B3172" t="s">
        <v>44</v>
      </c>
      <c r="C3172" t="s">
        <v>44</v>
      </c>
      <c r="D3172" t="s">
        <v>1004</v>
      </c>
      <c r="F3172" s="21"/>
      <c r="G3172" s="16"/>
    </row>
    <row r="3173" spans="1:7" ht="15" x14ac:dyDescent="0.3">
      <c r="A3173" t="s">
        <v>44</v>
      </c>
      <c r="B3173" t="s">
        <v>44</v>
      </c>
      <c r="C3173" t="s">
        <v>44</v>
      </c>
      <c r="D3173" t="s">
        <v>2136</v>
      </c>
      <c r="F3173" s="21"/>
      <c r="G3173" s="16"/>
    </row>
    <row r="3174" spans="1:7" ht="15" x14ac:dyDescent="0.3">
      <c r="A3174">
        <v>-33.138832092285199</v>
      </c>
      <c r="B3174">
        <v>137.29994201660199</v>
      </c>
      <c r="C3174" t="s">
        <v>41</v>
      </c>
      <c r="D3174" t="s">
        <v>2149</v>
      </c>
      <c r="F3174" s="21"/>
      <c r="G3174" s="16" t="str">
        <f>HYPERLINK("http://maps.google.com/maps?f=q&amp;hl=en&amp;geocode=&amp;q=-33.1388320922852,137.299942016602")</f>
        <v>http://maps.google.com/maps?f=q&amp;hl=en&amp;geocode=&amp;q=-33.1388320922852,137.299942016602</v>
      </c>
    </row>
    <row r="3175" spans="1:7" ht="15" x14ac:dyDescent="0.3">
      <c r="A3175">
        <v>27.892122557813899</v>
      </c>
      <c r="B3175">
        <v>-82.487850155950596</v>
      </c>
      <c r="C3175" t="s">
        <v>41</v>
      </c>
      <c r="D3175" t="s">
        <v>2150</v>
      </c>
      <c r="F3175" s="21"/>
      <c r="G3175" s="16" t="str">
        <f>HYPERLINK("http://maps.google.com/maps?f=q&amp;hl=en&amp;geocode=&amp;q=27.8921225578139,-82.4878501559506")</f>
        <v>http://maps.google.com/maps?f=q&amp;hl=en&amp;geocode=&amp;q=27.8921225578139,-82.4878501559506</v>
      </c>
    </row>
    <row r="3176" spans="1:7" ht="15" x14ac:dyDescent="0.3">
      <c r="A3176">
        <v>39.26867</v>
      </c>
      <c r="B3176">
        <v>-81.534819999999996</v>
      </c>
      <c r="C3176" t="s">
        <v>42</v>
      </c>
      <c r="D3176" t="s">
        <v>2151</v>
      </c>
      <c r="F3176" s="21"/>
      <c r="G3176" s="16" t="str">
        <f>HYPERLINK("http://maps.google.com/maps?f=q&amp;hl=en&amp;geocode=&amp;q=39.26867,-81.53482")</f>
        <v>http://maps.google.com/maps?f=q&amp;hl=en&amp;geocode=&amp;q=39.26867,-81.53482</v>
      </c>
    </row>
    <row r="3177" spans="1:7" ht="15" x14ac:dyDescent="0.3">
      <c r="A3177">
        <v>40.043340000000001</v>
      </c>
      <c r="B3177">
        <v>-75.104200000000006</v>
      </c>
      <c r="C3177" t="s">
        <v>43</v>
      </c>
      <c r="D3177" t="s">
        <v>1245</v>
      </c>
      <c r="F3177" s="21"/>
      <c r="G3177" s="16" t="str">
        <f>HYPERLINK("http://maps.google.com/maps?f=q&amp;hl=en&amp;geocode=&amp;q=40.04334,-75.1042")</f>
        <v>http://maps.google.com/maps?f=q&amp;hl=en&amp;geocode=&amp;q=40.04334,-75.1042</v>
      </c>
    </row>
    <row r="3178" spans="1:7" ht="15" x14ac:dyDescent="0.3">
      <c r="A3178">
        <v>40.121519999999997</v>
      </c>
      <c r="B3178">
        <v>-75.035120000000006</v>
      </c>
      <c r="C3178" t="s">
        <v>41</v>
      </c>
      <c r="D3178" t="s">
        <v>1876</v>
      </c>
      <c r="F3178" s="21"/>
      <c r="G3178" s="16" t="str">
        <f>HYPERLINK("http://maps.google.com/maps?f=q&amp;hl=en&amp;geocode=&amp;q=40.12152,-75.03512")</f>
        <v>http://maps.google.com/maps?f=q&amp;hl=en&amp;geocode=&amp;q=40.12152,-75.03512</v>
      </c>
    </row>
    <row r="3179" spans="1:7" ht="15" x14ac:dyDescent="0.3">
      <c r="A3179">
        <v>39.865511624769297</v>
      </c>
      <c r="B3179">
        <v>-75.523476531166395</v>
      </c>
      <c r="C3179" t="s">
        <v>41</v>
      </c>
      <c r="D3179" t="s">
        <v>1645</v>
      </c>
      <c r="F3179" s="21"/>
      <c r="G3179" s="16" t="str">
        <f>HYPERLINK("http://maps.google.com/maps?f=q&amp;hl=en&amp;geocode=&amp;q=39.8655116247693,-75.5234765311664")</f>
        <v>http://maps.google.com/maps?f=q&amp;hl=en&amp;geocode=&amp;q=39.8655116247693,-75.5234765311664</v>
      </c>
    </row>
    <row r="3180" spans="1:7" ht="15" x14ac:dyDescent="0.3">
      <c r="A3180">
        <v>31.4592586062066</v>
      </c>
      <c r="B3180">
        <v>-89.977550343466902</v>
      </c>
      <c r="C3180" t="s">
        <v>43</v>
      </c>
      <c r="D3180" t="s">
        <v>2152</v>
      </c>
      <c r="F3180" s="21"/>
      <c r="G3180" s="16" t="str">
        <f>HYPERLINK("http://maps.google.com/maps?f=q&amp;hl=en&amp;geocode=&amp;q=31.4592586062066,-89.9775503434669")</f>
        <v>http://maps.google.com/maps?f=q&amp;hl=en&amp;geocode=&amp;q=31.4592586062066,-89.9775503434669</v>
      </c>
    </row>
    <row r="3181" spans="1:7" ht="15" x14ac:dyDescent="0.3">
      <c r="A3181">
        <v>31.4592586062066</v>
      </c>
      <c r="B3181">
        <v>-89.977550343466902</v>
      </c>
      <c r="C3181" t="s">
        <v>43</v>
      </c>
      <c r="D3181" t="s">
        <v>2152</v>
      </c>
      <c r="F3181" s="21"/>
      <c r="G3181" s="16" t="str">
        <f>HYPERLINK("http://maps.google.com/maps?f=q&amp;hl=en&amp;geocode=&amp;q=31.4592586062066,-89.9775503434669")</f>
        <v>http://maps.google.com/maps?f=q&amp;hl=en&amp;geocode=&amp;q=31.4592586062066,-89.9775503434669</v>
      </c>
    </row>
    <row r="3182" spans="1:7" ht="15" x14ac:dyDescent="0.3">
      <c r="A3182">
        <v>31.4592586062066</v>
      </c>
      <c r="B3182">
        <v>-89.977550343466902</v>
      </c>
      <c r="C3182" t="s">
        <v>43</v>
      </c>
      <c r="D3182" t="s">
        <v>2152</v>
      </c>
      <c r="F3182" s="21"/>
      <c r="G3182" s="16" t="str">
        <f>HYPERLINK("http://maps.google.com/maps?f=q&amp;hl=en&amp;geocode=&amp;q=31.4592586062066,-89.9775503434669")</f>
        <v>http://maps.google.com/maps?f=q&amp;hl=en&amp;geocode=&amp;q=31.4592586062066,-89.9775503434669</v>
      </c>
    </row>
    <row r="3183" spans="1:7" ht="15" x14ac:dyDescent="0.3">
      <c r="A3183">
        <v>31.4592586062066</v>
      </c>
      <c r="B3183">
        <v>-89.977550343466902</v>
      </c>
      <c r="C3183" t="s">
        <v>43</v>
      </c>
      <c r="D3183" t="s">
        <v>2152</v>
      </c>
      <c r="F3183" s="21"/>
      <c r="G3183" s="16" t="str">
        <f>HYPERLINK("http://maps.google.com/maps?f=q&amp;hl=en&amp;geocode=&amp;q=31.4592586062066,-89.9775503434669")</f>
        <v>http://maps.google.com/maps?f=q&amp;hl=en&amp;geocode=&amp;q=31.4592586062066,-89.9775503434669</v>
      </c>
    </row>
    <row r="3184" spans="1:7" ht="15" x14ac:dyDescent="0.3">
      <c r="A3184">
        <v>31.4592586062066</v>
      </c>
      <c r="B3184">
        <v>-89.977550343466902</v>
      </c>
      <c r="C3184" t="s">
        <v>43</v>
      </c>
      <c r="D3184" t="s">
        <v>2152</v>
      </c>
      <c r="F3184" s="21"/>
      <c r="G3184" s="16" t="str">
        <f>HYPERLINK("http://maps.google.com/maps?f=q&amp;hl=en&amp;geocode=&amp;q=31.4592586062066,-89.9775503434669")</f>
        <v>http://maps.google.com/maps?f=q&amp;hl=en&amp;geocode=&amp;q=31.4592586062066,-89.9775503434669</v>
      </c>
    </row>
    <row r="3185" spans="1:7" ht="15" x14ac:dyDescent="0.3">
      <c r="A3185">
        <v>31.4592586062066</v>
      </c>
      <c r="B3185">
        <v>-89.977550343466902</v>
      </c>
      <c r="C3185" t="s">
        <v>43</v>
      </c>
      <c r="D3185" t="s">
        <v>2152</v>
      </c>
      <c r="F3185" s="21"/>
      <c r="G3185" s="16" t="str">
        <f>HYPERLINK("http://maps.google.com/maps?f=q&amp;hl=en&amp;geocode=&amp;q=31.4592586062066,-89.9775503434669")</f>
        <v>http://maps.google.com/maps?f=q&amp;hl=en&amp;geocode=&amp;q=31.4592586062066,-89.9775503434669</v>
      </c>
    </row>
    <row r="3186" spans="1:7" ht="15" x14ac:dyDescent="0.3">
      <c r="A3186">
        <v>31.543959999999998</v>
      </c>
      <c r="B3186">
        <v>-110.23583000000001</v>
      </c>
      <c r="C3186" t="s">
        <v>41</v>
      </c>
      <c r="D3186" t="s">
        <v>2153</v>
      </c>
      <c r="F3186" s="21"/>
      <c r="G3186" s="16" t="str">
        <f>HYPERLINK("http://maps.google.com/maps?f=q&amp;hl=en&amp;geocode=&amp;q=31.54396,-110.23583")</f>
        <v>http://maps.google.com/maps?f=q&amp;hl=en&amp;geocode=&amp;q=31.54396,-110.23583</v>
      </c>
    </row>
    <row r="3187" spans="1:7" ht="15" x14ac:dyDescent="0.3">
      <c r="A3187">
        <v>31.544252239251499</v>
      </c>
      <c r="B3187">
        <v>-110.235749772246</v>
      </c>
      <c r="C3187" t="s">
        <v>41</v>
      </c>
      <c r="D3187" t="s">
        <v>2154</v>
      </c>
      <c r="F3187" s="21"/>
      <c r="G3187" s="16" t="str">
        <f>HYPERLINK("http://maps.google.com/maps?f=q&amp;hl=en&amp;geocode=&amp;q=31.5442522392515,-110.235749772246")</f>
        <v>http://maps.google.com/maps?f=q&amp;hl=en&amp;geocode=&amp;q=31.5442522392515,-110.235749772246</v>
      </c>
    </row>
    <row r="3188" spans="1:7" ht="15" x14ac:dyDescent="0.3">
      <c r="A3188">
        <v>31.544236419076899</v>
      </c>
      <c r="B3188">
        <v>-110.23577053619999</v>
      </c>
      <c r="C3188" t="s">
        <v>41</v>
      </c>
      <c r="D3188" t="s">
        <v>2155</v>
      </c>
      <c r="F3188" s="21"/>
      <c r="G3188" s="16" t="str">
        <f>HYPERLINK("http://maps.google.com/maps?f=q&amp;hl=en&amp;geocode=&amp;q=31.5442364190769,-110.2357705362")</f>
        <v>http://maps.google.com/maps?f=q&amp;hl=en&amp;geocode=&amp;q=31.5442364190769,-110.2357705362</v>
      </c>
    </row>
    <row r="3189" spans="1:7" ht="15" x14ac:dyDescent="0.3">
      <c r="A3189" t="s">
        <v>44</v>
      </c>
      <c r="B3189" t="s">
        <v>44</v>
      </c>
      <c r="C3189" t="s">
        <v>44</v>
      </c>
      <c r="D3189" t="s">
        <v>2156</v>
      </c>
      <c r="F3189" s="21"/>
      <c r="G3189" s="16"/>
    </row>
    <row r="3190" spans="1:7" ht="15" x14ac:dyDescent="0.3">
      <c r="A3190">
        <v>31.511064874677601</v>
      </c>
      <c r="B3190">
        <v>-83.545208552401903</v>
      </c>
      <c r="C3190" t="s">
        <v>41</v>
      </c>
      <c r="D3190" t="s">
        <v>2157</v>
      </c>
      <c r="F3190" s="21"/>
      <c r="G3190" s="16" t="str">
        <f>HYPERLINK("http://maps.google.com/maps?f=q&amp;hl=en&amp;geocode=&amp;q=31.5110648746776,-83.5452085524019")</f>
        <v>http://maps.google.com/maps?f=q&amp;hl=en&amp;geocode=&amp;q=31.5110648746776,-83.5452085524019</v>
      </c>
    </row>
    <row r="3191" spans="1:7" ht="15" x14ac:dyDescent="0.3">
      <c r="A3191" t="s">
        <v>44</v>
      </c>
      <c r="B3191" t="s">
        <v>44</v>
      </c>
      <c r="C3191" t="s">
        <v>44</v>
      </c>
      <c r="D3191" t="s">
        <v>2037</v>
      </c>
      <c r="F3191" s="21"/>
      <c r="G3191" s="16"/>
    </row>
    <row r="3192" spans="1:7" ht="15" x14ac:dyDescent="0.3">
      <c r="A3192">
        <v>35.644132448771302</v>
      </c>
      <c r="B3192">
        <v>-101.45130037774599</v>
      </c>
      <c r="C3192" t="s">
        <v>43</v>
      </c>
      <c r="D3192" t="s">
        <v>2158</v>
      </c>
      <c r="F3192" s="21"/>
      <c r="G3192" s="16" t="str">
        <f>HYPERLINK("http://maps.google.com/maps?f=q&amp;hl=en&amp;geocode=&amp;q=35.6441324487713,-101.451300377746")</f>
        <v>http://maps.google.com/maps?f=q&amp;hl=en&amp;geocode=&amp;q=35.6441324487713,-101.451300377746</v>
      </c>
    </row>
    <row r="3193" spans="1:7" ht="15" x14ac:dyDescent="0.3">
      <c r="A3193" t="s">
        <v>44</v>
      </c>
      <c r="B3193" t="s">
        <v>44</v>
      </c>
      <c r="C3193" t="s">
        <v>44</v>
      </c>
      <c r="D3193" t="s">
        <v>2159</v>
      </c>
      <c r="F3193" s="21"/>
      <c r="G3193" s="16"/>
    </row>
    <row r="3194" spans="1:7" ht="15" x14ac:dyDescent="0.3">
      <c r="A3194">
        <v>40.505337274100398</v>
      </c>
      <c r="B3194">
        <v>-78.380483942667894</v>
      </c>
      <c r="C3194" t="s">
        <v>41</v>
      </c>
      <c r="D3194" t="s">
        <v>2160</v>
      </c>
      <c r="F3194" s="21"/>
      <c r="G3194" s="16" t="str">
        <f>HYPERLINK("http://maps.google.com/maps?f=q&amp;hl=en&amp;geocode=&amp;q=40.5053372741004,-78.3804839426679")</f>
        <v>http://maps.google.com/maps?f=q&amp;hl=en&amp;geocode=&amp;q=40.5053372741004,-78.3804839426679</v>
      </c>
    </row>
    <row r="3195" spans="1:7" ht="15" x14ac:dyDescent="0.3">
      <c r="A3195">
        <v>54.112960815429702</v>
      </c>
      <c r="B3195">
        <v>-3.19109010696411</v>
      </c>
      <c r="C3195" t="s">
        <v>41</v>
      </c>
      <c r="D3195" t="s">
        <v>2161</v>
      </c>
      <c r="F3195" s="21"/>
      <c r="G3195" s="16" t="str">
        <f>HYPERLINK("http://maps.google.com/maps?f=q&amp;hl=en&amp;geocode=&amp;q=54.1129608154297,-3.19109010696411")</f>
        <v>http://maps.google.com/maps?f=q&amp;hl=en&amp;geocode=&amp;q=54.1129608154297,-3.19109010696411</v>
      </c>
    </row>
    <row r="3196" spans="1:7" ht="15" x14ac:dyDescent="0.3">
      <c r="A3196">
        <v>39.989319999999999</v>
      </c>
      <c r="B3196">
        <v>-75.105260000000001</v>
      </c>
      <c r="C3196" t="s">
        <v>41</v>
      </c>
      <c r="D3196" t="s">
        <v>2162</v>
      </c>
      <c r="F3196" s="21"/>
      <c r="G3196" s="16" t="str">
        <f>HYPERLINK("http://maps.google.com/maps?f=q&amp;hl=en&amp;geocode=&amp;q=39.98932,-75.10526")</f>
        <v>http://maps.google.com/maps?f=q&amp;hl=en&amp;geocode=&amp;q=39.98932,-75.10526</v>
      </c>
    </row>
    <row r="3197" spans="1:7" ht="15" x14ac:dyDescent="0.3">
      <c r="A3197">
        <v>42.947482055175101</v>
      </c>
      <c r="B3197">
        <v>-95.623554277157396</v>
      </c>
      <c r="C3197" t="s">
        <v>41</v>
      </c>
      <c r="D3197" t="s">
        <v>2163</v>
      </c>
      <c r="F3197" s="21"/>
      <c r="G3197" s="16" t="str">
        <f>HYPERLINK("http://maps.google.com/maps?f=q&amp;hl=en&amp;geocode=&amp;q=42.9474820551751,-95.6235542771574")</f>
        <v>http://maps.google.com/maps?f=q&amp;hl=en&amp;geocode=&amp;q=42.9474820551751,-95.6235542771574</v>
      </c>
    </row>
    <row r="3198" spans="1:7" ht="15" x14ac:dyDescent="0.3">
      <c r="A3198">
        <v>42.991022575876102</v>
      </c>
      <c r="B3198">
        <v>-95.623909391552701</v>
      </c>
      <c r="C3198" t="s">
        <v>41</v>
      </c>
      <c r="D3198" t="s">
        <v>2164</v>
      </c>
      <c r="F3198" s="21"/>
      <c r="G3198" s="16" t="str">
        <f>HYPERLINK("http://maps.google.com/maps?f=q&amp;hl=en&amp;geocode=&amp;q=42.9910225758761,-95.6239093915527")</f>
        <v>http://maps.google.com/maps?f=q&amp;hl=en&amp;geocode=&amp;q=42.9910225758761,-95.6239093915527</v>
      </c>
    </row>
    <row r="3199" spans="1:7" ht="15" x14ac:dyDescent="0.3">
      <c r="A3199">
        <v>39.518030000000003</v>
      </c>
      <c r="B3199">
        <v>-74.945539999999994</v>
      </c>
      <c r="C3199" t="s">
        <v>41</v>
      </c>
      <c r="D3199" t="s">
        <v>2165</v>
      </c>
      <c r="F3199" s="21"/>
      <c r="G3199" s="16" t="str">
        <f>HYPERLINK("http://maps.google.com/maps?f=q&amp;hl=en&amp;geocode=&amp;q=39.51803,-74.94554")</f>
        <v>http://maps.google.com/maps?f=q&amp;hl=en&amp;geocode=&amp;q=39.51803,-74.94554</v>
      </c>
    </row>
    <row r="3200" spans="1:7" ht="15" x14ac:dyDescent="0.3">
      <c r="A3200">
        <v>33.218234966500397</v>
      </c>
      <c r="B3200">
        <v>-117.274486065212</v>
      </c>
      <c r="C3200" t="s">
        <v>42</v>
      </c>
      <c r="D3200" t="s">
        <v>2166</v>
      </c>
      <c r="F3200" s="21"/>
      <c r="G3200" s="16" t="str">
        <f>HYPERLINK("http://maps.google.com/maps?f=q&amp;hl=en&amp;geocode=&amp;q=33.2182349665004,-117.274486065212")</f>
        <v>http://maps.google.com/maps?f=q&amp;hl=en&amp;geocode=&amp;q=33.2182349665004,-117.274486065212</v>
      </c>
    </row>
    <row r="3201" spans="1:7" ht="15" x14ac:dyDescent="0.3">
      <c r="A3201">
        <v>33.218234966500397</v>
      </c>
      <c r="B3201">
        <v>-117.274486065212</v>
      </c>
      <c r="C3201" t="s">
        <v>42</v>
      </c>
      <c r="D3201" t="s">
        <v>2166</v>
      </c>
      <c r="F3201" s="21"/>
      <c r="G3201" s="16" t="str">
        <f>HYPERLINK("http://maps.google.com/maps?f=q&amp;hl=en&amp;geocode=&amp;q=33.2182349665004,-117.274486065212")</f>
        <v>http://maps.google.com/maps?f=q&amp;hl=en&amp;geocode=&amp;q=33.2182349665004,-117.274486065212</v>
      </c>
    </row>
    <row r="3202" spans="1:7" ht="15" x14ac:dyDescent="0.3">
      <c r="A3202">
        <v>33.439696496980602</v>
      </c>
      <c r="B3202">
        <v>-87.975031939841202</v>
      </c>
      <c r="C3202" t="s">
        <v>41</v>
      </c>
      <c r="D3202" t="s">
        <v>2167</v>
      </c>
      <c r="F3202" s="21"/>
      <c r="G3202" s="16" t="str">
        <f>HYPERLINK("http://maps.google.com/maps?f=q&amp;hl=en&amp;geocode=&amp;q=33.4396964969806,-87.9750319398412")</f>
        <v>http://maps.google.com/maps?f=q&amp;hl=en&amp;geocode=&amp;q=33.4396964969806,-87.9750319398412</v>
      </c>
    </row>
    <row r="3203" spans="1:7" ht="15" x14ac:dyDescent="0.3">
      <c r="A3203">
        <v>37.006450000000001</v>
      </c>
      <c r="B3203">
        <v>-85.395020000000002</v>
      </c>
      <c r="C3203" t="s">
        <v>42</v>
      </c>
      <c r="D3203" t="s">
        <v>2168</v>
      </c>
      <c r="F3203" s="21"/>
      <c r="G3203" s="16" t="str">
        <f>HYPERLINK("http://maps.google.com/maps?f=q&amp;hl=en&amp;geocode=&amp;q=37.00645,-85.39502")</f>
        <v>http://maps.google.com/maps?f=q&amp;hl=en&amp;geocode=&amp;q=37.00645,-85.39502</v>
      </c>
    </row>
    <row r="3204" spans="1:7" ht="15" x14ac:dyDescent="0.3">
      <c r="A3204">
        <v>39.4432563781738</v>
      </c>
      <c r="B3204">
        <v>-98.957336425781307</v>
      </c>
      <c r="C3204" t="s">
        <v>43</v>
      </c>
      <c r="D3204" t="s">
        <v>2169</v>
      </c>
      <c r="F3204" s="21"/>
      <c r="G3204" s="16" t="str">
        <f>HYPERLINK("http://maps.google.com/maps?f=q&amp;hl=en&amp;geocode=&amp;q=39.4432563781738,-98.9573364257813")</f>
        <v>http://maps.google.com/maps?f=q&amp;hl=en&amp;geocode=&amp;q=39.4432563781738,-98.9573364257813</v>
      </c>
    </row>
    <row r="3205" spans="1:7" ht="15" x14ac:dyDescent="0.3">
      <c r="A3205">
        <v>39.4432563781738</v>
      </c>
      <c r="B3205">
        <v>-98.957336425781307</v>
      </c>
      <c r="C3205" t="s">
        <v>43</v>
      </c>
      <c r="D3205" t="s">
        <v>2169</v>
      </c>
      <c r="F3205" s="21"/>
      <c r="G3205" s="16" t="str">
        <f>HYPERLINK("http://maps.google.com/maps?f=q&amp;hl=en&amp;geocode=&amp;q=39.4432563781738,-98.9573364257813")</f>
        <v>http://maps.google.com/maps?f=q&amp;hl=en&amp;geocode=&amp;q=39.4432563781738,-98.9573364257813</v>
      </c>
    </row>
    <row r="3206" spans="1:7" ht="15" x14ac:dyDescent="0.3">
      <c r="A3206">
        <v>35.012841444240102</v>
      </c>
      <c r="B3206">
        <v>-81.041053371391101</v>
      </c>
      <c r="C3206" t="s">
        <v>41</v>
      </c>
      <c r="D3206" t="s">
        <v>2170</v>
      </c>
      <c r="F3206" s="21"/>
      <c r="G3206" s="16" t="str">
        <f>HYPERLINK("http://maps.google.com/maps?f=q&amp;hl=en&amp;geocode=&amp;q=35.0128414442401,-81.0410533713911")</f>
        <v>http://maps.google.com/maps?f=q&amp;hl=en&amp;geocode=&amp;q=35.0128414442401,-81.0410533713911</v>
      </c>
    </row>
    <row r="3207" spans="1:7" ht="15" x14ac:dyDescent="0.3">
      <c r="A3207">
        <v>-32.47813</v>
      </c>
      <c r="B3207">
        <v>137.75239999999999</v>
      </c>
      <c r="C3207" t="s">
        <v>41</v>
      </c>
      <c r="D3207" t="s">
        <v>1913</v>
      </c>
      <c r="F3207" s="21"/>
      <c r="G3207" s="16" t="str">
        <f>HYPERLINK("http://maps.google.com/maps?f=q&amp;hl=en&amp;geocode=&amp;q=-32.47813,137.7524")</f>
        <v>http://maps.google.com/maps?f=q&amp;hl=en&amp;geocode=&amp;q=-32.47813,137.7524</v>
      </c>
    </row>
    <row r="3208" spans="1:7" ht="15" x14ac:dyDescent="0.3">
      <c r="A3208">
        <v>55.25911</v>
      </c>
      <c r="B3208">
        <v>11.59831</v>
      </c>
      <c r="C3208" t="s">
        <v>41</v>
      </c>
      <c r="D3208" t="s">
        <v>2080</v>
      </c>
      <c r="F3208" s="21"/>
      <c r="G3208" s="16" t="str">
        <f>HYPERLINK("http://maps.google.com/maps?f=q&amp;hl=en&amp;geocode=&amp;q=55.25911,11.59831")</f>
        <v>http://maps.google.com/maps?f=q&amp;hl=en&amp;geocode=&amp;q=55.25911,11.59831</v>
      </c>
    </row>
    <row r="3209" spans="1:7" ht="15" x14ac:dyDescent="0.3">
      <c r="A3209">
        <v>55.25911</v>
      </c>
      <c r="B3209">
        <v>11.59831</v>
      </c>
      <c r="C3209" t="s">
        <v>41</v>
      </c>
      <c r="D3209" t="s">
        <v>2080</v>
      </c>
      <c r="F3209" s="21"/>
      <c r="G3209" s="16" t="str">
        <f>HYPERLINK("http://maps.google.com/maps?f=q&amp;hl=en&amp;geocode=&amp;q=55.25911,11.59831")</f>
        <v>http://maps.google.com/maps?f=q&amp;hl=en&amp;geocode=&amp;q=55.25911,11.59831</v>
      </c>
    </row>
    <row r="3210" spans="1:7" ht="15" x14ac:dyDescent="0.3">
      <c r="F3210" s="21"/>
      <c r="G3210" s="16"/>
    </row>
    <row r="3211" spans="1:7" ht="15" x14ac:dyDescent="0.3">
      <c r="A3211">
        <v>29.539559998433401</v>
      </c>
      <c r="B3211">
        <v>-96.279854997281006</v>
      </c>
      <c r="C3211" t="s">
        <v>41</v>
      </c>
      <c r="D3211" t="s">
        <v>2171</v>
      </c>
      <c r="F3211" s="21"/>
      <c r="G3211" s="16" t="str">
        <f>HYPERLINK("http://maps.google.com/maps?f=q&amp;hl=en&amp;geocode=&amp;q=29.5395599984334,-96.279854997281")</f>
        <v>http://maps.google.com/maps?f=q&amp;hl=en&amp;geocode=&amp;q=29.5395599984334,-96.279854997281</v>
      </c>
    </row>
    <row r="3212" spans="1:7" ht="15" x14ac:dyDescent="0.3">
      <c r="A3212">
        <v>35.318956952576201</v>
      </c>
      <c r="B3212">
        <v>-82.684767091093406</v>
      </c>
      <c r="C3212" t="s">
        <v>41</v>
      </c>
      <c r="D3212" t="s">
        <v>2172</v>
      </c>
      <c r="F3212" s="21"/>
      <c r="G3212" s="16" t="str">
        <f>HYPERLINK("http://maps.google.com/maps?f=q&amp;hl=en&amp;geocode=&amp;q=35.3189569525762,-82.6847670910934")</f>
        <v>http://maps.google.com/maps?f=q&amp;hl=en&amp;geocode=&amp;q=35.3189569525762,-82.6847670910934</v>
      </c>
    </row>
    <row r="3213" spans="1:7" ht="15" x14ac:dyDescent="0.3">
      <c r="A3213" t="s">
        <v>44</v>
      </c>
      <c r="B3213" t="s">
        <v>44</v>
      </c>
      <c r="C3213" t="s">
        <v>44</v>
      </c>
      <c r="D3213" t="s">
        <v>2173</v>
      </c>
      <c r="F3213" s="21"/>
      <c r="G3213" s="16"/>
    </row>
    <row r="3214" spans="1:7" ht="15" x14ac:dyDescent="0.3">
      <c r="A3214" t="s">
        <v>44</v>
      </c>
      <c r="B3214" t="s">
        <v>44</v>
      </c>
      <c r="C3214" t="s">
        <v>44</v>
      </c>
      <c r="D3214" t="s">
        <v>2173</v>
      </c>
      <c r="F3214" s="21"/>
      <c r="G3214" s="16"/>
    </row>
    <row r="3215" spans="1:7" ht="15" x14ac:dyDescent="0.3">
      <c r="A3215">
        <v>50.807346343994098</v>
      </c>
      <c r="B3215">
        <v>5.7348451614379901</v>
      </c>
      <c r="C3215" t="s">
        <v>43</v>
      </c>
      <c r="D3215" t="s">
        <v>2174</v>
      </c>
      <c r="F3215" s="21"/>
      <c r="G3215" s="16" t="str">
        <f>HYPERLINK("http://maps.google.com/maps?f=q&amp;hl=en&amp;geocode=&amp;q=50.8073463439941,5.73484516143799")</f>
        <v>http://maps.google.com/maps?f=q&amp;hl=en&amp;geocode=&amp;q=50.8073463439941,5.73484516143799</v>
      </c>
    </row>
    <row r="3216" spans="1:7" ht="15" x14ac:dyDescent="0.3">
      <c r="A3216">
        <v>42.951878438351002</v>
      </c>
      <c r="B3216">
        <v>-83.402641075572703</v>
      </c>
      <c r="C3216" t="s">
        <v>41</v>
      </c>
      <c r="D3216" t="s">
        <v>2175</v>
      </c>
      <c r="F3216" s="21"/>
      <c r="G3216" s="16" t="str">
        <f>HYPERLINK("http://maps.google.com/maps?f=q&amp;hl=en&amp;geocode=&amp;q=42.951878438351,-83.4026410755727")</f>
        <v>http://maps.google.com/maps?f=q&amp;hl=en&amp;geocode=&amp;q=42.951878438351,-83.4026410755727</v>
      </c>
    </row>
    <row r="3217" spans="1:7" ht="15" x14ac:dyDescent="0.3">
      <c r="A3217">
        <v>40.02731</v>
      </c>
      <c r="B3217">
        <v>-75.058419999999998</v>
      </c>
      <c r="C3217" t="s">
        <v>41</v>
      </c>
      <c r="D3217" t="s">
        <v>2176</v>
      </c>
      <c r="F3217" s="21"/>
      <c r="G3217" s="16" t="str">
        <f>HYPERLINK("http://maps.google.com/maps?f=q&amp;hl=en&amp;geocode=&amp;q=40.02731,-75.05842")</f>
        <v>http://maps.google.com/maps?f=q&amp;hl=en&amp;geocode=&amp;q=40.02731,-75.05842</v>
      </c>
    </row>
    <row r="3218" spans="1:7" ht="15" x14ac:dyDescent="0.3">
      <c r="A3218">
        <v>43.040962853589299</v>
      </c>
      <c r="B3218">
        <v>-95.624018475677801</v>
      </c>
      <c r="C3218" t="s">
        <v>41</v>
      </c>
      <c r="D3218" t="s">
        <v>152</v>
      </c>
      <c r="F3218" s="21"/>
      <c r="G3218" s="16" t="str">
        <f>HYPERLINK("http://maps.google.com/maps?f=q&amp;hl=en&amp;geocode=&amp;q=43.0409628535893,-95.6240184756778")</f>
        <v>http://maps.google.com/maps?f=q&amp;hl=en&amp;geocode=&amp;q=43.0409628535893,-95.6240184756778</v>
      </c>
    </row>
    <row r="3219" spans="1:7" ht="15" x14ac:dyDescent="0.3">
      <c r="A3219">
        <v>35.428350000000002</v>
      </c>
      <c r="B3219">
        <v>-97.134460000000004</v>
      </c>
      <c r="C3219" t="s">
        <v>42</v>
      </c>
      <c r="D3219" t="s">
        <v>2177</v>
      </c>
      <c r="F3219" s="21"/>
      <c r="G3219" s="16" t="str">
        <f>HYPERLINK("http://maps.google.com/maps?f=q&amp;hl=en&amp;geocode=&amp;q=35.42835,-97.13446")</f>
        <v>http://maps.google.com/maps?f=q&amp;hl=en&amp;geocode=&amp;q=35.42835,-97.13446</v>
      </c>
    </row>
    <row r="3220" spans="1:7" ht="15" x14ac:dyDescent="0.3">
      <c r="A3220">
        <v>26.596956813698501</v>
      </c>
      <c r="B3220">
        <v>-80.142310287560207</v>
      </c>
      <c r="C3220" t="s">
        <v>41</v>
      </c>
      <c r="D3220" t="s">
        <v>2178</v>
      </c>
      <c r="F3220" s="21"/>
      <c r="G3220" s="16" t="str">
        <f>HYPERLINK("http://maps.google.com/maps?f=q&amp;hl=en&amp;geocode=&amp;q=26.5969568136985,-80.1423102875602")</f>
        <v>http://maps.google.com/maps?f=q&amp;hl=en&amp;geocode=&amp;q=26.5969568136985,-80.1423102875602</v>
      </c>
    </row>
    <row r="3221" spans="1:7" ht="15" x14ac:dyDescent="0.3">
      <c r="A3221">
        <v>36.410994102443098</v>
      </c>
      <c r="B3221">
        <v>-102.540449969036</v>
      </c>
      <c r="C3221" t="s">
        <v>41</v>
      </c>
      <c r="D3221" t="s">
        <v>2179</v>
      </c>
      <c r="F3221" s="21"/>
      <c r="G3221" s="16" t="str">
        <f>HYPERLINK("http://maps.google.com/maps?f=q&amp;hl=en&amp;geocode=&amp;q=36.4109941024431,-102.540449969036")</f>
        <v>http://maps.google.com/maps?f=q&amp;hl=en&amp;geocode=&amp;q=36.4109941024431,-102.540449969036</v>
      </c>
    </row>
    <row r="3222" spans="1:7" ht="15" x14ac:dyDescent="0.3">
      <c r="A3222">
        <v>38.798560000000002</v>
      </c>
      <c r="B3222">
        <v>-90.20908</v>
      </c>
      <c r="C3222" t="s">
        <v>43</v>
      </c>
      <c r="D3222" t="s">
        <v>413</v>
      </c>
      <c r="F3222" s="21"/>
      <c r="G3222" s="16" t="str">
        <f>HYPERLINK("http://maps.google.com/maps?f=q&amp;hl=en&amp;geocode=&amp;q=38.79856,-90.20908")</f>
        <v>http://maps.google.com/maps?f=q&amp;hl=en&amp;geocode=&amp;q=38.79856,-90.20908</v>
      </c>
    </row>
    <row r="3223" spans="1:7" ht="15" x14ac:dyDescent="0.3">
      <c r="A3223">
        <v>40.043320000000001</v>
      </c>
      <c r="B3223">
        <v>-75.099519999999998</v>
      </c>
      <c r="C3223" t="s">
        <v>41</v>
      </c>
      <c r="D3223" t="s">
        <v>2180</v>
      </c>
      <c r="F3223" s="21"/>
      <c r="G3223" s="16" t="str">
        <f>HYPERLINK("http://maps.google.com/maps?f=q&amp;hl=en&amp;geocode=&amp;q=40.04332,-75.09952")</f>
        <v>http://maps.google.com/maps?f=q&amp;hl=en&amp;geocode=&amp;q=40.04332,-75.09952</v>
      </c>
    </row>
    <row r="3224" spans="1:7" ht="15" x14ac:dyDescent="0.3">
      <c r="A3224">
        <v>36.104027616296399</v>
      </c>
      <c r="B3224">
        <v>-115.05049741862</v>
      </c>
      <c r="C3224" t="s">
        <v>41</v>
      </c>
      <c r="D3224" t="s">
        <v>2181</v>
      </c>
      <c r="F3224" s="21"/>
      <c r="G3224" s="16" t="str">
        <f>HYPERLINK("http://maps.google.com/maps?f=q&amp;hl=en&amp;geocode=&amp;q=36.1040276162964,-115.05049741862")</f>
        <v>http://maps.google.com/maps?f=q&amp;hl=en&amp;geocode=&amp;q=36.1040276162964,-115.05049741862</v>
      </c>
    </row>
    <row r="3225" spans="1:7" ht="15" x14ac:dyDescent="0.3">
      <c r="A3225">
        <v>42.325186934313699</v>
      </c>
      <c r="B3225">
        <v>-83.145144565706104</v>
      </c>
      <c r="C3225" t="s">
        <v>41</v>
      </c>
      <c r="D3225" t="s">
        <v>2182</v>
      </c>
      <c r="F3225" s="21"/>
      <c r="G3225" s="16" t="str">
        <f>HYPERLINK("http://maps.google.com/maps?f=q&amp;hl=en&amp;geocode=&amp;q=42.3251869343137,-83.1451445657061")</f>
        <v>http://maps.google.com/maps?f=q&amp;hl=en&amp;geocode=&amp;q=42.3251869343137,-83.1451445657061</v>
      </c>
    </row>
    <row r="3226" spans="1:7" ht="15" x14ac:dyDescent="0.3">
      <c r="A3226" t="s">
        <v>44</v>
      </c>
      <c r="B3226" t="s">
        <v>44</v>
      </c>
      <c r="C3226" t="s">
        <v>44</v>
      </c>
      <c r="D3226" t="s">
        <v>2183</v>
      </c>
      <c r="F3226" s="21"/>
      <c r="G3226" s="16"/>
    </row>
    <row r="3227" spans="1:7" ht="15" x14ac:dyDescent="0.3">
      <c r="A3227">
        <v>27.613869999999999</v>
      </c>
      <c r="B3227">
        <v>-81.409710000000004</v>
      </c>
      <c r="C3227" t="s">
        <v>43</v>
      </c>
      <c r="D3227" t="s">
        <v>2184</v>
      </c>
      <c r="F3227" s="21"/>
      <c r="G3227" s="16" t="str">
        <f>HYPERLINK("http://maps.google.com/maps?f=q&amp;hl=en&amp;geocode=&amp;q=27.61387,-81.40971")</f>
        <v>http://maps.google.com/maps?f=q&amp;hl=en&amp;geocode=&amp;q=27.61387,-81.40971</v>
      </c>
    </row>
    <row r="3228" spans="1:7" ht="15" x14ac:dyDescent="0.3">
      <c r="A3228">
        <v>39.927389269643797</v>
      </c>
      <c r="B3228">
        <v>-75.177396257644702</v>
      </c>
      <c r="C3228" t="s">
        <v>41</v>
      </c>
      <c r="D3228" t="s">
        <v>1366</v>
      </c>
      <c r="F3228" s="21"/>
      <c r="G3228" s="16" t="str">
        <f>HYPERLINK("http://maps.google.com/maps?f=q&amp;hl=en&amp;geocode=&amp;q=39.9273892696438,-75.1773962576447")</f>
        <v>http://maps.google.com/maps?f=q&amp;hl=en&amp;geocode=&amp;q=39.9273892696438,-75.1773962576447</v>
      </c>
    </row>
    <row r="3229" spans="1:7" ht="15" x14ac:dyDescent="0.3">
      <c r="A3229">
        <v>39.927389269643797</v>
      </c>
      <c r="B3229">
        <v>-75.177396257644702</v>
      </c>
      <c r="C3229" t="s">
        <v>41</v>
      </c>
      <c r="D3229" t="s">
        <v>1366</v>
      </c>
      <c r="F3229" s="21"/>
      <c r="G3229" s="16" t="str">
        <f>HYPERLINK("http://maps.google.com/maps?f=q&amp;hl=en&amp;geocode=&amp;q=39.9273892696438,-75.1773962576447")</f>
        <v>http://maps.google.com/maps?f=q&amp;hl=en&amp;geocode=&amp;q=39.9273892696438,-75.1773962576447</v>
      </c>
    </row>
    <row r="3230" spans="1:7" ht="15" x14ac:dyDescent="0.3">
      <c r="A3230">
        <v>39.927389269643797</v>
      </c>
      <c r="B3230">
        <v>-75.177396257644702</v>
      </c>
      <c r="C3230" t="s">
        <v>41</v>
      </c>
      <c r="D3230" t="s">
        <v>1366</v>
      </c>
      <c r="F3230" s="21"/>
      <c r="G3230" s="16" t="str">
        <f>HYPERLINK("http://maps.google.com/maps?f=q&amp;hl=en&amp;geocode=&amp;q=39.9273892696438,-75.1773962576447")</f>
        <v>http://maps.google.com/maps?f=q&amp;hl=en&amp;geocode=&amp;q=39.9273892696438,-75.1773962576447</v>
      </c>
    </row>
    <row r="3231" spans="1:7" ht="15" x14ac:dyDescent="0.3">
      <c r="A3231">
        <v>39.987549999999999</v>
      </c>
      <c r="B3231">
        <v>-75.140810000000002</v>
      </c>
      <c r="C3231" t="s">
        <v>41</v>
      </c>
      <c r="D3231" t="s">
        <v>2185</v>
      </c>
      <c r="F3231" s="21"/>
      <c r="G3231" s="16" t="str">
        <f>HYPERLINK("http://maps.google.com/maps?f=q&amp;hl=en&amp;geocode=&amp;q=39.98755,-75.14081")</f>
        <v>http://maps.google.com/maps?f=q&amp;hl=en&amp;geocode=&amp;q=39.98755,-75.14081</v>
      </c>
    </row>
    <row r="3232" spans="1:7" ht="15" x14ac:dyDescent="0.3">
      <c r="A3232">
        <v>33.775170000000003</v>
      </c>
      <c r="B3232">
        <v>-84.175640000000001</v>
      </c>
      <c r="C3232" t="s">
        <v>42</v>
      </c>
      <c r="D3232" t="s">
        <v>2186</v>
      </c>
      <c r="F3232" s="21"/>
      <c r="G3232" s="16" t="str">
        <f>HYPERLINK("http://maps.google.com/maps?f=q&amp;hl=en&amp;geocode=&amp;q=33.77517,-84.17564")</f>
        <v>http://maps.google.com/maps?f=q&amp;hl=en&amp;geocode=&amp;q=33.77517,-84.17564</v>
      </c>
    </row>
    <row r="3233" spans="1:7" ht="15" x14ac:dyDescent="0.3">
      <c r="A3233">
        <v>47.116134643554702</v>
      </c>
      <c r="B3233">
        <v>6.8440089225768999</v>
      </c>
      <c r="C3233" t="s">
        <v>43</v>
      </c>
      <c r="D3233" t="s">
        <v>2187</v>
      </c>
      <c r="F3233" s="21"/>
      <c r="G3233" s="16" t="str">
        <f>HYPERLINK("http://maps.google.com/maps?f=q&amp;hl=en&amp;geocode=&amp;q=47.1161346435547,6.8440089225769")</f>
        <v>http://maps.google.com/maps?f=q&amp;hl=en&amp;geocode=&amp;q=47.1161346435547,6.8440089225769</v>
      </c>
    </row>
    <row r="3234" spans="1:7" ht="15" x14ac:dyDescent="0.3">
      <c r="A3234">
        <v>47.116134643554702</v>
      </c>
      <c r="B3234">
        <v>6.8440089225768999</v>
      </c>
      <c r="C3234" t="s">
        <v>43</v>
      </c>
      <c r="D3234" t="s">
        <v>2187</v>
      </c>
      <c r="F3234" s="21"/>
      <c r="G3234" s="16" t="str">
        <f>HYPERLINK("http://maps.google.com/maps?f=q&amp;hl=en&amp;geocode=&amp;q=47.1161346435547,6.8440089225769")</f>
        <v>http://maps.google.com/maps?f=q&amp;hl=en&amp;geocode=&amp;q=47.1161346435547,6.8440089225769</v>
      </c>
    </row>
    <row r="3235" spans="1:7" ht="15" x14ac:dyDescent="0.3">
      <c r="A3235">
        <v>40.041350000000001</v>
      </c>
      <c r="B3235">
        <v>-75.106189999999998</v>
      </c>
      <c r="C3235" t="s">
        <v>43</v>
      </c>
      <c r="D3235" t="s">
        <v>2188</v>
      </c>
      <c r="F3235" s="21"/>
      <c r="G3235" s="16" t="str">
        <f>HYPERLINK("http://maps.google.com/maps?f=q&amp;hl=en&amp;geocode=&amp;q=40.04135,-75.10619")</f>
        <v>http://maps.google.com/maps?f=q&amp;hl=en&amp;geocode=&amp;q=40.04135,-75.10619</v>
      </c>
    </row>
    <row r="3236" spans="1:7" ht="15" x14ac:dyDescent="0.3">
      <c r="A3236">
        <v>40.041350000000001</v>
      </c>
      <c r="B3236">
        <v>-75.106189999999998</v>
      </c>
      <c r="C3236" t="s">
        <v>43</v>
      </c>
      <c r="D3236" t="s">
        <v>2188</v>
      </c>
      <c r="F3236" s="21"/>
      <c r="G3236" s="16" t="str">
        <f>HYPERLINK("http://maps.google.com/maps?f=q&amp;hl=en&amp;geocode=&amp;q=40.04135,-75.10619")</f>
        <v>http://maps.google.com/maps?f=q&amp;hl=en&amp;geocode=&amp;q=40.04135,-75.10619</v>
      </c>
    </row>
    <row r="3237" spans="1:7" ht="15" x14ac:dyDescent="0.3">
      <c r="A3237">
        <v>-22.191675186157202</v>
      </c>
      <c r="B3237">
        <v>-47.389007568359403</v>
      </c>
      <c r="C3237" t="s">
        <v>43</v>
      </c>
      <c r="D3237" t="s">
        <v>2189</v>
      </c>
      <c r="F3237" s="21"/>
      <c r="G3237" s="16" t="str">
        <f>HYPERLINK("http://maps.google.com/maps?f=q&amp;hl=en&amp;geocode=&amp;q=-22.1916751861572,-47.3890075683594")</f>
        <v>http://maps.google.com/maps?f=q&amp;hl=en&amp;geocode=&amp;q=-22.1916751861572,-47.3890075683594</v>
      </c>
    </row>
    <row r="3238" spans="1:7" ht="15" x14ac:dyDescent="0.3">
      <c r="A3238">
        <v>40.043410000000002</v>
      </c>
      <c r="B3238">
        <v>-75.152249999999995</v>
      </c>
      <c r="C3238" t="s">
        <v>41</v>
      </c>
      <c r="D3238" t="s">
        <v>2190</v>
      </c>
      <c r="F3238" s="21"/>
      <c r="G3238" s="16" t="str">
        <f>HYPERLINK("http://maps.google.com/maps?f=q&amp;hl=en&amp;geocode=&amp;q=40.04341,-75.15225")</f>
        <v>http://maps.google.com/maps?f=q&amp;hl=en&amp;geocode=&amp;q=40.04341,-75.15225</v>
      </c>
    </row>
    <row r="3239" spans="1:7" ht="15" x14ac:dyDescent="0.3">
      <c r="A3239">
        <v>43.986660000000001</v>
      </c>
      <c r="B3239">
        <v>-117.23797</v>
      </c>
      <c r="C3239" t="s">
        <v>42</v>
      </c>
      <c r="D3239" t="s">
        <v>2191</v>
      </c>
      <c r="F3239" s="21"/>
      <c r="G3239" s="16" t="str">
        <f>HYPERLINK("http://maps.google.com/maps?f=q&amp;hl=en&amp;geocode=&amp;q=43.98666,-117.23797")</f>
        <v>http://maps.google.com/maps?f=q&amp;hl=en&amp;geocode=&amp;q=43.98666,-117.23797</v>
      </c>
    </row>
    <row r="3240" spans="1:7" ht="15" x14ac:dyDescent="0.3">
      <c r="A3240">
        <v>42.547740936279297</v>
      </c>
      <c r="B3240">
        <v>-70.878982543945298</v>
      </c>
      <c r="C3240" t="s">
        <v>43</v>
      </c>
      <c r="D3240" t="s">
        <v>2192</v>
      </c>
      <c r="F3240" s="21"/>
      <c r="G3240" s="16" t="str">
        <f>HYPERLINK("http://maps.google.com/maps?f=q&amp;hl=en&amp;geocode=&amp;q=42.5477409362793,-70.8789825439453")</f>
        <v>http://maps.google.com/maps?f=q&amp;hl=en&amp;geocode=&amp;q=42.5477409362793,-70.8789825439453</v>
      </c>
    </row>
    <row r="3241" spans="1:7" ht="15" x14ac:dyDescent="0.3">
      <c r="A3241" t="s">
        <v>44</v>
      </c>
      <c r="B3241" t="s">
        <v>44</v>
      </c>
      <c r="C3241" t="s">
        <v>44</v>
      </c>
      <c r="D3241" t="s">
        <v>2193</v>
      </c>
      <c r="F3241" s="21"/>
      <c r="G3241" s="16"/>
    </row>
    <row r="3242" spans="1:7" ht="15" x14ac:dyDescent="0.3">
      <c r="A3242">
        <v>50.587699890136697</v>
      </c>
      <c r="B3242">
        <v>4.32674217224121</v>
      </c>
      <c r="C3242" t="s">
        <v>43</v>
      </c>
      <c r="D3242" t="s">
        <v>2194</v>
      </c>
      <c r="F3242" s="21"/>
      <c r="G3242" s="16" t="str">
        <f>HYPERLINK("http://maps.google.com/maps?f=q&amp;hl=en&amp;geocode=&amp;q=50.5876998901367,4.32674217224121")</f>
        <v>http://maps.google.com/maps?f=q&amp;hl=en&amp;geocode=&amp;q=50.5876998901367,4.32674217224121</v>
      </c>
    </row>
    <row r="3243" spans="1:7" ht="15" x14ac:dyDescent="0.3">
      <c r="A3243">
        <v>37.540699005127003</v>
      </c>
      <c r="B3243">
        <v>-77.433647155761705</v>
      </c>
      <c r="C3243" t="s">
        <v>41</v>
      </c>
      <c r="D3243" t="s">
        <v>2195</v>
      </c>
      <c r="F3243" s="21"/>
      <c r="G3243" s="16" t="str">
        <f>HYPERLINK("http://maps.google.com/maps?f=q&amp;hl=en&amp;geocode=&amp;q=37.540699005127,-77.4336471557617")</f>
        <v>http://maps.google.com/maps?f=q&amp;hl=en&amp;geocode=&amp;q=37.540699005127,-77.4336471557617</v>
      </c>
    </row>
    <row r="3244" spans="1:7" ht="15" x14ac:dyDescent="0.3">
      <c r="A3244">
        <v>37.616245521711797</v>
      </c>
      <c r="B3244">
        <v>-120.967013067577</v>
      </c>
      <c r="C3244" t="s">
        <v>43</v>
      </c>
      <c r="D3244" t="s">
        <v>2196</v>
      </c>
      <c r="F3244" s="21"/>
      <c r="G3244" s="16" t="str">
        <f>HYPERLINK("http://maps.google.com/maps?f=q&amp;hl=en&amp;geocode=&amp;q=37.6162455217118,-120.967013067577")</f>
        <v>http://maps.google.com/maps?f=q&amp;hl=en&amp;geocode=&amp;q=37.6162455217118,-120.967013067577</v>
      </c>
    </row>
    <row r="3245" spans="1:7" ht="15" x14ac:dyDescent="0.3">
      <c r="A3245">
        <v>40.309514546735599</v>
      </c>
      <c r="B3245">
        <v>-78.319297469868403</v>
      </c>
      <c r="C3245" t="s">
        <v>41</v>
      </c>
      <c r="D3245" t="s">
        <v>2197</v>
      </c>
      <c r="F3245" s="21"/>
      <c r="G3245" s="16" t="str">
        <f>HYPERLINK("http://maps.google.com/maps?f=q&amp;hl=en&amp;geocode=&amp;q=40.3095145467356,-78.3192974698684")</f>
        <v>http://maps.google.com/maps?f=q&amp;hl=en&amp;geocode=&amp;q=40.3095145467356,-78.3192974698684</v>
      </c>
    </row>
    <row r="3246" spans="1:7" ht="15" x14ac:dyDescent="0.3">
      <c r="A3246">
        <v>47.197420000000001</v>
      </c>
      <c r="B3246">
        <v>-122.49157</v>
      </c>
      <c r="C3246" t="s">
        <v>42</v>
      </c>
      <c r="D3246" t="s">
        <v>2198</v>
      </c>
      <c r="F3246" s="21"/>
      <c r="G3246" s="16" t="str">
        <f>HYPERLINK("http://maps.google.com/maps?f=q&amp;hl=en&amp;geocode=&amp;q=47.19742,-122.49157")</f>
        <v>http://maps.google.com/maps?f=q&amp;hl=en&amp;geocode=&amp;q=47.19742,-122.49157</v>
      </c>
    </row>
    <row r="3247" spans="1:7" ht="15" x14ac:dyDescent="0.3">
      <c r="A3247">
        <v>33.948239905563298</v>
      </c>
      <c r="B3247">
        <v>-96.2499157941741</v>
      </c>
      <c r="C3247" t="s">
        <v>43</v>
      </c>
      <c r="D3247" t="s">
        <v>2199</v>
      </c>
      <c r="F3247" s="21"/>
      <c r="G3247" s="16" t="str">
        <f>HYPERLINK("http://maps.google.com/maps?f=q&amp;hl=en&amp;geocode=&amp;q=33.9482399055633,-96.2499157941741")</f>
        <v>http://maps.google.com/maps?f=q&amp;hl=en&amp;geocode=&amp;q=33.9482399055633,-96.2499157941741</v>
      </c>
    </row>
    <row r="3248" spans="1:7" ht="15" x14ac:dyDescent="0.3">
      <c r="A3248">
        <v>30.1557924878521</v>
      </c>
      <c r="B3248">
        <v>-93.102613019423302</v>
      </c>
      <c r="C3248" t="s">
        <v>41</v>
      </c>
      <c r="D3248" t="s">
        <v>2200</v>
      </c>
      <c r="F3248" s="21"/>
      <c r="G3248" s="16" t="str">
        <f>HYPERLINK("http://maps.google.com/maps?f=q&amp;hl=en&amp;geocode=&amp;q=30.1557924878521,-93.1026130194233")</f>
        <v>http://maps.google.com/maps?f=q&amp;hl=en&amp;geocode=&amp;q=30.1557924878521,-93.1026130194233</v>
      </c>
    </row>
    <row r="3249" spans="1:7" ht="15" x14ac:dyDescent="0.3">
      <c r="A3249">
        <v>34.859180450439503</v>
      </c>
      <c r="B3249">
        <v>-116.88890838623</v>
      </c>
      <c r="C3249" t="s">
        <v>43</v>
      </c>
      <c r="D3249" t="s">
        <v>2201</v>
      </c>
      <c r="F3249" s="21"/>
      <c r="G3249" s="16" t="str">
        <f>HYPERLINK("http://maps.google.com/maps?f=q&amp;hl=en&amp;geocode=&amp;q=34.8591804504395,-116.88890838623")</f>
        <v>http://maps.google.com/maps?f=q&amp;hl=en&amp;geocode=&amp;q=34.8591804504395,-116.88890838623</v>
      </c>
    </row>
    <row r="3250" spans="1:7" ht="15" x14ac:dyDescent="0.3">
      <c r="A3250">
        <v>40.309552100069702</v>
      </c>
      <c r="B3250">
        <v>-78.319055368746703</v>
      </c>
      <c r="C3250" t="s">
        <v>41</v>
      </c>
      <c r="D3250" t="s">
        <v>2202</v>
      </c>
      <c r="F3250" s="21"/>
      <c r="G3250" s="16" t="str">
        <f>HYPERLINK("http://maps.google.com/maps?f=q&amp;hl=en&amp;geocode=&amp;q=40.3095521000697,-78.3190553687467")</f>
        <v>http://maps.google.com/maps?f=q&amp;hl=en&amp;geocode=&amp;q=40.3095521000697,-78.3190553687467</v>
      </c>
    </row>
    <row r="3251" spans="1:7" ht="15" x14ac:dyDescent="0.3">
      <c r="A3251">
        <v>40.014643263640401</v>
      </c>
      <c r="B3251">
        <v>-75.085399180199303</v>
      </c>
      <c r="C3251" t="s">
        <v>41</v>
      </c>
      <c r="D3251" t="s">
        <v>2203</v>
      </c>
      <c r="F3251" s="21"/>
      <c r="G3251" s="16" t="str">
        <f>HYPERLINK("http://maps.google.com/maps?f=q&amp;hl=en&amp;geocode=&amp;q=40.0146432636404,-75.0853991801993")</f>
        <v>http://maps.google.com/maps?f=q&amp;hl=en&amp;geocode=&amp;q=40.0146432636404,-75.0853991801993</v>
      </c>
    </row>
    <row r="3252" spans="1:7" ht="15" x14ac:dyDescent="0.3">
      <c r="A3252">
        <v>40.014643263640401</v>
      </c>
      <c r="B3252">
        <v>-75.085399180199303</v>
      </c>
      <c r="C3252" t="s">
        <v>41</v>
      </c>
      <c r="D3252" t="s">
        <v>2203</v>
      </c>
      <c r="F3252" s="21"/>
      <c r="G3252" s="16" t="str">
        <f>HYPERLINK("http://maps.google.com/maps?f=q&amp;hl=en&amp;geocode=&amp;q=40.0146432636404,-75.0853991801993")</f>
        <v>http://maps.google.com/maps?f=q&amp;hl=en&amp;geocode=&amp;q=40.0146432636404,-75.0853991801993</v>
      </c>
    </row>
    <row r="3253" spans="1:7" ht="15" x14ac:dyDescent="0.3">
      <c r="A3253">
        <v>-32.7033500671387</v>
      </c>
      <c r="B3253">
        <v>137.70617675781301</v>
      </c>
      <c r="C3253" t="s">
        <v>41</v>
      </c>
      <c r="D3253" t="s">
        <v>2204</v>
      </c>
      <c r="F3253" s="21"/>
      <c r="G3253" s="16" t="str">
        <f>HYPERLINK("http://maps.google.com/maps?f=q&amp;hl=en&amp;geocode=&amp;q=-32.7033500671387,137.706176757813")</f>
        <v>http://maps.google.com/maps?f=q&amp;hl=en&amp;geocode=&amp;q=-32.7033500671387,137.706176757813</v>
      </c>
    </row>
    <row r="3254" spans="1:7" ht="15" x14ac:dyDescent="0.3">
      <c r="A3254">
        <v>32.958362836141603</v>
      </c>
      <c r="B3254">
        <v>-96.746553407431705</v>
      </c>
      <c r="C3254" t="s">
        <v>41</v>
      </c>
      <c r="D3254" t="s">
        <v>2205</v>
      </c>
      <c r="F3254" s="21"/>
      <c r="G3254" s="16" t="str">
        <f>HYPERLINK("http://maps.google.com/maps?f=q&amp;hl=en&amp;geocode=&amp;q=32.9583628361416,-96.7465534074317")</f>
        <v>http://maps.google.com/maps?f=q&amp;hl=en&amp;geocode=&amp;q=32.9583628361416,-96.7465534074317</v>
      </c>
    </row>
    <row r="3255" spans="1:7" ht="15" x14ac:dyDescent="0.3">
      <c r="A3255">
        <v>39.916739999999997</v>
      </c>
      <c r="B3255">
        <v>-75.231570000000005</v>
      </c>
      <c r="C3255" t="s">
        <v>41</v>
      </c>
      <c r="D3255" t="s">
        <v>928</v>
      </c>
      <c r="F3255" s="21"/>
      <c r="G3255" s="16" t="str">
        <f>HYPERLINK("http://maps.google.com/maps?f=q&amp;hl=en&amp;geocode=&amp;q=39.91674,-75.23157")</f>
        <v>http://maps.google.com/maps?f=q&amp;hl=en&amp;geocode=&amp;q=39.91674,-75.23157</v>
      </c>
    </row>
    <row r="3256" spans="1:7" ht="15" x14ac:dyDescent="0.3">
      <c r="A3256">
        <v>35.108280045022298</v>
      </c>
      <c r="B3256">
        <v>-90.026129050894198</v>
      </c>
      <c r="C3256" t="s">
        <v>41</v>
      </c>
      <c r="D3256" t="s">
        <v>2206</v>
      </c>
      <c r="F3256" s="21"/>
      <c r="G3256" s="16" t="str">
        <f>HYPERLINK("http://maps.google.com/maps?f=q&amp;hl=en&amp;geocode=&amp;q=35.1082800450223,-90.0261290508942")</f>
        <v>http://maps.google.com/maps?f=q&amp;hl=en&amp;geocode=&amp;q=35.1082800450223,-90.0261290508942</v>
      </c>
    </row>
    <row r="3257" spans="1:7" ht="15" x14ac:dyDescent="0.3">
      <c r="A3257">
        <v>36.167581486140101</v>
      </c>
      <c r="B3257">
        <v>-90.525629720803593</v>
      </c>
      <c r="C3257" t="s">
        <v>42</v>
      </c>
      <c r="D3257" t="s">
        <v>954</v>
      </c>
      <c r="F3257" s="21"/>
      <c r="G3257" s="16" t="str">
        <f>HYPERLINK("http://maps.google.com/maps?f=q&amp;hl=en&amp;geocode=&amp;q=36.1675814861401,-90.5256297208036")</f>
        <v>http://maps.google.com/maps?f=q&amp;hl=en&amp;geocode=&amp;q=36.1675814861401,-90.5256297208036</v>
      </c>
    </row>
    <row r="3258" spans="1:7" ht="15" x14ac:dyDescent="0.3">
      <c r="A3258">
        <v>38.799340000000001</v>
      </c>
      <c r="B3258">
        <v>-90.488479999999996</v>
      </c>
      <c r="C3258" t="s">
        <v>42</v>
      </c>
      <c r="D3258" t="s">
        <v>2207</v>
      </c>
      <c r="F3258" s="21"/>
      <c r="G3258" s="16" t="str">
        <f>HYPERLINK("http://maps.google.com/maps?f=q&amp;hl=en&amp;geocode=&amp;q=38.79934,-90.48848")</f>
        <v>http://maps.google.com/maps?f=q&amp;hl=en&amp;geocode=&amp;q=38.79934,-90.48848</v>
      </c>
    </row>
    <row r="3259" spans="1:7" ht="15" x14ac:dyDescent="0.3">
      <c r="A3259">
        <v>38.066927985908698</v>
      </c>
      <c r="B3259">
        <v>-78.699714258745502</v>
      </c>
      <c r="C3259" t="s">
        <v>41</v>
      </c>
      <c r="D3259" t="s">
        <v>2208</v>
      </c>
      <c r="F3259" s="21"/>
      <c r="G3259" s="16" t="str">
        <f>HYPERLINK("http://maps.google.com/maps?f=q&amp;hl=en&amp;geocode=&amp;q=38.0669279859087,-78.6997142587455")</f>
        <v>http://maps.google.com/maps?f=q&amp;hl=en&amp;geocode=&amp;q=38.0669279859087,-78.6997142587455</v>
      </c>
    </row>
    <row r="3260" spans="1:7" ht="15" x14ac:dyDescent="0.3">
      <c r="A3260">
        <v>38.060215999999997</v>
      </c>
      <c r="B3260">
        <v>-78.872361999999995</v>
      </c>
      <c r="C3260" t="s">
        <v>41</v>
      </c>
      <c r="D3260" t="s">
        <v>2209</v>
      </c>
      <c r="F3260" s="21"/>
      <c r="G3260" s="16" t="str">
        <f>HYPERLINK("http://maps.google.com/maps?f=q&amp;hl=en&amp;geocode=&amp;q=38.060216,-78.872362")</f>
        <v>http://maps.google.com/maps?f=q&amp;hl=en&amp;geocode=&amp;q=38.060216,-78.872362</v>
      </c>
    </row>
    <row r="3261" spans="1:7" ht="15" x14ac:dyDescent="0.3">
      <c r="A3261">
        <v>39.987699999999997</v>
      </c>
      <c r="B3261">
        <v>-75.242419999999996</v>
      </c>
      <c r="C3261" t="s">
        <v>41</v>
      </c>
      <c r="D3261" t="s">
        <v>2210</v>
      </c>
      <c r="F3261" s="21"/>
      <c r="G3261" s="16" t="str">
        <f>HYPERLINK("http://maps.google.com/maps?f=q&amp;hl=en&amp;geocode=&amp;q=39.9877,-75.24242")</f>
        <v>http://maps.google.com/maps?f=q&amp;hl=en&amp;geocode=&amp;q=39.9877,-75.24242</v>
      </c>
    </row>
    <row r="3262" spans="1:7" ht="15" x14ac:dyDescent="0.3">
      <c r="A3262">
        <v>38.563169926524701</v>
      </c>
      <c r="B3262">
        <v>-92.128763287451804</v>
      </c>
      <c r="C3262" t="s">
        <v>42</v>
      </c>
      <c r="D3262" t="s">
        <v>2211</v>
      </c>
      <c r="F3262" s="21"/>
      <c r="G3262" s="16" t="str">
        <f>HYPERLINK("http://maps.google.com/maps?f=q&amp;hl=en&amp;geocode=&amp;q=38.5631699265247,-92.1287632874518")</f>
        <v>http://maps.google.com/maps?f=q&amp;hl=en&amp;geocode=&amp;q=38.5631699265247,-92.1287632874518</v>
      </c>
    </row>
    <row r="3263" spans="1:7" ht="15" x14ac:dyDescent="0.3">
      <c r="A3263">
        <v>40.006659999999997</v>
      </c>
      <c r="B3263">
        <v>-75.107579999999999</v>
      </c>
      <c r="C3263" t="s">
        <v>41</v>
      </c>
      <c r="D3263" t="s">
        <v>2212</v>
      </c>
      <c r="F3263" s="21"/>
      <c r="G3263" s="16" t="str">
        <f>HYPERLINK("http://maps.google.com/maps?f=q&amp;hl=en&amp;geocode=&amp;q=40.00666,-75.10758")</f>
        <v>http://maps.google.com/maps?f=q&amp;hl=en&amp;geocode=&amp;q=40.00666,-75.10758</v>
      </c>
    </row>
    <row r="3264" spans="1:7" ht="15" x14ac:dyDescent="0.3">
      <c r="A3264">
        <v>39.938281372608799</v>
      </c>
      <c r="B3264">
        <v>-75.151017221848207</v>
      </c>
      <c r="C3264" t="s">
        <v>41</v>
      </c>
      <c r="D3264" t="s">
        <v>2213</v>
      </c>
      <c r="F3264" s="21"/>
      <c r="G3264" s="16" t="str">
        <f>HYPERLINK("http://maps.google.com/maps?f=q&amp;hl=en&amp;geocode=&amp;q=39.9382813726088,-75.1510172218482")</f>
        <v>http://maps.google.com/maps?f=q&amp;hl=en&amp;geocode=&amp;q=39.9382813726088,-75.1510172218482</v>
      </c>
    </row>
    <row r="3265" spans="1:7" ht="15" x14ac:dyDescent="0.3">
      <c r="A3265">
        <v>40.013988494872997</v>
      </c>
      <c r="B3265">
        <v>-75.303192138671903</v>
      </c>
      <c r="C3265" t="s">
        <v>41</v>
      </c>
      <c r="D3265" t="s">
        <v>399</v>
      </c>
      <c r="F3265" s="21"/>
      <c r="G3265" s="16" t="str">
        <f>HYPERLINK("http://maps.google.com/maps?f=q&amp;hl=en&amp;geocode=&amp;q=40.013988494873,-75.3031921386719")</f>
        <v>http://maps.google.com/maps?f=q&amp;hl=en&amp;geocode=&amp;q=40.013988494873,-75.3031921386719</v>
      </c>
    </row>
    <row r="3266" spans="1:7" ht="15" x14ac:dyDescent="0.3">
      <c r="A3266">
        <v>49.746891021728501</v>
      </c>
      <c r="B3266">
        <v>6.0959229469299299</v>
      </c>
      <c r="C3266" t="s">
        <v>41</v>
      </c>
      <c r="D3266" t="s">
        <v>2214</v>
      </c>
      <c r="F3266" s="21"/>
      <c r="G3266" s="16" t="str">
        <f>HYPERLINK("http://maps.google.com/maps?f=q&amp;hl=en&amp;geocode=&amp;q=49.7468910217285,6.09592294692993")</f>
        <v>http://maps.google.com/maps?f=q&amp;hl=en&amp;geocode=&amp;q=49.7468910217285,6.09592294692993</v>
      </c>
    </row>
    <row r="3267" spans="1:7" ht="15" x14ac:dyDescent="0.3">
      <c r="A3267">
        <v>42.470289999999999</v>
      </c>
      <c r="B3267">
        <v>-83.077780000000004</v>
      </c>
      <c r="C3267" t="s">
        <v>42</v>
      </c>
      <c r="D3267" t="s">
        <v>121</v>
      </c>
      <c r="F3267" s="21"/>
      <c r="G3267" s="16" t="str">
        <f>HYPERLINK("http://maps.google.com/maps?f=q&amp;hl=en&amp;geocode=&amp;q=42.47029,-83.07778")</f>
        <v>http://maps.google.com/maps?f=q&amp;hl=en&amp;geocode=&amp;q=42.47029,-83.07778</v>
      </c>
    </row>
    <row r="3268" spans="1:7" ht="15" x14ac:dyDescent="0.3">
      <c r="A3268">
        <v>42.470289999999999</v>
      </c>
      <c r="B3268">
        <v>-83.077780000000004</v>
      </c>
      <c r="C3268" t="s">
        <v>42</v>
      </c>
      <c r="D3268" t="s">
        <v>121</v>
      </c>
      <c r="F3268" s="21"/>
      <c r="G3268" s="16" t="str">
        <f>HYPERLINK("http://maps.google.com/maps?f=q&amp;hl=en&amp;geocode=&amp;q=42.47029,-83.07778")</f>
        <v>http://maps.google.com/maps?f=q&amp;hl=en&amp;geocode=&amp;q=42.47029,-83.07778</v>
      </c>
    </row>
    <row r="3269" spans="1:7" ht="15" x14ac:dyDescent="0.3">
      <c r="A3269">
        <v>41.740641829266004</v>
      </c>
      <c r="B3269">
        <v>-111.814663752626</v>
      </c>
      <c r="C3269" t="s">
        <v>43</v>
      </c>
      <c r="D3269" t="s">
        <v>2215</v>
      </c>
      <c r="F3269" s="21"/>
      <c r="G3269" s="16" t="str">
        <f>HYPERLINK("http://maps.google.com/maps?f=q&amp;hl=en&amp;geocode=&amp;q=41.740641829266,-111.814663752626")</f>
        <v>http://maps.google.com/maps?f=q&amp;hl=en&amp;geocode=&amp;q=41.740641829266,-111.814663752626</v>
      </c>
    </row>
    <row r="3270" spans="1:7" ht="15" x14ac:dyDescent="0.3">
      <c r="A3270">
        <v>39.926499999999997</v>
      </c>
      <c r="B3270">
        <v>-75.225579999999994</v>
      </c>
      <c r="C3270" t="s">
        <v>43</v>
      </c>
      <c r="D3270" t="s">
        <v>2216</v>
      </c>
      <c r="F3270" s="21"/>
      <c r="G3270" s="16" t="str">
        <f>HYPERLINK("http://maps.google.com/maps?f=q&amp;hl=en&amp;geocode=&amp;q=39.9265,-75.22558")</f>
        <v>http://maps.google.com/maps?f=q&amp;hl=en&amp;geocode=&amp;q=39.9265,-75.22558</v>
      </c>
    </row>
    <row r="3271" spans="1:7" ht="15" x14ac:dyDescent="0.3">
      <c r="A3271">
        <v>29.533359527587901</v>
      </c>
      <c r="B3271">
        <v>-95.119140625</v>
      </c>
      <c r="C3271" t="s">
        <v>43</v>
      </c>
      <c r="D3271" t="s">
        <v>2217</v>
      </c>
      <c r="F3271" s="21"/>
      <c r="G3271" s="16" t="str">
        <f>HYPERLINK("http://maps.google.com/maps?f=q&amp;hl=en&amp;geocode=&amp;q=29.5333595275879,-95.119140625")</f>
        <v>http://maps.google.com/maps?f=q&amp;hl=en&amp;geocode=&amp;q=29.5333595275879,-95.119140625</v>
      </c>
    </row>
    <row r="3272" spans="1:7" ht="15" x14ac:dyDescent="0.3">
      <c r="A3272" t="s">
        <v>44</v>
      </c>
      <c r="B3272" t="s">
        <v>44</v>
      </c>
      <c r="C3272" t="s">
        <v>44</v>
      </c>
      <c r="D3272" t="s">
        <v>2218</v>
      </c>
      <c r="F3272" s="21"/>
      <c r="G3272" s="16"/>
    </row>
    <row r="3273" spans="1:7" ht="15" x14ac:dyDescent="0.3">
      <c r="A3273">
        <v>41.214175867582199</v>
      </c>
      <c r="B3273">
        <v>-95.993520837557199</v>
      </c>
      <c r="C3273" t="s">
        <v>41</v>
      </c>
      <c r="D3273" t="s">
        <v>2219</v>
      </c>
      <c r="F3273" s="21"/>
      <c r="G3273" s="16" t="str">
        <f>HYPERLINK("http://maps.google.com/maps?f=q&amp;hl=en&amp;geocode=&amp;q=41.2141758675822,-95.9935208375572")</f>
        <v>http://maps.google.com/maps?f=q&amp;hl=en&amp;geocode=&amp;q=41.2141758675822,-95.9935208375572</v>
      </c>
    </row>
    <row r="3274" spans="1:7" ht="15" x14ac:dyDescent="0.3">
      <c r="A3274">
        <v>32.746026527230299</v>
      </c>
      <c r="B3274">
        <v>-117.10320434242701</v>
      </c>
      <c r="C3274" t="s">
        <v>41</v>
      </c>
      <c r="D3274" t="s">
        <v>2220</v>
      </c>
      <c r="F3274" s="21"/>
      <c r="G3274" s="16" t="str">
        <f>HYPERLINK("http://maps.google.com/maps?f=q&amp;hl=en&amp;geocode=&amp;q=32.7460265272303,-117.103204342427")</f>
        <v>http://maps.google.com/maps?f=q&amp;hl=en&amp;geocode=&amp;q=32.7460265272303,-117.103204342427</v>
      </c>
    </row>
    <row r="3275" spans="1:7" ht="15" x14ac:dyDescent="0.3">
      <c r="A3275">
        <v>53.757888793945298</v>
      </c>
      <c r="B3275">
        <v>-2.7057199478149401</v>
      </c>
      <c r="C3275" t="s">
        <v>43</v>
      </c>
      <c r="D3275" t="s">
        <v>2221</v>
      </c>
      <c r="F3275" s="21"/>
      <c r="G3275" s="16" t="str">
        <f>HYPERLINK("http://maps.google.com/maps?f=q&amp;hl=en&amp;geocode=&amp;q=53.7578887939453,-2.70571994781494")</f>
        <v>http://maps.google.com/maps?f=q&amp;hl=en&amp;geocode=&amp;q=53.7578887939453,-2.70571994781494</v>
      </c>
    </row>
    <row r="3276" spans="1:7" ht="15" x14ac:dyDescent="0.3">
      <c r="A3276">
        <v>39.969520568847699</v>
      </c>
      <c r="B3276">
        <v>-79.613929748535199</v>
      </c>
      <c r="C3276" t="s">
        <v>43</v>
      </c>
      <c r="D3276" t="s">
        <v>2222</v>
      </c>
      <c r="F3276" s="21"/>
      <c r="G3276" s="16" t="str">
        <f>HYPERLINK("http://maps.google.com/maps?f=q&amp;hl=en&amp;geocode=&amp;q=39.9695205688477,-79.6139297485352")</f>
        <v>http://maps.google.com/maps?f=q&amp;hl=en&amp;geocode=&amp;q=39.9695205688477,-79.6139297485352</v>
      </c>
    </row>
    <row r="3277" spans="1:7" ht="15" x14ac:dyDescent="0.3">
      <c r="A3277">
        <v>38.725276947021499</v>
      </c>
      <c r="B3277">
        <v>-77.047775268554702</v>
      </c>
      <c r="C3277" t="s">
        <v>41</v>
      </c>
      <c r="D3277" t="s">
        <v>157</v>
      </c>
      <c r="F3277" s="21"/>
      <c r="G3277" s="16" t="str">
        <f>HYPERLINK("http://maps.google.com/maps?f=q&amp;hl=en&amp;geocode=&amp;q=38.7252769470215,-77.0477752685547")</f>
        <v>http://maps.google.com/maps?f=q&amp;hl=en&amp;geocode=&amp;q=38.7252769470215,-77.0477752685547</v>
      </c>
    </row>
    <row r="3278" spans="1:7" ht="15" x14ac:dyDescent="0.3">
      <c r="A3278">
        <v>40.037001013410404</v>
      </c>
      <c r="B3278">
        <v>-75.039839182069599</v>
      </c>
      <c r="C3278" t="s">
        <v>41</v>
      </c>
      <c r="D3278" t="s">
        <v>2223</v>
      </c>
      <c r="F3278" s="21"/>
      <c r="G3278" s="16" t="str">
        <f>HYPERLINK("http://maps.google.com/maps?f=q&amp;hl=en&amp;geocode=&amp;q=40.0370010134104,-75.0398391820696")</f>
        <v>http://maps.google.com/maps?f=q&amp;hl=en&amp;geocode=&amp;q=40.0370010134104,-75.0398391820696</v>
      </c>
    </row>
    <row r="3279" spans="1:7" ht="15" x14ac:dyDescent="0.3">
      <c r="A3279">
        <v>33.507581497955897</v>
      </c>
      <c r="B3279">
        <v>-81.722275061550306</v>
      </c>
      <c r="C3279" t="s">
        <v>43</v>
      </c>
      <c r="D3279" t="s">
        <v>677</v>
      </c>
      <c r="F3279" s="21"/>
      <c r="G3279" s="16" t="str">
        <f>HYPERLINK("http://maps.google.com/maps?f=q&amp;hl=en&amp;geocode=&amp;q=33.5075814979559,-81.7222750615503")</f>
        <v>http://maps.google.com/maps?f=q&amp;hl=en&amp;geocode=&amp;q=33.5075814979559,-81.7222750615503</v>
      </c>
    </row>
    <row r="3280" spans="1:7" ht="15" x14ac:dyDescent="0.3">
      <c r="A3280">
        <v>34.597130089819302</v>
      </c>
      <c r="B3280">
        <v>-83.449278012360907</v>
      </c>
      <c r="C3280" t="s">
        <v>41</v>
      </c>
      <c r="D3280" t="s">
        <v>678</v>
      </c>
      <c r="F3280" s="21"/>
      <c r="G3280" s="16" t="str">
        <f>HYPERLINK("http://maps.google.com/maps?f=q&amp;hl=en&amp;geocode=&amp;q=34.5971300898193,-83.4492780123609")</f>
        <v>http://maps.google.com/maps?f=q&amp;hl=en&amp;geocode=&amp;q=34.5971300898193,-83.4492780123609</v>
      </c>
    </row>
    <row r="3281" spans="1:7" ht="15" x14ac:dyDescent="0.3">
      <c r="A3281">
        <v>33.507756390398399</v>
      </c>
      <c r="B3281">
        <v>-81.722186497918301</v>
      </c>
      <c r="C3281" t="s">
        <v>43</v>
      </c>
      <c r="D3281" t="s">
        <v>2224</v>
      </c>
      <c r="F3281" s="21"/>
      <c r="G3281" s="16" t="str">
        <f>HYPERLINK("http://maps.google.com/maps?f=q&amp;hl=en&amp;geocode=&amp;q=33.5077563903984,-81.7221864979183")</f>
        <v>http://maps.google.com/maps?f=q&amp;hl=en&amp;geocode=&amp;q=33.5077563903984,-81.7221864979183</v>
      </c>
    </row>
    <row r="3282" spans="1:7" ht="15" x14ac:dyDescent="0.3">
      <c r="A3282">
        <v>42.997422656800801</v>
      </c>
      <c r="B3282">
        <v>-95.623939346082395</v>
      </c>
      <c r="C3282" t="s">
        <v>41</v>
      </c>
      <c r="D3282" t="s">
        <v>71</v>
      </c>
      <c r="F3282" s="21"/>
      <c r="G3282" s="16" t="str">
        <f>HYPERLINK("http://maps.google.com/maps?f=q&amp;hl=en&amp;geocode=&amp;q=42.9974226568008,-95.6239393460824")</f>
        <v>http://maps.google.com/maps?f=q&amp;hl=en&amp;geocode=&amp;q=42.9974226568008,-95.6239393460824</v>
      </c>
    </row>
    <row r="3283" spans="1:7" ht="15" x14ac:dyDescent="0.3">
      <c r="A3283">
        <v>43.026452978160499</v>
      </c>
      <c r="B3283">
        <v>-95.623947972903807</v>
      </c>
      <c r="C3283" t="s">
        <v>41</v>
      </c>
      <c r="D3283" t="s">
        <v>79</v>
      </c>
      <c r="F3283" s="21"/>
      <c r="G3283" s="16" t="str">
        <f>HYPERLINK("http://maps.google.com/maps?f=q&amp;hl=en&amp;geocode=&amp;q=43.0264529781605,-95.6239479729038")</f>
        <v>http://maps.google.com/maps?f=q&amp;hl=en&amp;geocode=&amp;q=43.0264529781605,-95.6239479729038</v>
      </c>
    </row>
    <row r="3284" spans="1:7" ht="15" x14ac:dyDescent="0.3">
      <c r="A3284">
        <v>52.6822319030762</v>
      </c>
      <c r="B3284">
        <v>0.13165999948978399</v>
      </c>
      <c r="C3284" t="s">
        <v>41</v>
      </c>
      <c r="D3284" t="s">
        <v>1331</v>
      </c>
      <c r="F3284" s="21"/>
      <c r="G3284" s="16" t="str">
        <f>HYPERLINK("http://maps.google.com/maps?f=q&amp;hl=en&amp;geocode=&amp;q=52.6822319030762,0.131659999489784")</f>
        <v>http://maps.google.com/maps?f=q&amp;hl=en&amp;geocode=&amp;q=52.6822319030762,0.131659999489784</v>
      </c>
    </row>
    <row r="3285" spans="1:7" ht="15" x14ac:dyDescent="0.3">
      <c r="A3285">
        <v>48.922855035654798</v>
      </c>
      <c r="B3285">
        <v>-122.744459513682</v>
      </c>
      <c r="C3285" t="s">
        <v>43</v>
      </c>
      <c r="D3285" t="s">
        <v>2225</v>
      </c>
      <c r="F3285" s="21"/>
      <c r="G3285" s="16" t="str">
        <f>HYPERLINK("http://maps.google.com/maps?f=q&amp;hl=en&amp;geocode=&amp;q=48.9228550356548,-122.744459513682")</f>
        <v>http://maps.google.com/maps?f=q&amp;hl=en&amp;geocode=&amp;q=48.9228550356548,-122.744459513682</v>
      </c>
    </row>
    <row r="3286" spans="1:7" ht="15" x14ac:dyDescent="0.3">
      <c r="A3286">
        <v>40.036918640136697</v>
      </c>
      <c r="B3286">
        <v>-75.510437011718807</v>
      </c>
      <c r="C3286" t="s">
        <v>43</v>
      </c>
      <c r="D3286" t="s">
        <v>2226</v>
      </c>
      <c r="F3286" s="21"/>
      <c r="G3286" s="16" t="str">
        <f>HYPERLINK("http://maps.google.com/maps?f=q&amp;hl=en&amp;geocode=&amp;q=40.0369186401367,-75.5104370117188")</f>
        <v>http://maps.google.com/maps?f=q&amp;hl=en&amp;geocode=&amp;q=40.0369186401367,-75.5104370117188</v>
      </c>
    </row>
    <row r="3287" spans="1:7" ht="15" x14ac:dyDescent="0.3">
      <c r="A3287">
        <v>38.798560000000002</v>
      </c>
      <c r="B3287">
        <v>-90.20908</v>
      </c>
      <c r="C3287" t="s">
        <v>43</v>
      </c>
      <c r="D3287" t="s">
        <v>413</v>
      </c>
      <c r="F3287" s="21"/>
      <c r="G3287" s="16" t="str">
        <f>HYPERLINK("http://maps.google.com/maps?f=q&amp;hl=en&amp;geocode=&amp;q=38.79856,-90.20908")</f>
        <v>http://maps.google.com/maps?f=q&amp;hl=en&amp;geocode=&amp;q=38.79856,-90.20908</v>
      </c>
    </row>
    <row r="3288" spans="1:7" ht="15" x14ac:dyDescent="0.3">
      <c r="A3288">
        <v>41.637048990101597</v>
      </c>
      <c r="B3288">
        <v>-87.810947868094601</v>
      </c>
      <c r="C3288" t="s">
        <v>41</v>
      </c>
      <c r="D3288" t="s">
        <v>2227</v>
      </c>
      <c r="F3288" s="21"/>
      <c r="G3288" s="16" t="str">
        <f>HYPERLINK("http://maps.google.com/maps?f=q&amp;hl=en&amp;geocode=&amp;q=41.6370489901016,-87.8109478680946")</f>
        <v>http://maps.google.com/maps?f=q&amp;hl=en&amp;geocode=&amp;q=41.6370489901016,-87.8109478680946</v>
      </c>
    </row>
    <row r="3289" spans="1:7" ht="15" x14ac:dyDescent="0.3">
      <c r="A3289">
        <v>39.950969999999998</v>
      </c>
      <c r="B3289">
        <v>-75.222560000000001</v>
      </c>
      <c r="C3289" t="s">
        <v>41</v>
      </c>
      <c r="D3289" t="s">
        <v>665</v>
      </c>
      <c r="F3289" s="21"/>
      <c r="G3289" s="16" t="str">
        <f>HYPERLINK("http://maps.google.com/maps?f=q&amp;hl=en&amp;geocode=&amp;q=39.95097,-75.22256")</f>
        <v>http://maps.google.com/maps?f=q&amp;hl=en&amp;geocode=&amp;q=39.95097,-75.22256</v>
      </c>
    </row>
    <row r="3290" spans="1:7" ht="15" x14ac:dyDescent="0.3">
      <c r="A3290">
        <v>40.055979999999998</v>
      </c>
      <c r="B3290">
        <v>-75.055959999999999</v>
      </c>
      <c r="C3290" t="s">
        <v>42</v>
      </c>
      <c r="D3290" t="s">
        <v>2228</v>
      </c>
      <c r="F3290" s="21"/>
      <c r="G3290" s="16" t="str">
        <f>HYPERLINK("http://maps.google.com/maps?f=q&amp;hl=en&amp;geocode=&amp;q=40.05598,-75.05596")</f>
        <v>http://maps.google.com/maps?f=q&amp;hl=en&amp;geocode=&amp;q=40.05598,-75.05596</v>
      </c>
    </row>
    <row r="3291" spans="1:7" ht="15" x14ac:dyDescent="0.3">
      <c r="A3291">
        <v>33.269960182528102</v>
      </c>
      <c r="B3291">
        <v>-115.953881084049</v>
      </c>
      <c r="C3291" t="s">
        <v>41</v>
      </c>
      <c r="D3291" t="s">
        <v>2229</v>
      </c>
      <c r="F3291" s="21"/>
      <c r="G3291" s="16" t="str">
        <f>HYPERLINK("http://maps.google.com/maps?f=q&amp;hl=en&amp;geocode=&amp;q=33.2699601825281,-115.953881084049")</f>
        <v>http://maps.google.com/maps?f=q&amp;hl=en&amp;geocode=&amp;q=33.2699601825281,-115.953881084049</v>
      </c>
    </row>
    <row r="3292" spans="1:7" ht="15" x14ac:dyDescent="0.3">
      <c r="A3292">
        <v>32.082221916476598</v>
      </c>
      <c r="B3292">
        <v>-83.800202174656306</v>
      </c>
      <c r="C3292" t="s">
        <v>41</v>
      </c>
      <c r="D3292" t="s">
        <v>2230</v>
      </c>
      <c r="F3292" s="21"/>
      <c r="G3292" s="16" t="str">
        <f>HYPERLINK("http://maps.google.com/maps?f=q&amp;hl=en&amp;geocode=&amp;q=32.0822219164766,-83.8002021746563")</f>
        <v>http://maps.google.com/maps?f=q&amp;hl=en&amp;geocode=&amp;q=32.0822219164766,-83.8002021746563</v>
      </c>
    </row>
    <row r="3293" spans="1:7" ht="15" x14ac:dyDescent="0.3">
      <c r="A3293">
        <v>32.082221916476598</v>
      </c>
      <c r="B3293">
        <v>-83.800202174656306</v>
      </c>
      <c r="C3293" t="s">
        <v>41</v>
      </c>
      <c r="D3293" t="s">
        <v>2230</v>
      </c>
      <c r="F3293" s="21"/>
      <c r="G3293" s="16" t="str">
        <f>HYPERLINK("http://maps.google.com/maps?f=q&amp;hl=en&amp;geocode=&amp;q=32.0822219164766,-83.8002021746563")</f>
        <v>http://maps.google.com/maps?f=q&amp;hl=en&amp;geocode=&amp;q=32.0822219164766,-83.8002021746563</v>
      </c>
    </row>
    <row r="3294" spans="1:7" ht="15" x14ac:dyDescent="0.3">
      <c r="A3294">
        <v>38.336930000000002</v>
      </c>
      <c r="B3294">
        <v>-82.784679999999994</v>
      </c>
      <c r="C3294" t="s">
        <v>42</v>
      </c>
      <c r="D3294" t="s">
        <v>2231</v>
      </c>
      <c r="F3294" s="21"/>
      <c r="G3294" s="16" t="str">
        <f>HYPERLINK("http://maps.google.com/maps?f=q&amp;hl=en&amp;geocode=&amp;q=38.33693,-82.78468")</f>
        <v>http://maps.google.com/maps?f=q&amp;hl=en&amp;geocode=&amp;q=38.33693,-82.78468</v>
      </c>
    </row>
    <row r="3295" spans="1:7" ht="15" x14ac:dyDescent="0.3">
      <c r="A3295">
        <v>43.798554966074498</v>
      </c>
      <c r="B3295">
        <v>-83.412559999999999</v>
      </c>
      <c r="C3295" t="s">
        <v>41</v>
      </c>
      <c r="D3295" t="s">
        <v>2232</v>
      </c>
      <c r="F3295" s="21"/>
      <c r="G3295" s="16" t="str">
        <f>HYPERLINK("http://maps.google.com/maps?f=q&amp;hl=en&amp;geocode=&amp;q=43.7985549660745,-83.41256")</f>
        <v>http://maps.google.com/maps?f=q&amp;hl=en&amp;geocode=&amp;q=43.7985549660745,-83.41256</v>
      </c>
    </row>
    <row r="3296" spans="1:7" ht="15" x14ac:dyDescent="0.3">
      <c r="A3296">
        <v>39.914731325035</v>
      </c>
      <c r="B3296">
        <v>-75.234735234141198</v>
      </c>
      <c r="C3296" t="s">
        <v>43</v>
      </c>
      <c r="D3296" t="s">
        <v>2233</v>
      </c>
      <c r="F3296" s="21"/>
      <c r="G3296" s="16" t="str">
        <f>HYPERLINK("http://maps.google.com/maps?f=q&amp;hl=en&amp;geocode=&amp;q=39.914731325035,-75.2347352341412")</f>
        <v>http://maps.google.com/maps?f=q&amp;hl=en&amp;geocode=&amp;q=39.914731325035,-75.2347352341412</v>
      </c>
    </row>
    <row r="3297" spans="1:7" ht="15" x14ac:dyDescent="0.3">
      <c r="A3297" t="s">
        <v>44</v>
      </c>
      <c r="B3297" t="s">
        <v>44</v>
      </c>
      <c r="C3297" t="s">
        <v>44</v>
      </c>
      <c r="D3297" t="s">
        <v>2234</v>
      </c>
      <c r="F3297" s="21"/>
      <c r="G3297" s="16"/>
    </row>
    <row r="3298" spans="1:7" ht="15" x14ac:dyDescent="0.3">
      <c r="A3298">
        <v>39.891780853271499</v>
      </c>
      <c r="B3298">
        <v>-88.361022949218807</v>
      </c>
      <c r="C3298" t="s">
        <v>43</v>
      </c>
      <c r="D3298" t="s">
        <v>2235</v>
      </c>
      <c r="F3298" s="21"/>
      <c r="G3298" s="16" t="str">
        <f>HYPERLINK("http://maps.google.com/maps?f=q&amp;hl=en&amp;geocode=&amp;q=39.8917808532715,-88.3610229492188")</f>
        <v>http://maps.google.com/maps?f=q&amp;hl=en&amp;geocode=&amp;q=39.8917808532715,-88.3610229492188</v>
      </c>
    </row>
    <row r="3299" spans="1:7" ht="15" x14ac:dyDescent="0.3">
      <c r="A3299">
        <v>32.275119781494098</v>
      </c>
      <c r="B3299">
        <v>-90.137168884277301</v>
      </c>
      <c r="C3299" t="s">
        <v>43</v>
      </c>
      <c r="D3299" t="s">
        <v>106</v>
      </c>
      <c r="F3299" s="21"/>
      <c r="G3299" s="16" t="str">
        <f>HYPERLINK("http://maps.google.com/maps?f=q&amp;hl=en&amp;geocode=&amp;q=32.2751197814941,-90.1371688842773")</f>
        <v>http://maps.google.com/maps?f=q&amp;hl=en&amp;geocode=&amp;q=32.2751197814941,-90.1371688842773</v>
      </c>
    </row>
    <row r="3300" spans="1:7" ht="15" x14ac:dyDescent="0.3">
      <c r="A3300">
        <v>54.901432037353501</v>
      </c>
      <c r="B3300">
        <v>10.7508296966553</v>
      </c>
      <c r="C3300" t="s">
        <v>43</v>
      </c>
      <c r="D3300" t="s">
        <v>2236</v>
      </c>
      <c r="F3300" s="21"/>
      <c r="G3300" s="16" t="str">
        <f>HYPERLINK("http://maps.google.com/maps?f=q&amp;hl=en&amp;geocode=&amp;q=54.9014320373535,10.7508296966553")</f>
        <v>http://maps.google.com/maps?f=q&amp;hl=en&amp;geocode=&amp;q=54.9014320373535,10.7508296966553</v>
      </c>
    </row>
    <row r="3301" spans="1:7" ht="15" x14ac:dyDescent="0.3">
      <c r="A3301">
        <v>54.901432037353501</v>
      </c>
      <c r="B3301">
        <v>10.7508296966553</v>
      </c>
      <c r="C3301" t="s">
        <v>43</v>
      </c>
      <c r="D3301" t="s">
        <v>2236</v>
      </c>
      <c r="F3301" s="21"/>
      <c r="G3301" s="16" t="str">
        <f>HYPERLINK("http://maps.google.com/maps?f=q&amp;hl=en&amp;geocode=&amp;q=54.9014320373535,10.7508296966553")</f>
        <v>http://maps.google.com/maps?f=q&amp;hl=en&amp;geocode=&amp;q=54.9014320373535,10.7508296966553</v>
      </c>
    </row>
    <row r="3302" spans="1:7" ht="15" x14ac:dyDescent="0.3">
      <c r="A3302">
        <v>38.725276947021499</v>
      </c>
      <c r="B3302">
        <v>-77.047775268554702</v>
      </c>
      <c r="C3302" t="s">
        <v>41</v>
      </c>
      <c r="D3302" t="s">
        <v>334</v>
      </c>
      <c r="F3302" s="21"/>
      <c r="G3302" s="16" t="str">
        <f>HYPERLINK("http://maps.google.com/maps?f=q&amp;hl=en&amp;geocode=&amp;q=38.7252769470215,-77.0477752685547")</f>
        <v>http://maps.google.com/maps?f=q&amp;hl=en&amp;geocode=&amp;q=38.7252769470215,-77.0477752685547</v>
      </c>
    </row>
    <row r="3303" spans="1:7" ht="15" x14ac:dyDescent="0.3">
      <c r="A3303">
        <v>36.286128988957898</v>
      </c>
      <c r="B3303">
        <v>-115.07991433949201</v>
      </c>
      <c r="C3303" t="s">
        <v>42</v>
      </c>
      <c r="D3303" t="s">
        <v>2237</v>
      </c>
      <c r="F3303" s="21"/>
      <c r="G3303" s="16" t="str">
        <f>HYPERLINK("http://maps.google.com/maps?f=q&amp;hl=en&amp;geocode=&amp;q=36.2861289889579,-115.079914339492")</f>
        <v>http://maps.google.com/maps?f=q&amp;hl=en&amp;geocode=&amp;q=36.2861289889579,-115.079914339492</v>
      </c>
    </row>
    <row r="3304" spans="1:7" ht="15" x14ac:dyDescent="0.3">
      <c r="A3304">
        <v>31.250383402431599</v>
      </c>
      <c r="B3304">
        <v>-102.293768349573</v>
      </c>
      <c r="C3304" t="s">
        <v>41</v>
      </c>
      <c r="D3304" t="s">
        <v>2238</v>
      </c>
      <c r="F3304" s="21"/>
      <c r="G3304" s="16" t="str">
        <f>HYPERLINK("http://maps.google.com/maps?f=q&amp;hl=en&amp;geocode=&amp;q=31.2503834024316,-102.293768349573")</f>
        <v>http://maps.google.com/maps?f=q&amp;hl=en&amp;geocode=&amp;q=31.2503834024316,-102.293768349573</v>
      </c>
    </row>
    <row r="3305" spans="1:7" ht="15" x14ac:dyDescent="0.3">
      <c r="A3305">
        <v>27.270293512274002</v>
      </c>
      <c r="B3305">
        <v>-80.276742795341406</v>
      </c>
      <c r="C3305" t="s">
        <v>41</v>
      </c>
      <c r="D3305" t="s">
        <v>2047</v>
      </c>
      <c r="F3305" s="21"/>
      <c r="G3305" s="16" t="str">
        <f>HYPERLINK("http://maps.google.com/maps?f=q&amp;hl=en&amp;geocode=&amp;q=27.270293512274,-80.2767427953414")</f>
        <v>http://maps.google.com/maps?f=q&amp;hl=en&amp;geocode=&amp;q=27.270293512274,-80.2767427953414</v>
      </c>
    </row>
    <row r="3306" spans="1:7" ht="15" x14ac:dyDescent="0.3">
      <c r="A3306">
        <v>27.270293512274002</v>
      </c>
      <c r="B3306">
        <v>-80.276742795341406</v>
      </c>
      <c r="C3306" t="s">
        <v>41</v>
      </c>
      <c r="D3306" t="s">
        <v>2047</v>
      </c>
      <c r="F3306" s="21"/>
      <c r="G3306" s="16" t="str">
        <f>HYPERLINK("http://maps.google.com/maps?f=q&amp;hl=en&amp;geocode=&amp;q=27.270293512274,-80.2767427953414")</f>
        <v>http://maps.google.com/maps?f=q&amp;hl=en&amp;geocode=&amp;q=27.270293512274,-80.2767427953414</v>
      </c>
    </row>
    <row r="3307" spans="1:7" ht="15" x14ac:dyDescent="0.3">
      <c r="A3307">
        <v>39.930199999999999</v>
      </c>
      <c r="B3307">
        <v>-75.153360000000006</v>
      </c>
      <c r="C3307" t="s">
        <v>43</v>
      </c>
      <c r="D3307" t="s">
        <v>2239</v>
      </c>
      <c r="F3307" s="21"/>
      <c r="G3307" s="16" t="str">
        <f>HYPERLINK("http://maps.google.com/maps?f=q&amp;hl=en&amp;geocode=&amp;q=39.9302,-75.15336")</f>
        <v>http://maps.google.com/maps?f=q&amp;hl=en&amp;geocode=&amp;q=39.9302,-75.15336</v>
      </c>
    </row>
    <row r="3308" spans="1:7" ht="15" x14ac:dyDescent="0.3">
      <c r="A3308">
        <v>39.930199999999999</v>
      </c>
      <c r="B3308">
        <v>-75.153360000000006</v>
      </c>
      <c r="C3308" t="s">
        <v>43</v>
      </c>
      <c r="D3308" t="s">
        <v>2239</v>
      </c>
      <c r="F3308" s="21"/>
      <c r="G3308" s="16" t="str">
        <f>HYPERLINK("http://maps.google.com/maps?f=q&amp;hl=en&amp;geocode=&amp;q=39.9302,-75.15336")</f>
        <v>http://maps.google.com/maps?f=q&amp;hl=en&amp;geocode=&amp;q=39.9302,-75.15336</v>
      </c>
    </row>
    <row r="3309" spans="1:7" ht="15" x14ac:dyDescent="0.3">
      <c r="A3309">
        <v>43.332781952556402</v>
      </c>
      <c r="B3309">
        <v>-78.751542984681805</v>
      </c>
      <c r="C3309" t="s">
        <v>41</v>
      </c>
      <c r="D3309" t="s">
        <v>2240</v>
      </c>
      <c r="F3309" s="21"/>
      <c r="G3309" s="16" t="str">
        <f>HYPERLINK("http://maps.google.com/maps?f=q&amp;hl=en&amp;geocode=&amp;q=43.3327819525564,-78.7515429846818")</f>
        <v>http://maps.google.com/maps?f=q&amp;hl=en&amp;geocode=&amp;q=43.3327819525564,-78.7515429846818</v>
      </c>
    </row>
    <row r="3310" spans="1:7" ht="15" x14ac:dyDescent="0.3">
      <c r="A3310">
        <v>39.989109999999997</v>
      </c>
      <c r="B3310">
        <v>-75.139499999999998</v>
      </c>
      <c r="C3310" t="s">
        <v>41</v>
      </c>
      <c r="D3310" t="s">
        <v>2038</v>
      </c>
      <c r="F3310" s="21"/>
      <c r="G3310" s="16" t="str">
        <f>HYPERLINK("http://maps.google.com/maps?f=q&amp;hl=en&amp;geocode=&amp;q=39.98911,-75.1395")</f>
        <v>http://maps.google.com/maps?f=q&amp;hl=en&amp;geocode=&amp;q=39.98911,-75.1395</v>
      </c>
    </row>
    <row r="3311" spans="1:7" ht="15" x14ac:dyDescent="0.3">
      <c r="A3311">
        <v>39.989109999999997</v>
      </c>
      <c r="B3311">
        <v>-75.139499999999998</v>
      </c>
      <c r="C3311" t="s">
        <v>41</v>
      </c>
      <c r="D3311" t="s">
        <v>2038</v>
      </c>
      <c r="F3311" s="21"/>
      <c r="G3311" s="16" t="str">
        <f>HYPERLINK("http://maps.google.com/maps?f=q&amp;hl=en&amp;geocode=&amp;q=39.98911,-75.1395")</f>
        <v>http://maps.google.com/maps?f=q&amp;hl=en&amp;geocode=&amp;q=39.98911,-75.1395</v>
      </c>
    </row>
    <row r="3312" spans="1:7" ht="15" x14ac:dyDescent="0.3">
      <c r="A3312">
        <v>40.230857</v>
      </c>
      <c r="B3312">
        <v>-78.822078000000005</v>
      </c>
      <c r="C3312" t="s">
        <v>41</v>
      </c>
      <c r="D3312" t="s">
        <v>2241</v>
      </c>
      <c r="F3312" s="21"/>
      <c r="G3312" s="16" t="str">
        <f>HYPERLINK("http://maps.google.com/maps?f=q&amp;hl=en&amp;geocode=&amp;q=40.230857,-78.822078")</f>
        <v>http://maps.google.com/maps?f=q&amp;hl=en&amp;geocode=&amp;q=40.230857,-78.822078</v>
      </c>
    </row>
    <row r="3313" spans="1:7" ht="15" x14ac:dyDescent="0.3">
      <c r="A3313">
        <v>34.917470000000002</v>
      </c>
      <c r="B3313">
        <v>-112.52316</v>
      </c>
      <c r="C3313" t="s">
        <v>42</v>
      </c>
      <c r="D3313" t="s">
        <v>2242</v>
      </c>
      <c r="F3313" s="21"/>
      <c r="G3313" s="16" t="str">
        <f>HYPERLINK("http://maps.google.com/maps?f=q&amp;hl=en&amp;geocode=&amp;q=34.91747,-112.52316")</f>
        <v>http://maps.google.com/maps?f=q&amp;hl=en&amp;geocode=&amp;q=34.91747,-112.52316</v>
      </c>
    </row>
    <row r="3314" spans="1:7" ht="15" x14ac:dyDescent="0.3">
      <c r="A3314">
        <v>39.938281372608799</v>
      </c>
      <c r="B3314">
        <v>-75.151017221848207</v>
      </c>
      <c r="C3314" t="s">
        <v>41</v>
      </c>
      <c r="D3314" t="s">
        <v>2213</v>
      </c>
      <c r="F3314" s="21"/>
      <c r="G3314" s="16" t="str">
        <f>HYPERLINK("http://maps.google.com/maps?f=q&amp;hl=en&amp;geocode=&amp;q=39.9382813726088,-75.1510172218482")</f>
        <v>http://maps.google.com/maps?f=q&amp;hl=en&amp;geocode=&amp;q=39.9382813726088,-75.1510172218482</v>
      </c>
    </row>
    <row r="3315" spans="1:7" ht="15" x14ac:dyDescent="0.3">
      <c r="A3315">
        <v>39.990549999999999</v>
      </c>
      <c r="B3315">
        <v>-75.100309999999993</v>
      </c>
      <c r="C3315" t="s">
        <v>41</v>
      </c>
      <c r="D3315" t="s">
        <v>1630</v>
      </c>
      <c r="F3315" s="21"/>
      <c r="G3315" s="16" t="str">
        <f>HYPERLINK("http://maps.google.com/maps?f=q&amp;hl=en&amp;geocode=&amp;q=39.99055,-75.10031")</f>
        <v>http://maps.google.com/maps?f=q&amp;hl=en&amp;geocode=&amp;q=39.99055,-75.10031</v>
      </c>
    </row>
    <row r="3316" spans="1:7" ht="15" x14ac:dyDescent="0.3">
      <c r="A3316">
        <v>39.990549999999999</v>
      </c>
      <c r="B3316">
        <v>-75.100309999999993</v>
      </c>
      <c r="C3316" t="s">
        <v>41</v>
      </c>
      <c r="D3316" t="s">
        <v>1630</v>
      </c>
      <c r="F3316" s="21"/>
      <c r="G3316" s="16" t="str">
        <f>HYPERLINK("http://maps.google.com/maps?f=q&amp;hl=en&amp;geocode=&amp;q=39.99055,-75.10031")</f>
        <v>http://maps.google.com/maps?f=q&amp;hl=en&amp;geocode=&amp;q=39.99055,-75.10031</v>
      </c>
    </row>
    <row r="3317" spans="1:7" ht="15" x14ac:dyDescent="0.3">
      <c r="A3317">
        <v>39.990549999999999</v>
      </c>
      <c r="B3317">
        <v>-75.100309999999993</v>
      </c>
      <c r="C3317" t="s">
        <v>41</v>
      </c>
      <c r="D3317" t="s">
        <v>1630</v>
      </c>
      <c r="F3317" s="21"/>
      <c r="G3317" s="16" t="str">
        <f>HYPERLINK("http://maps.google.com/maps?f=q&amp;hl=en&amp;geocode=&amp;q=39.99055,-75.10031")</f>
        <v>http://maps.google.com/maps?f=q&amp;hl=en&amp;geocode=&amp;q=39.99055,-75.10031</v>
      </c>
    </row>
    <row r="3318" spans="1:7" ht="15" x14ac:dyDescent="0.3">
      <c r="A3318">
        <v>39.990549999999999</v>
      </c>
      <c r="B3318">
        <v>-75.100309999999993</v>
      </c>
      <c r="C3318" t="s">
        <v>41</v>
      </c>
      <c r="D3318" t="s">
        <v>1630</v>
      </c>
      <c r="F3318" s="21"/>
      <c r="G3318" s="16" t="str">
        <f>HYPERLINK("http://maps.google.com/maps?f=q&amp;hl=en&amp;geocode=&amp;q=39.99055,-75.10031")</f>
        <v>http://maps.google.com/maps?f=q&amp;hl=en&amp;geocode=&amp;q=39.99055,-75.10031</v>
      </c>
    </row>
    <row r="3319" spans="1:7" ht="15" x14ac:dyDescent="0.3">
      <c r="A3319">
        <v>39.990549999999999</v>
      </c>
      <c r="B3319">
        <v>-75.100309999999993</v>
      </c>
      <c r="C3319" t="s">
        <v>41</v>
      </c>
      <c r="D3319" t="s">
        <v>1630</v>
      </c>
      <c r="F3319" s="21"/>
      <c r="G3319" s="16" t="str">
        <f>HYPERLINK("http://maps.google.com/maps?f=q&amp;hl=en&amp;geocode=&amp;q=39.99055,-75.10031")</f>
        <v>http://maps.google.com/maps?f=q&amp;hl=en&amp;geocode=&amp;q=39.99055,-75.10031</v>
      </c>
    </row>
    <row r="3320" spans="1:7" ht="15" x14ac:dyDescent="0.3">
      <c r="A3320">
        <v>39.990549999999999</v>
      </c>
      <c r="B3320">
        <v>-75.100309999999993</v>
      </c>
      <c r="C3320" t="s">
        <v>41</v>
      </c>
      <c r="D3320" t="s">
        <v>1630</v>
      </c>
      <c r="F3320" s="21"/>
      <c r="G3320" s="16" t="str">
        <f>HYPERLINK("http://maps.google.com/maps?f=q&amp;hl=en&amp;geocode=&amp;q=39.99055,-75.10031")</f>
        <v>http://maps.google.com/maps?f=q&amp;hl=en&amp;geocode=&amp;q=39.99055,-75.10031</v>
      </c>
    </row>
    <row r="3321" spans="1:7" ht="15" x14ac:dyDescent="0.3">
      <c r="A3321">
        <v>39.990549999999999</v>
      </c>
      <c r="B3321">
        <v>-75.100309999999993</v>
      </c>
      <c r="C3321" t="s">
        <v>41</v>
      </c>
      <c r="D3321" t="s">
        <v>1630</v>
      </c>
      <c r="F3321" s="21"/>
      <c r="G3321" s="16" t="str">
        <f>HYPERLINK("http://maps.google.com/maps?f=q&amp;hl=en&amp;geocode=&amp;q=39.99055,-75.10031")</f>
        <v>http://maps.google.com/maps?f=q&amp;hl=en&amp;geocode=&amp;q=39.99055,-75.10031</v>
      </c>
    </row>
    <row r="3322" spans="1:7" ht="15" x14ac:dyDescent="0.3">
      <c r="A3322">
        <v>39.990549999999999</v>
      </c>
      <c r="B3322">
        <v>-75.100309999999993</v>
      </c>
      <c r="C3322" t="s">
        <v>41</v>
      </c>
      <c r="D3322" t="s">
        <v>1630</v>
      </c>
      <c r="F3322" s="21"/>
      <c r="G3322" s="16" t="str">
        <f>HYPERLINK("http://maps.google.com/maps?f=q&amp;hl=en&amp;geocode=&amp;q=39.99055,-75.10031")</f>
        <v>http://maps.google.com/maps?f=q&amp;hl=en&amp;geocode=&amp;q=39.99055,-75.10031</v>
      </c>
    </row>
    <row r="3323" spans="1:7" ht="15" x14ac:dyDescent="0.3">
      <c r="A3323">
        <v>39.990549999999999</v>
      </c>
      <c r="B3323">
        <v>-75.100309999999993</v>
      </c>
      <c r="C3323" t="s">
        <v>41</v>
      </c>
      <c r="D3323" t="s">
        <v>1630</v>
      </c>
      <c r="F3323" s="21"/>
      <c r="G3323" s="16" t="str">
        <f>HYPERLINK("http://maps.google.com/maps?f=q&amp;hl=en&amp;geocode=&amp;q=39.99055,-75.10031")</f>
        <v>http://maps.google.com/maps?f=q&amp;hl=en&amp;geocode=&amp;q=39.99055,-75.10031</v>
      </c>
    </row>
    <row r="3324" spans="1:7" ht="15" x14ac:dyDescent="0.3">
      <c r="A3324">
        <v>39.990549999999999</v>
      </c>
      <c r="B3324">
        <v>-75.100309999999993</v>
      </c>
      <c r="C3324" t="s">
        <v>41</v>
      </c>
      <c r="D3324" t="s">
        <v>1630</v>
      </c>
      <c r="F3324" s="21"/>
      <c r="G3324" s="16" t="str">
        <f>HYPERLINK("http://maps.google.com/maps?f=q&amp;hl=en&amp;geocode=&amp;q=39.99055,-75.10031")</f>
        <v>http://maps.google.com/maps?f=q&amp;hl=en&amp;geocode=&amp;q=39.99055,-75.10031</v>
      </c>
    </row>
    <row r="3325" spans="1:7" ht="15" x14ac:dyDescent="0.3">
      <c r="A3325">
        <v>39.990549999999999</v>
      </c>
      <c r="B3325">
        <v>-75.100309999999993</v>
      </c>
      <c r="C3325" t="s">
        <v>41</v>
      </c>
      <c r="D3325" t="s">
        <v>1630</v>
      </c>
      <c r="F3325" s="21"/>
      <c r="G3325" s="16" t="str">
        <f>HYPERLINK("http://maps.google.com/maps?f=q&amp;hl=en&amp;geocode=&amp;q=39.99055,-75.10031")</f>
        <v>http://maps.google.com/maps?f=q&amp;hl=en&amp;geocode=&amp;q=39.99055,-75.10031</v>
      </c>
    </row>
    <row r="3326" spans="1:7" ht="15" x14ac:dyDescent="0.3">
      <c r="A3326">
        <v>39.990549999999999</v>
      </c>
      <c r="B3326">
        <v>-75.100309999999993</v>
      </c>
      <c r="C3326" t="s">
        <v>41</v>
      </c>
      <c r="D3326" t="s">
        <v>1630</v>
      </c>
      <c r="F3326" s="21"/>
      <c r="G3326" s="16" t="str">
        <f>HYPERLINK("http://maps.google.com/maps?f=q&amp;hl=en&amp;geocode=&amp;q=39.99055,-75.10031")</f>
        <v>http://maps.google.com/maps?f=q&amp;hl=en&amp;geocode=&amp;q=39.99055,-75.10031</v>
      </c>
    </row>
    <row r="3327" spans="1:7" ht="15" x14ac:dyDescent="0.3">
      <c r="A3327">
        <v>39.990549999999999</v>
      </c>
      <c r="B3327">
        <v>-75.100309999999993</v>
      </c>
      <c r="C3327" t="s">
        <v>41</v>
      </c>
      <c r="D3327" t="s">
        <v>1630</v>
      </c>
      <c r="F3327" s="21"/>
      <c r="G3327" s="16" t="str">
        <f>HYPERLINK("http://maps.google.com/maps?f=q&amp;hl=en&amp;geocode=&amp;q=39.99055,-75.10031")</f>
        <v>http://maps.google.com/maps?f=q&amp;hl=en&amp;geocode=&amp;q=39.99055,-75.10031</v>
      </c>
    </row>
    <row r="3328" spans="1:7" ht="15" x14ac:dyDescent="0.3">
      <c r="A3328">
        <v>39.990549999999999</v>
      </c>
      <c r="B3328">
        <v>-75.100309999999993</v>
      </c>
      <c r="C3328" t="s">
        <v>41</v>
      </c>
      <c r="D3328" t="s">
        <v>1630</v>
      </c>
      <c r="F3328" s="21"/>
      <c r="G3328" s="16" t="str">
        <f>HYPERLINK("http://maps.google.com/maps?f=q&amp;hl=en&amp;geocode=&amp;q=39.99055,-75.10031")</f>
        <v>http://maps.google.com/maps?f=q&amp;hl=en&amp;geocode=&amp;q=39.99055,-75.10031</v>
      </c>
    </row>
    <row r="3329" spans="1:7" ht="15" x14ac:dyDescent="0.3">
      <c r="A3329">
        <v>39.990549999999999</v>
      </c>
      <c r="B3329">
        <v>-75.100309999999993</v>
      </c>
      <c r="C3329" t="s">
        <v>41</v>
      </c>
      <c r="D3329" t="s">
        <v>1630</v>
      </c>
      <c r="F3329" s="21"/>
      <c r="G3329" s="16" t="str">
        <f>HYPERLINK("http://maps.google.com/maps?f=q&amp;hl=en&amp;geocode=&amp;q=39.99055,-75.10031")</f>
        <v>http://maps.google.com/maps?f=q&amp;hl=en&amp;geocode=&amp;q=39.99055,-75.10031</v>
      </c>
    </row>
    <row r="3330" spans="1:7" ht="15" x14ac:dyDescent="0.3">
      <c r="A3330">
        <v>39.990549999999999</v>
      </c>
      <c r="B3330">
        <v>-75.100309999999993</v>
      </c>
      <c r="C3330" t="s">
        <v>41</v>
      </c>
      <c r="D3330" t="s">
        <v>1630</v>
      </c>
      <c r="F3330" s="21"/>
      <c r="G3330" s="16" t="str">
        <f>HYPERLINK("http://maps.google.com/maps?f=q&amp;hl=en&amp;geocode=&amp;q=39.99055,-75.10031")</f>
        <v>http://maps.google.com/maps?f=q&amp;hl=en&amp;geocode=&amp;q=39.99055,-75.10031</v>
      </c>
    </row>
    <row r="3331" spans="1:7" ht="15" x14ac:dyDescent="0.3">
      <c r="A3331">
        <v>39.990549999999999</v>
      </c>
      <c r="B3331">
        <v>-75.100309999999993</v>
      </c>
      <c r="C3331" t="s">
        <v>41</v>
      </c>
      <c r="D3331" t="s">
        <v>1630</v>
      </c>
      <c r="F3331" s="21"/>
      <c r="G3331" s="16" t="str">
        <f>HYPERLINK("http://maps.google.com/maps?f=q&amp;hl=en&amp;geocode=&amp;q=39.99055,-75.10031")</f>
        <v>http://maps.google.com/maps?f=q&amp;hl=en&amp;geocode=&amp;q=39.99055,-75.10031</v>
      </c>
    </row>
    <row r="3332" spans="1:7" ht="15" x14ac:dyDescent="0.3">
      <c r="A3332">
        <v>39.990549999999999</v>
      </c>
      <c r="B3332">
        <v>-75.100309999999993</v>
      </c>
      <c r="C3332" t="s">
        <v>41</v>
      </c>
      <c r="D3332" t="s">
        <v>1630</v>
      </c>
      <c r="F3332" s="21"/>
      <c r="G3332" s="16" t="str">
        <f>HYPERLINK("http://maps.google.com/maps?f=q&amp;hl=en&amp;geocode=&amp;q=39.99055,-75.10031")</f>
        <v>http://maps.google.com/maps?f=q&amp;hl=en&amp;geocode=&amp;q=39.99055,-75.10031</v>
      </c>
    </row>
    <row r="3333" spans="1:7" ht="15" x14ac:dyDescent="0.3">
      <c r="A3333">
        <v>39.990549999999999</v>
      </c>
      <c r="B3333">
        <v>-75.100309999999993</v>
      </c>
      <c r="C3333" t="s">
        <v>41</v>
      </c>
      <c r="D3333" t="s">
        <v>1630</v>
      </c>
      <c r="F3333" s="21"/>
      <c r="G3333" s="16" t="str">
        <f>HYPERLINK("http://maps.google.com/maps?f=q&amp;hl=en&amp;geocode=&amp;q=39.99055,-75.10031")</f>
        <v>http://maps.google.com/maps?f=q&amp;hl=en&amp;geocode=&amp;q=39.99055,-75.10031</v>
      </c>
    </row>
    <row r="3334" spans="1:7" ht="15" x14ac:dyDescent="0.3">
      <c r="A3334">
        <v>39.990549999999999</v>
      </c>
      <c r="B3334">
        <v>-75.100309999999993</v>
      </c>
      <c r="C3334" t="s">
        <v>41</v>
      </c>
      <c r="D3334" t="s">
        <v>1630</v>
      </c>
      <c r="F3334" s="21"/>
      <c r="G3334" s="16" t="str">
        <f>HYPERLINK("http://maps.google.com/maps?f=q&amp;hl=en&amp;geocode=&amp;q=39.99055,-75.10031")</f>
        <v>http://maps.google.com/maps?f=q&amp;hl=en&amp;geocode=&amp;q=39.99055,-75.10031</v>
      </c>
    </row>
    <row r="3335" spans="1:7" ht="15" x14ac:dyDescent="0.3">
      <c r="A3335">
        <v>39.990549999999999</v>
      </c>
      <c r="B3335">
        <v>-75.100309999999993</v>
      </c>
      <c r="C3335" t="s">
        <v>41</v>
      </c>
      <c r="D3335" t="s">
        <v>1630</v>
      </c>
      <c r="F3335" s="21"/>
      <c r="G3335" s="16" t="str">
        <f>HYPERLINK("http://maps.google.com/maps?f=q&amp;hl=en&amp;geocode=&amp;q=39.99055,-75.10031")</f>
        <v>http://maps.google.com/maps?f=q&amp;hl=en&amp;geocode=&amp;q=39.99055,-75.10031</v>
      </c>
    </row>
    <row r="3336" spans="1:7" ht="15" x14ac:dyDescent="0.3">
      <c r="A3336">
        <v>39.990549999999999</v>
      </c>
      <c r="B3336">
        <v>-75.100309999999993</v>
      </c>
      <c r="C3336" t="s">
        <v>41</v>
      </c>
      <c r="D3336" t="s">
        <v>1630</v>
      </c>
      <c r="F3336" s="21"/>
      <c r="G3336" s="16" t="str">
        <f>HYPERLINK("http://maps.google.com/maps?f=q&amp;hl=en&amp;geocode=&amp;q=39.99055,-75.10031")</f>
        <v>http://maps.google.com/maps?f=q&amp;hl=en&amp;geocode=&amp;q=39.99055,-75.10031</v>
      </c>
    </row>
    <row r="3337" spans="1:7" ht="15" x14ac:dyDescent="0.3">
      <c r="A3337">
        <v>39.990549999999999</v>
      </c>
      <c r="B3337">
        <v>-75.100309999999993</v>
      </c>
      <c r="C3337" t="s">
        <v>41</v>
      </c>
      <c r="D3337" t="s">
        <v>1630</v>
      </c>
      <c r="F3337" s="21"/>
      <c r="G3337" s="16" t="str">
        <f>HYPERLINK("http://maps.google.com/maps?f=q&amp;hl=en&amp;geocode=&amp;q=39.99055,-75.10031")</f>
        <v>http://maps.google.com/maps?f=q&amp;hl=en&amp;geocode=&amp;q=39.99055,-75.10031</v>
      </c>
    </row>
    <row r="3338" spans="1:7" ht="15" x14ac:dyDescent="0.3">
      <c r="A3338">
        <v>33.467250823974602</v>
      </c>
      <c r="B3338">
        <v>-96.913932800292997</v>
      </c>
      <c r="C3338" t="s">
        <v>43</v>
      </c>
      <c r="D3338" t="s">
        <v>2243</v>
      </c>
      <c r="F3338" s="21"/>
      <c r="G3338" s="16" t="str">
        <f>HYPERLINK("http://maps.google.com/maps?f=q&amp;hl=en&amp;geocode=&amp;q=33.4672508239746,-96.913932800293")</f>
        <v>http://maps.google.com/maps?f=q&amp;hl=en&amp;geocode=&amp;q=33.4672508239746,-96.913932800293</v>
      </c>
    </row>
    <row r="3339" spans="1:7" ht="15" x14ac:dyDescent="0.3">
      <c r="A3339">
        <v>40.013988494872997</v>
      </c>
      <c r="B3339">
        <v>-75.303192138671903</v>
      </c>
      <c r="C3339" t="s">
        <v>41</v>
      </c>
      <c r="D3339" t="s">
        <v>501</v>
      </c>
      <c r="F3339" s="21"/>
      <c r="G3339" s="16" t="str">
        <f>HYPERLINK("http://maps.google.com/maps?f=q&amp;hl=en&amp;geocode=&amp;q=40.013988494873,-75.3031921386719")</f>
        <v>http://maps.google.com/maps?f=q&amp;hl=en&amp;geocode=&amp;q=40.013988494873,-75.3031921386719</v>
      </c>
    </row>
    <row r="3340" spans="1:7" ht="15" x14ac:dyDescent="0.3">
      <c r="A3340">
        <v>42.5111083984375</v>
      </c>
      <c r="B3340">
        <v>-83.028518676757798</v>
      </c>
      <c r="C3340" t="s">
        <v>43</v>
      </c>
      <c r="D3340" t="s">
        <v>2244</v>
      </c>
      <c r="F3340" s="21"/>
      <c r="G3340" s="16" t="str">
        <f>HYPERLINK("http://maps.google.com/maps?f=q&amp;hl=en&amp;geocode=&amp;q=42.5111083984375,-83.0285186767578")</f>
        <v>http://maps.google.com/maps?f=q&amp;hl=en&amp;geocode=&amp;q=42.5111083984375,-83.0285186767578</v>
      </c>
    </row>
    <row r="3341" spans="1:7" ht="15" x14ac:dyDescent="0.3">
      <c r="A3341">
        <v>40.040390000000002</v>
      </c>
      <c r="B3341">
        <v>-75.109629999999996</v>
      </c>
      <c r="C3341" t="s">
        <v>43</v>
      </c>
      <c r="D3341" t="s">
        <v>777</v>
      </c>
      <c r="F3341" s="21"/>
      <c r="G3341" s="16" t="str">
        <f>HYPERLINK("http://maps.google.com/maps?f=q&amp;hl=en&amp;geocode=&amp;q=40.04039,-75.10963")</f>
        <v>http://maps.google.com/maps?f=q&amp;hl=en&amp;geocode=&amp;q=40.04039,-75.10963</v>
      </c>
    </row>
    <row r="3342" spans="1:7" ht="15" x14ac:dyDescent="0.3">
      <c r="A3342">
        <v>42.999576568603501</v>
      </c>
      <c r="B3342">
        <v>-107.551513671875</v>
      </c>
      <c r="C3342" t="s">
        <v>41</v>
      </c>
      <c r="D3342" t="s">
        <v>2245</v>
      </c>
      <c r="F3342" s="21"/>
      <c r="G3342" s="16" t="str">
        <f>HYPERLINK("http://maps.google.com/maps?f=q&amp;hl=en&amp;geocode=&amp;q=42.9995765686035,-107.551513671875")</f>
        <v>http://maps.google.com/maps?f=q&amp;hl=en&amp;geocode=&amp;q=42.9995765686035,-107.551513671875</v>
      </c>
    </row>
    <row r="3343" spans="1:7" ht="15" x14ac:dyDescent="0.3">
      <c r="A3343">
        <v>39.99389</v>
      </c>
      <c r="B3343">
        <v>-75.096800000000002</v>
      </c>
      <c r="C3343" t="s">
        <v>41</v>
      </c>
      <c r="D3343" t="s">
        <v>2246</v>
      </c>
      <c r="F3343" s="21"/>
      <c r="G3343" s="16" t="str">
        <f>HYPERLINK("http://maps.google.com/maps?f=q&amp;hl=en&amp;geocode=&amp;q=39.99389,-75.0968")</f>
        <v>http://maps.google.com/maps?f=q&amp;hl=en&amp;geocode=&amp;q=39.99389,-75.0968</v>
      </c>
    </row>
    <row r="3344" spans="1:7" ht="15" x14ac:dyDescent="0.3">
      <c r="A3344">
        <v>40.05556</v>
      </c>
      <c r="B3344">
        <v>-75.053129999999996</v>
      </c>
      <c r="C3344" t="s">
        <v>41</v>
      </c>
      <c r="D3344" t="s">
        <v>1525</v>
      </c>
      <c r="F3344" s="21"/>
      <c r="G3344" s="16" t="str">
        <f>HYPERLINK("http://maps.google.com/maps?f=q&amp;hl=en&amp;geocode=&amp;q=40.05556,-75.05313")</f>
        <v>http://maps.google.com/maps?f=q&amp;hl=en&amp;geocode=&amp;q=40.05556,-75.05313</v>
      </c>
    </row>
    <row r="3345" spans="1:7" ht="15" x14ac:dyDescent="0.3">
      <c r="A3345">
        <v>42.999576568603501</v>
      </c>
      <c r="B3345">
        <v>-107.551513671875</v>
      </c>
      <c r="C3345" t="s">
        <v>41</v>
      </c>
      <c r="D3345" t="s">
        <v>2247</v>
      </c>
      <c r="F3345" s="21"/>
      <c r="G3345" s="16" t="str">
        <f>HYPERLINK("http://maps.google.com/maps?f=q&amp;hl=en&amp;geocode=&amp;q=42.9995765686035,-107.551513671875")</f>
        <v>http://maps.google.com/maps?f=q&amp;hl=en&amp;geocode=&amp;q=42.9995765686035,-107.551513671875</v>
      </c>
    </row>
    <row r="3346" spans="1:7" ht="15" x14ac:dyDescent="0.3">
      <c r="A3346">
        <v>40.905028806737903</v>
      </c>
      <c r="B3346">
        <v>-77.453738665199396</v>
      </c>
      <c r="C3346" t="s">
        <v>41</v>
      </c>
      <c r="D3346" t="s">
        <v>2248</v>
      </c>
      <c r="F3346" s="21"/>
      <c r="G3346" s="16" t="str">
        <f>HYPERLINK("http://maps.google.com/maps?f=q&amp;hl=en&amp;geocode=&amp;q=40.9050288067379,-77.4537386651994")</f>
        <v>http://maps.google.com/maps?f=q&amp;hl=en&amp;geocode=&amp;q=40.9050288067379,-77.4537386651994</v>
      </c>
    </row>
    <row r="3347" spans="1:7" ht="15" x14ac:dyDescent="0.3">
      <c r="A3347" t="s">
        <v>44</v>
      </c>
      <c r="B3347" t="s">
        <v>44</v>
      </c>
      <c r="C3347" t="s">
        <v>44</v>
      </c>
      <c r="D3347" t="s">
        <v>235</v>
      </c>
      <c r="F3347" s="21"/>
      <c r="G3347" s="16"/>
    </row>
    <row r="3348" spans="1:7" ht="15" x14ac:dyDescent="0.3">
      <c r="A3348">
        <v>39.191621825589401</v>
      </c>
      <c r="B3348">
        <v>-76.741106195753403</v>
      </c>
      <c r="C3348" t="s">
        <v>41</v>
      </c>
      <c r="D3348" t="s">
        <v>383</v>
      </c>
      <c r="F3348" s="21"/>
      <c r="G3348" s="16" t="str">
        <f>HYPERLINK("http://maps.google.com/maps?f=q&amp;hl=en&amp;geocode=&amp;q=39.1916218255894,-76.7411061957534")</f>
        <v>http://maps.google.com/maps?f=q&amp;hl=en&amp;geocode=&amp;q=39.1916218255894,-76.7411061957534</v>
      </c>
    </row>
    <row r="3349" spans="1:7" ht="15" x14ac:dyDescent="0.3">
      <c r="A3349">
        <v>46.619251251220703</v>
      </c>
      <c r="B3349">
        <v>-63.1351509094238</v>
      </c>
      <c r="C3349" t="s">
        <v>41</v>
      </c>
      <c r="D3349" t="s">
        <v>2249</v>
      </c>
      <c r="F3349" s="21"/>
      <c r="G3349" s="16" t="str">
        <f>HYPERLINK("http://maps.google.com/maps?f=q&amp;hl=en&amp;geocode=&amp;q=46.6192512512207,-63.1351509094238")</f>
        <v>http://maps.google.com/maps?f=q&amp;hl=en&amp;geocode=&amp;q=46.6192512512207,-63.1351509094238</v>
      </c>
    </row>
    <row r="3350" spans="1:7" ht="15" x14ac:dyDescent="0.3">
      <c r="A3350">
        <v>36.382385157353298</v>
      </c>
      <c r="B3350">
        <v>-78.628909711545006</v>
      </c>
      <c r="C3350" t="s">
        <v>41</v>
      </c>
      <c r="D3350" t="s">
        <v>138</v>
      </c>
      <c r="F3350" s="21"/>
      <c r="G3350" s="16" t="str">
        <f>HYPERLINK("http://maps.google.com/maps?f=q&amp;hl=en&amp;geocode=&amp;q=36.3823851573533,-78.628909711545")</f>
        <v>http://maps.google.com/maps?f=q&amp;hl=en&amp;geocode=&amp;q=36.3823851573533,-78.628909711545</v>
      </c>
    </row>
    <row r="3351" spans="1:7" ht="15" x14ac:dyDescent="0.3">
      <c r="A3351">
        <v>39.592700000000001</v>
      </c>
      <c r="B3351">
        <v>-104.98917</v>
      </c>
      <c r="C3351" t="s">
        <v>43</v>
      </c>
      <c r="D3351" t="s">
        <v>2250</v>
      </c>
      <c r="F3351" s="21"/>
      <c r="G3351" s="16" t="str">
        <f>HYPERLINK("http://maps.google.com/maps?f=q&amp;hl=en&amp;geocode=&amp;q=39.5927,-104.98917")</f>
        <v>http://maps.google.com/maps?f=q&amp;hl=en&amp;geocode=&amp;q=39.5927,-104.98917</v>
      </c>
    </row>
    <row r="3352" spans="1:7" ht="15" x14ac:dyDescent="0.3">
      <c r="A3352" t="s">
        <v>44</v>
      </c>
      <c r="B3352" t="s">
        <v>44</v>
      </c>
      <c r="C3352" t="s">
        <v>44</v>
      </c>
      <c r="D3352" t="s">
        <v>2251</v>
      </c>
      <c r="F3352" s="21"/>
      <c r="G3352" s="16"/>
    </row>
    <row r="3353" spans="1:7" ht="15" x14ac:dyDescent="0.3">
      <c r="A3353" t="s">
        <v>44</v>
      </c>
      <c r="B3353" t="s">
        <v>44</v>
      </c>
      <c r="C3353" t="s">
        <v>44</v>
      </c>
      <c r="D3353" t="s">
        <v>136</v>
      </c>
      <c r="F3353" s="21"/>
      <c r="G3353" s="16"/>
    </row>
    <row r="3354" spans="1:7" ht="15" x14ac:dyDescent="0.3">
      <c r="A3354">
        <v>-37.747</v>
      </c>
      <c r="B3354">
        <v>142.02574000000001</v>
      </c>
      <c r="C3354" t="s">
        <v>41</v>
      </c>
      <c r="D3354" t="s">
        <v>1119</v>
      </c>
      <c r="F3354" s="21"/>
      <c r="G3354" s="16" t="str">
        <f>HYPERLINK("http://maps.google.com/maps?f=q&amp;hl=en&amp;geocode=&amp;q=-37.747,142.02574")</f>
        <v>http://maps.google.com/maps?f=q&amp;hl=en&amp;geocode=&amp;q=-37.747,142.02574</v>
      </c>
    </row>
    <row r="3355" spans="1:7" ht="15" x14ac:dyDescent="0.3">
      <c r="A3355">
        <v>53.198951721191399</v>
      </c>
      <c r="B3355">
        <v>-105.47324371337901</v>
      </c>
      <c r="C3355" t="s">
        <v>43</v>
      </c>
      <c r="D3355" t="s">
        <v>2252</v>
      </c>
      <c r="F3355" s="21"/>
      <c r="G3355" s="16" t="str">
        <f>HYPERLINK("http://maps.google.com/maps?f=q&amp;hl=en&amp;geocode=&amp;q=53.1989517211914,-105.473243713379")</f>
        <v>http://maps.google.com/maps?f=q&amp;hl=en&amp;geocode=&amp;q=53.1989517211914,-105.473243713379</v>
      </c>
    </row>
    <row r="3356" spans="1:7" ht="15" x14ac:dyDescent="0.3">
      <c r="A3356">
        <v>40.02026</v>
      </c>
      <c r="B3356">
        <v>-75.160669999999996</v>
      </c>
      <c r="C3356" t="s">
        <v>43</v>
      </c>
      <c r="D3356" t="s">
        <v>2253</v>
      </c>
      <c r="F3356" s="21"/>
      <c r="G3356" s="16" t="str">
        <f>HYPERLINK("http://maps.google.com/maps?f=q&amp;hl=en&amp;geocode=&amp;q=40.02026,-75.16067")</f>
        <v>http://maps.google.com/maps?f=q&amp;hl=en&amp;geocode=&amp;q=40.02026,-75.16067</v>
      </c>
    </row>
    <row r="3357" spans="1:7" ht="15" x14ac:dyDescent="0.3">
      <c r="A3357" t="s">
        <v>44</v>
      </c>
      <c r="B3357" t="s">
        <v>44</v>
      </c>
      <c r="C3357" t="s">
        <v>44</v>
      </c>
      <c r="D3357" t="s">
        <v>2254</v>
      </c>
      <c r="F3357" s="21"/>
      <c r="G3357" s="16"/>
    </row>
    <row r="3358" spans="1:7" ht="15" x14ac:dyDescent="0.3">
      <c r="A3358">
        <v>33.575369999999999</v>
      </c>
      <c r="B3358">
        <v>-112.28183</v>
      </c>
      <c r="C3358" t="s">
        <v>42</v>
      </c>
      <c r="D3358" t="s">
        <v>2255</v>
      </c>
      <c r="F3358" s="21"/>
      <c r="G3358" s="16" t="str">
        <f>HYPERLINK("http://maps.google.com/maps?f=q&amp;hl=en&amp;geocode=&amp;q=33.57537,-112.28183")</f>
        <v>http://maps.google.com/maps?f=q&amp;hl=en&amp;geocode=&amp;q=33.57537,-112.28183</v>
      </c>
    </row>
    <row r="3359" spans="1:7" ht="15" x14ac:dyDescent="0.3">
      <c r="A3359">
        <v>40.011102669870702</v>
      </c>
      <c r="B3359">
        <v>-87.395566095722998</v>
      </c>
      <c r="C3359" t="s">
        <v>41</v>
      </c>
      <c r="D3359" t="s">
        <v>2256</v>
      </c>
      <c r="F3359" s="21"/>
      <c r="G3359" s="16" t="str">
        <f>HYPERLINK("http://maps.google.com/maps?f=q&amp;hl=en&amp;geocode=&amp;q=40.0111026698707,-87.395566095723")</f>
        <v>http://maps.google.com/maps?f=q&amp;hl=en&amp;geocode=&amp;q=40.0111026698707,-87.395566095723</v>
      </c>
    </row>
    <row r="3360" spans="1:7" ht="15" x14ac:dyDescent="0.3">
      <c r="A3360">
        <v>39.141639770462902</v>
      </c>
      <c r="B3360">
        <v>-92.690926643084495</v>
      </c>
      <c r="C3360" t="s">
        <v>41</v>
      </c>
      <c r="D3360" t="s">
        <v>2257</v>
      </c>
      <c r="F3360" s="21"/>
      <c r="G3360" s="16" t="str">
        <f>HYPERLINK("http://maps.google.com/maps?f=q&amp;hl=en&amp;geocode=&amp;q=39.1416397704629,-92.6909266430845")</f>
        <v>http://maps.google.com/maps?f=q&amp;hl=en&amp;geocode=&amp;q=39.1416397704629,-92.6909266430845</v>
      </c>
    </row>
    <row r="3361" spans="1:7" ht="15" x14ac:dyDescent="0.3">
      <c r="A3361">
        <v>39.994141890738298</v>
      </c>
      <c r="B3361">
        <v>-75.156406904148</v>
      </c>
      <c r="C3361" t="s">
        <v>41</v>
      </c>
      <c r="D3361" t="s">
        <v>2258</v>
      </c>
      <c r="F3361" s="21"/>
      <c r="G3361" s="16" t="str">
        <f>HYPERLINK("http://maps.google.com/maps?f=q&amp;hl=en&amp;geocode=&amp;q=39.9941418907383,-75.156406904148")</f>
        <v>http://maps.google.com/maps?f=q&amp;hl=en&amp;geocode=&amp;q=39.9941418907383,-75.156406904148</v>
      </c>
    </row>
    <row r="3362" spans="1:7" ht="15" x14ac:dyDescent="0.3">
      <c r="F3362" s="21"/>
      <c r="G3362" s="16"/>
    </row>
    <row r="3363" spans="1:7" ht="15" x14ac:dyDescent="0.3">
      <c r="A3363">
        <v>36.781334365854001</v>
      </c>
      <c r="B3363">
        <v>-119.83094385747999</v>
      </c>
      <c r="C3363" t="s">
        <v>41</v>
      </c>
      <c r="D3363" t="s">
        <v>2259</v>
      </c>
      <c r="F3363" s="21"/>
      <c r="G3363" s="16" t="str">
        <f>HYPERLINK("http://maps.google.com/maps?f=q&amp;hl=en&amp;geocode=&amp;q=36.781334365854,-119.83094385748")</f>
        <v>http://maps.google.com/maps?f=q&amp;hl=en&amp;geocode=&amp;q=36.781334365854,-119.83094385748</v>
      </c>
    </row>
    <row r="3364" spans="1:7" ht="15" x14ac:dyDescent="0.3">
      <c r="A3364">
        <v>40.527883000341099</v>
      </c>
      <c r="B3364">
        <v>-74.175955885255604</v>
      </c>
      <c r="C3364" t="s">
        <v>43</v>
      </c>
      <c r="D3364" t="s">
        <v>2260</v>
      </c>
      <c r="F3364" s="21"/>
      <c r="G3364" s="16" t="str">
        <f>HYPERLINK("http://maps.google.com/maps?f=q&amp;hl=en&amp;geocode=&amp;q=40.5278830003411,-74.1759558852556")</f>
        <v>http://maps.google.com/maps?f=q&amp;hl=en&amp;geocode=&amp;q=40.5278830003411,-74.1759558852556</v>
      </c>
    </row>
    <row r="3365" spans="1:7" ht="15" x14ac:dyDescent="0.3">
      <c r="A3365">
        <v>40.984580000000001</v>
      </c>
      <c r="B3365">
        <v>-81.435839999999999</v>
      </c>
      <c r="C3365" t="s">
        <v>42</v>
      </c>
      <c r="D3365" t="s">
        <v>2261</v>
      </c>
      <c r="F3365" s="21"/>
      <c r="G3365" s="16" t="str">
        <f>HYPERLINK("http://maps.google.com/maps?f=q&amp;hl=en&amp;geocode=&amp;q=40.98458,-81.43584")</f>
        <v>http://maps.google.com/maps?f=q&amp;hl=en&amp;geocode=&amp;q=40.98458,-81.43584</v>
      </c>
    </row>
    <row r="3366" spans="1:7" ht="15" x14ac:dyDescent="0.3">
      <c r="A3366">
        <v>40.655485036902597</v>
      </c>
      <c r="B3366">
        <v>-73.527497829283305</v>
      </c>
      <c r="C3366" t="s">
        <v>41</v>
      </c>
      <c r="D3366" t="s">
        <v>2262</v>
      </c>
      <c r="F3366" s="21"/>
      <c r="G3366" s="16" t="str">
        <f>HYPERLINK("http://maps.google.com/maps?f=q&amp;hl=en&amp;geocode=&amp;q=40.6554850369026,-73.5274978292833")</f>
        <v>http://maps.google.com/maps?f=q&amp;hl=en&amp;geocode=&amp;q=40.6554850369026,-73.5274978292833</v>
      </c>
    </row>
    <row r="3367" spans="1:7" ht="15" x14ac:dyDescent="0.3">
      <c r="A3367">
        <v>39.926990000000004</v>
      </c>
      <c r="B3367">
        <v>-75.226159999999993</v>
      </c>
      <c r="C3367" t="s">
        <v>41</v>
      </c>
      <c r="D3367" t="s">
        <v>462</v>
      </c>
      <c r="F3367" s="21"/>
      <c r="G3367" s="16" t="str">
        <f>HYPERLINK("http://maps.google.com/maps?f=q&amp;hl=en&amp;geocode=&amp;q=39.92699,-75.22616")</f>
        <v>http://maps.google.com/maps?f=q&amp;hl=en&amp;geocode=&amp;q=39.92699,-75.22616</v>
      </c>
    </row>
    <row r="3368" spans="1:7" ht="15" x14ac:dyDescent="0.3">
      <c r="A3368">
        <v>40.037660000000002</v>
      </c>
      <c r="B3368">
        <v>-75.132109999999997</v>
      </c>
      <c r="C3368" t="s">
        <v>41</v>
      </c>
      <c r="D3368" t="s">
        <v>2263</v>
      </c>
      <c r="F3368" s="21"/>
      <c r="G3368" s="16" t="str">
        <f>HYPERLINK("http://maps.google.com/maps?f=q&amp;hl=en&amp;geocode=&amp;q=40.03766,-75.13211")</f>
        <v>http://maps.google.com/maps?f=q&amp;hl=en&amp;geocode=&amp;q=40.03766,-75.13211</v>
      </c>
    </row>
    <row r="3369" spans="1:7" ht="15" x14ac:dyDescent="0.3">
      <c r="A3369">
        <v>46.637279510497997</v>
      </c>
      <c r="B3369">
        <v>2.3382620811462398</v>
      </c>
      <c r="C3369" t="s">
        <v>41</v>
      </c>
      <c r="D3369" t="s">
        <v>2264</v>
      </c>
      <c r="F3369" s="21"/>
      <c r="G3369" s="16" t="str">
        <f>HYPERLINK("http://maps.google.com/maps?f=q&amp;hl=en&amp;geocode=&amp;q=46.637279510498,2.33826208114624")</f>
        <v>http://maps.google.com/maps?f=q&amp;hl=en&amp;geocode=&amp;q=46.637279510498,2.33826208114624</v>
      </c>
    </row>
    <row r="3370" spans="1:7" ht="15" x14ac:dyDescent="0.3">
      <c r="A3370">
        <v>49.533977508544901</v>
      </c>
      <c r="B3370">
        <v>6.0161638259887704</v>
      </c>
      <c r="C3370" t="s">
        <v>41</v>
      </c>
      <c r="D3370" t="s">
        <v>262</v>
      </c>
      <c r="F3370" s="21"/>
      <c r="G3370" s="16" t="str">
        <f>HYPERLINK("http://maps.google.com/maps?f=q&amp;hl=en&amp;geocode=&amp;q=49.5339775085449,6.01616382598877")</f>
        <v>http://maps.google.com/maps?f=q&amp;hl=en&amp;geocode=&amp;q=49.5339775085449,6.01616382598877</v>
      </c>
    </row>
    <row r="3371" spans="1:7" ht="15" x14ac:dyDescent="0.3">
      <c r="A3371">
        <v>49.521461486816399</v>
      </c>
      <c r="B3371">
        <v>5.8368988037109402</v>
      </c>
      <c r="C3371" t="s">
        <v>41</v>
      </c>
      <c r="D3371" t="s">
        <v>2265</v>
      </c>
      <c r="F3371" s="21"/>
      <c r="G3371" s="16" t="str">
        <f>HYPERLINK("http://maps.google.com/maps?f=q&amp;hl=en&amp;geocode=&amp;q=49.5214614868164,5.83689880371094")</f>
        <v>http://maps.google.com/maps?f=q&amp;hl=en&amp;geocode=&amp;q=49.5214614868164,5.83689880371094</v>
      </c>
    </row>
    <row r="3372" spans="1:7" ht="15" x14ac:dyDescent="0.3">
      <c r="A3372" t="s">
        <v>44</v>
      </c>
      <c r="B3372" t="s">
        <v>44</v>
      </c>
      <c r="C3372" t="s">
        <v>44</v>
      </c>
      <c r="D3372" t="s">
        <v>1017</v>
      </c>
      <c r="F3372" s="21"/>
      <c r="G3372" s="16"/>
    </row>
    <row r="3373" spans="1:7" ht="15" x14ac:dyDescent="0.3">
      <c r="A3373" t="s">
        <v>44</v>
      </c>
      <c r="B3373" t="s">
        <v>44</v>
      </c>
      <c r="C3373" t="s">
        <v>44</v>
      </c>
      <c r="D3373" t="s">
        <v>2266</v>
      </c>
      <c r="F3373" s="21"/>
      <c r="G3373" s="16"/>
    </row>
    <row r="3374" spans="1:7" ht="15" x14ac:dyDescent="0.3">
      <c r="A3374" t="s">
        <v>44</v>
      </c>
      <c r="B3374" t="s">
        <v>44</v>
      </c>
      <c r="C3374" t="s">
        <v>44</v>
      </c>
      <c r="D3374" t="s">
        <v>2267</v>
      </c>
      <c r="F3374" s="21"/>
      <c r="G3374" s="16"/>
    </row>
    <row r="3375" spans="1:7" ht="15" x14ac:dyDescent="0.3">
      <c r="A3375">
        <v>-34.828319549560497</v>
      </c>
      <c r="B3375">
        <v>138.761642456055</v>
      </c>
      <c r="C3375" t="s">
        <v>41</v>
      </c>
      <c r="D3375" t="s">
        <v>2268</v>
      </c>
      <c r="F3375" s="21"/>
      <c r="G3375" s="16" t="str">
        <f>HYPERLINK("http://maps.google.com/maps?f=q&amp;hl=en&amp;geocode=&amp;q=-34.8283195495605,138.761642456055")</f>
        <v>http://maps.google.com/maps?f=q&amp;hl=en&amp;geocode=&amp;q=-34.8283195495605,138.761642456055</v>
      </c>
    </row>
    <row r="3376" spans="1:7" ht="15" x14ac:dyDescent="0.3">
      <c r="A3376">
        <v>40.303310023342803</v>
      </c>
      <c r="B3376">
        <v>-79.402918441827296</v>
      </c>
      <c r="C3376" t="s">
        <v>41</v>
      </c>
      <c r="D3376" t="s">
        <v>74</v>
      </c>
      <c r="F3376" s="21"/>
      <c r="G3376" s="16" t="str">
        <f>HYPERLINK("http://maps.google.com/maps?f=q&amp;hl=en&amp;geocode=&amp;q=40.3033100233428,-79.4029184418273")</f>
        <v>http://maps.google.com/maps?f=q&amp;hl=en&amp;geocode=&amp;q=40.3033100233428,-79.4029184418273</v>
      </c>
    </row>
    <row r="3377" spans="1:7" ht="15" x14ac:dyDescent="0.3">
      <c r="A3377">
        <v>34.201780659891497</v>
      </c>
      <c r="B3377">
        <v>-88.480057556979602</v>
      </c>
      <c r="C3377" t="s">
        <v>41</v>
      </c>
      <c r="D3377" t="s">
        <v>2269</v>
      </c>
      <c r="F3377" s="21"/>
      <c r="G3377" s="16" t="str">
        <f>HYPERLINK("http://maps.google.com/maps?f=q&amp;hl=en&amp;geocode=&amp;q=34.2017806598915,-88.4800575569796")</f>
        <v>http://maps.google.com/maps?f=q&amp;hl=en&amp;geocode=&amp;q=34.2017806598915,-88.4800575569796</v>
      </c>
    </row>
    <row r="3378" spans="1:7" ht="15" x14ac:dyDescent="0.3">
      <c r="A3378">
        <v>32.082221916476598</v>
      </c>
      <c r="B3378">
        <v>-83.800202174656306</v>
      </c>
      <c r="C3378" t="s">
        <v>41</v>
      </c>
      <c r="D3378" t="s">
        <v>2230</v>
      </c>
      <c r="F3378" s="21"/>
      <c r="G3378" s="16" t="str">
        <f>HYPERLINK("http://maps.google.com/maps?f=q&amp;hl=en&amp;geocode=&amp;q=32.0822219164766,-83.8002021746563")</f>
        <v>http://maps.google.com/maps?f=q&amp;hl=en&amp;geocode=&amp;q=32.0822219164766,-83.8002021746563</v>
      </c>
    </row>
    <row r="3379" spans="1:7" ht="15" x14ac:dyDescent="0.3">
      <c r="A3379" t="s">
        <v>44</v>
      </c>
      <c r="B3379" t="s">
        <v>44</v>
      </c>
      <c r="C3379" t="s">
        <v>44</v>
      </c>
      <c r="D3379" t="s">
        <v>2270</v>
      </c>
      <c r="F3379" s="21"/>
      <c r="G3379" s="16"/>
    </row>
    <row r="3380" spans="1:7" ht="15" x14ac:dyDescent="0.3">
      <c r="A3380">
        <v>35.167954967011298</v>
      </c>
      <c r="B3380">
        <v>-89.941162230527596</v>
      </c>
      <c r="C3380" t="s">
        <v>41</v>
      </c>
      <c r="D3380" t="s">
        <v>2271</v>
      </c>
      <c r="F3380" s="21"/>
      <c r="G3380" s="16" t="str">
        <f>HYPERLINK("http://maps.google.com/maps?f=q&amp;hl=en&amp;geocode=&amp;q=35.1679549670113,-89.9411622305276")</f>
        <v>http://maps.google.com/maps?f=q&amp;hl=en&amp;geocode=&amp;q=35.1679549670113,-89.9411622305276</v>
      </c>
    </row>
    <row r="3381" spans="1:7" ht="15" x14ac:dyDescent="0.3">
      <c r="A3381">
        <v>42.338218688964801</v>
      </c>
      <c r="B3381">
        <v>-112.60504150390599</v>
      </c>
      <c r="C3381" t="s">
        <v>43</v>
      </c>
      <c r="D3381" t="s">
        <v>2272</v>
      </c>
      <c r="F3381" s="21"/>
      <c r="G3381" s="16" t="str">
        <f>HYPERLINK("http://maps.google.com/maps?f=q&amp;hl=en&amp;geocode=&amp;q=42.3382186889648,-112.605041503906")</f>
        <v>http://maps.google.com/maps?f=q&amp;hl=en&amp;geocode=&amp;q=42.3382186889648,-112.605041503906</v>
      </c>
    </row>
    <row r="3382" spans="1:7" ht="15" x14ac:dyDescent="0.3">
      <c r="A3382">
        <v>39.931620000000002</v>
      </c>
      <c r="B3382">
        <v>-75.154640000000001</v>
      </c>
      <c r="C3382" t="s">
        <v>43</v>
      </c>
      <c r="D3382" t="s">
        <v>2273</v>
      </c>
      <c r="F3382" s="21"/>
      <c r="G3382" s="16" t="str">
        <f>HYPERLINK("http://maps.google.com/maps?f=q&amp;hl=en&amp;geocode=&amp;q=39.93162,-75.15464")</f>
        <v>http://maps.google.com/maps?f=q&amp;hl=en&amp;geocode=&amp;q=39.93162,-75.15464</v>
      </c>
    </row>
    <row r="3383" spans="1:7" ht="15" x14ac:dyDescent="0.3">
      <c r="A3383">
        <v>41.668468969318297</v>
      </c>
      <c r="B3383">
        <v>-83.564665335598804</v>
      </c>
      <c r="C3383" t="s">
        <v>41</v>
      </c>
      <c r="D3383" t="s">
        <v>2274</v>
      </c>
      <c r="F3383" s="21"/>
      <c r="G3383" s="16" t="str">
        <f>HYPERLINK("http://maps.google.com/maps?f=q&amp;hl=en&amp;geocode=&amp;q=41.6684689693183,-83.5646653355988")</f>
        <v>http://maps.google.com/maps?f=q&amp;hl=en&amp;geocode=&amp;q=41.6684689693183,-83.5646653355988</v>
      </c>
    </row>
    <row r="3384" spans="1:7" ht="15" x14ac:dyDescent="0.3">
      <c r="A3384">
        <v>40.015799375953399</v>
      </c>
      <c r="B3384">
        <v>-89.291872516103794</v>
      </c>
      <c r="C3384" t="s">
        <v>41</v>
      </c>
      <c r="D3384" t="s">
        <v>2275</v>
      </c>
      <c r="F3384" s="21"/>
      <c r="G3384" s="16" t="str">
        <f>HYPERLINK("http://maps.google.com/maps?f=q&amp;hl=en&amp;geocode=&amp;q=40.0157993759534,-89.2918725161038")</f>
        <v>http://maps.google.com/maps?f=q&amp;hl=en&amp;geocode=&amp;q=40.0157993759534,-89.2918725161038</v>
      </c>
    </row>
    <row r="3385" spans="1:7" ht="15" x14ac:dyDescent="0.3">
      <c r="A3385">
        <v>35.644132448771302</v>
      </c>
      <c r="B3385">
        <v>-101.45130037774599</v>
      </c>
      <c r="C3385" t="s">
        <v>43</v>
      </c>
      <c r="D3385" t="s">
        <v>2158</v>
      </c>
      <c r="F3385" s="21"/>
      <c r="G3385" s="16" t="str">
        <f>HYPERLINK("http://maps.google.com/maps?f=q&amp;hl=en&amp;geocode=&amp;q=35.6441324487713,-101.451300377746")</f>
        <v>http://maps.google.com/maps?f=q&amp;hl=en&amp;geocode=&amp;q=35.6441324487713,-101.451300377746</v>
      </c>
    </row>
    <row r="3386" spans="1:7" ht="15" x14ac:dyDescent="0.3">
      <c r="A3386">
        <v>41.668468969318297</v>
      </c>
      <c r="B3386">
        <v>-83.564665335598804</v>
      </c>
      <c r="C3386" t="s">
        <v>41</v>
      </c>
      <c r="D3386" t="s">
        <v>2274</v>
      </c>
      <c r="F3386" s="21"/>
      <c r="G3386" s="16" t="str">
        <f>HYPERLINK("http://maps.google.com/maps?f=q&amp;hl=en&amp;geocode=&amp;q=41.6684689693183,-83.5646653355988")</f>
        <v>http://maps.google.com/maps?f=q&amp;hl=en&amp;geocode=&amp;q=41.6684689693183,-83.5646653355988</v>
      </c>
    </row>
    <row r="3387" spans="1:7" ht="15" x14ac:dyDescent="0.3">
      <c r="A3387">
        <v>41.668468969318297</v>
      </c>
      <c r="B3387">
        <v>-83.564665335598804</v>
      </c>
      <c r="C3387" t="s">
        <v>41</v>
      </c>
      <c r="D3387" t="s">
        <v>2274</v>
      </c>
      <c r="F3387" s="21"/>
      <c r="G3387" s="16" t="str">
        <f>HYPERLINK("http://maps.google.com/maps?f=q&amp;hl=en&amp;geocode=&amp;q=41.6684689693183,-83.5646653355988")</f>
        <v>http://maps.google.com/maps?f=q&amp;hl=en&amp;geocode=&amp;q=41.6684689693183,-83.5646653355988</v>
      </c>
    </row>
    <row r="3388" spans="1:7" ht="15" x14ac:dyDescent="0.3">
      <c r="A3388">
        <v>43.040962853589299</v>
      </c>
      <c r="B3388">
        <v>-95.624018475677801</v>
      </c>
      <c r="C3388" t="s">
        <v>41</v>
      </c>
      <c r="D3388" t="s">
        <v>152</v>
      </c>
      <c r="F3388" s="21"/>
      <c r="G3388" s="16" t="str">
        <f>HYPERLINK("http://maps.google.com/maps?f=q&amp;hl=en&amp;geocode=&amp;q=43.0409628535893,-95.6240184756778")</f>
        <v>http://maps.google.com/maps?f=q&amp;hl=en&amp;geocode=&amp;q=43.0409628535893,-95.6240184756778</v>
      </c>
    </row>
    <row r="3389" spans="1:7" ht="15" x14ac:dyDescent="0.3">
      <c r="A3389">
        <v>39.996954737656701</v>
      </c>
      <c r="B3389">
        <v>-75.117221959843704</v>
      </c>
      <c r="C3389" t="s">
        <v>41</v>
      </c>
      <c r="D3389" t="s">
        <v>521</v>
      </c>
      <c r="F3389" s="21"/>
      <c r="G3389" s="16" t="str">
        <f>HYPERLINK("http://maps.google.com/maps?f=q&amp;hl=en&amp;geocode=&amp;q=39.9969547376567,-75.1172219598437")</f>
        <v>http://maps.google.com/maps?f=q&amp;hl=en&amp;geocode=&amp;q=39.9969547376567,-75.1172219598437</v>
      </c>
    </row>
    <row r="3390" spans="1:7" ht="15" x14ac:dyDescent="0.3">
      <c r="A3390">
        <v>33.258355722872103</v>
      </c>
      <c r="B3390">
        <v>-97.208374099204306</v>
      </c>
      <c r="C3390" t="s">
        <v>43</v>
      </c>
      <c r="D3390" t="s">
        <v>2276</v>
      </c>
      <c r="F3390" s="21"/>
      <c r="G3390" s="16" t="str">
        <f>HYPERLINK("http://maps.google.com/maps?f=q&amp;hl=en&amp;geocode=&amp;q=33.2583557228721,-97.2083740992043")</f>
        <v>http://maps.google.com/maps?f=q&amp;hl=en&amp;geocode=&amp;q=33.2583557228721,-97.2083740992043</v>
      </c>
    </row>
    <row r="3391" spans="1:7" ht="15" x14ac:dyDescent="0.3">
      <c r="A3391" t="s">
        <v>44</v>
      </c>
      <c r="B3391" t="s">
        <v>44</v>
      </c>
      <c r="C3391" t="s">
        <v>44</v>
      </c>
      <c r="D3391" t="s">
        <v>292</v>
      </c>
      <c r="F3391" s="21"/>
      <c r="G3391" s="16"/>
    </row>
    <row r="3392" spans="1:7" ht="15" x14ac:dyDescent="0.3">
      <c r="A3392">
        <v>30.181899999999999</v>
      </c>
      <c r="B3392">
        <v>-92.018349999999998</v>
      </c>
      <c r="C3392" t="s">
        <v>42</v>
      </c>
      <c r="D3392" t="s">
        <v>2277</v>
      </c>
      <c r="F3392" s="21"/>
      <c r="G3392" s="16" t="str">
        <f>HYPERLINK("http://maps.google.com/maps?f=q&amp;hl=en&amp;geocode=&amp;q=30.1819,-92.01835")</f>
        <v>http://maps.google.com/maps?f=q&amp;hl=en&amp;geocode=&amp;q=30.1819,-92.01835</v>
      </c>
    </row>
    <row r="3393" spans="1:7" ht="15" x14ac:dyDescent="0.3">
      <c r="A3393">
        <v>40.309269608683202</v>
      </c>
      <c r="B3393">
        <v>-78.318082809230006</v>
      </c>
      <c r="C3393" t="s">
        <v>41</v>
      </c>
      <c r="D3393" t="s">
        <v>784</v>
      </c>
      <c r="F3393" s="21"/>
      <c r="G3393" s="16" t="str">
        <f>HYPERLINK("http://maps.google.com/maps?f=q&amp;hl=en&amp;geocode=&amp;q=40.3092696086832,-78.31808280923")</f>
        <v>http://maps.google.com/maps?f=q&amp;hl=en&amp;geocode=&amp;q=40.3092696086832,-78.31808280923</v>
      </c>
    </row>
    <row r="3394" spans="1:7" ht="15" x14ac:dyDescent="0.3">
      <c r="A3394">
        <v>29.7082328796387</v>
      </c>
      <c r="B3394">
        <v>-90.006401062011705</v>
      </c>
      <c r="C3394" t="s">
        <v>43</v>
      </c>
      <c r="D3394" t="s">
        <v>2278</v>
      </c>
      <c r="F3394" s="21"/>
      <c r="G3394" s="16" t="str">
        <f>HYPERLINK("http://maps.google.com/maps?f=q&amp;hl=en&amp;geocode=&amp;q=29.7082328796387,-90.0064010620117")</f>
        <v>http://maps.google.com/maps?f=q&amp;hl=en&amp;geocode=&amp;q=29.7082328796387,-90.0064010620117</v>
      </c>
    </row>
    <row r="3395" spans="1:7" ht="15" x14ac:dyDescent="0.3">
      <c r="A3395">
        <v>39.924800679369703</v>
      </c>
      <c r="B3395">
        <v>-75.223543568857593</v>
      </c>
      <c r="C3395" t="s">
        <v>43</v>
      </c>
      <c r="D3395" t="s">
        <v>2279</v>
      </c>
      <c r="F3395" s="21"/>
      <c r="G3395" s="16" t="str">
        <f>HYPERLINK("http://maps.google.com/maps?f=q&amp;hl=en&amp;geocode=&amp;q=39.9248006793697,-75.2235435688576")</f>
        <v>http://maps.google.com/maps?f=q&amp;hl=en&amp;geocode=&amp;q=39.9248006793697,-75.2235435688576</v>
      </c>
    </row>
    <row r="3396" spans="1:7" ht="15" x14ac:dyDescent="0.3">
      <c r="A3396">
        <v>39.925139999999999</v>
      </c>
      <c r="B3396">
        <v>-75.235380000000006</v>
      </c>
      <c r="C3396" t="s">
        <v>41</v>
      </c>
      <c r="D3396" t="s">
        <v>54</v>
      </c>
      <c r="F3396" s="21"/>
      <c r="G3396" s="16" t="str">
        <f>HYPERLINK("http://maps.google.com/maps?f=q&amp;hl=en&amp;geocode=&amp;q=39.92514,-75.23538")</f>
        <v>http://maps.google.com/maps?f=q&amp;hl=en&amp;geocode=&amp;q=39.92514,-75.23538</v>
      </c>
    </row>
    <row r="3397" spans="1:7" ht="15" x14ac:dyDescent="0.3">
      <c r="A3397">
        <v>-32.47813</v>
      </c>
      <c r="B3397">
        <v>137.75239999999999</v>
      </c>
      <c r="C3397" t="s">
        <v>41</v>
      </c>
      <c r="D3397" t="s">
        <v>1913</v>
      </c>
      <c r="F3397" s="21"/>
      <c r="G3397" s="16" t="str">
        <f>HYPERLINK("http://maps.google.com/maps?f=q&amp;hl=en&amp;geocode=&amp;q=-32.47813,137.7524")</f>
        <v>http://maps.google.com/maps?f=q&amp;hl=en&amp;geocode=&amp;q=-32.47813,137.7524</v>
      </c>
    </row>
    <row r="3398" spans="1:7" ht="15" x14ac:dyDescent="0.3">
      <c r="A3398">
        <v>37.193010000000001</v>
      </c>
      <c r="B3398">
        <v>-79.925550000000001</v>
      </c>
      <c r="C3398" t="s">
        <v>42</v>
      </c>
      <c r="D3398" t="s">
        <v>640</v>
      </c>
      <c r="F3398" s="21"/>
      <c r="G3398" s="16" t="str">
        <f>HYPERLINK("http://maps.google.com/maps?f=q&amp;hl=en&amp;geocode=&amp;q=37.19301,-79.92555")</f>
        <v>http://maps.google.com/maps?f=q&amp;hl=en&amp;geocode=&amp;q=37.19301,-79.92555</v>
      </c>
    </row>
    <row r="3399" spans="1:7" ht="15" x14ac:dyDescent="0.3">
      <c r="A3399" t="s">
        <v>44</v>
      </c>
      <c r="B3399" t="s">
        <v>44</v>
      </c>
      <c r="C3399" t="s">
        <v>44</v>
      </c>
      <c r="D3399" t="s">
        <v>235</v>
      </c>
      <c r="F3399" s="21"/>
      <c r="G3399" s="16"/>
    </row>
    <row r="3400" spans="1:7" ht="15" x14ac:dyDescent="0.3">
      <c r="A3400" t="s">
        <v>44</v>
      </c>
      <c r="B3400" t="s">
        <v>44</v>
      </c>
      <c r="C3400" t="s">
        <v>44</v>
      </c>
      <c r="D3400" t="s">
        <v>235</v>
      </c>
      <c r="F3400" s="21"/>
      <c r="G3400" s="16"/>
    </row>
    <row r="3401" spans="1:7" ht="15" x14ac:dyDescent="0.3">
      <c r="A3401" t="s">
        <v>44</v>
      </c>
      <c r="B3401" t="s">
        <v>44</v>
      </c>
      <c r="C3401" t="s">
        <v>44</v>
      </c>
      <c r="D3401" t="s">
        <v>235</v>
      </c>
      <c r="F3401" s="21"/>
      <c r="G3401" s="16"/>
    </row>
    <row r="3402" spans="1:7" ht="15" x14ac:dyDescent="0.3">
      <c r="A3402" t="s">
        <v>44</v>
      </c>
      <c r="B3402" t="s">
        <v>44</v>
      </c>
      <c r="C3402" t="s">
        <v>44</v>
      </c>
      <c r="D3402" t="s">
        <v>235</v>
      </c>
      <c r="F3402" s="21"/>
      <c r="G3402" s="16"/>
    </row>
    <row r="3403" spans="1:7" ht="15" x14ac:dyDescent="0.3">
      <c r="A3403">
        <v>40.046169999999996</v>
      </c>
      <c r="B3403">
        <v>-75.099649999999997</v>
      </c>
      <c r="C3403" t="s">
        <v>43</v>
      </c>
      <c r="D3403" t="s">
        <v>2280</v>
      </c>
      <c r="F3403" s="21"/>
      <c r="G3403" s="16" t="str">
        <f>HYPERLINK("http://maps.google.com/maps?f=q&amp;hl=en&amp;geocode=&amp;q=40.04617,-75.09965")</f>
        <v>http://maps.google.com/maps?f=q&amp;hl=en&amp;geocode=&amp;q=40.04617,-75.09965</v>
      </c>
    </row>
    <row r="3404" spans="1:7" ht="15" x14ac:dyDescent="0.3">
      <c r="A3404" t="s">
        <v>44</v>
      </c>
      <c r="B3404" t="s">
        <v>44</v>
      </c>
      <c r="C3404" t="s">
        <v>44</v>
      </c>
      <c r="D3404" t="s">
        <v>993</v>
      </c>
      <c r="F3404" s="21"/>
      <c r="G3404" s="16"/>
    </row>
    <row r="3405" spans="1:7" ht="15" x14ac:dyDescent="0.3">
      <c r="A3405">
        <v>39.989664757605702</v>
      </c>
      <c r="B3405">
        <v>-75.1253742120265</v>
      </c>
      <c r="C3405" t="s">
        <v>41</v>
      </c>
      <c r="D3405" t="s">
        <v>2281</v>
      </c>
      <c r="F3405" s="21"/>
      <c r="G3405" s="16" t="str">
        <f>HYPERLINK("http://maps.google.com/maps?f=q&amp;hl=en&amp;geocode=&amp;q=39.9896647576057,-75.1253742120265")</f>
        <v>http://maps.google.com/maps?f=q&amp;hl=en&amp;geocode=&amp;q=39.9896647576057,-75.1253742120265</v>
      </c>
    </row>
    <row r="3406" spans="1:7" ht="15" x14ac:dyDescent="0.3">
      <c r="A3406">
        <v>41.09599</v>
      </c>
      <c r="B3406">
        <v>-111.92444</v>
      </c>
      <c r="C3406" t="s">
        <v>42</v>
      </c>
      <c r="D3406" t="s">
        <v>2282</v>
      </c>
      <c r="F3406" s="21"/>
      <c r="G3406" s="16" t="str">
        <f>HYPERLINK("http://maps.google.com/maps?f=q&amp;hl=en&amp;geocode=&amp;q=41.09599,-111.92444")</f>
        <v>http://maps.google.com/maps?f=q&amp;hl=en&amp;geocode=&amp;q=41.09599,-111.92444</v>
      </c>
    </row>
    <row r="3407" spans="1:7" ht="15" x14ac:dyDescent="0.3">
      <c r="A3407">
        <v>47.055850982666001</v>
      </c>
      <c r="B3407">
        <v>6.7508301734924299</v>
      </c>
      <c r="C3407" t="s">
        <v>43</v>
      </c>
      <c r="D3407" t="s">
        <v>2283</v>
      </c>
      <c r="F3407" s="21"/>
      <c r="G3407" s="16" t="str">
        <f>HYPERLINK("http://maps.google.com/maps?f=q&amp;hl=en&amp;geocode=&amp;q=47.055850982666,6.75083017349243")</f>
        <v>http://maps.google.com/maps?f=q&amp;hl=en&amp;geocode=&amp;q=47.055850982666,6.75083017349243</v>
      </c>
    </row>
    <row r="3408" spans="1:7" ht="15" x14ac:dyDescent="0.3">
      <c r="A3408" t="s">
        <v>44</v>
      </c>
      <c r="B3408" t="s">
        <v>44</v>
      </c>
      <c r="C3408" t="s">
        <v>44</v>
      </c>
      <c r="D3408" t="s">
        <v>2254</v>
      </c>
      <c r="F3408" s="21"/>
      <c r="G3408" s="16"/>
    </row>
    <row r="3409" spans="1:7" ht="15" x14ac:dyDescent="0.3">
      <c r="A3409">
        <v>38.651449298827103</v>
      </c>
      <c r="B3409">
        <v>-90.093201630706503</v>
      </c>
      <c r="C3409" t="s">
        <v>41</v>
      </c>
      <c r="D3409" t="s">
        <v>2284</v>
      </c>
      <c r="F3409" s="21"/>
      <c r="G3409" s="16" t="str">
        <f>HYPERLINK("http://maps.google.com/maps?f=q&amp;hl=en&amp;geocode=&amp;q=38.6514492988271,-90.0932016307065")</f>
        <v>http://maps.google.com/maps?f=q&amp;hl=en&amp;geocode=&amp;q=38.6514492988271,-90.0932016307065</v>
      </c>
    </row>
    <row r="3410" spans="1:7" ht="15" x14ac:dyDescent="0.3">
      <c r="A3410">
        <v>38.651449298827103</v>
      </c>
      <c r="B3410">
        <v>-90.093201630706503</v>
      </c>
      <c r="C3410" t="s">
        <v>41</v>
      </c>
      <c r="D3410" t="s">
        <v>2284</v>
      </c>
      <c r="F3410" s="21"/>
      <c r="G3410" s="16" t="str">
        <f>HYPERLINK("http://maps.google.com/maps?f=q&amp;hl=en&amp;geocode=&amp;q=38.6514492988271,-90.0932016307065")</f>
        <v>http://maps.google.com/maps?f=q&amp;hl=en&amp;geocode=&amp;q=38.6514492988271,-90.0932016307065</v>
      </c>
    </row>
    <row r="3411" spans="1:7" ht="15" x14ac:dyDescent="0.3">
      <c r="A3411">
        <v>-36.884181976318402</v>
      </c>
      <c r="B3411">
        <v>147.82412719726599</v>
      </c>
      <c r="C3411" t="s">
        <v>43</v>
      </c>
      <c r="D3411" t="s">
        <v>2285</v>
      </c>
      <c r="F3411" s="21"/>
      <c r="G3411" s="16" t="str">
        <f>HYPERLINK("http://maps.google.com/maps?f=q&amp;hl=en&amp;geocode=&amp;q=-36.8841819763184,147.824127197266")</f>
        <v>http://maps.google.com/maps?f=q&amp;hl=en&amp;geocode=&amp;q=-36.8841819763184,147.824127197266</v>
      </c>
    </row>
    <row r="3412" spans="1:7" ht="15" x14ac:dyDescent="0.3">
      <c r="A3412">
        <v>47.847194671630902</v>
      </c>
      <c r="B3412">
        <v>13.0851154327393</v>
      </c>
      <c r="C3412" t="s">
        <v>43</v>
      </c>
      <c r="D3412" t="s">
        <v>1306</v>
      </c>
      <c r="F3412" s="21"/>
      <c r="G3412" s="16" t="str">
        <f>HYPERLINK("http://maps.google.com/maps?f=q&amp;hl=en&amp;geocode=&amp;q=47.8471946716309,13.0851154327393")</f>
        <v>http://maps.google.com/maps?f=q&amp;hl=en&amp;geocode=&amp;q=47.8471946716309,13.0851154327393</v>
      </c>
    </row>
    <row r="3413" spans="1:7" ht="15" x14ac:dyDescent="0.3">
      <c r="A3413">
        <v>49.580471038818402</v>
      </c>
      <c r="B3413">
        <v>6.1467180252075204</v>
      </c>
      <c r="C3413" t="s">
        <v>41</v>
      </c>
      <c r="D3413" t="s">
        <v>2286</v>
      </c>
      <c r="F3413" s="21"/>
      <c r="G3413" s="16" t="str">
        <f>HYPERLINK("http://maps.google.com/maps?f=q&amp;hl=en&amp;geocode=&amp;q=49.5804710388184,6.14671802520752")</f>
        <v>http://maps.google.com/maps?f=q&amp;hl=en&amp;geocode=&amp;q=49.5804710388184,6.14671802520752</v>
      </c>
    </row>
    <row r="3414" spans="1:7" ht="15" x14ac:dyDescent="0.3">
      <c r="A3414">
        <v>49.584793090820298</v>
      </c>
      <c r="B3414">
        <v>6.0993518829345703</v>
      </c>
      <c r="C3414" t="s">
        <v>41</v>
      </c>
      <c r="D3414" t="s">
        <v>2287</v>
      </c>
      <c r="F3414" s="21"/>
      <c r="G3414" s="16" t="str">
        <f>HYPERLINK("http://maps.google.com/maps?f=q&amp;hl=en&amp;geocode=&amp;q=49.5847930908203,6.09935188293457")</f>
        <v>http://maps.google.com/maps?f=q&amp;hl=en&amp;geocode=&amp;q=49.5847930908203,6.09935188293457</v>
      </c>
    </row>
    <row r="3415" spans="1:7" ht="15" x14ac:dyDescent="0.3">
      <c r="A3415">
        <v>40.026049999999998</v>
      </c>
      <c r="B3415">
        <v>-75.169479999999993</v>
      </c>
      <c r="C3415" t="s">
        <v>41</v>
      </c>
      <c r="D3415" t="s">
        <v>2288</v>
      </c>
      <c r="F3415" s="21"/>
      <c r="G3415" s="16" t="str">
        <f>HYPERLINK("http://maps.google.com/maps?f=q&amp;hl=en&amp;geocode=&amp;q=40.02605,-75.16948")</f>
        <v>http://maps.google.com/maps?f=q&amp;hl=en&amp;geocode=&amp;q=40.02605,-75.16948</v>
      </c>
    </row>
    <row r="3416" spans="1:7" ht="15" x14ac:dyDescent="0.3">
      <c r="A3416">
        <v>42.831205676822698</v>
      </c>
      <c r="B3416">
        <v>-112.42869187853</v>
      </c>
      <c r="C3416" t="s">
        <v>43</v>
      </c>
      <c r="D3416" t="s">
        <v>2289</v>
      </c>
      <c r="F3416" s="21"/>
      <c r="G3416" s="16" t="str">
        <f>HYPERLINK("http://maps.google.com/maps?f=q&amp;hl=en&amp;geocode=&amp;q=42.8312056768227,-112.42869187853")</f>
        <v>http://maps.google.com/maps?f=q&amp;hl=en&amp;geocode=&amp;q=42.8312056768227,-112.42869187853</v>
      </c>
    </row>
    <row r="3417" spans="1:7" ht="15" x14ac:dyDescent="0.3">
      <c r="A3417">
        <v>55.25911</v>
      </c>
      <c r="B3417">
        <v>11.59831</v>
      </c>
      <c r="C3417" t="s">
        <v>41</v>
      </c>
      <c r="D3417" t="s">
        <v>2080</v>
      </c>
      <c r="F3417" s="21"/>
      <c r="G3417" s="16" t="str">
        <f>HYPERLINK("http://maps.google.com/maps?f=q&amp;hl=en&amp;geocode=&amp;q=55.25911,11.59831")</f>
        <v>http://maps.google.com/maps?f=q&amp;hl=en&amp;geocode=&amp;q=55.25911,11.59831</v>
      </c>
    </row>
    <row r="3418" spans="1:7" ht="15" x14ac:dyDescent="0.3">
      <c r="A3418">
        <v>40.043340000000001</v>
      </c>
      <c r="B3418">
        <v>-75.104200000000006</v>
      </c>
      <c r="C3418" t="s">
        <v>43</v>
      </c>
      <c r="D3418" t="s">
        <v>1245</v>
      </c>
      <c r="F3418" s="21"/>
      <c r="G3418" s="16" t="str">
        <f>HYPERLINK("http://maps.google.com/maps?f=q&amp;hl=en&amp;geocode=&amp;q=40.04334,-75.1042")</f>
        <v>http://maps.google.com/maps?f=q&amp;hl=en&amp;geocode=&amp;q=40.04334,-75.1042</v>
      </c>
    </row>
    <row r="3419" spans="1:7" ht="15" x14ac:dyDescent="0.3">
      <c r="A3419">
        <v>41.4069210126898</v>
      </c>
      <c r="B3419">
        <v>-81.788758187149796</v>
      </c>
      <c r="C3419" t="s">
        <v>41</v>
      </c>
      <c r="D3419" t="s">
        <v>2290</v>
      </c>
      <c r="F3419" s="21"/>
      <c r="G3419" s="16" t="str">
        <f>HYPERLINK("http://maps.google.com/maps?f=q&amp;hl=en&amp;geocode=&amp;q=41.4069210126898,-81.7887581871498")</f>
        <v>http://maps.google.com/maps?f=q&amp;hl=en&amp;geocode=&amp;q=41.4069210126898,-81.7887581871498</v>
      </c>
    </row>
    <row r="3420" spans="1:7" ht="15" x14ac:dyDescent="0.3">
      <c r="A3420">
        <v>41.183502072663401</v>
      </c>
      <c r="B3420">
        <v>-112.081231244113</v>
      </c>
      <c r="C3420" t="s">
        <v>41</v>
      </c>
      <c r="D3420" t="s">
        <v>2291</v>
      </c>
      <c r="F3420" s="21"/>
      <c r="G3420" s="16" t="str">
        <f>HYPERLINK("http://maps.google.com/maps?f=q&amp;hl=en&amp;geocode=&amp;q=41.1835020726634,-112.081231244113")</f>
        <v>http://maps.google.com/maps?f=q&amp;hl=en&amp;geocode=&amp;q=41.1835020726634,-112.081231244113</v>
      </c>
    </row>
    <row r="3421" spans="1:7" ht="15" x14ac:dyDescent="0.3">
      <c r="A3421">
        <v>-34.863</v>
      </c>
      <c r="B3421">
        <v>138.56261000000001</v>
      </c>
      <c r="C3421" t="s">
        <v>41</v>
      </c>
      <c r="D3421" t="s">
        <v>2292</v>
      </c>
      <c r="F3421" s="21"/>
      <c r="G3421" s="16" t="str">
        <f>HYPERLINK("http://maps.google.com/maps?f=q&amp;hl=en&amp;geocode=&amp;q=-34.863,138.56261")</f>
        <v>http://maps.google.com/maps?f=q&amp;hl=en&amp;geocode=&amp;q=-34.863,138.56261</v>
      </c>
    </row>
    <row r="3422" spans="1:7" ht="15" x14ac:dyDescent="0.3">
      <c r="A3422">
        <v>40.043092157613003</v>
      </c>
      <c r="B3422">
        <v>-75.081831148769098</v>
      </c>
      <c r="C3422" t="s">
        <v>41</v>
      </c>
      <c r="D3422" t="s">
        <v>2293</v>
      </c>
      <c r="F3422" s="21"/>
      <c r="G3422" s="16" t="str">
        <f>HYPERLINK("http://maps.google.com/maps?f=q&amp;hl=en&amp;geocode=&amp;q=40.043092157613,-75.0818311487691")</f>
        <v>http://maps.google.com/maps?f=q&amp;hl=en&amp;geocode=&amp;q=40.043092157613,-75.0818311487691</v>
      </c>
    </row>
    <row r="3423" spans="1:7" ht="15" x14ac:dyDescent="0.3">
      <c r="A3423">
        <v>27.675759586870999</v>
      </c>
      <c r="B3423">
        <v>-97.401260683575401</v>
      </c>
      <c r="C3423" t="s">
        <v>41</v>
      </c>
      <c r="D3423" t="s">
        <v>172</v>
      </c>
      <c r="F3423" s="21"/>
      <c r="G3423" s="16" t="str">
        <f>HYPERLINK("http://maps.google.com/maps?f=q&amp;hl=en&amp;geocode=&amp;q=27.675759586871,-97.4012606835754")</f>
        <v>http://maps.google.com/maps?f=q&amp;hl=en&amp;geocode=&amp;q=27.675759586871,-97.4012606835754</v>
      </c>
    </row>
    <row r="3424" spans="1:7" ht="15" x14ac:dyDescent="0.3">
      <c r="A3424" t="s">
        <v>44</v>
      </c>
      <c r="B3424" t="s">
        <v>44</v>
      </c>
      <c r="C3424" t="s">
        <v>44</v>
      </c>
      <c r="D3424" t="s">
        <v>2294</v>
      </c>
      <c r="F3424" s="21"/>
      <c r="G3424" s="16"/>
    </row>
    <row r="3425" spans="1:7" ht="15" x14ac:dyDescent="0.3">
      <c r="A3425" t="s">
        <v>44</v>
      </c>
      <c r="B3425" t="s">
        <v>44</v>
      </c>
      <c r="C3425" t="s">
        <v>44</v>
      </c>
      <c r="D3425" t="s">
        <v>2295</v>
      </c>
      <c r="F3425" s="21"/>
      <c r="G3425" s="16"/>
    </row>
    <row r="3426" spans="1:7" ht="15" x14ac:dyDescent="0.3">
      <c r="A3426">
        <v>13.3421745300293</v>
      </c>
      <c r="B3426">
        <v>121.187538146973</v>
      </c>
      <c r="C3426" t="s">
        <v>43</v>
      </c>
      <c r="D3426" t="s">
        <v>2296</v>
      </c>
      <c r="F3426" s="21"/>
      <c r="G3426" s="16" t="str">
        <f>HYPERLINK("http://maps.google.com/maps?f=q&amp;hl=en&amp;geocode=&amp;q=13.3421745300293,121.187538146973")</f>
        <v>http://maps.google.com/maps?f=q&amp;hl=en&amp;geocode=&amp;q=13.3421745300293,121.187538146973</v>
      </c>
    </row>
    <row r="3427" spans="1:7" ht="15" x14ac:dyDescent="0.3">
      <c r="A3427">
        <v>36.580077932587301</v>
      </c>
      <c r="B3427">
        <v>-76.107553997900993</v>
      </c>
      <c r="C3427" t="s">
        <v>43</v>
      </c>
      <c r="D3427" t="s">
        <v>2030</v>
      </c>
      <c r="F3427" s="21"/>
      <c r="G3427" s="16" t="str">
        <f>HYPERLINK("http://maps.google.com/maps?f=q&amp;hl=en&amp;geocode=&amp;q=36.5800779325873,-76.107553997901")</f>
        <v>http://maps.google.com/maps?f=q&amp;hl=en&amp;geocode=&amp;q=36.5800779325873,-76.107553997901</v>
      </c>
    </row>
    <row r="3428" spans="1:7" ht="15" x14ac:dyDescent="0.3">
      <c r="A3428">
        <v>36.580077932587301</v>
      </c>
      <c r="B3428">
        <v>-76.107553997900993</v>
      </c>
      <c r="C3428" t="s">
        <v>43</v>
      </c>
      <c r="D3428" t="s">
        <v>2030</v>
      </c>
      <c r="F3428" s="21"/>
      <c r="G3428" s="16" t="str">
        <f>HYPERLINK("http://maps.google.com/maps?f=q&amp;hl=en&amp;geocode=&amp;q=36.5800779325873,-76.107553997901")</f>
        <v>http://maps.google.com/maps?f=q&amp;hl=en&amp;geocode=&amp;q=36.5800779325873,-76.107553997901</v>
      </c>
    </row>
    <row r="3429" spans="1:7" ht="15" x14ac:dyDescent="0.3">
      <c r="A3429">
        <v>53.007888793945298</v>
      </c>
      <c r="B3429">
        <v>-70.9957275390625</v>
      </c>
      <c r="C3429" t="s">
        <v>41</v>
      </c>
      <c r="D3429" t="s">
        <v>2297</v>
      </c>
      <c r="F3429" s="21"/>
      <c r="G3429" s="16" t="str">
        <f>HYPERLINK("http://maps.google.com/maps?f=q&amp;hl=en&amp;geocode=&amp;q=53.0078887939453,-70.9957275390625")</f>
        <v>http://maps.google.com/maps?f=q&amp;hl=en&amp;geocode=&amp;q=53.0078887939453,-70.9957275390625</v>
      </c>
    </row>
    <row r="3430" spans="1:7" ht="15" x14ac:dyDescent="0.3">
      <c r="A3430">
        <v>42.4211838777669</v>
      </c>
      <c r="B3430">
        <v>-76.492153618799193</v>
      </c>
      <c r="C3430" t="s">
        <v>41</v>
      </c>
      <c r="D3430" t="s">
        <v>146</v>
      </c>
      <c r="F3430" s="21"/>
      <c r="G3430" s="16" t="str">
        <f>HYPERLINK("http://maps.google.com/maps?f=q&amp;hl=en&amp;geocode=&amp;q=42.4211838777669,-76.4921536187992")</f>
        <v>http://maps.google.com/maps?f=q&amp;hl=en&amp;geocode=&amp;q=42.4211838777669,-76.4921536187992</v>
      </c>
    </row>
    <row r="3431" spans="1:7" ht="15" x14ac:dyDescent="0.3">
      <c r="A3431">
        <v>38.725276947021499</v>
      </c>
      <c r="B3431">
        <v>-77.047775268554702</v>
      </c>
      <c r="C3431" t="s">
        <v>41</v>
      </c>
      <c r="D3431" t="s">
        <v>2298</v>
      </c>
      <c r="F3431" s="21"/>
      <c r="G3431" s="16" t="str">
        <f>HYPERLINK("http://maps.google.com/maps?f=q&amp;hl=en&amp;geocode=&amp;q=38.7252769470215,-77.0477752685547")</f>
        <v>http://maps.google.com/maps?f=q&amp;hl=en&amp;geocode=&amp;q=38.7252769470215,-77.0477752685547</v>
      </c>
    </row>
    <row r="3432" spans="1:7" ht="15" x14ac:dyDescent="0.3">
      <c r="A3432">
        <v>41.903309403774799</v>
      </c>
      <c r="B3432">
        <v>-111.40134048534399</v>
      </c>
      <c r="C3432" t="s">
        <v>41</v>
      </c>
      <c r="D3432" t="s">
        <v>2299</v>
      </c>
      <c r="F3432" s="21"/>
      <c r="G3432" s="16" t="str">
        <f>HYPERLINK("http://maps.google.com/maps?f=q&amp;hl=en&amp;geocode=&amp;q=41.9033094037748,-111.401340485344")</f>
        <v>http://maps.google.com/maps?f=q&amp;hl=en&amp;geocode=&amp;q=41.9033094037748,-111.401340485344</v>
      </c>
    </row>
    <row r="3433" spans="1:7" ht="15" x14ac:dyDescent="0.3">
      <c r="A3433">
        <v>-36.701439999999998</v>
      </c>
      <c r="B3433">
        <v>142.19977</v>
      </c>
      <c r="C3433" t="s">
        <v>41</v>
      </c>
      <c r="D3433" t="s">
        <v>2300</v>
      </c>
      <c r="F3433" s="21"/>
      <c r="G3433" s="16" t="str">
        <f>HYPERLINK("http://maps.google.com/maps?f=q&amp;hl=en&amp;geocode=&amp;q=-36.70144,142.19977")</f>
        <v>http://maps.google.com/maps?f=q&amp;hl=en&amp;geocode=&amp;q=-36.70144,142.19977</v>
      </c>
    </row>
    <row r="3434" spans="1:7" ht="15" x14ac:dyDescent="0.3">
      <c r="A3434">
        <v>55.709686279296903</v>
      </c>
      <c r="B3434">
        <v>11.7013349533081</v>
      </c>
      <c r="C3434" t="s">
        <v>41</v>
      </c>
      <c r="D3434" t="s">
        <v>322</v>
      </c>
      <c r="F3434" s="21"/>
      <c r="G3434" s="16" t="str">
        <f>HYPERLINK("http://maps.google.com/maps?f=q&amp;hl=en&amp;geocode=&amp;q=55.7096862792969,11.7013349533081")</f>
        <v>http://maps.google.com/maps?f=q&amp;hl=en&amp;geocode=&amp;q=55.7096862792969,11.7013349533081</v>
      </c>
    </row>
    <row r="3435" spans="1:7" ht="15" x14ac:dyDescent="0.3">
      <c r="A3435">
        <v>39.136638858653498</v>
      </c>
      <c r="B3435">
        <v>-76.486475355245702</v>
      </c>
      <c r="C3435" t="s">
        <v>41</v>
      </c>
      <c r="D3435" t="s">
        <v>2301</v>
      </c>
      <c r="F3435" s="21"/>
      <c r="G3435" s="16" t="str">
        <f>HYPERLINK("http://maps.google.com/maps?f=q&amp;hl=en&amp;geocode=&amp;q=39.1366388586535,-76.4864753552457")</f>
        <v>http://maps.google.com/maps?f=q&amp;hl=en&amp;geocode=&amp;q=39.1366388586535,-76.4864753552457</v>
      </c>
    </row>
    <row r="3436" spans="1:7" ht="15" x14ac:dyDescent="0.3">
      <c r="A3436">
        <v>-26.202112197876001</v>
      </c>
      <c r="B3436">
        <v>28.0997638702393</v>
      </c>
      <c r="C3436" t="s">
        <v>43</v>
      </c>
      <c r="D3436" t="s">
        <v>2302</v>
      </c>
      <c r="F3436" s="21"/>
      <c r="G3436" s="16" t="str">
        <f>HYPERLINK("http://maps.google.com/maps?f=q&amp;hl=en&amp;geocode=&amp;q=-26.202112197876,28.0997638702393")</f>
        <v>http://maps.google.com/maps?f=q&amp;hl=en&amp;geocode=&amp;q=-26.202112197876,28.0997638702393</v>
      </c>
    </row>
    <row r="3437" spans="1:7" ht="15" x14ac:dyDescent="0.3">
      <c r="A3437">
        <v>35.627918312191198</v>
      </c>
      <c r="B3437">
        <v>-88.172018925279701</v>
      </c>
      <c r="C3437" t="s">
        <v>42</v>
      </c>
      <c r="D3437" t="s">
        <v>2303</v>
      </c>
      <c r="F3437" s="21"/>
      <c r="G3437" s="16" t="str">
        <f>HYPERLINK("http://maps.google.com/maps?f=q&amp;hl=en&amp;geocode=&amp;q=35.6279183121912,-88.1720189252797")</f>
        <v>http://maps.google.com/maps?f=q&amp;hl=en&amp;geocode=&amp;q=35.6279183121912,-88.1720189252797</v>
      </c>
    </row>
    <row r="3438" spans="1:7" ht="15" x14ac:dyDescent="0.3">
      <c r="A3438">
        <v>32.082221916476598</v>
      </c>
      <c r="B3438">
        <v>-83.800202174656306</v>
      </c>
      <c r="C3438" t="s">
        <v>41</v>
      </c>
      <c r="D3438" t="s">
        <v>2230</v>
      </c>
      <c r="F3438" s="21"/>
      <c r="G3438" s="16" t="str">
        <f>HYPERLINK("http://maps.google.com/maps?f=q&amp;hl=en&amp;geocode=&amp;q=32.0822219164766,-83.8002021746563")</f>
        <v>http://maps.google.com/maps?f=q&amp;hl=en&amp;geocode=&amp;q=32.0822219164766,-83.8002021746563</v>
      </c>
    </row>
    <row r="3439" spans="1:7" ht="15" x14ac:dyDescent="0.3">
      <c r="A3439">
        <v>40.391319274902301</v>
      </c>
      <c r="B3439">
        <v>-79.887779235839801</v>
      </c>
      <c r="C3439" t="s">
        <v>41</v>
      </c>
      <c r="D3439" t="s">
        <v>2304</v>
      </c>
      <c r="F3439" s="21"/>
      <c r="G3439" s="16" t="str">
        <f>HYPERLINK("http://maps.google.com/maps?f=q&amp;hl=en&amp;geocode=&amp;q=40.3913192749023,-79.8877792358398")</f>
        <v>http://maps.google.com/maps?f=q&amp;hl=en&amp;geocode=&amp;q=40.3913192749023,-79.8877792358398</v>
      </c>
    </row>
    <row r="3440" spans="1:7" ht="15" x14ac:dyDescent="0.3">
      <c r="A3440">
        <v>54.801509857177699</v>
      </c>
      <c r="B3440">
        <v>44.319591522216797</v>
      </c>
      <c r="C3440" t="s">
        <v>41</v>
      </c>
      <c r="D3440" t="s">
        <v>2305</v>
      </c>
      <c r="F3440" s="21"/>
      <c r="G3440" s="16" t="str">
        <f>HYPERLINK("http://maps.google.com/maps?f=q&amp;hl=en&amp;geocode=&amp;q=54.8015098571777,44.3195915222168")</f>
        <v>http://maps.google.com/maps?f=q&amp;hl=en&amp;geocode=&amp;q=54.8015098571777,44.3195915222168</v>
      </c>
    </row>
    <row r="3441" spans="1:7" ht="15" x14ac:dyDescent="0.3">
      <c r="A3441">
        <v>49.509574890136697</v>
      </c>
      <c r="B3441">
        <v>5.9789090156555202</v>
      </c>
      <c r="C3441" t="s">
        <v>41</v>
      </c>
      <c r="D3441" t="s">
        <v>2306</v>
      </c>
      <c r="F3441" s="21"/>
      <c r="G3441" s="16" t="str">
        <f>HYPERLINK("http://maps.google.com/maps?f=q&amp;hl=en&amp;geocode=&amp;q=49.5095748901367,5.97890901565552")</f>
        <v>http://maps.google.com/maps?f=q&amp;hl=en&amp;geocode=&amp;q=49.5095748901367,5.97890901565552</v>
      </c>
    </row>
    <row r="3442" spans="1:7" ht="15" x14ac:dyDescent="0.3">
      <c r="A3442">
        <v>30.017420000000001</v>
      </c>
      <c r="B3442">
        <v>-90.177009999999996</v>
      </c>
      <c r="C3442" t="s">
        <v>41</v>
      </c>
      <c r="D3442" t="s">
        <v>2307</v>
      </c>
      <c r="F3442" s="21"/>
      <c r="G3442" s="16" t="str">
        <f>HYPERLINK("http://maps.google.com/maps?f=q&amp;hl=en&amp;geocode=&amp;q=30.01742,-90.17701")</f>
        <v>http://maps.google.com/maps?f=q&amp;hl=en&amp;geocode=&amp;q=30.01742,-90.17701</v>
      </c>
    </row>
    <row r="3443" spans="1:7" ht="15" x14ac:dyDescent="0.3">
      <c r="A3443">
        <v>39.838320000000003</v>
      </c>
      <c r="B3443">
        <v>-86.262259999999998</v>
      </c>
      <c r="C3443" t="s">
        <v>43</v>
      </c>
      <c r="D3443" t="s">
        <v>2308</v>
      </c>
      <c r="F3443" s="21"/>
      <c r="G3443" s="16" t="str">
        <f>HYPERLINK("http://maps.google.com/maps?f=q&amp;hl=en&amp;geocode=&amp;q=39.83832,-86.26226")</f>
        <v>http://maps.google.com/maps?f=q&amp;hl=en&amp;geocode=&amp;q=39.83832,-86.26226</v>
      </c>
    </row>
    <row r="3444" spans="1:7" ht="15" x14ac:dyDescent="0.3">
      <c r="A3444">
        <v>43.025587855921799</v>
      </c>
      <c r="B3444">
        <v>-74.985908809015001</v>
      </c>
      <c r="C3444" t="s">
        <v>41</v>
      </c>
      <c r="D3444" t="s">
        <v>1185</v>
      </c>
      <c r="F3444" s="21"/>
      <c r="G3444" s="16" t="str">
        <f>HYPERLINK("http://maps.google.com/maps?f=q&amp;hl=en&amp;geocode=&amp;q=43.0255878559218,-74.985908809015")</f>
        <v>http://maps.google.com/maps?f=q&amp;hl=en&amp;geocode=&amp;q=43.0255878559218,-74.985908809015</v>
      </c>
    </row>
    <row r="3445" spans="1:7" ht="15" x14ac:dyDescent="0.3">
      <c r="A3445" t="s">
        <v>44</v>
      </c>
      <c r="B3445" t="s">
        <v>44</v>
      </c>
      <c r="C3445" t="s">
        <v>44</v>
      </c>
      <c r="D3445" t="s">
        <v>1243</v>
      </c>
      <c r="F3445" s="21"/>
      <c r="G3445" s="16"/>
    </row>
    <row r="3446" spans="1:7" ht="15" x14ac:dyDescent="0.3">
      <c r="A3446">
        <v>41.479856878967198</v>
      </c>
      <c r="B3446">
        <v>-93.193745222781601</v>
      </c>
      <c r="C3446" t="s">
        <v>41</v>
      </c>
      <c r="D3446" t="s">
        <v>2309</v>
      </c>
      <c r="F3446" s="21"/>
      <c r="G3446" s="16" t="str">
        <f>HYPERLINK("http://maps.google.com/maps?f=q&amp;hl=en&amp;geocode=&amp;q=41.4798568789672,-93.1937452227816")</f>
        <v>http://maps.google.com/maps?f=q&amp;hl=en&amp;geocode=&amp;q=41.4798568789672,-93.1937452227816</v>
      </c>
    </row>
    <row r="3447" spans="1:7" ht="15" x14ac:dyDescent="0.3">
      <c r="A3447" t="s">
        <v>44</v>
      </c>
      <c r="B3447" t="s">
        <v>44</v>
      </c>
      <c r="C3447" t="s">
        <v>44</v>
      </c>
      <c r="D3447" t="s">
        <v>2310</v>
      </c>
      <c r="F3447" s="21"/>
      <c r="G3447" s="16"/>
    </row>
    <row r="3448" spans="1:7" ht="15" x14ac:dyDescent="0.3">
      <c r="A3448">
        <v>29.7082328796387</v>
      </c>
      <c r="B3448">
        <v>-90.006401062011705</v>
      </c>
      <c r="C3448" t="s">
        <v>43</v>
      </c>
      <c r="D3448" t="s">
        <v>98</v>
      </c>
      <c r="F3448" s="21"/>
      <c r="G3448" s="16" t="str">
        <f>HYPERLINK("http://maps.google.com/maps?f=q&amp;hl=en&amp;geocode=&amp;q=29.7082328796387,-90.0064010620117")</f>
        <v>http://maps.google.com/maps?f=q&amp;hl=en&amp;geocode=&amp;q=29.7082328796387,-90.0064010620117</v>
      </c>
    </row>
    <row r="3449" spans="1:7" ht="15" x14ac:dyDescent="0.3">
      <c r="A3449">
        <v>39.981432760262898</v>
      </c>
      <c r="B3449">
        <v>-75.142117702295394</v>
      </c>
      <c r="C3449" t="s">
        <v>41</v>
      </c>
      <c r="D3449" t="s">
        <v>2311</v>
      </c>
      <c r="F3449" s="21"/>
      <c r="G3449" s="16" t="str">
        <f>HYPERLINK("http://maps.google.com/maps?f=q&amp;hl=en&amp;geocode=&amp;q=39.9814327602629,-75.1421177022954")</f>
        <v>http://maps.google.com/maps?f=q&amp;hl=en&amp;geocode=&amp;q=39.9814327602629,-75.1421177022954</v>
      </c>
    </row>
    <row r="3450" spans="1:7" ht="15" x14ac:dyDescent="0.3">
      <c r="A3450">
        <v>39.981432760262898</v>
      </c>
      <c r="B3450">
        <v>-75.142117702295394</v>
      </c>
      <c r="C3450" t="s">
        <v>41</v>
      </c>
      <c r="D3450" t="s">
        <v>2311</v>
      </c>
      <c r="F3450" s="21"/>
      <c r="G3450" s="16" t="str">
        <f>HYPERLINK("http://maps.google.com/maps?f=q&amp;hl=en&amp;geocode=&amp;q=39.9814327602629,-75.1421177022954")</f>
        <v>http://maps.google.com/maps?f=q&amp;hl=en&amp;geocode=&amp;q=39.9814327602629,-75.1421177022954</v>
      </c>
    </row>
    <row r="3451" spans="1:7" ht="15" x14ac:dyDescent="0.3">
      <c r="A3451">
        <v>39.981432760262898</v>
      </c>
      <c r="B3451">
        <v>-75.142117702295394</v>
      </c>
      <c r="C3451" t="s">
        <v>41</v>
      </c>
      <c r="D3451" t="s">
        <v>2311</v>
      </c>
      <c r="F3451" s="21"/>
      <c r="G3451" s="16" t="str">
        <f>HYPERLINK("http://maps.google.com/maps?f=q&amp;hl=en&amp;geocode=&amp;q=39.9814327602629,-75.1421177022954")</f>
        <v>http://maps.google.com/maps?f=q&amp;hl=en&amp;geocode=&amp;q=39.9814327602629,-75.1421177022954</v>
      </c>
    </row>
    <row r="3452" spans="1:7" ht="15" x14ac:dyDescent="0.3">
      <c r="A3452">
        <v>39.981432760262898</v>
      </c>
      <c r="B3452">
        <v>-75.142117702295394</v>
      </c>
      <c r="C3452" t="s">
        <v>41</v>
      </c>
      <c r="D3452" t="s">
        <v>2311</v>
      </c>
      <c r="F3452" s="21"/>
      <c r="G3452" s="16" t="str">
        <f>HYPERLINK("http://maps.google.com/maps?f=q&amp;hl=en&amp;geocode=&amp;q=39.9814327602629,-75.1421177022954")</f>
        <v>http://maps.google.com/maps?f=q&amp;hl=en&amp;geocode=&amp;q=39.9814327602629,-75.1421177022954</v>
      </c>
    </row>
    <row r="3453" spans="1:7" ht="15" x14ac:dyDescent="0.3">
      <c r="A3453">
        <v>39.989400873915997</v>
      </c>
      <c r="B3453">
        <v>-75.125869872438898</v>
      </c>
      <c r="C3453" t="s">
        <v>41</v>
      </c>
      <c r="D3453" t="s">
        <v>2312</v>
      </c>
      <c r="F3453" s="21"/>
      <c r="G3453" s="16" t="str">
        <f>HYPERLINK("http://maps.google.com/maps?f=q&amp;hl=en&amp;geocode=&amp;q=39.989400873916,-75.1258698724389")</f>
        <v>http://maps.google.com/maps?f=q&amp;hl=en&amp;geocode=&amp;q=39.989400873916,-75.1258698724389</v>
      </c>
    </row>
    <row r="3454" spans="1:7" ht="15" x14ac:dyDescent="0.3">
      <c r="A3454">
        <v>39.989400873915997</v>
      </c>
      <c r="B3454">
        <v>-75.125869872438898</v>
      </c>
      <c r="C3454" t="s">
        <v>41</v>
      </c>
      <c r="D3454" t="s">
        <v>2312</v>
      </c>
      <c r="F3454" s="21"/>
      <c r="G3454" s="16" t="str">
        <f>HYPERLINK("http://maps.google.com/maps?f=q&amp;hl=en&amp;geocode=&amp;q=39.989400873916,-75.1258698724389")</f>
        <v>http://maps.google.com/maps?f=q&amp;hl=en&amp;geocode=&amp;q=39.989400873916,-75.1258698724389</v>
      </c>
    </row>
    <row r="3455" spans="1:7" ht="15" x14ac:dyDescent="0.3">
      <c r="A3455">
        <v>39.989400873915997</v>
      </c>
      <c r="B3455">
        <v>-75.125869872438898</v>
      </c>
      <c r="C3455" t="s">
        <v>41</v>
      </c>
      <c r="D3455" t="s">
        <v>2312</v>
      </c>
      <c r="F3455" s="21"/>
      <c r="G3455" s="16" t="str">
        <f>HYPERLINK("http://maps.google.com/maps?f=q&amp;hl=en&amp;geocode=&amp;q=39.989400873916,-75.1258698724389")</f>
        <v>http://maps.google.com/maps?f=q&amp;hl=en&amp;geocode=&amp;q=39.989400873916,-75.1258698724389</v>
      </c>
    </row>
    <row r="3456" spans="1:7" ht="15" x14ac:dyDescent="0.3">
      <c r="A3456">
        <v>39.989400873915997</v>
      </c>
      <c r="B3456">
        <v>-75.125869872438898</v>
      </c>
      <c r="C3456" t="s">
        <v>41</v>
      </c>
      <c r="D3456" t="s">
        <v>2312</v>
      </c>
      <c r="F3456" s="21"/>
      <c r="G3456" s="16" t="str">
        <f>HYPERLINK("http://maps.google.com/maps?f=q&amp;hl=en&amp;geocode=&amp;q=39.989400873916,-75.1258698724389")</f>
        <v>http://maps.google.com/maps?f=q&amp;hl=en&amp;geocode=&amp;q=39.989400873916,-75.1258698724389</v>
      </c>
    </row>
    <row r="3457" spans="1:7" ht="15" x14ac:dyDescent="0.3">
      <c r="A3457">
        <v>39.989400873915997</v>
      </c>
      <c r="B3457">
        <v>-75.125869872438898</v>
      </c>
      <c r="C3457" t="s">
        <v>41</v>
      </c>
      <c r="D3457" t="s">
        <v>2312</v>
      </c>
      <c r="F3457" s="21"/>
      <c r="G3457" s="16" t="str">
        <f>HYPERLINK("http://maps.google.com/maps?f=q&amp;hl=en&amp;geocode=&amp;q=39.989400873916,-75.1258698724389")</f>
        <v>http://maps.google.com/maps?f=q&amp;hl=en&amp;geocode=&amp;q=39.989400873916,-75.1258698724389</v>
      </c>
    </row>
    <row r="3458" spans="1:7" ht="15" x14ac:dyDescent="0.3">
      <c r="A3458">
        <v>32.082221916476598</v>
      </c>
      <c r="B3458">
        <v>-83.800202174656306</v>
      </c>
      <c r="C3458" t="s">
        <v>41</v>
      </c>
      <c r="D3458" t="s">
        <v>2230</v>
      </c>
      <c r="F3458" s="21"/>
      <c r="G3458" s="16" t="str">
        <f>HYPERLINK("http://maps.google.com/maps?f=q&amp;hl=en&amp;geocode=&amp;q=32.0822219164766,-83.8002021746563")</f>
        <v>http://maps.google.com/maps?f=q&amp;hl=en&amp;geocode=&amp;q=32.0822219164766,-83.8002021746563</v>
      </c>
    </row>
    <row r="3459" spans="1:7" ht="15" x14ac:dyDescent="0.3">
      <c r="A3459">
        <v>55.444332122802699</v>
      </c>
      <c r="B3459">
        <v>11.8504753112793</v>
      </c>
      <c r="C3459" t="s">
        <v>41</v>
      </c>
      <c r="D3459" t="s">
        <v>2313</v>
      </c>
      <c r="F3459" s="21"/>
      <c r="G3459" s="16" t="str">
        <f>HYPERLINK("http://maps.google.com/maps?f=q&amp;hl=en&amp;geocode=&amp;q=55.4443321228027,11.8504753112793")</f>
        <v>http://maps.google.com/maps?f=q&amp;hl=en&amp;geocode=&amp;q=55.4443321228027,11.8504753112793</v>
      </c>
    </row>
    <row r="3460" spans="1:7" ht="15" x14ac:dyDescent="0.3">
      <c r="A3460">
        <v>55.444332122802699</v>
      </c>
      <c r="B3460">
        <v>11.8504753112793</v>
      </c>
      <c r="C3460" t="s">
        <v>41</v>
      </c>
      <c r="D3460" t="s">
        <v>2313</v>
      </c>
      <c r="F3460" s="21"/>
      <c r="G3460" s="16" t="str">
        <f>HYPERLINK("http://maps.google.com/maps?f=q&amp;hl=en&amp;geocode=&amp;q=55.4443321228027,11.8504753112793")</f>
        <v>http://maps.google.com/maps?f=q&amp;hl=en&amp;geocode=&amp;q=55.4443321228027,11.8504753112793</v>
      </c>
    </row>
    <row r="3461" spans="1:7" ht="15" x14ac:dyDescent="0.3">
      <c r="A3461">
        <v>-26.279468536376999</v>
      </c>
      <c r="B3461">
        <v>27.911695480346701</v>
      </c>
      <c r="C3461" t="s">
        <v>43</v>
      </c>
      <c r="D3461" t="s">
        <v>2314</v>
      </c>
      <c r="F3461" s="21"/>
      <c r="G3461" s="16" t="str">
        <f>HYPERLINK("http://maps.google.com/maps?f=q&amp;hl=en&amp;geocode=&amp;q=-26.279468536377,27.9116954803467")</f>
        <v>http://maps.google.com/maps?f=q&amp;hl=en&amp;geocode=&amp;q=-26.279468536377,27.9116954803467</v>
      </c>
    </row>
    <row r="3462" spans="1:7" ht="15" x14ac:dyDescent="0.3">
      <c r="A3462">
        <v>61.099399566650398</v>
      </c>
      <c r="B3462">
        <v>21.812900543212901</v>
      </c>
      <c r="C3462" t="s">
        <v>41</v>
      </c>
      <c r="D3462" t="s">
        <v>2315</v>
      </c>
      <c r="F3462" s="21"/>
      <c r="G3462" s="16" t="str">
        <f>HYPERLINK("http://maps.google.com/maps?f=q&amp;hl=en&amp;geocode=&amp;q=61.0993995666504,21.8129005432129")</f>
        <v>http://maps.google.com/maps?f=q&amp;hl=en&amp;geocode=&amp;q=61.0993995666504,21.8129005432129</v>
      </c>
    </row>
    <row r="3463" spans="1:7" ht="15" x14ac:dyDescent="0.3">
      <c r="A3463">
        <v>54.841087341308601</v>
      </c>
      <c r="B3463">
        <v>11.161624908447299</v>
      </c>
      <c r="C3463" t="s">
        <v>41</v>
      </c>
      <c r="D3463" t="s">
        <v>307</v>
      </c>
      <c r="F3463" s="21"/>
      <c r="G3463" s="16" t="str">
        <f>HYPERLINK("http://maps.google.com/maps?f=q&amp;hl=en&amp;geocode=&amp;q=54.8410873413086,11.1616249084473")</f>
        <v>http://maps.google.com/maps?f=q&amp;hl=en&amp;geocode=&amp;q=54.8410873413086,11.1616249084473</v>
      </c>
    </row>
    <row r="3464" spans="1:7" ht="15" x14ac:dyDescent="0.3">
      <c r="A3464">
        <v>49.654949999999999</v>
      </c>
      <c r="B3464">
        <v>6.1185900000000002</v>
      </c>
      <c r="C3464" t="s">
        <v>43</v>
      </c>
      <c r="D3464" t="s">
        <v>2316</v>
      </c>
      <c r="F3464" s="21"/>
      <c r="G3464" s="16" t="str">
        <f>HYPERLINK("http://maps.google.com/maps?f=q&amp;hl=en&amp;geocode=&amp;q=49.65495,6.11859")</f>
        <v>http://maps.google.com/maps?f=q&amp;hl=en&amp;geocode=&amp;q=49.65495,6.11859</v>
      </c>
    </row>
    <row r="3465" spans="1:7" ht="15" x14ac:dyDescent="0.3">
      <c r="A3465">
        <v>29.765354581394998</v>
      </c>
      <c r="B3465">
        <v>-95.232586882827306</v>
      </c>
      <c r="C3465" t="s">
        <v>41</v>
      </c>
      <c r="D3465" t="s">
        <v>2317</v>
      </c>
      <c r="F3465" s="21"/>
      <c r="G3465" s="16" t="str">
        <f>HYPERLINK("http://maps.google.com/maps?f=q&amp;hl=en&amp;geocode=&amp;q=29.765354581395,-95.2325868828273")</f>
        <v>http://maps.google.com/maps?f=q&amp;hl=en&amp;geocode=&amp;q=29.765354581395,-95.2325868828273</v>
      </c>
    </row>
    <row r="3466" spans="1:7" ht="15" x14ac:dyDescent="0.3">
      <c r="A3466" t="s">
        <v>44</v>
      </c>
      <c r="B3466" t="s">
        <v>44</v>
      </c>
      <c r="C3466" t="s">
        <v>44</v>
      </c>
      <c r="D3466" t="s">
        <v>2318</v>
      </c>
      <c r="F3466" s="21"/>
      <c r="G3466" s="16"/>
    </row>
    <row r="3467" spans="1:7" ht="15" x14ac:dyDescent="0.3">
      <c r="A3467">
        <v>55.316757202148402</v>
      </c>
      <c r="B3467">
        <v>10.7729501724243</v>
      </c>
      <c r="C3467" t="s">
        <v>43</v>
      </c>
      <c r="D3467" t="s">
        <v>2319</v>
      </c>
      <c r="F3467" s="21"/>
      <c r="G3467" s="16" t="str">
        <f>HYPERLINK("http://maps.google.com/maps?f=q&amp;hl=en&amp;geocode=&amp;q=55.3167572021484,10.7729501724243")</f>
        <v>http://maps.google.com/maps?f=q&amp;hl=en&amp;geocode=&amp;q=55.3167572021484,10.7729501724243</v>
      </c>
    </row>
    <row r="3468" spans="1:7" ht="15" x14ac:dyDescent="0.3">
      <c r="A3468">
        <v>41.0205079434417</v>
      </c>
      <c r="B3468">
        <v>-81.355774468817899</v>
      </c>
      <c r="C3468" t="s">
        <v>41</v>
      </c>
      <c r="D3468" t="s">
        <v>2320</v>
      </c>
      <c r="F3468" s="21"/>
      <c r="G3468" s="16" t="str">
        <f>HYPERLINK("http://maps.google.com/maps?f=q&amp;hl=en&amp;geocode=&amp;q=41.0205079434417,-81.3557744688179")</f>
        <v>http://maps.google.com/maps?f=q&amp;hl=en&amp;geocode=&amp;q=41.0205079434417,-81.3557744688179</v>
      </c>
    </row>
    <row r="3469" spans="1:7" ht="15" x14ac:dyDescent="0.3">
      <c r="A3469">
        <v>40.022111000000002</v>
      </c>
      <c r="B3469">
        <v>-75.091824000000003</v>
      </c>
      <c r="C3469" t="s">
        <v>41</v>
      </c>
      <c r="D3469" t="s">
        <v>2321</v>
      </c>
      <c r="F3469" s="21"/>
      <c r="G3469" s="16" t="str">
        <f>HYPERLINK("http://maps.google.com/maps?f=q&amp;hl=en&amp;geocode=&amp;q=40.022111,-75.091824")</f>
        <v>http://maps.google.com/maps?f=q&amp;hl=en&amp;geocode=&amp;q=40.022111,-75.091824</v>
      </c>
    </row>
    <row r="3470" spans="1:7" ht="15" x14ac:dyDescent="0.3">
      <c r="A3470">
        <v>-25.280920028686499</v>
      </c>
      <c r="B3470">
        <v>-57.612171173095703</v>
      </c>
      <c r="C3470" t="s">
        <v>43</v>
      </c>
      <c r="D3470" t="s">
        <v>2322</v>
      </c>
      <c r="F3470" s="21"/>
      <c r="G3470" s="16" t="str">
        <f>HYPERLINK("http://maps.google.com/maps?f=q&amp;hl=en&amp;geocode=&amp;q=-25.2809200286865,-57.6121711730957")</f>
        <v>http://maps.google.com/maps?f=q&amp;hl=en&amp;geocode=&amp;q=-25.2809200286865,-57.6121711730957</v>
      </c>
    </row>
    <row r="3471" spans="1:7" ht="15" x14ac:dyDescent="0.3">
      <c r="A3471">
        <v>40.612789154052699</v>
      </c>
      <c r="B3471">
        <v>-75.592453002929702</v>
      </c>
      <c r="C3471" t="s">
        <v>41</v>
      </c>
      <c r="D3471" t="s">
        <v>2323</v>
      </c>
      <c r="F3471" s="21"/>
      <c r="G3471" s="16" t="str">
        <f>HYPERLINK("http://maps.google.com/maps?f=q&amp;hl=en&amp;geocode=&amp;q=40.6127891540527,-75.5924530029297")</f>
        <v>http://maps.google.com/maps?f=q&amp;hl=en&amp;geocode=&amp;q=40.6127891540527,-75.5924530029297</v>
      </c>
    </row>
    <row r="3472" spans="1:7" ht="15" x14ac:dyDescent="0.3">
      <c r="A3472">
        <v>42.470289999999999</v>
      </c>
      <c r="B3472">
        <v>-83.077780000000004</v>
      </c>
      <c r="C3472" t="s">
        <v>42</v>
      </c>
      <c r="D3472" t="s">
        <v>2324</v>
      </c>
      <c r="F3472" s="21"/>
      <c r="G3472" s="16" t="str">
        <f>HYPERLINK("http://maps.google.com/maps?f=q&amp;hl=en&amp;geocode=&amp;q=42.47029,-83.07778")</f>
        <v>http://maps.google.com/maps?f=q&amp;hl=en&amp;geocode=&amp;q=42.47029,-83.07778</v>
      </c>
    </row>
    <row r="3473" spans="1:7" ht="15" x14ac:dyDescent="0.3">
      <c r="A3473">
        <v>39.99682</v>
      </c>
      <c r="B3473">
        <v>-75.178889999999996</v>
      </c>
      <c r="C3473" t="s">
        <v>41</v>
      </c>
      <c r="D3473" t="s">
        <v>2325</v>
      </c>
      <c r="F3473" s="21"/>
      <c r="G3473" s="16" t="str">
        <f>HYPERLINK("http://maps.google.com/maps?f=q&amp;hl=en&amp;geocode=&amp;q=39.99682,-75.17889")</f>
        <v>http://maps.google.com/maps?f=q&amp;hl=en&amp;geocode=&amp;q=39.99682,-75.17889</v>
      </c>
    </row>
    <row r="3474" spans="1:7" ht="15" x14ac:dyDescent="0.3">
      <c r="A3474">
        <v>-43.747161865234403</v>
      </c>
      <c r="B3474">
        <v>171.78347778320301</v>
      </c>
      <c r="C3474" t="s">
        <v>41</v>
      </c>
      <c r="D3474" t="s">
        <v>2326</v>
      </c>
      <c r="F3474" s="21"/>
      <c r="G3474" s="16" t="str">
        <f>HYPERLINK("http://maps.google.com/maps?f=q&amp;hl=en&amp;geocode=&amp;q=-43.7471618652344,171.783477783203")</f>
        <v>http://maps.google.com/maps?f=q&amp;hl=en&amp;geocode=&amp;q=-43.7471618652344,171.783477783203</v>
      </c>
    </row>
    <row r="3475" spans="1:7" ht="15" x14ac:dyDescent="0.3">
      <c r="A3475">
        <v>46.465725584827098</v>
      </c>
      <c r="B3475">
        <v>-91.749867908855705</v>
      </c>
      <c r="C3475" t="s">
        <v>41</v>
      </c>
      <c r="D3475" t="s">
        <v>2327</v>
      </c>
      <c r="F3475" s="21"/>
      <c r="G3475" s="16" t="str">
        <f>HYPERLINK("http://maps.google.com/maps?f=q&amp;hl=en&amp;geocode=&amp;q=46.4657255848271,-91.7498679088557")</f>
        <v>http://maps.google.com/maps?f=q&amp;hl=en&amp;geocode=&amp;q=46.4657255848271,-91.7498679088557</v>
      </c>
    </row>
    <row r="3476" spans="1:7" ht="15" x14ac:dyDescent="0.3">
      <c r="A3476">
        <v>39.919803619384801</v>
      </c>
      <c r="B3476">
        <v>-86.281799316406307</v>
      </c>
      <c r="C3476" t="s">
        <v>41</v>
      </c>
      <c r="D3476" t="s">
        <v>2328</v>
      </c>
      <c r="F3476" s="21"/>
      <c r="G3476" s="16" t="str">
        <f>HYPERLINK("http://maps.google.com/maps?f=q&amp;hl=en&amp;geocode=&amp;q=39.9198036193848,-86.2817993164063")</f>
        <v>http://maps.google.com/maps?f=q&amp;hl=en&amp;geocode=&amp;q=39.9198036193848,-86.2817993164063</v>
      </c>
    </row>
    <row r="3477" spans="1:7" ht="15" x14ac:dyDescent="0.3">
      <c r="A3477">
        <v>45.1123685403537</v>
      </c>
      <c r="B3477">
        <v>-93.213180928857696</v>
      </c>
      <c r="C3477" t="s">
        <v>41</v>
      </c>
      <c r="D3477" t="s">
        <v>2329</v>
      </c>
      <c r="F3477" s="21"/>
      <c r="G3477" s="16" t="str">
        <f>HYPERLINK("http://maps.google.com/maps?f=q&amp;hl=en&amp;geocode=&amp;q=45.1123685403537,-93.2131809288577")</f>
        <v>http://maps.google.com/maps?f=q&amp;hl=en&amp;geocode=&amp;q=45.1123685403537,-93.2131809288577</v>
      </c>
    </row>
    <row r="3478" spans="1:7" ht="15" x14ac:dyDescent="0.3">
      <c r="A3478">
        <v>35.3900268111882</v>
      </c>
      <c r="B3478">
        <v>-82.416843599256495</v>
      </c>
      <c r="C3478" t="s">
        <v>41</v>
      </c>
      <c r="D3478" t="s">
        <v>2330</v>
      </c>
      <c r="F3478" s="21"/>
      <c r="G3478" s="16" t="str">
        <f>HYPERLINK("http://maps.google.com/maps?f=q&amp;hl=en&amp;geocode=&amp;q=35.3900268111882,-82.4168435992565")</f>
        <v>http://maps.google.com/maps?f=q&amp;hl=en&amp;geocode=&amp;q=35.3900268111882,-82.4168435992565</v>
      </c>
    </row>
    <row r="3479" spans="1:7" ht="15" x14ac:dyDescent="0.3">
      <c r="A3479">
        <v>39.330739999999999</v>
      </c>
      <c r="B3479">
        <v>-76.707470000000001</v>
      </c>
      <c r="C3479" t="s">
        <v>41</v>
      </c>
      <c r="D3479" t="s">
        <v>2331</v>
      </c>
      <c r="F3479" s="21"/>
      <c r="G3479" s="16" t="str">
        <f>HYPERLINK("http://maps.google.com/maps?f=q&amp;hl=en&amp;geocode=&amp;q=39.33074,-76.70747")</f>
        <v>http://maps.google.com/maps?f=q&amp;hl=en&amp;geocode=&amp;q=39.33074,-76.70747</v>
      </c>
    </row>
    <row r="3480" spans="1:7" ht="15" x14ac:dyDescent="0.3">
      <c r="A3480">
        <v>37.616347974418503</v>
      </c>
      <c r="B3480">
        <v>-89.105144211967399</v>
      </c>
      <c r="C3480" t="s">
        <v>41</v>
      </c>
      <c r="D3480" t="s">
        <v>2332</v>
      </c>
      <c r="F3480" s="21"/>
      <c r="G3480" s="16" t="str">
        <f>HYPERLINK("http://maps.google.com/maps?f=q&amp;hl=en&amp;geocode=&amp;q=37.6163479744185,-89.1051442119674")</f>
        <v>http://maps.google.com/maps?f=q&amp;hl=en&amp;geocode=&amp;q=37.6163479744185,-89.1051442119674</v>
      </c>
    </row>
    <row r="3481" spans="1:7" ht="15" x14ac:dyDescent="0.3">
      <c r="A3481">
        <v>37.616347974418503</v>
      </c>
      <c r="B3481">
        <v>-89.105144211967399</v>
      </c>
      <c r="C3481" t="s">
        <v>41</v>
      </c>
      <c r="D3481" t="s">
        <v>2332</v>
      </c>
      <c r="F3481" s="21"/>
      <c r="G3481" s="16" t="str">
        <f>HYPERLINK("http://maps.google.com/maps?f=q&amp;hl=en&amp;geocode=&amp;q=37.6163479744185,-89.1051442119674")</f>
        <v>http://maps.google.com/maps?f=q&amp;hl=en&amp;geocode=&amp;q=37.6163479744185,-89.1051442119674</v>
      </c>
    </row>
    <row r="3482" spans="1:7" ht="15" x14ac:dyDescent="0.3">
      <c r="A3482">
        <v>37.293715034316001</v>
      </c>
      <c r="B3482">
        <v>-82.302570315471797</v>
      </c>
      <c r="C3482" t="s">
        <v>41</v>
      </c>
      <c r="D3482" t="s">
        <v>2333</v>
      </c>
      <c r="F3482" s="21"/>
      <c r="G3482" s="16" t="str">
        <f>HYPERLINK("http://maps.google.com/maps?f=q&amp;hl=en&amp;geocode=&amp;q=37.293715034316,-82.3025703154718")</f>
        <v>http://maps.google.com/maps?f=q&amp;hl=en&amp;geocode=&amp;q=37.293715034316,-82.3025703154718</v>
      </c>
    </row>
    <row r="3483" spans="1:7" ht="15" x14ac:dyDescent="0.3">
      <c r="A3483" t="s">
        <v>44</v>
      </c>
      <c r="B3483" t="s">
        <v>44</v>
      </c>
      <c r="C3483" t="s">
        <v>44</v>
      </c>
      <c r="D3483" t="s">
        <v>2334</v>
      </c>
      <c r="F3483" s="21"/>
      <c r="G3483" s="16"/>
    </row>
    <row r="3484" spans="1:7" ht="15" x14ac:dyDescent="0.3">
      <c r="A3484">
        <v>44.641788482666001</v>
      </c>
      <c r="B3484">
        <v>-89.736740112304702</v>
      </c>
      <c r="C3484" t="s">
        <v>41</v>
      </c>
      <c r="D3484" t="s">
        <v>2335</v>
      </c>
      <c r="F3484" s="21"/>
      <c r="G3484" s="16" t="str">
        <f>HYPERLINK("http://maps.google.com/maps?f=q&amp;hl=en&amp;geocode=&amp;q=44.641788482666,-89.7367401123047")</f>
        <v>http://maps.google.com/maps?f=q&amp;hl=en&amp;geocode=&amp;q=44.641788482666,-89.7367401123047</v>
      </c>
    </row>
    <row r="3485" spans="1:7" ht="15" x14ac:dyDescent="0.3">
      <c r="A3485">
        <v>51.523796081542997</v>
      </c>
      <c r="B3485">
        <v>5.95916795730591</v>
      </c>
      <c r="C3485" t="s">
        <v>43</v>
      </c>
      <c r="D3485" t="s">
        <v>1419</v>
      </c>
      <c r="F3485" s="21"/>
      <c r="G3485" s="16" t="str">
        <f>HYPERLINK("http://maps.google.com/maps?f=q&amp;hl=en&amp;geocode=&amp;q=51.523796081543,5.95916795730591")</f>
        <v>http://maps.google.com/maps?f=q&amp;hl=en&amp;geocode=&amp;q=51.523796081543,5.95916795730591</v>
      </c>
    </row>
    <row r="3486" spans="1:7" ht="15" x14ac:dyDescent="0.3">
      <c r="A3486">
        <v>44.773998260497997</v>
      </c>
      <c r="B3486">
        <v>-117.829887390137</v>
      </c>
      <c r="C3486" t="s">
        <v>43</v>
      </c>
      <c r="D3486" t="s">
        <v>2336</v>
      </c>
      <c r="F3486" s="21"/>
      <c r="G3486" s="16" t="str">
        <f>HYPERLINK("http://maps.google.com/maps?f=q&amp;hl=en&amp;geocode=&amp;q=44.773998260498,-117.829887390137")</f>
        <v>http://maps.google.com/maps?f=q&amp;hl=en&amp;geocode=&amp;q=44.773998260498,-117.829887390137</v>
      </c>
    </row>
    <row r="3487" spans="1:7" ht="15" x14ac:dyDescent="0.3">
      <c r="A3487">
        <v>39.95879</v>
      </c>
      <c r="B3487">
        <v>-75.224469999999997</v>
      </c>
      <c r="C3487" t="s">
        <v>41</v>
      </c>
      <c r="D3487" t="s">
        <v>2337</v>
      </c>
      <c r="F3487" s="21"/>
      <c r="G3487" s="16" t="str">
        <f>HYPERLINK("http://maps.google.com/maps?f=q&amp;hl=en&amp;geocode=&amp;q=39.95879,-75.22447")</f>
        <v>http://maps.google.com/maps?f=q&amp;hl=en&amp;geocode=&amp;q=39.95879,-75.22447</v>
      </c>
    </row>
    <row r="3488" spans="1:7" ht="15" x14ac:dyDescent="0.3">
      <c r="A3488">
        <v>35.694267272949197</v>
      </c>
      <c r="B3488">
        <v>139.41233825683599</v>
      </c>
      <c r="C3488" t="s">
        <v>43</v>
      </c>
      <c r="D3488" t="s">
        <v>2338</v>
      </c>
      <c r="F3488" s="21"/>
      <c r="G3488" s="16" t="str">
        <f>HYPERLINK("http://maps.google.com/maps?f=q&amp;hl=en&amp;geocode=&amp;q=35.6942672729492,139.412338256836")</f>
        <v>http://maps.google.com/maps?f=q&amp;hl=en&amp;geocode=&amp;q=35.6942672729492,139.412338256836</v>
      </c>
    </row>
    <row r="3489" spans="1:7" ht="15" x14ac:dyDescent="0.3">
      <c r="A3489">
        <v>32.373307537499201</v>
      </c>
      <c r="B3489">
        <v>-90.141887097204105</v>
      </c>
      <c r="C3489" t="s">
        <v>41</v>
      </c>
      <c r="D3489" t="s">
        <v>113</v>
      </c>
      <c r="F3489" s="21"/>
      <c r="G3489" s="16" t="str">
        <f>HYPERLINK("http://maps.google.com/maps?f=q&amp;hl=en&amp;geocode=&amp;q=32.3733075374992,-90.1418870972041")</f>
        <v>http://maps.google.com/maps?f=q&amp;hl=en&amp;geocode=&amp;q=32.3733075374992,-90.1418870972041</v>
      </c>
    </row>
    <row r="3490" spans="1:7" ht="15" x14ac:dyDescent="0.3">
      <c r="A3490">
        <v>32.641469999999998</v>
      </c>
      <c r="B3490">
        <v>-97.374170000000007</v>
      </c>
      <c r="C3490" t="s">
        <v>42</v>
      </c>
      <c r="D3490" t="s">
        <v>2339</v>
      </c>
      <c r="F3490" s="21"/>
      <c r="G3490" s="16" t="str">
        <f>HYPERLINK("http://maps.google.com/maps?f=q&amp;hl=en&amp;geocode=&amp;q=32.64147,-97.37417")</f>
        <v>http://maps.google.com/maps?f=q&amp;hl=en&amp;geocode=&amp;q=32.64147,-97.37417</v>
      </c>
    </row>
    <row r="3491" spans="1:7" ht="15" x14ac:dyDescent="0.3">
      <c r="A3491">
        <v>40.027090817260998</v>
      </c>
      <c r="B3491">
        <v>-75.223904235269103</v>
      </c>
      <c r="C3491" t="s">
        <v>41</v>
      </c>
      <c r="D3491" t="s">
        <v>2340</v>
      </c>
      <c r="F3491" s="21"/>
      <c r="G3491" s="16" t="str">
        <f>HYPERLINK("http://maps.google.com/maps?f=q&amp;hl=en&amp;geocode=&amp;q=40.027090817261,-75.2239042352691")</f>
        <v>http://maps.google.com/maps?f=q&amp;hl=en&amp;geocode=&amp;q=40.027090817261,-75.2239042352691</v>
      </c>
    </row>
    <row r="3492" spans="1:7" ht="15" x14ac:dyDescent="0.3">
      <c r="A3492">
        <v>40.027090817260998</v>
      </c>
      <c r="B3492">
        <v>-75.223904235269103</v>
      </c>
      <c r="C3492" t="s">
        <v>41</v>
      </c>
      <c r="D3492" t="s">
        <v>2340</v>
      </c>
      <c r="F3492" s="21"/>
      <c r="G3492" s="16" t="str">
        <f>HYPERLINK("http://maps.google.com/maps?f=q&amp;hl=en&amp;geocode=&amp;q=40.027090817261,-75.2239042352691")</f>
        <v>http://maps.google.com/maps?f=q&amp;hl=en&amp;geocode=&amp;q=40.027090817261,-75.2239042352691</v>
      </c>
    </row>
    <row r="3493" spans="1:7" ht="15" x14ac:dyDescent="0.3">
      <c r="A3493">
        <v>40.027090817260998</v>
      </c>
      <c r="B3493">
        <v>-75.223904235269103</v>
      </c>
      <c r="C3493" t="s">
        <v>41</v>
      </c>
      <c r="D3493" t="s">
        <v>2340</v>
      </c>
      <c r="F3493" s="21"/>
      <c r="G3493" s="16" t="str">
        <f>HYPERLINK("http://maps.google.com/maps?f=q&amp;hl=en&amp;geocode=&amp;q=40.027090817261,-75.2239042352691")</f>
        <v>http://maps.google.com/maps?f=q&amp;hl=en&amp;geocode=&amp;q=40.027090817261,-75.2239042352691</v>
      </c>
    </row>
    <row r="3494" spans="1:7" ht="15" x14ac:dyDescent="0.3">
      <c r="A3494">
        <v>39.112859999999998</v>
      </c>
      <c r="B3494">
        <v>-84.507819999999995</v>
      </c>
      <c r="C3494" t="s">
        <v>42</v>
      </c>
      <c r="D3494" t="s">
        <v>2341</v>
      </c>
      <c r="F3494" s="21"/>
      <c r="G3494" s="16" t="str">
        <f>HYPERLINK("http://maps.google.com/maps?f=q&amp;hl=en&amp;geocode=&amp;q=39.11286,-84.50782")</f>
        <v>http://maps.google.com/maps?f=q&amp;hl=en&amp;geocode=&amp;q=39.11286,-84.50782</v>
      </c>
    </row>
    <row r="3495" spans="1:7" ht="15" x14ac:dyDescent="0.3">
      <c r="A3495">
        <v>43.251548767089801</v>
      </c>
      <c r="B3495">
        <v>2.0074200630188002</v>
      </c>
      <c r="C3495" t="s">
        <v>41</v>
      </c>
      <c r="D3495" t="s">
        <v>2342</v>
      </c>
      <c r="F3495" s="21"/>
      <c r="G3495" s="16" t="str">
        <f>HYPERLINK("http://maps.google.com/maps?f=q&amp;hl=en&amp;geocode=&amp;q=43.2515487670898,2.0074200630188")</f>
        <v>http://maps.google.com/maps?f=q&amp;hl=en&amp;geocode=&amp;q=43.2515487670898,2.0074200630188</v>
      </c>
    </row>
    <row r="3496" spans="1:7" ht="15" x14ac:dyDescent="0.3">
      <c r="A3496">
        <v>40.024738311767599</v>
      </c>
      <c r="B3496">
        <v>-75.213882446289105</v>
      </c>
      <c r="C3496" t="s">
        <v>43</v>
      </c>
      <c r="D3496" t="s">
        <v>2343</v>
      </c>
      <c r="F3496" s="21"/>
      <c r="G3496" s="16" t="str">
        <f>HYPERLINK("http://maps.google.com/maps?f=q&amp;hl=en&amp;geocode=&amp;q=40.0247383117676,-75.2138824462891")</f>
        <v>http://maps.google.com/maps?f=q&amp;hl=en&amp;geocode=&amp;q=40.0247383117676,-75.2138824462891</v>
      </c>
    </row>
    <row r="3497" spans="1:7" ht="15" x14ac:dyDescent="0.3">
      <c r="A3497">
        <v>40.024738311767599</v>
      </c>
      <c r="B3497">
        <v>-75.213882446289105</v>
      </c>
      <c r="C3497" t="s">
        <v>43</v>
      </c>
      <c r="D3497" t="s">
        <v>2344</v>
      </c>
      <c r="F3497" s="21"/>
      <c r="G3497" s="16" t="str">
        <f>HYPERLINK("http://maps.google.com/maps?f=q&amp;hl=en&amp;geocode=&amp;q=40.0247383117676,-75.2138824462891")</f>
        <v>http://maps.google.com/maps?f=q&amp;hl=en&amp;geocode=&amp;q=40.0247383117676,-75.2138824462891</v>
      </c>
    </row>
    <row r="3498" spans="1:7" ht="15" x14ac:dyDescent="0.3">
      <c r="A3498" t="s">
        <v>44</v>
      </c>
      <c r="B3498" t="s">
        <v>44</v>
      </c>
      <c r="C3498" t="s">
        <v>44</v>
      </c>
      <c r="D3498" t="s">
        <v>75</v>
      </c>
      <c r="F3498" s="21"/>
      <c r="G3498" s="16"/>
    </row>
    <row r="3499" spans="1:7" ht="15" x14ac:dyDescent="0.3">
      <c r="A3499">
        <v>7.3835182189941397</v>
      </c>
      <c r="B3499">
        <v>-12.2588081359863</v>
      </c>
      <c r="C3499" t="s">
        <v>41</v>
      </c>
      <c r="D3499" t="s">
        <v>202</v>
      </c>
      <c r="F3499" s="21"/>
      <c r="G3499" s="16" t="str">
        <f>HYPERLINK("http://maps.google.com/maps?f=q&amp;hl=en&amp;geocode=&amp;q=7.38351821899414,-12.2588081359863")</f>
        <v>http://maps.google.com/maps?f=q&amp;hl=en&amp;geocode=&amp;q=7.38351821899414,-12.2588081359863</v>
      </c>
    </row>
    <row r="3500" spans="1:7" ht="15" x14ac:dyDescent="0.3">
      <c r="A3500">
        <v>55.25911</v>
      </c>
      <c r="B3500">
        <v>11.59831</v>
      </c>
      <c r="C3500" t="s">
        <v>41</v>
      </c>
      <c r="D3500" t="s">
        <v>2080</v>
      </c>
      <c r="F3500" s="21"/>
      <c r="G3500" s="16" t="str">
        <f>HYPERLINK("http://maps.google.com/maps?f=q&amp;hl=en&amp;geocode=&amp;q=55.25911,11.59831")</f>
        <v>http://maps.google.com/maps?f=q&amp;hl=en&amp;geocode=&amp;q=55.25911,11.59831</v>
      </c>
    </row>
    <row r="3501" spans="1:7" ht="15" x14ac:dyDescent="0.3">
      <c r="A3501">
        <v>55.25911</v>
      </c>
      <c r="B3501">
        <v>11.59831</v>
      </c>
      <c r="C3501" t="s">
        <v>41</v>
      </c>
      <c r="D3501" t="s">
        <v>484</v>
      </c>
      <c r="F3501" s="21"/>
      <c r="G3501" s="16" t="str">
        <f>HYPERLINK("http://maps.google.com/maps?f=q&amp;hl=en&amp;geocode=&amp;q=55.25911,11.59831")</f>
        <v>http://maps.google.com/maps?f=q&amp;hl=en&amp;geocode=&amp;q=55.25911,11.59831</v>
      </c>
    </row>
    <row r="3502" spans="1:7" ht="15" x14ac:dyDescent="0.3">
      <c r="A3502">
        <v>30.685099999999998</v>
      </c>
      <c r="B3502">
        <v>-88.143730000000005</v>
      </c>
      <c r="C3502" t="s">
        <v>41</v>
      </c>
      <c r="D3502" t="s">
        <v>2018</v>
      </c>
      <c r="F3502" s="21"/>
      <c r="G3502" s="16" t="str">
        <f>HYPERLINK("http://maps.google.com/maps?f=q&amp;hl=en&amp;geocode=&amp;q=30.6851,-88.14373")</f>
        <v>http://maps.google.com/maps?f=q&amp;hl=en&amp;geocode=&amp;q=30.6851,-88.14373</v>
      </c>
    </row>
    <row r="3503" spans="1:7" ht="15" x14ac:dyDescent="0.3">
      <c r="F3503" s="21"/>
      <c r="G3503" s="16"/>
    </row>
    <row r="3504" spans="1:7" ht="15" x14ac:dyDescent="0.3">
      <c r="A3504">
        <v>7.3835182189941397</v>
      </c>
      <c r="B3504">
        <v>-12.2588081359863</v>
      </c>
      <c r="C3504" t="s">
        <v>41</v>
      </c>
      <c r="D3504" t="s">
        <v>202</v>
      </c>
      <c r="F3504" s="21"/>
      <c r="G3504" s="16" t="str">
        <f>HYPERLINK("http://maps.google.com/maps?f=q&amp;hl=en&amp;geocode=&amp;q=7.38351821899414,-12.2588081359863")</f>
        <v>http://maps.google.com/maps?f=q&amp;hl=en&amp;geocode=&amp;q=7.38351821899414,-12.2588081359863</v>
      </c>
    </row>
    <row r="3505" spans="1:7" ht="15" x14ac:dyDescent="0.3">
      <c r="A3505">
        <v>31.2503330506512</v>
      </c>
      <c r="B3505">
        <v>-102.287477313062</v>
      </c>
      <c r="C3505" t="s">
        <v>41</v>
      </c>
      <c r="D3505" t="s">
        <v>2345</v>
      </c>
      <c r="F3505" s="21"/>
      <c r="G3505" s="16" t="str">
        <f>HYPERLINK("http://maps.google.com/maps?f=q&amp;hl=en&amp;geocode=&amp;q=31.2503330506512,-102.287477313062")</f>
        <v>http://maps.google.com/maps?f=q&amp;hl=en&amp;geocode=&amp;q=31.2503330506512,-102.287477313062</v>
      </c>
    </row>
    <row r="3506" spans="1:7" ht="15" x14ac:dyDescent="0.3">
      <c r="A3506">
        <v>47.202430725097699</v>
      </c>
      <c r="B3506">
        <v>19.835624694824201</v>
      </c>
      <c r="C3506" t="s">
        <v>43</v>
      </c>
      <c r="D3506" t="s">
        <v>2346</v>
      </c>
      <c r="F3506" s="21"/>
      <c r="G3506" s="16" t="str">
        <f>HYPERLINK("http://maps.google.com/maps?f=q&amp;hl=en&amp;geocode=&amp;q=47.2024307250977,19.8356246948242")</f>
        <v>http://maps.google.com/maps?f=q&amp;hl=en&amp;geocode=&amp;q=47.2024307250977,19.8356246948242</v>
      </c>
    </row>
    <row r="3507" spans="1:7" ht="15" x14ac:dyDescent="0.3">
      <c r="A3507">
        <v>45.781402723110901</v>
      </c>
      <c r="B3507">
        <v>-89.101368688207401</v>
      </c>
      <c r="C3507" t="s">
        <v>41</v>
      </c>
      <c r="D3507" t="s">
        <v>1318</v>
      </c>
      <c r="F3507" s="21"/>
      <c r="G3507" s="16" t="str">
        <f>HYPERLINK("http://maps.google.com/maps?f=q&amp;hl=en&amp;geocode=&amp;q=45.7814027231109,-89.1013686882074")</f>
        <v>http://maps.google.com/maps?f=q&amp;hl=en&amp;geocode=&amp;q=45.7814027231109,-89.1013686882074</v>
      </c>
    </row>
    <row r="3508" spans="1:7" ht="15" x14ac:dyDescent="0.3">
      <c r="A3508">
        <v>-23.630180358886701</v>
      </c>
      <c r="B3508">
        <v>146.704833984375</v>
      </c>
      <c r="C3508" t="s">
        <v>41</v>
      </c>
      <c r="D3508" t="s">
        <v>2347</v>
      </c>
      <c r="F3508" s="21"/>
      <c r="G3508" s="16" t="str">
        <f>HYPERLINK("http://maps.google.com/maps?f=q&amp;hl=en&amp;geocode=&amp;q=-23.6301803588867,146.704833984375")</f>
        <v>http://maps.google.com/maps?f=q&amp;hl=en&amp;geocode=&amp;q=-23.6301803588867,146.704833984375</v>
      </c>
    </row>
    <row r="3509" spans="1:7" ht="15" x14ac:dyDescent="0.3">
      <c r="A3509">
        <v>41.851364770717801</v>
      </c>
      <c r="B3509">
        <v>-73.178837708781998</v>
      </c>
      <c r="C3509" t="s">
        <v>42</v>
      </c>
      <c r="D3509" t="s">
        <v>1750</v>
      </c>
      <c r="F3509" s="21"/>
      <c r="G3509" s="16" t="str">
        <f>HYPERLINK("http://maps.google.com/maps?f=q&amp;hl=en&amp;geocode=&amp;q=41.8513647707178,-73.178837708782")</f>
        <v>http://maps.google.com/maps?f=q&amp;hl=en&amp;geocode=&amp;q=41.8513647707178,-73.178837708782</v>
      </c>
    </row>
    <row r="3510" spans="1:7" ht="15" x14ac:dyDescent="0.3">
      <c r="A3510">
        <v>32.380149841308601</v>
      </c>
      <c r="B3510">
        <v>-86.300079345703097</v>
      </c>
      <c r="C3510" t="s">
        <v>41</v>
      </c>
      <c r="D3510" t="s">
        <v>2348</v>
      </c>
      <c r="F3510" s="21"/>
      <c r="G3510" s="16" t="str">
        <f>HYPERLINK("http://maps.google.com/maps?f=q&amp;hl=en&amp;geocode=&amp;q=32.3801498413086,-86.3000793457031")</f>
        <v>http://maps.google.com/maps?f=q&amp;hl=en&amp;geocode=&amp;q=32.3801498413086,-86.3000793457031</v>
      </c>
    </row>
    <row r="3511" spans="1:7" ht="15" x14ac:dyDescent="0.3">
      <c r="A3511">
        <v>54.841087341308601</v>
      </c>
      <c r="B3511">
        <v>11.161624908447299</v>
      </c>
      <c r="C3511" t="s">
        <v>41</v>
      </c>
      <c r="D3511" t="s">
        <v>307</v>
      </c>
      <c r="F3511" s="21"/>
      <c r="G3511" s="16" t="str">
        <f>HYPERLINK("http://maps.google.com/maps?f=q&amp;hl=en&amp;geocode=&amp;q=54.8410873413086,11.1616249084473")</f>
        <v>http://maps.google.com/maps?f=q&amp;hl=en&amp;geocode=&amp;q=54.8410873413086,11.1616249084473</v>
      </c>
    </row>
    <row r="3512" spans="1:7" ht="15" x14ac:dyDescent="0.3">
      <c r="A3512">
        <v>39.925139999999999</v>
      </c>
      <c r="B3512">
        <v>-75.235380000000006</v>
      </c>
      <c r="C3512" t="s">
        <v>41</v>
      </c>
      <c r="D3512" t="s">
        <v>54</v>
      </c>
      <c r="F3512" s="21"/>
      <c r="G3512" s="16" t="str">
        <f>HYPERLINK("http://maps.google.com/maps?f=q&amp;hl=en&amp;geocode=&amp;q=39.92514,-75.23538")</f>
        <v>http://maps.google.com/maps?f=q&amp;hl=en&amp;geocode=&amp;q=39.92514,-75.23538</v>
      </c>
    </row>
    <row r="3513" spans="1:7" ht="15" x14ac:dyDescent="0.3">
      <c r="A3513">
        <v>47.053428649902301</v>
      </c>
      <c r="B3513">
        <v>10.3477535247803</v>
      </c>
      <c r="C3513" t="s">
        <v>43</v>
      </c>
      <c r="D3513" t="s">
        <v>1871</v>
      </c>
      <c r="F3513" s="21"/>
      <c r="G3513" s="16" t="str">
        <f>HYPERLINK("http://maps.google.com/maps?f=q&amp;hl=en&amp;geocode=&amp;q=47.0534286499023,10.3477535247803")</f>
        <v>http://maps.google.com/maps?f=q&amp;hl=en&amp;geocode=&amp;q=47.0534286499023,10.3477535247803</v>
      </c>
    </row>
    <row r="3514" spans="1:7" ht="15" x14ac:dyDescent="0.3">
      <c r="A3514">
        <v>49.635635375976598</v>
      </c>
      <c r="B3514">
        <v>6.1248779296875</v>
      </c>
      <c r="C3514" t="s">
        <v>41</v>
      </c>
      <c r="D3514" t="s">
        <v>2349</v>
      </c>
      <c r="F3514" s="21"/>
      <c r="G3514" s="16" t="str">
        <f>HYPERLINK("http://maps.google.com/maps?f=q&amp;hl=en&amp;geocode=&amp;q=49.6356353759766,6.1248779296875")</f>
        <v>http://maps.google.com/maps?f=q&amp;hl=en&amp;geocode=&amp;q=49.6356353759766,6.1248779296875</v>
      </c>
    </row>
    <row r="3515" spans="1:7" ht="15" x14ac:dyDescent="0.3">
      <c r="A3515">
        <v>41.545448303222699</v>
      </c>
      <c r="B3515">
        <v>-76.742660522460895</v>
      </c>
      <c r="C3515" t="s">
        <v>43</v>
      </c>
      <c r="D3515" t="s">
        <v>2350</v>
      </c>
      <c r="F3515" s="21"/>
      <c r="G3515" s="16" t="str">
        <f>HYPERLINK("http://maps.google.com/maps?f=q&amp;hl=en&amp;geocode=&amp;q=41.5454483032227,-76.7426605224609")</f>
        <v>http://maps.google.com/maps?f=q&amp;hl=en&amp;geocode=&amp;q=41.5454483032227,-76.7426605224609</v>
      </c>
    </row>
    <row r="3516" spans="1:7" ht="15" x14ac:dyDescent="0.3">
      <c r="A3516">
        <v>41.545448303222699</v>
      </c>
      <c r="B3516">
        <v>-76.742660522460895</v>
      </c>
      <c r="C3516" t="s">
        <v>43</v>
      </c>
      <c r="D3516" t="s">
        <v>1196</v>
      </c>
      <c r="F3516" s="21"/>
      <c r="G3516" s="16" t="str">
        <f>HYPERLINK("http://maps.google.com/maps?f=q&amp;hl=en&amp;geocode=&amp;q=41.5454483032227,-76.7426605224609")</f>
        <v>http://maps.google.com/maps?f=q&amp;hl=en&amp;geocode=&amp;q=41.5454483032227,-76.7426605224609</v>
      </c>
    </row>
    <row r="3517" spans="1:7" ht="15" x14ac:dyDescent="0.3">
      <c r="A3517">
        <v>38.797399605464797</v>
      </c>
      <c r="B3517">
        <v>-83.535213150308195</v>
      </c>
      <c r="C3517" t="s">
        <v>43</v>
      </c>
      <c r="D3517" t="s">
        <v>2351</v>
      </c>
      <c r="F3517" s="21"/>
      <c r="G3517" s="16" t="str">
        <f>HYPERLINK("http://maps.google.com/maps?f=q&amp;hl=en&amp;geocode=&amp;q=38.7973996054648,-83.5352131503082")</f>
        <v>http://maps.google.com/maps?f=q&amp;hl=en&amp;geocode=&amp;q=38.7973996054648,-83.5352131503082</v>
      </c>
    </row>
    <row r="3518" spans="1:7" ht="15" x14ac:dyDescent="0.3">
      <c r="A3518">
        <v>40.012487537669799</v>
      </c>
      <c r="B3518">
        <v>-75.107779168774101</v>
      </c>
      <c r="C3518" t="s">
        <v>43</v>
      </c>
      <c r="D3518" t="s">
        <v>2352</v>
      </c>
      <c r="F3518" s="21"/>
      <c r="G3518" s="16" t="str">
        <f>HYPERLINK("http://maps.google.com/maps?f=q&amp;hl=en&amp;geocode=&amp;q=40.0124875376698,-75.1077791687741")</f>
        <v>http://maps.google.com/maps?f=q&amp;hl=en&amp;geocode=&amp;q=40.0124875376698,-75.1077791687741</v>
      </c>
    </row>
    <row r="3519" spans="1:7" ht="15" x14ac:dyDescent="0.3">
      <c r="A3519">
        <v>49.597095489502003</v>
      </c>
      <c r="B3519">
        <v>6.1361360549926802</v>
      </c>
      <c r="C3519" t="s">
        <v>43</v>
      </c>
      <c r="D3519" t="s">
        <v>2353</v>
      </c>
      <c r="F3519" s="21"/>
      <c r="G3519" s="16" t="str">
        <f>HYPERLINK("http://maps.google.com/maps?f=q&amp;hl=en&amp;geocode=&amp;q=49.597095489502,6.13613605499268")</f>
        <v>http://maps.google.com/maps?f=q&amp;hl=en&amp;geocode=&amp;q=49.597095489502,6.13613605499268</v>
      </c>
    </row>
    <row r="3520" spans="1:7" ht="15" x14ac:dyDescent="0.3">
      <c r="A3520">
        <v>32.866429573783599</v>
      </c>
      <c r="B3520">
        <v>-96.616189545886002</v>
      </c>
      <c r="C3520" t="s">
        <v>41</v>
      </c>
      <c r="D3520" t="s">
        <v>2354</v>
      </c>
      <c r="F3520" s="21"/>
      <c r="G3520" s="16" t="str">
        <f>HYPERLINK("http://maps.google.com/maps?f=q&amp;hl=en&amp;geocode=&amp;q=32.8664295737836,-96.616189545886")</f>
        <v>http://maps.google.com/maps?f=q&amp;hl=en&amp;geocode=&amp;q=32.8664295737836,-96.616189545886</v>
      </c>
    </row>
    <row r="3521" spans="1:7" ht="15" x14ac:dyDescent="0.3">
      <c r="A3521">
        <v>32.619430000000001</v>
      </c>
      <c r="B3521">
        <v>-97.405299999999997</v>
      </c>
      <c r="C3521" t="s">
        <v>43</v>
      </c>
      <c r="D3521" t="s">
        <v>2355</v>
      </c>
      <c r="F3521" s="21"/>
      <c r="G3521" s="16" t="str">
        <f>HYPERLINK("http://maps.google.com/maps?f=q&amp;hl=en&amp;geocode=&amp;q=32.61943,-97.4053")</f>
        <v>http://maps.google.com/maps?f=q&amp;hl=en&amp;geocode=&amp;q=32.61943,-97.4053</v>
      </c>
    </row>
    <row r="3522" spans="1:7" ht="15" x14ac:dyDescent="0.3">
      <c r="A3522">
        <v>32.866429573783599</v>
      </c>
      <c r="B3522">
        <v>-96.616189545886002</v>
      </c>
      <c r="C3522" t="s">
        <v>41</v>
      </c>
      <c r="D3522" t="s">
        <v>2356</v>
      </c>
      <c r="F3522" s="21"/>
      <c r="G3522" s="16" t="str">
        <f>HYPERLINK("http://maps.google.com/maps?f=q&amp;hl=en&amp;geocode=&amp;q=32.8664295737836,-96.616189545886")</f>
        <v>http://maps.google.com/maps?f=q&amp;hl=en&amp;geocode=&amp;q=32.8664295737836,-96.616189545886</v>
      </c>
    </row>
    <row r="3523" spans="1:7" ht="15" x14ac:dyDescent="0.3">
      <c r="A3523">
        <v>34.437221527099602</v>
      </c>
      <c r="B3523">
        <v>104.030281066895</v>
      </c>
      <c r="C3523" t="s">
        <v>43</v>
      </c>
      <c r="D3523" t="s">
        <v>2357</v>
      </c>
      <c r="F3523" s="21"/>
      <c r="G3523" s="16" t="str">
        <f>HYPERLINK("http://maps.google.com/maps?f=q&amp;hl=en&amp;geocode=&amp;q=34.4372215270996,104.030281066895")</f>
        <v>http://maps.google.com/maps?f=q&amp;hl=en&amp;geocode=&amp;q=34.4372215270996,104.030281066895</v>
      </c>
    </row>
    <row r="3524" spans="1:7" ht="15" x14ac:dyDescent="0.3">
      <c r="A3524">
        <v>-37.884498596191399</v>
      </c>
      <c r="B3524">
        <v>175.48199462890599</v>
      </c>
      <c r="C3524" t="s">
        <v>41</v>
      </c>
      <c r="D3524" t="s">
        <v>2358</v>
      </c>
      <c r="F3524" s="21"/>
      <c r="G3524" s="16" t="str">
        <f>HYPERLINK("http://maps.google.com/maps?f=q&amp;hl=en&amp;geocode=&amp;q=-37.8844985961914,175.481994628906")</f>
        <v>http://maps.google.com/maps?f=q&amp;hl=en&amp;geocode=&amp;q=-37.8844985961914,175.481994628906</v>
      </c>
    </row>
    <row r="3525" spans="1:7" ht="15" x14ac:dyDescent="0.3">
      <c r="A3525">
        <v>39.040599822997997</v>
      </c>
      <c r="B3525">
        <v>-120.63067626953099</v>
      </c>
      <c r="C3525" t="s">
        <v>43</v>
      </c>
      <c r="D3525" t="s">
        <v>2359</v>
      </c>
      <c r="F3525" s="21"/>
      <c r="G3525" s="16" t="str">
        <f>HYPERLINK("http://maps.google.com/maps?f=q&amp;hl=en&amp;geocode=&amp;q=39.040599822998,-120.630676269531")</f>
        <v>http://maps.google.com/maps?f=q&amp;hl=en&amp;geocode=&amp;q=39.040599822998,-120.630676269531</v>
      </c>
    </row>
    <row r="3526" spans="1:7" ht="15" x14ac:dyDescent="0.3">
      <c r="A3526">
        <v>40.042020000000001</v>
      </c>
      <c r="B3526">
        <v>-75.080160000000006</v>
      </c>
      <c r="C3526" t="s">
        <v>41</v>
      </c>
      <c r="D3526" t="s">
        <v>1506</v>
      </c>
      <c r="F3526" s="21"/>
      <c r="G3526" s="16" t="str">
        <f>HYPERLINK("http://maps.google.com/maps?f=q&amp;hl=en&amp;geocode=&amp;q=40.04202,-75.08016")</f>
        <v>http://maps.google.com/maps?f=q&amp;hl=en&amp;geocode=&amp;q=40.04202,-75.08016</v>
      </c>
    </row>
    <row r="3527" spans="1:7" ht="15" x14ac:dyDescent="0.3">
      <c r="A3527">
        <v>49.607868194580099</v>
      </c>
      <c r="B3527">
        <v>6.1169929504394496</v>
      </c>
      <c r="C3527" t="s">
        <v>41</v>
      </c>
      <c r="D3527">
        <v>1364</v>
      </c>
      <c r="F3527" s="21"/>
      <c r="G3527" s="16" t="str">
        <f>HYPERLINK("http://maps.google.com/maps?f=q&amp;hl=en&amp;geocode=&amp;q=49.6078681945801,6.11699295043945")</f>
        <v>http://maps.google.com/maps?f=q&amp;hl=en&amp;geocode=&amp;q=49.6078681945801,6.11699295043945</v>
      </c>
    </row>
    <row r="3528" spans="1:7" ht="15" x14ac:dyDescent="0.3">
      <c r="A3528">
        <v>33.283294281221799</v>
      </c>
      <c r="B3528">
        <v>-80.797809033088001</v>
      </c>
      <c r="C3528" t="s">
        <v>41</v>
      </c>
      <c r="D3528" t="s">
        <v>2360</v>
      </c>
      <c r="F3528" s="21"/>
      <c r="G3528" s="16" t="str">
        <f>HYPERLINK("http://maps.google.com/maps?f=q&amp;hl=en&amp;geocode=&amp;q=33.2832942812218,-80.797809033088")</f>
        <v>http://maps.google.com/maps?f=q&amp;hl=en&amp;geocode=&amp;q=33.2832942812218,-80.797809033088</v>
      </c>
    </row>
    <row r="3529" spans="1:7" ht="15" x14ac:dyDescent="0.3">
      <c r="A3529">
        <v>39.4432563781738</v>
      </c>
      <c r="B3529">
        <v>-98.957336425781307</v>
      </c>
      <c r="C3529" t="s">
        <v>43</v>
      </c>
      <c r="D3529" t="s">
        <v>1448</v>
      </c>
      <c r="F3529" s="21"/>
      <c r="G3529" s="16" t="str">
        <f>HYPERLINK("http://maps.google.com/maps?f=q&amp;hl=en&amp;geocode=&amp;q=39.4432563781738,-98.9573364257813")</f>
        <v>http://maps.google.com/maps?f=q&amp;hl=en&amp;geocode=&amp;q=39.4432563781738,-98.9573364257813</v>
      </c>
    </row>
    <row r="3530" spans="1:7" ht="15" x14ac:dyDescent="0.3">
      <c r="F3530" s="21"/>
      <c r="G3530" s="16"/>
    </row>
    <row r="3531" spans="1:7" ht="15" x14ac:dyDescent="0.3">
      <c r="F3531" s="21"/>
      <c r="G3531" s="16"/>
    </row>
    <row r="3532" spans="1:7" ht="15" x14ac:dyDescent="0.3">
      <c r="A3532">
        <v>33.577138915061703</v>
      </c>
      <c r="B3532">
        <v>-83.183183586469696</v>
      </c>
      <c r="C3532" t="s">
        <v>43</v>
      </c>
      <c r="D3532" t="s">
        <v>2361</v>
      </c>
      <c r="F3532" s="21"/>
      <c r="G3532" s="16" t="str">
        <f>HYPERLINK("http://maps.google.com/maps?f=q&amp;hl=en&amp;geocode=&amp;q=33.5771389150617,-83.1831835864697")</f>
        <v>http://maps.google.com/maps?f=q&amp;hl=en&amp;geocode=&amp;q=33.5771389150617,-83.1831835864697</v>
      </c>
    </row>
    <row r="3533" spans="1:7" ht="15" x14ac:dyDescent="0.3">
      <c r="A3533">
        <v>47.055850982666001</v>
      </c>
      <c r="B3533">
        <v>6.7508301734924299</v>
      </c>
      <c r="C3533" t="s">
        <v>41</v>
      </c>
      <c r="D3533">
        <v>2400</v>
      </c>
      <c r="F3533" s="21"/>
      <c r="G3533" s="16" t="str">
        <f>HYPERLINK("http://maps.google.com/maps?f=q&amp;hl=en&amp;geocode=&amp;q=47.055850982666,6.75083017349243")</f>
        <v>http://maps.google.com/maps?f=q&amp;hl=en&amp;geocode=&amp;q=47.055850982666,6.75083017349243</v>
      </c>
    </row>
    <row r="3534" spans="1:7" ht="15" x14ac:dyDescent="0.3">
      <c r="A3534">
        <v>40.693229675292997</v>
      </c>
      <c r="B3534">
        <v>-78.9222412109375</v>
      </c>
      <c r="C3534" t="s">
        <v>43</v>
      </c>
      <c r="D3534" t="s">
        <v>2362</v>
      </c>
      <c r="F3534" s="21"/>
      <c r="G3534" s="16" t="str">
        <f>HYPERLINK("http://maps.google.com/maps?f=q&amp;hl=en&amp;geocode=&amp;q=40.693229675293,-78.9222412109375")</f>
        <v>http://maps.google.com/maps?f=q&amp;hl=en&amp;geocode=&amp;q=40.693229675293,-78.9222412109375</v>
      </c>
    </row>
    <row r="3535" spans="1:7" ht="15" x14ac:dyDescent="0.3">
      <c r="A3535">
        <v>31.356929999999998</v>
      </c>
      <c r="B3535">
        <v>-89.800349999999995</v>
      </c>
      <c r="C3535" t="s">
        <v>43</v>
      </c>
      <c r="D3535" t="s">
        <v>2363</v>
      </c>
      <c r="F3535" s="21"/>
      <c r="G3535" s="16" t="str">
        <f>HYPERLINK("http://maps.google.com/maps?f=q&amp;hl=en&amp;geocode=&amp;q=31.35693,-89.80035")</f>
        <v>http://maps.google.com/maps?f=q&amp;hl=en&amp;geocode=&amp;q=31.35693,-89.80035</v>
      </c>
    </row>
    <row r="3536" spans="1:7" ht="15" x14ac:dyDescent="0.3">
      <c r="A3536">
        <v>43.300858165769696</v>
      </c>
      <c r="B3536">
        <v>-73.677117677465205</v>
      </c>
      <c r="C3536" t="s">
        <v>41</v>
      </c>
      <c r="D3536" t="s">
        <v>2364</v>
      </c>
      <c r="F3536" s="21"/>
      <c r="G3536" s="16" t="str">
        <f>HYPERLINK("http://maps.google.com/maps?f=q&amp;hl=en&amp;geocode=&amp;q=43.3008581657697,-73.6771176774652")</f>
        <v>http://maps.google.com/maps?f=q&amp;hl=en&amp;geocode=&amp;q=43.3008581657697,-73.6771176774652</v>
      </c>
    </row>
    <row r="3537" spans="1:7" ht="15" x14ac:dyDescent="0.3">
      <c r="A3537">
        <v>31.05528</v>
      </c>
      <c r="B3537">
        <v>-97.696939999999998</v>
      </c>
      <c r="C3537" t="s">
        <v>41</v>
      </c>
      <c r="D3537" t="s">
        <v>187</v>
      </c>
      <c r="F3537" s="21"/>
      <c r="G3537" s="16" t="str">
        <f>HYPERLINK("http://maps.google.com/maps?f=q&amp;hl=en&amp;geocode=&amp;q=31.05528,-97.69694")</f>
        <v>http://maps.google.com/maps?f=q&amp;hl=en&amp;geocode=&amp;q=31.05528,-97.69694</v>
      </c>
    </row>
    <row r="3538" spans="1:7" ht="15" x14ac:dyDescent="0.3">
      <c r="A3538">
        <v>38.705290002829898</v>
      </c>
      <c r="B3538">
        <v>-88.939529733601205</v>
      </c>
      <c r="C3538" t="s">
        <v>41</v>
      </c>
      <c r="D3538" t="s">
        <v>2365</v>
      </c>
      <c r="F3538" s="21"/>
      <c r="G3538" s="16" t="str">
        <f>HYPERLINK("http://maps.google.com/maps?f=q&amp;hl=en&amp;geocode=&amp;q=38.7052900028299,-88.9395297336012")</f>
        <v>http://maps.google.com/maps?f=q&amp;hl=en&amp;geocode=&amp;q=38.7052900028299,-88.9395297336012</v>
      </c>
    </row>
    <row r="3539" spans="1:7" ht="15" x14ac:dyDescent="0.3">
      <c r="A3539">
        <v>38.705290002829898</v>
      </c>
      <c r="B3539">
        <v>-88.939529733601205</v>
      </c>
      <c r="C3539" t="s">
        <v>41</v>
      </c>
      <c r="D3539" t="s">
        <v>2365</v>
      </c>
      <c r="F3539" s="21"/>
      <c r="G3539" s="16" t="str">
        <f>HYPERLINK("http://maps.google.com/maps?f=q&amp;hl=en&amp;geocode=&amp;q=38.7052900028299,-88.9395297336012")</f>
        <v>http://maps.google.com/maps?f=q&amp;hl=en&amp;geocode=&amp;q=38.7052900028299,-88.9395297336012</v>
      </c>
    </row>
    <row r="3540" spans="1:7" ht="15" x14ac:dyDescent="0.3">
      <c r="A3540">
        <v>38.705290002829898</v>
      </c>
      <c r="B3540">
        <v>-88.939529733601205</v>
      </c>
      <c r="C3540" t="s">
        <v>41</v>
      </c>
      <c r="D3540" t="s">
        <v>2365</v>
      </c>
      <c r="F3540" s="21"/>
      <c r="G3540" s="16" t="str">
        <f>HYPERLINK("http://maps.google.com/maps?f=q&amp;hl=en&amp;geocode=&amp;q=38.7052900028299,-88.9395297336012")</f>
        <v>http://maps.google.com/maps?f=q&amp;hl=en&amp;geocode=&amp;q=38.7052900028299,-88.9395297336012</v>
      </c>
    </row>
    <row r="3541" spans="1:7" ht="15" x14ac:dyDescent="0.3">
      <c r="A3541">
        <v>38.705290002829898</v>
      </c>
      <c r="B3541">
        <v>-88.939529733601205</v>
      </c>
      <c r="C3541" t="s">
        <v>43</v>
      </c>
      <c r="D3541" t="s">
        <v>2366</v>
      </c>
      <c r="F3541" s="21"/>
      <c r="G3541" s="16" t="str">
        <f>HYPERLINK("http://maps.google.com/maps?f=q&amp;hl=en&amp;geocode=&amp;q=38.7052900028299,-88.9395297336012")</f>
        <v>http://maps.google.com/maps?f=q&amp;hl=en&amp;geocode=&amp;q=38.7052900028299,-88.9395297336012</v>
      </c>
    </row>
    <row r="3542" spans="1:7" ht="15" x14ac:dyDescent="0.3">
      <c r="A3542">
        <v>38.705290002829898</v>
      </c>
      <c r="B3542">
        <v>-88.939529733601205</v>
      </c>
      <c r="C3542" t="s">
        <v>41</v>
      </c>
      <c r="D3542" t="s">
        <v>2365</v>
      </c>
      <c r="F3542" s="21"/>
      <c r="G3542" s="16" t="str">
        <f>HYPERLINK("http://maps.google.com/maps?f=q&amp;hl=en&amp;geocode=&amp;q=38.7052900028299,-88.9395297336012")</f>
        <v>http://maps.google.com/maps?f=q&amp;hl=en&amp;geocode=&amp;q=38.7052900028299,-88.9395297336012</v>
      </c>
    </row>
    <row r="3543" spans="1:7" ht="15" x14ac:dyDescent="0.3">
      <c r="A3543">
        <v>40.024738311767599</v>
      </c>
      <c r="B3543">
        <v>-75.213882446289105</v>
      </c>
      <c r="C3543" t="s">
        <v>43</v>
      </c>
      <c r="D3543" t="s">
        <v>2367</v>
      </c>
      <c r="F3543" s="21"/>
      <c r="G3543" s="16" t="str">
        <f>HYPERLINK("http://maps.google.com/maps?f=q&amp;hl=en&amp;geocode=&amp;q=40.0247383117676,-75.2138824462891")</f>
        <v>http://maps.google.com/maps?f=q&amp;hl=en&amp;geocode=&amp;q=40.0247383117676,-75.2138824462891</v>
      </c>
    </row>
    <row r="3544" spans="1:7" ht="15" x14ac:dyDescent="0.3">
      <c r="A3544" t="s">
        <v>44</v>
      </c>
      <c r="B3544" t="s">
        <v>44</v>
      </c>
      <c r="C3544" t="s">
        <v>44</v>
      </c>
      <c r="D3544" t="s">
        <v>2368</v>
      </c>
      <c r="F3544" s="21"/>
      <c r="G3544" s="16"/>
    </row>
    <row r="3545" spans="1:7" ht="15" x14ac:dyDescent="0.3">
      <c r="A3545">
        <v>7.3835182189941397</v>
      </c>
      <c r="B3545">
        <v>-12.2588081359863</v>
      </c>
      <c r="C3545" t="s">
        <v>41</v>
      </c>
      <c r="D3545" t="s">
        <v>202</v>
      </c>
      <c r="F3545" s="21"/>
      <c r="G3545" s="16" t="str">
        <f>HYPERLINK("http://maps.google.com/maps?f=q&amp;hl=en&amp;geocode=&amp;q=7.38351821899414,-12.2588081359863")</f>
        <v>http://maps.google.com/maps?f=q&amp;hl=en&amp;geocode=&amp;q=7.38351821899414,-12.2588081359863</v>
      </c>
    </row>
    <row r="3546" spans="1:7" ht="15" x14ac:dyDescent="0.3">
      <c r="A3546">
        <v>54.515911102294901</v>
      </c>
      <c r="B3546">
        <v>-128.60321044921901</v>
      </c>
      <c r="C3546" t="s">
        <v>43</v>
      </c>
      <c r="D3546" t="s">
        <v>1144</v>
      </c>
      <c r="F3546" s="21"/>
      <c r="G3546" s="16" t="str">
        <f>HYPERLINK("http://maps.google.com/maps?f=q&amp;hl=en&amp;geocode=&amp;q=54.5159111022949,-128.603210449219")</f>
        <v>http://maps.google.com/maps?f=q&amp;hl=en&amp;geocode=&amp;q=54.5159111022949,-128.603210449219</v>
      </c>
    </row>
    <row r="3547" spans="1:7" ht="15" x14ac:dyDescent="0.3">
      <c r="A3547">
        <v>40.024738311767599</v>
      </c>
      <c r="B3547">
        <v>-75.213882446289105</v>
      </c>
      <c r="C3547" t="s">
        <v>43</v>
      </c>
      <c r="D3547" t="s">
        <v>141</v>
      </c>
      <c r="F3547" s="21"/>
      <c r="G3547" s="16" t="str">
        <f>HYPERLINK("http://maps.google.com/maps?f=q&amp;hl=en&amp;geocode=&amp;q=40.0247383117676,-75.2138824462891")</f>
        <v>http://maps.google.com/maps?f=q&amp;hl=en&amp;geocode=&amp;q=40.0247383117676,-75.2138824462891</v>
      </c>
    </row>
    <row r="3548" spans="1:7" ht="15" x14ac:dyDescent="0.3">
      <c r="A3548">
        <v>30.013470000000002</v>
      </c>
      <c r="B3548">
        <v>-90.176649999999995</v>
      </c>
      <c r="C3548" t="s">
        <v>41</v>
      </c>
      <c r="D3548" t="s">
        <v>390</v>
      </c>
      <c r="F3548" s="21"/>
      <c r="G3548" s="16" t="str">
        <f>HYPERLINK("http://maps.google.com/maps?f=q&amp;hl=en&amp;geocode=&amp;q=30.01347,-90.17665")</f>
        <v>http://maps.google.com/maps?f=q&amp;hl=en&amp;geocode=&amp;q=30.01347,-90.17665</v>
      </c>
    </row>
    <row r="3549" spans="1:7" ht="15" x14ac:dyDescent="0.3">
      <c r="A3549" t="s">
        <v>44</v>
      </c>
      <c r="B3549" t="s">
        <v>44</v>
      </c>
      <c r="C3549" t="s">
        <v>44</v>
      </c>
      <c r="D3549" t="s">
        <v>227</v>
      </c>
      <c r="F3549" s="21"/>
      <c r="G3549" s="16"/>
    </row>
    <row r="3550" spans="1:7" ht="15" x14ac:dyDescent="0.3">
      <c r="A3550" t="s">
        <v>44</v>
      </c>
      <c r="B3550" t="s">
        <v>44</v>
      </c>
      <c r="C3550" t="s">
        <v>44</v>
      </c>
      <c r="D3550" t="s">
        <v>227</v>
      </c>
      <c r="F3550" s="21"/>
      <c r="G3550" s="16"/>
    </row>
    <row r="3551" spans="1:7" ht="15" x14ac:dyDescent="0.3">
      <c r="A3551">
        <v>36.135841369628899</v>
      </c>
      <c r="B3551">
        <v>-5.3492488861084002</v>
      </c>
      <c r="C3551" t="s">
        <v>41</v>
      </c>
      <c r="D3551" t="s">
        <v>2369</v>
      </c>
      <c r="F3551" s="21"/>
      <c r="G3551" s="16" t="str">
        <f>HYPERLINK("http://maps.google.com/maps?f=q&amp;hl=en&amp;geocode=&amp;q=36.1358413696289,-5.3492488861084")</f>
        <v>http://maps.google.com/maps?f=q&amp;hl=en&amp;geocode=&amp;q=36.1358413696289,-5.3492488861084</v>
      </c>
    </row>
    <row r="3552" spans="1:7" ht="15" x14ac:dyDescent="0.3">
      <c r="A3552" t="s">
        <v>44</v>
      </c>
      <c r="B3552" t="s">
        <v>44</v>
      </c>
      <c r="C3552" t="s">
        <v>44</v>
      </c>
      <c r="D3552" t="s">
        <v>2370</v>
      </c>
      <c r="F3552" s="21"/>
      <c r="G3552" s="16"/>
    </row>
    <row r="3553" spans="1:7" ht="15" x14ac:dyDescent="0.3">
      <c r="A3553">
        <v>40.007730000000002</v>
      </c>
      <c r="B3553">
        <v>-75.101420000000005</v>
      </c>
      <c r="C3553" t="s">
        <v>41</v>
      </c>
      <c r="D3553" t="s">
        <v>2371</v>
      </c>
      <c r="F3553" s="21"/>
      <c r="G3553" s="16" t="str">
        <f>HYPERLINK("http://maps.google.com/maps?f=q&amp;hl=en&amp;geocode=&amp;q=40.00773,-75.10142")</f>
        <v>http://maps.google.com/maps?f=q&amp;hl=en&amp;geocode=&amp;q=40.00773,-75.10142</v>
      </c>
    </row>
    <row r="3554" spans="1:7" ht="15" x14ac:dyDescent="0.3">
      <c r="A3554">
        <v>40.483699999999999</v>
      </c>
      <c r="B3554">
        <v>-111.92001</v>
      </c>
      <c r="C3554" t="s">
        <v>42</v>
      </c>
      <c r="D3554" t="s">
        <v>2372</v>
      </c>
      <c r="F3554" s="21"/>
      <c r="G3554" s="16" t="str">
        <f>HYPERLINK("http://maps.google.com/maps?f=q&amp;hl=en&amp;geocode=&amp;q=40.4837,-111.92001")</f>
        <v>http://maps.google.com/maps?f=q&amp;hl=en&amp;geocode=&amp;q=40.4837,-111.92001</v>
      </c>
    </row>
    <row r="3555" spans="1:7" ht="15" x14ac:dyDescent="0.3">
      <c r="A3555">
        <v>47.116134643554702</v>
      </c>
      <c r="B3555">
        <v>6.8440089225768999</v>
      </c>
      <c r="C3555" t="s">
        <v>43</v>
      </c>
      <c r="D3555" t="s">
        <v>2373</v>
      </c>
      <c r="F3555" s="21"/>
      <c r="G3555" s="16" t="str">
        <f>HYPERLINK("http://maps.google.com/maps?f=q&amp;hl=en&amp;geocode=&amp;q=47.1161346435547,6.8440089225769")</f>
        <v>http://maps.google.com/maps?f=q&amp;hl=en&amp;geocode=&amp;q=47.1161346435547,6.8440089225769</v>
      </c>
    </row>
    <row r="3556" spans="1:7" ht="15" x14ac:dyDescent="0.3">
      <c r="A3556" t="s">
        <v>44</v>
      </c>
      <c r="B3556" t="s">
        <v>44</v>
      </c>
      <c r="C3556" t="s">
        <v>44</v>
      </c>
      <c r="D3556" t="s">
        <v>2374</v>
      </c>
      <c r="F3556" s="21"/>
      <c r="G3556" s="16"/>
    </row>
    <row r="3557" spans="1:7" ht="15" x14ac:dyDescent="0.3">
      <c r="A3557" t="s">
        <v>44</v>
      </c>
      <c r="B3557" t="s">
        <v>44</v>
      </c>
      <c r="C3557" t="s">
        <v>44</v>
      </c>
      <c r="D3557" t="s">
        <v>2374</v>
      </c>
      <c r="F3557" s="21"/>
      <c r="G3557" s="16"/>
    </row>
    <row r="3558" spans="1:7" ht="15" x14ac:dyDescent="0.3">
      <c r="A3558" t="s">
        <v>44</v>
      </c>
      <c r="B3558" t="s">
        <v>44</v>
      </c>
      <c r="C3558" t="s">
        <v>44</v>
      </c>
      <c r="D3558" t="s">
        <v>2374</v>
      </c>
      <c r="F3558" s="21"/>
      <c r="G3558" s="16"/>
    </row>
    <row r="3559" spans="1:7" ht="15" x14ac:dyDescent="0.3">
      <c r="A3559" t="s">
        <v>44</v>
      </c>
      <c r="B3559" t="s">
        <v>44</v>
      </c>
      <c r="C3559" t="s">
        <v>44</v>
      </c>
      <c r="D3559" t="s">
        <v>2374</v>
      </c>
      <c r="F3559" s="21"/>
      <c r="G3559" s="16"/>
    </row>
    <row r="3560" spans="1:7" ht="15" x14ac:dyDescent="0.3">
      <c r="A3560" t="s">
        <v>44</v>
      </c>
      <c r="B3560" t="s">
        <v>44</v>
      </c>
      <c r="C3560" t="s">
        <v>44</v>
      </c>
      <c r="D3560" t="s">
        <v>2374</v>
      </c>
      <c r="F3560" s="21"/>
      <c r="G3560" s="16"/>
    </row>
    <row r="3561" spans="1:7" ht="15" x14ac:dyDescent="0.3">
      <c r="A3561" t="s">
        <v>44</v>
      </c>
      <c r="B3561" t="s">
        <v>44</v>
      </c>
      <c r="C3561" t="s">
        <v>44</v>
      </c>
      <c r="D3561" t="s">
        <v>2374</v>
      </c>
      <c r="F3561" s="21"/>
      <c r="G3561" s="16"/>
    </row>
    <row r="3562" spans="1:7" ht="15" x14ac:dyDescent="0.3">
      <c r="A3562" t="s">
        <v>44</v>
      </c>
      <c r="B3562" t="s">
        <v>44</v>
      </c>
      <c r="C3562" t="s">
        <v>44</v>
      </c>
      <c r="D3562" t="s">
        <v>2374</v>
      </c>
      <c r="F3562" s="21"/>
      <c r="G3562" s="16"/>
    </row>
    <row r="3563" spans="1:7" ht="15" x14ac:dyDescent="0.3">
      <c r="A3563">
        <v>45.048069000244098</v>
      </c>
      <c r="B3563">
        <v>-105.001792907715</v>
      </c>
      <c r="C3563" t="s">
        <v>41</v>
      </c>
      <c r="D3563" t="s">
        <v>2129</v>
      </c>
      <c r="F3563" s="21"/>
      <c r="G3563" s="16" t="str">
        <f>HYPERLINK("http://maps.google.com/maps?f=q&amp;hl=en&amp;geocode=&amp;q=45.0480690002441,-105.001792907715")</f>
        <v>http://maps.google.com/maps?f=q&amp;hl=en&amp;geocode=&amp;q=45.0480690002441,-105.001792907715</v>
      </c>
    </row>
    <row r="3564" spans="1:7" ht="15" x14ac:dyDescent="0.3">
      <c r="A3564" t="s">
        <v>44</v>
      </c>
      <c r="B3564" t="s">
        <v>44</v>
      </c>
      <c r="C3564" t="s">
        <v>44</v>
      </c>
      <c r="D3564" t="s">
        <v>2374</v>
      </c>
      <c r="F3564" s="21"/>
      <c r="G3564" s="16"/>
    </row>
    <row r="3565" spans="1:7" ht="15" x14ac:dyDescent="0.3">
      <c r="A3565" t="s">
        <v>44</v>
      </c>
      <c r="B3565" t="s">
        <v>44</v>
      </c>
      <c r="C3565" t="s">
        <v>44</v>
      </c>
      <c r="D3565" t="s">
        <v>2374</v>
      </c>
      <c r="F3565" s="21"/>
      <c r="G3565" s="16"/>
    </row>
    <row r="3566" spans="1:7" ht="15" x14ac:dyDescent="0.3">
      <c r="A3566" t="s">
        <v>44</v>
      </c>
      <c r="B3566" t="s">
        <v>44</v>
      </c>
      <c r="C3566" t="s">
        <v>44</v>
      </c>
      <c r="D3566" t="s">
        <v>2374</v>
      </c>
      <c r="F3566" s="21"/>
      <c r="G3566" s="16"/>
    </row>
    <row r="3567" spans="1:7" ht="15" x14ac:dyDescent="0.3">
      <c r="A3567" t="s">
        <v>44</v>
      </c>
      <c r="B3567" t="s">
        <v>44</v>
      </c>
      <c r="C3567" t="s">
        <v>44</v>
      </c>
      <c r="D3567" t="s">
        <v>2375</v>
      </c>
      <c r="F3567" s="21"/>
      <c r="G3567" s="16"/>
    </row>
    <row r="3568" spans="1:7" ht="15" x14ac:dyDescent="0.3">
      <c r="A3568" t="s">
        <v>44</v>
      </c>
      <c r="B3568" t="s">
        <v>44</v>
      </c>
      <c r="C3568" t="s">
        <v>44</v>
      </c>
      <c r="D3568" t="s">
        <v>2374</v>
      </c>
      <c r="F3568" s="21"/>
      <c r="G3568" s="16"/>
    </row>
    <row r="3569" spans="1:7" ht="15" x14ac:dyDescent="0.3">
      <c r="A3569" t="s">
        <v>44</v>
      </c>
      <c r="B3569" t="s">
        <v>44</v>
      </c>
      <c r="C3569" t="s">
        <v>44</v>
      </c>
      <c r="D3569" t="s">
        <v>2374</v>
      </c>
      <c r="F3569" s="21"/>
      <c r="G3569" s="16"/>
    </row>
    <row r="3570" spans="1:7" ht="15" x14ac:dyDescent="0.3">
      <c r="A3570" t="s">
        <v>44</v>
      </c>
      <c r="B3570" t="s">
        <v>44</v>
      </c>
      <c r="C3570" t="s">
        <v>44</v>
      </c>
      <c r="D3570" t="s">
        <v>2374</v>
      </c>
      <c r="F3570" s="21"/>
      <c r="G3570" s="16"/>
    </row>
    <row r="3571" spans="1:7" ht="15" x14ac:dyDescent="0.3">
      <c r="A3571" t="s">
        <v>44</v>
      </c>
      <c r="B3571" t="s">
        <v>44</v>
      </c>
      <c r="C3571" t="s">
        <v>44</v>
      </c>
      <c r="D3571" t="s">
        <v>2374</v>
      </c>
      <c r="F3571" s="21"/>
      <c r="G3571" s="16"/>
    </row>
    <row r="3572" spans="1:7" ht="15" x14ac:dyDescent="0.3">
      <c r="A3572" t="s">
        <v>44</v>
      </c>
      <c r="B3572" t="s">
        <v>44</v>
      </c>
      <c r="C3572" t="s">
        <v>44</v>
      </c>
      <c r="D3572" t="s">
        <v>2374</v>
      </c>
      <c r="F3572" s="21"/>
      <c r="G3572" s="16"/>
    </row>
    <row r="3573" spans="1:7" ht="15" x14ac:dyDescent="0.3">
      <c r="A3573" t="s">
        <v>44</v>
      </c>
      <c r="B3573" t="s">
        <v>44</v>
      </c>
      <c r="C3573" t="s">
        <v>44</v>
      </c>
      <c r="D3573" t="s">
        <v>2374</v>
      </c>
      <c r="F3573" s="21"/>
      <c r="G3573" s="16"/>
    </row>
    <row r="3574" spans="1:7" ht="15" x14ac:dyDescent="0.3">
      <c r="A3574" t="s">
        <v>44</v>
      </c>
      <c r="B3574" t="s">
        <v>44</v>
      </c>
      <c r="C3574" t="s">
        <v>44</v>
      </c>
      <c r="D3574" t="s">
        <v>2374</v>
      </c>
      <c r="F3574" s="21"/>
      <c r="G3574" s="16"/>
    </row>
    <row r="3575" spans="1:7" ht="15" x14ac:dyDescent="0.3">
      <c r="A3575" t="s">
        <v>44</v>
      </c>
      <c r="B3575" t="s">
        <v>44</v>
      </c>
      <c r="C3575" t="s">
        <v>44</v>
      </c>
      <c r="D3575" t="s">
        <v>2374</v>
      </c>
      <c r="F3575" s="21"/>
      <c r="G3575" s="16"/>
    </row>
    <row r="3576" spans="1:7" ht="15" x14ac:dyDescent="0.3">
      <c r="A3576" t="s">
        <v>44</v>
      </c>
      <c r="B3576" t="s">
        <v>44</v>
      </c>
      <c r="C3576" t="s">
        <v>44</v>
      </c>
      <c r="D3576" t="s">
        <v>2374</v>
      </c>
      <c r="F3576" s="21"/>
      <c r="G3576" s="16"/>
    </row>
    <row r="3577" spans="1:7" ht="15" x14ac:dyDescent="0.3">
      <c r="A3577" t="s">
        <v>44</v>
      </c>
      <c r="B3577" t="s">
        <v>44</v>
      </c>
      <c r="C3577" t="s">
        <v>44</v>
      </c>
      <c r="D3577" t="s">
        <v>2374</v>
      </c>
      <c r="F3577" s="21"/>
      <c r="G3577" s="16"/>
    </row>
    <row r="3578" spans="1:7" ht="15" x14ac:dyDescent="0.3">
      <c r="A3578" t="s">
        <v>44</v>
      </c>
      <c r="B3578" t="s">
        <v>44</v>
      </c>
      <c r="C3578" t="s">
        <v>44</v>
      </c>
      <c r="D3578" t="s">
        <v>2376</v>
      </c>
      <c r="F3578" s="21"/>
      <c r="G3578" s="16"/>
    </row>
    <row r="3579" spans="1:7" ht="15" x14ac:dyDescent="0.3">
      <c r="A3579">
        <v>41.206065913830599</v>
      </c>
      <c r="B3579">
        <v>-76.920310663997498</v>
      </c>
      <c r="C3579" t="s">
        <v>41</v>
      </c>
      <c r="D3579" t="s">
        <v>2377</v>
      </c>
      <c r="F3579" s="21"/>
      <c r="G3579" s="16" t="str">
        <f>HYPERLINK("http://maps.google.com/maps?f=q&amp;hl=en&amp;geocode=&amp;q=41.2060659138306,-76.9203106639975")</f>
        <v>http://maps.google.com/maps?f=q&amp;hl=en&amp;geocode=&amp;q=41.2060659138306,-76.9203106639975</v>
      </c>
    </row>
    <row r="3580" spans="1:7" ht="15" x14ac:dyDescent="0.3">
      <c r="A3580" t="s">
        <v>44</v>
      </c>
      <c r="B3580" t="s">
        <v>44</v>
      </c>
      <c r="C3580" t="s">
        <v>44</v>
      </c>
      <c r="D3580" t="s">
        <v>2374</v>
      </c>
      <c r="F3580" s="21"/>
      <c r="G3580" s="16"/>
    </row>
    <row r="3581" spans="1:7" ht="15" x14ac:dyDescent="0.3">
      <c r="A3581" t="s">
        <v>44</v>
      </c>
      <c r="B3581" t="s">
        <v>44</v>
      </c>
      <c r="C3581" t="s">
        <v>44</v>
      </c>
      <c r="D3581" t="s">
        <v>2374</v>
      </c>
      <c r="F3581" s="21"/>
      <c r="G3581" s="16"/>
    </row>
    <row r="3582" spans="1:7" ht="15" x14ac:dyDescent="0.3">
      <c r="A3582" t="s">
        <v>44</v>
      </c>
      <c r="B3582" t="s">
        <v>44</v>
      </c>
      <c r="C3582" t="s">
        <v>44</v>
      </c>
      <c r="D3582" t="s">
        <v>2378</v>
      </c>
      <c r="F3582" s="21"/>
      <c r="G3582" s="16"/>
    </row>
    <row r="3583" spans="1:7" ht="15" x14ac:dyDescent="0.3">
      <c r="A3583" t="s">
        <v>44</v>
      </c>
      <c r="B3583" t="s">
        <v>44</v>
      </c>
      <c r="C3583" t="s">
        <v>44</v>
      </c>
      <c r="D3583" t="s">
        <v>2374</v>
      </c>
      <c r="F3583" s="21"/>
      <c r="G3583" s="16"/>
    </row>
    <row r="3584" spans="1:7" ht="15" x14ac:dyDescent="0.3">
      <c r="A3584" t="s">
        <v>44</v>
      </c>
      <c r="B3584" t="s">
        <v>44</v>
      </c>
      <c r="C3584" t="s">
        <v>44</v>
      </c>
      <c r="D3584" t="s">
        <v>2374</v>
      </c>
      <c r="F3584" s="21"/>
      <c r="G3584" s="16"/>
    </row>
    <row r="3585" spans="1:7" ht="15" x14ac:dyDescent="0.3">
      <c r="A3585" t="s">
        <v>44</v>
      </c>
      <c r="B3585" t="s">
        <v>44</v>
      </c>
      <c r="C3585" t="s">
        <v>44</v>
      </c>
      <c r="D3585" t="s">
        <v>2374</v>
      </c>
      <c r="F3585" s="21"/>
      <c r="G3585" s="16"/>
    </row>
    <row r="3586" spans="1:7" ht="15" x14ac:dyDescent="0.3">
      <c r="A3586" t="s">
        <v>44</v>
      </c>
      <c r="B3586" t="s">
        <v>44</v>
      </c>
      <c r="C3586" t="s">
        <v>44</v>
      </c>
      <c r="D3586" t="s">
        <v>2374</v>
      </c>
      <c r="F3586" s="21"/>
      <c r="G3586" s="16"/>
    </row>
    <row r="3587" spans="1:7" ht="15" x14ac:dyDescent="0.3">
      <c r="A3587" t="s">
        <v>44</v>
      </c>
      <c r="B3587" t="s">
        <v>44</v>
      </c>
      <c r="C3587" t="s">
        <v>44</v>
      </c>
      <c r="D3587" t="s">
        <v>2374</v>
      </c>
      <c r="F3587" s="21"/>
      <c r="G3587" s="16"/>
    </row>
    <row r="3588" spans="1:7" ht="15" x14ac:dyDescent="0.3">
      <c r="A3588" t="s">
        <v>44</v>
      </c>
      <c r="B3588" t="s">
        <v>44</v>
      </c>
      <c r="C3588" t="s">
        <v>44</v>
      </c>
      <c r="D3588" t="s">
        <v>2374</v>
      </c>
      <c r="F3588" s="21"/>
      <c r="G3588" s="16"/>
    </row>
    <row r="3589" spans="1:7" ht="15" x14ac:dyDescent="0.3">
      <c r="A3589">
        <v>41.206065913830599</v>
      </c>
      <c r="B3589">
        <v>-76.920310663997498</v>
      </c>
      <c r="C3589" t="s">
        <v>41</v>
      </c>
      <c r="D3589" t="s">
        <v>2377</v>
      </c>
      <c r="F3589" s="21"/>
      <c r="G3589" s="16" t="str">
        <f>HYPERLINK("http://maps.google.com/maps?f=q&amp;hl=en&amp;geocode=&amp;q=41.2060659138306,-76.9203106639975")</f>
        <v>http://maps.google.com/maps?f=q&amp;hl=en&amp;geocode=&amp;q=41.2060659138306,-76.9203106639975</v>
      </c>
    </row>
    <row r="3590" spans="1:7" ht="15" x14ac:dyDescent="0.3">
      <c r="A3590">
        <v>35.923921549531698</v>
      </c>
      <c r="B3590">
        <v>-86.926344817852794</v>
      </c>
      <c r="C3590" t="s">
        <v>41</v>
      </c>
      <c r="D3590" t="s">
        <v>2379</v>
      </c>
      <c r="F3590" s="21"/>
      <c r="G3590" s="16" t="str">
        <f>HYPERLINK("http://maps.google.com/maps?f=q&amp;hl=en&amp;geocode=&amp;q=35.9239215495317,-86.9263448178528")</f>
        <v>http://maps.google.com/maps?f=q&amp;hl=en&amp;geocode=&amp;q=35.9239215495317,-86.9263448178528</v>
      </c>
    </row>
    <row r="3591" spans="1:7" ht="15" x14ac:dyDescent="0.3">
      <c r="A3591">
        <v>41.206065913830599</v>
      </c>
      <c r="B3591">
        <v>-76.920310663997498</v>
      </c>
      <c r="C3591" t="s">
        <v>41</v>
      </c>
      <c r="D3591" t="s">
        <v>2377</v>
      </c>
      <c r="F3591" s="21"/>
      <c r="G3591" s="16" t="str">
        <f>HYPERLINK("http://maps.google.com/maps?f=q&amp;hl=en&amp;geocode=&amp;q=41.2060659138306,-76.9203106639975")</f>
        <v>http://maps.google.com/maps?f=q&amp;hl=en&amp;geocode=&amp;q=41.2060659138306,-76.9203106639975</v>
      </c>
    </row>
    <row r="3592" spans="1:7" ht="15" x14ac:dyDescent="0.3">
      <c r="A3592">
        <v>41.206065913830599</v>
      </c>
      <c r="B3592">
        <v>-76.920310663997498</v>
      </c>
      <c r="C3592" t="s">
        <v>41</v>
      </c>
      <c r="D3592" t="s">
        <v>2377</v>
      </c>
      <c r="F3592" s="21"/>
      <c r="G3592" s="16" t="str">
        <f>HYPERLINK("http://maps.google.com/maps?f=q&amp;hl=en&amp;geocode=&amp;q=41.2060659138306,-76.9203106639975")</f>
        <v>http://maps.google.com/maps?f=q&amp;hl=en&amp;geocode=&amp;q=41.2060659138306,-76.9203106639975</v>
      </c>
    </row>
    <row r="3593" spans="1:7" ht="15" x14ac:dyDescent="0.3">
      <c r="A3593">
        <v>41.206065913830599</v>
      </c>
      <c r="B3593">
        <v>-76.920310663997498</v>
      </c>
      <c r="C3593" t="s">
        <v>41</v>
      </c>
      <c r="D3593" t="s">
        <v>2377</v>
      </c>
      <c r="F3593" s="21"/>
      <c r="G3593" s="16" t="str">
        <f>HYPERLINK("http://maps.google.com/maps?f=q&amp;hl=en&amp;geocode=&amp;q=41.2060659138306,-76.9203106639975")</f>
        <v>http://maps.google.com/maps?f=q&amp;hl=en&amp;geocode=&amp;q=41.2060659138306,-76.9203106639975</v>
      </c>
    </row>
    <row r="3594" spans="1:7" ht="15" x14ac:dyDescent="0.3">
      <c r="A3594">
        <v>41.206065913830599</v>
      </c>
      <c r="B3594">
        <v>-76.920310663997498</v>
      </c>
      <c r="C3594" t="s">
        <v>41</v>
      </c>
      <c r="D3594" t="s">
        <v>2377</v>
      </c>
      <c r="F3594" s="21"/>
      <c r="G3594" s="16" t="str">
        <f>HYPERLINK("http://maps.google.com/maps?f=q&amp;hl=en&amp;geocode=&amp;q=41.2060659138306,-76.9203106639975")</f>
        <v>http://maps.google.com/maps?f=q&amp;hl=en&amp;geocode=&amp;q=41.2060659138306,-76.9203106639975</v>
      </c>
    </row>
    <row r="3595" spans="1:7" ht="15" x14ac:dyDescent="0.3">
      <c r="A3595">
        <v>41.206065913830599</v>
      </c>
      <c r="B3595">
        <v>-76.920310663997498</v>
      </c>
      <c r="C3595" t="s">
        <v>41</v>
      </c>
      <c r="D3595" t="s">
        <v>2377</v>
      </c>
      <c r="F3595" s="21"/>
      <c r="G3595" s="16" t="str">
        <f>HYPERLINK("http://maps.google.com/maps?f=q&amp;hl=en&amp;geocode=&amp;q=41.2060659138306,-76.9203106639975")</f>
        <v>http://maps.google.com/maps?f=q&amp;hl=en&amp;geocode=&amp;q=41.2060659138306,-76.9203106639975</v>
      </c>
    </row>
    <row r="3596" spans="1:7" ht="15" x14ac:dyDescent="0.3">
      <c r="A3596">
        <v>41.206065913830599</v>
      </c>
      <c r="B3596">
        <v>-76.920310663997498</v>
      </c>
      <c r="C3596" t="s">
        <v>41</v>
      </c>
      <c r="D3596" t="s">
        <v>2377</v>
      </c>
      <c r="F3596" s="21"/>
      <c r="G3596" s="16" t="str">
        <f>HYPERLINK("http://maps.google.com/maps?f=q&amp;hl=en&amp;geocode=&amp;q=41.2060659138306,-76.9203106639975")</f>
        <v>http://maps.google.com/maps?f=q&amp;hl=en&amp;geocode=&amp;q=41.2060659138306,-76.9203106639975</v>
      </c>
    </row>
    <row r="3597" spans="1:7" ht="15" x14ac:dyDescent="0.3">
      <c r="A3597">
        <v>41.206065913830599</v>
      </c>
      <c r="B3597">
        <v>-76.920310663997498</v>
      </c>
      <c r="C3597" t="s">
        <v>41</v>
      </c>
      <c r="D3597" t="s">
        <v>2377</v>
      </c>
      <c r="F3597" s="21"/>
      <c r="G3597" s="16" t="str">
        <f>HYPERLINK("http://maps.google.com/maps?f=q&amp;hl=en&amp;geocode=&amp;q=41.2060659138306,-76.9203106639975")</f>
        <v>http://maps.google.com/maps?f=q&amp;hl=en&amp;geocode=&amp;q=41.2060659138306,-76.9203106639975</v>
      </c>
    </row>
    <row r="3598" spans="1:7" ht="15" x14ac:dyDescent="0.3">
      <c r="A3598">
        <v>41.206065913830599</v>
      </c>
      <c r="B3598">
        <v>-76.920310663997498</v>
      </c>
      <c r="C3598" t="s">
        <v>41</v>
      </c>
      <c r="D3598" t="s">
        <v>2377</v>
      </c>
      <c r="F3598" s="21"/>
      <c r="G3598" s="16" t="str">
        <f>HYPERLINK("http://maps.google.com/maps?f=q&amp;hl=en&amp;geocode=&amp;q=41.2060659138306,-76.9203106639975")</f>
        <v>http://maps.google.com/maps?f=q&amp;hl=en&amp;geocode=&amp;q=41.2060659138306,-76.9203106639975</v>
      </c>
    </row>
    <row r="3599" spans="1:7" ht="15" x14ac:dyDescent="0.3">
      <c r="A3599">
        <v>41.206065913830599</v>
      </c>
      <c r="B3599">
        <v>-76.920310663997498</v>
      </c>
      <c r="C3599" t="s">
        <v>41</v>
      </c>
      <c r="D3599" t="s">
        <v>2377</v>
      </c>
      <c r="F3599" s="21"/>
      <c r="G3599" s="16" t="str">
        <f>HYPERLINK("http://maps.google.com/maps?f=q&amp;hl=en&amp;geocode=&amp;q=41.2060659138306,-76.9203106639975")</f>
        <v>http://maps.google.com/maps?f=q&amp;hl=en&amp;geocode=&amp;q=41.2060659138306,-76.9203106639975</v>
      </c>
    </row>
    <row r="3600" spans="1:7" ht="15" x14ac:dyDescent="0.3">
      <c r="A3600">
        <v>41.206065913830599</v>
      </c>
      <c r="B3600">
        <v>-76.920310663997498</v>
      </c>
      <c r="C3600" t="s">
        <v>41</v>
      </c>
      <c r="D3600" t="s">
        <v>2377</v>
      </c>
      <c r="F3600" s="21"/>
      <c r="G3600" s="16" t="str">
        <f>HYPERLINK("http://maps.google.com/maps?f=q&amp;hl=en&amp;geocode=&amp;q=41.2060659138306,-76.9203106639975")</f>
        <v>http://maps.google.com/maps?f=q&amp;hl=en&amp;geocode=&amp;q=41.2060659138306,-76.9203106639975</v>
      </c>
    </row>
    <row r="3601" spans="1:7" ht="15" x14ac:dyDescent="0.3">
      <c r="A3601">
        <v>41.206065913830599</v>
      </c>
      <c r="B3601">
        <v>-76.920310663997498</v>
      </c>
      <c r="C3601" t="s">
        <v>41</v>
      </c>
      <c r="D3601" t="s">
        <v>2377</v>
      </c>
      <c r="F3601" s="21"/>
      <c r="G3601" s="16" t="str">
        <f>HYPERLINK("http://maps.google.com/maps?f=q&amp;hl=en&amp;geocode=&amp;q=41.2060659138306,-76.9203106639975")</f>
        <v>http://maps.google.com/maps?f=q&amp;hl=en&amp;geocode=&amp;q=41.2060659138306,-76.9203106639975</v>
      </c>
    </row>
    <row r="3602" spans="1:7" ht="15" x14ac:dyDescent="0.3">
      <c r="A3602">
        <v>41.206065913830599</v>
      </c>
      <c r="B3602">
        <v>-76.920310663997498</v>
      </c>
      <c r="C3602" t="s">
        <v>41</v>
      </c>
      <c r="D3602" t="s">
        <v>2377</v>
      </c>
      <c r="F3602" s="21"/>
      <c r="G3602" s="16" t="str">
        <f>HYPERLINK("http://maps.google.com/maps?f=q&amp;hl=en&amp;geocode=&amp;q=41.2060659138306,-76.9203106639975")</f>
        <v>http://maps.google.com/maps?f=q&amp;hl=en&amp;geocode=&amp;q=41.2060659138306,-76.9203106639975</v>
      </c>
    </row>
    <row r="3603" spans="1:7" ht="15" x14ac:dyDescent="0.3">
      <c r="A3603">
        <v>41.206065913830599</v>
      </c>
      <c r="B3603">
        <v>-76.920310663997498</v>
      </c>
      <c r="C3603" t="s">
        <v>41</v>
      </c>
      <c r="D3603" t="s">
        <v>2377</v>
      </c>
      <c r="F3603" s="21"/>
      <c r="G3603" s="16" t="str">
        <f>HYPERLINK("http://maps.google.com/maps?f=q&amp;hl=en&amp;geocode=&amp;q=41.2060659138306,-76.9203106639975")</f>
        <v>http://maps.google.com/maps?f=q&amp;hl=en&amp;geocode=&amp;q=41.2060659138306,-76.9203106639975</v>
      </c>
    </row>
    <row r="3604" spans="1:7" ht="15" x14ac:dyDescent="0.3">
      <c r="A3604">
        <v>41.206065913830599</v>
      </c>
      <c r="B3604">
        <v>-76.920310663997498</v>
      </c>
      <c r="C3604" t="s">
        <v>41</v>
      </c>
      <c r="D3604" t="s">
        <v>2377</v>
      </c>
      <c r="F3604" s="21"/>
      <c r="G3604" s="16" t="str">
        <f>HYPERLINK("http://maps.google.com/maps?f=q&amp;hl=en&amp;geocode=&amp;q=41.2060659138306,-76.9203106639975")</f>
        <v>http://maps.google.com/maps?f=q&amp;hl=en&amp;geocode=&amp;q=41.2060659138306,-76.9203106639975</v>
      </c>
    </row>
    <row r="3605" spans="1:7" ht="15" x14ac:dyDescent="0.3">
      <c r="A3605">
        <v>29.995338112523299</v>
      </c>
      <c r="B3605">
        <v>-90.106689447988401</v>
      </c>
      <c r="C3605" t="s">
        <v>41</v>
      </c>
      <c r="D3605" t="s">
        <v>2380</v>
      </c>
      <c r="F3605" s="21"/>
      <c r="G3605" s="16" t="str">
        <f>HYPERLINK("http://maps.google.com/maps?f=q&amp;hl=en&amp;geocode=&amp;q=29.9953381125233,-90.1066894479884")</f>
        <v>http://maps.google.com/maps?f=q&amp;hl=en&amp;geocode=&amp;q=29.9953381125233,-90.1066894479884</v>
      </c>
    </row>
    <row r="3606" spans="1:7" ht="15" x14ac:dyDescent="0.3">
      <c r="A3606">
        <v>39.948720000000002</v>
      </c>
      <c r="B3606">
        <v>-75.232219999999998</v>
      </c>
      <c r="C3606" t="s">
        <v>41</v>
      </c>
      <c r="D3606" t="s">
        <v>2381</v>
      </c>
      <c r="F3606" s="21"/>
      <c r="G3606" s="16" t="str">
        <f>HYPERLINK("http://maps.google.com/maps?f=q&amp;hl=en&amp;geocode=&amp;q=39.94872,-75.23222")</f>
        <v>http://maps.google.com/maps?f=q&amp;hl=en&amp;geocode=&amp;q=39.94872,-75.23222</v>
      </c>
    </row>
    <row r="3607" spans="1:7" ht="15" x14ac:dyDescent="0.3">
      <c r="A3607">
        <v>35.099060000000001</v>
      </c>
      <c r="B3607">
        <v>-89.898470000000003</v>
      </c>
      <c r="C3607" t="s">
        <v>41</v>
      </c>
      <c r="D3607" t="s">
        <v>2382</v>
      </c>
      <c r="F3607" s="21"/>
      <c r="G3607" s="16" t="str">
        <f>HYPERLINK("http://maps.google.com/maps?f=q&amp;hl=en&amp;geocode=&amp;q=35.09906,-89.89847")</f>
        <v>http://maps.google.com/maps?f=q&amp;hl=en&amp;geocode=&amp;q=35.09906,-89.89847</v>
      </c>
    </row>
    <row r="3608" spans="1:7" ht="15" x14ac:dyDescent="0.3">
      <c r="A3608">
        <v>39.972423849390701</v>
      </c>
      <c r="B3608">
        <v>-75.253437150248203</v>
      </c>
      <c r="C3608" t="s">
        <v>41</v>
      </c>
      <c r="D3608" t="s">
        <v>538</v>
      </c>
      <c r="F3608" s="21"/>
      <c r="G3608" s="16" t="str">
        <f>HYPERLINK("http://maps.google.com/maps?f=q&amp;hl=en&amp;geocode=&amp;q=39.9724238493907,-75.2534371502482")</f>
        <v>http://maps.google.com/maps?f=q&amp;hl=en&amp;geocode=&amp;q=39.9724238493907,-75.2534371502482</v>
      </c>
    </row>
    <row r="3609" spans="1:7" ht="15" x14ac:dyDescent="0.3">
      <c r="A3609">
        <v>52.543731689453097</v>
      </c>
      <c r="B3609">
        <v>-8.3495998382568395</v>
      </c>
      <c r="C3609" t="s">
        <v>43</v>
      </c>
      <c r="D3609" t="s">
        <v>2383</v>
      </c>
      <c r="F3609" s="21"/>
      <c r="G3609" s="16" t="str">
        <f>HYPERLINK("http://maps.google.com/maps?f=q&amp;hl=en&amp;geocode=&amp;q=52.5437316894531,-8.34959983825684")</f>
        <v>http://maps.google.com/maps?f=q&amp;hl=en&amp;geocode=&amp;q=52.5437316894531,-8.34959983825684</v>
      </c>
    </row>
    <row r="3610" spans="1:7" ht="15" x14ac:dyDescent="0.3">
      <c r="A3610">
        <v>41.611199999999997</v>
      </c>
      <c r="B3610">
        <v>-71.476339999999993</v>
      </c>
      <c r="C3610" t="s">
        <v>42</v>
      </c>
      <c r="D3610" t="s">
        <v>892</v>
      </c>
      <c r="F3610" s="21"/>
      <c r="G3610" s="16" t="str">
        <f>HYPERLINK("http://maps.google.com/maps?f=q&amp;hl=en&amp;geocode=&amp;q=41.6112,-71.47634")</f>
        <v>http://maps.google.com/maps?f=q&amp;hl=en&amp;geocode=&amp;q=41.6112,-71.47634</v>
      </c>
    </row>
    <row r="3611" spans="1:7" ht="15" x14ac:dyDescent="0.3">
      <c r="A3611">
        <v>43.559865522286003</v>
      </c>
      <c r="B3611">
        <v>-116.85537781114201</v>
      </c>
      <c r="C3611" t="s">
        <v>41</v>
      </c>
      <c r="D3611" t="s">
        <v>2384</v>
      </c>
      <c r="F3611" s="21"/>
      <c r="G3611" s="16" t="str">
        <f>HYPERLINK("http://maps.google.com/maps?f=q&amp;hl=en&amp;geocode=&amp;q=43.559865522286,-116.855377811142")</f>
        <v>http://maps.google.com/maps?f=q&amp;hl=en&amp;geocode=&amp;q=43.559865522286,-116.855377811142</v>
      </c>
    </row>
    <row r="3612" spans="1:7" ht="15" x14ac:dyDescent="0.3">
      <c r="A3612">
        <v>36.103910541192697</v>
      </c>
      <c r="B3612">
        <v>-79.480931831440003</v>
      </c>
      <c r="C3612" t="s">
        <v>43</v>
      </c>
      <c r="D3612" t="s">
        <v>2385</v>
      </c>
      <c r="F3612" s="21"/>
      <c r="G3612" s="16" t="str">
        <f>HYPERLINK("http://maps.google.com/maps?f=q&amp;hl=en&amp;geocode=&amp;q=36.1039105411927,-79.48093183144")</f>
        <v>http://maps.google.com/maps?f=q&amp;hl=en&amp;geocode=&amp;q=36.1039105411927,-79.48093183144</v>
      </c>
    </row>
    <row r="3613" spans="1:7" ht="15" x14ac:dyDescent="0.3">
      <c r="A3613">
        <v>39.691535032100298</v>
      </c>
      <c r="B3613">
        <v>-86.261845952332294</v>
      </c>
      <c r="C3613" t="s">
        <v>41</v>
      </c>
      <c r="D3613" t="s">
        <v>2386</v>
      </c>
      <c r="F3613" s="21"/>
      <c r="G3613" s="16" t="str">
        <f>HYPERLINK("http://maps.google.com/maps?f=q&amp;hl=en&amp;geocode=&amp;q=39.6915350321003,-86.2618459523323")</f>
        <v>http://maps.google.com/maps?f=q&amp;hl=en&amp;geocode=&amp;q=39.6915350321003,-86.2618459523323</v>
      </c>
    </row>
    <row r="3614" spans="1:7" ht="15" x14ac:dyDescent="0.3">
      <c r="A3614">
        <v>38.797399605464797</v>
      </c>
      <c r="B3614">
        <v>-83.535213150308195</v>
      </c>
      <c r="C3614" t="s">
        <v>43</v>
      </c>
      <c r="D3614" t="s">
        <v>2351</v>
      </c>
      <c r="F3614" s="21"/>
      <c r="G3614" s="16" t="str">
        <f>HYPERLINK("http://maps.google.com/maps?f=q&amp;hl=en&amp;geocode=&amp;q=38.7973996054648,-83.5352131503082")</f>
        <v>http://maps.google.com/maps?f=q&amp;hl=en&amp;geocode=&amp;q=38.7973996054648,-83.5352131503082</v>
      </c>
    </row>
    <row r="3615" spans="1:7" ht="15" x14ac:dyDescent="0.3">
      <c r="A3615">
        <v>30.662615959618901</v>
      </c>
      <c r="B3615">
        <v>-84.984127523496994</v>
      </c>
      <c r="C3615" t="s">
        <v>41</v>
      </c>
      <c r="D3615" t="s">
        <v>1557</v>
      </c>
      <c r="F3615" s="21"/>
      <c r="G3615" s="16" t="str">
        <f>HYPERLINK("http://maps.google.com/maps?f=q&amp;hl=en&amp;geocode=&amp;q=30.6626159596189,-84.984127523497")</f>
        <v>http://maps.google.com/maps?f=q&amp;hl=en&amp;geocode=&amp;q=30.6626159596189,-84.984127523497</v>
      </c>
    </row>
    <row r="3616" spans="1:7" ht="15" x14ac:dyDescent="0.3">
      <c r="A3616">
        <v>41.536692316840302</v>
      </c>
      <c r="B3616">
        <v>-83.854095243073999</v>
      </c>
      <c r="C3616" t="s">
        <v>41</v>
      </c>
      <c r="D3616" t="s">
        <v>2387</v>
      </c>
      <c r="F3616" s="21"/>
      <c r="G3616" s="16" t="str">
        <f>HYPERLINK("http://maps.google.com/maps?f=q&amp;hl=en&amp;geocode=&amp;q=41.5366923168403,-83.854095243074")</f>
        <v>http://maps.google.com/maps?f=q&amp;hl=en&amp;geocode=&amp;q=41.5366923168403,-83.854095243074</v>
      </c>
    </row>
    <row r="3617" spans="1:7" ht="15" x14ac:dyDescent="0.3">
      <c r="A3617">
        <v>40.035719999999998</v>
      </c>
      <c r="B3617">
        <v>-75.070629999999994</v>
      </c>
      <c r="C3617" t="s">
        <v>41</v>
      </c>
      <c r="D3617" t="s">
        <v>760</v>
      </c>
      <c r="F3617" s="21"/>
      <c r="G3617" s="16" t="str">
        <f>HYPERLINK("http://maps.google.com/maps?f=q&amp;hl=en&amp;geocode=&amp;q=40.03572,-75.07063")</f>
        <v>http://maps.google.com/maps?f=q&amp;hl=en&amp;geocode=&amp;q=40.03572,-75.07063</v>
      </c>
    </row>
    <row r="3618" spans="1:7" ht="15" x14ac:dyDescent="0.3">
      <c r="A3618">
        <v>41.545448303222699</v>
      </c>
      <c r="B3618">
        <v>-76.742660522460895</v>
      </c>
      <c r="C3618" t="s">
        <v>43</v>
      </c>
      <c r="D3618" t="s">
        <v>1782</v>
      </c>
      <c r="F3618" s="21"/>
      <c r="G3618" s="16" t="str">
        <f>HYPERLINK("http://maps.google.com/maps?f=q&amp;hl=en&amp;geocode=&amp;q=41.5454483032227,-76.7426605224609")</f>
        <v>http://maps.google.com/maps?f=q&amp;hl=en&amp;geocode=&amp;q=41.5454483032227,-76.7426605224609</v>
      </c>
    </row>
    <row r="3619" spans="1:7" ht="15" x14ac:dyDescent="0.3">
      <c r="A3619">
        <v>41.545448303222699</v>
      </c>
      <c r="B3619">
        <v>-76.742660522460895</v>
      </c>
      <c r="C3619" t="s">
        <v>43</v>
      </c>
      <c r="D3619" t="s">
        <v>1782</v>
      </c>
      <c r="F3619" s="21"/>
      <c r="G3619" s="16" t="str">
        <f>HYPERLINK("http://maps.google.com/maps?f=q&amp;hl=en&amp;geocode=&amp;q=41.5454483032227,-76.7426605224609")</f>
        <v>http://maps.google.com/maps?f=q&amp;hl=en&amp;geocode=&amp;q=41.5454483032227,-76.7426605224609</v>
      </c>
    </row>
    <row r="3620" spans="1:7" ht="15" x14ac:dyDescent="0.3">
      <c r="A3620">
        <v>41.545448303222699</v>
      </c>
      <c r="B3620">
        <v>-76.742660522460895</v>
      </c>
      <c r="C3620" t="s">
        <v>43</v>
      </c>
      <c r="D3620" t="s">
        <v>1199</v>
      </c>
      <c r="F3620" s="21"/>
      <c r="G3620" s="16" t="str">
        <f>HYPERLINK("http://maps.google.com/maps?f=q&amp;hl=en&amp;geocode=&amp;q=41.5454483032227,-76.7426605224609")</f>
        <v>http://maps.google.com/maps?f=q&amp;hl=en&amp;geocode=&amp;q=41.5454483032227,-76.7426605224609</v>
      </c>
    </row>
    <row r="3621" spans="1:7" ht="15" x14ac:dyDescent="0.3">
      <c r="A3621">
        <v>29.756151270330999</v>
      </c>
      <c r="B3621">
        <v>-95.392327358107394</v>
      </c>
      <c r="C3621" t="s">
        <v>41</v>
      </c>
      <c r="D3621" t="s">
        <v>2388</v>
      </c>
      <c r="F3621" s="21"/>
      <c r="G3621" s="16" t="str">
        <f>HYPERLINK("http://maps.google.com/maps?f=q&amp;hl=en&amp;geocode=&amp;q=29.756151270331,-95.3923273581074")</f>
        <v>http://maps.google.com/maps?f=q&amp;hl=en&amp;geocode=&amp;q=29.756151270331,-95.3923273581074</v>
      </c>
    </row>
    <row r="3622" spans="1:7" ht="15" x14ac:dyDescent="0.3">
      <c r="A3622">
        <v>42.470289999999999</v>
      </c>
      <c r="B3622">
        <v>-83.077780000000004</v>
      </c>
      <c r="C3622" t="s">
        <v>42</v>
      </c>
      <c r="D3622" t="s">
        <v>121</v>
      </c>
      <c r="F3622" s="21"/>
      <c r="G3622" s="16" t="str">
        <f>HYPERLINK("http://maps.google.com/maps?f=q&amp;hl=en&amp;geocode=&amp;q=42.47029,-83.07778")</f>
        <v>http://maps.google.com/maps?f=q&amp;hl=en&amp;geocode=&amp;q=42.47029,-83.07778</v>
      </c>
    </row>
    <row r="3623" spans="1:7" ht="15" x14ac:dyDescent="0.3">
      <c r="A3623" t="s">
        <v>44</v>
      </c>
      <c r="B3623" t="s">
        <v>44</v>
      </c>
      <c r="C3623" t="s">
        <v>44</v>
      </c>
      <c r="D3623" t="s">
        <v>2389</v>
      </c>
      <c r="F3623" s="21"/>
      <c r="G3623" s="16"/>
    </row>
    <row r="3624" spans="1:7" ht="15" x14ac:dyDescent="0.3">
      <c r="A3624">
        <v>38.798560000000002</v>
      </c>
      <c r="B3624">
        <v>-90.20908</v>
      </c>
      <c r="C3624" t="s">
        <v>43</v>
      </c>
      <c r="D3624" t="s">
        <v>2390</v>
      </c>
      <c r="F3624" s="21"/>
      <c r="G3624" s="16" t="str">
        <f>HYPERLINK("http://maps.google.com/maps?f=q&amp;hl=en&amp;geocode=&amp;q=38.79856,-90.20908")</f>
        <v>http://maps.google.com/maps?f=q&amp;hl=en&amp;geocode=&amp;q=38.79856,-90.20908</v>
      </c>
    </row>
    <row r="3625" spans="1:7" ht="15" x14ac:dyDescent="0.3">
      <c r="A3625">
        <v>45.0301236105783</v>
      </c>
      <c r="B3625">
        <v>-84.675983384467102</v>
      </c>
      <c r="C3625" t="s">
        <v>41</v>
      </c>
      <c r="D3625" t="s">
        <v>2391</v>
      </c>
      <c r="F3625" s="21"/>
      <c r="G3625" s="16" t="str">
        <f>HYPERLINK("http://maps.google.com/maps?f=q&amp;hl=en&amp;geocode=&amp;q=45.0301236105783,-84.6759833844671")</f>
        <v>http://maps.google.com/maps?f=q&amp;hl=en&amp;geocode=&amp;q=45.0301236105783,-84.6759833844671</v>
      </c>
    </row>
    <row r="3626" spans="1:7" ht="15" x14ac:dyDescent="0.3">
      <c r="A3626">
        <v>40.248370000000001</v>
      </c>
      <c r="B3626">
        <v>-74.862530000000007</v>
      </c>
      <c r="C3626" t="s">
        <v>41</v>
      </c>
      <c r="D3626" t="s">
        <v>1534</v>
      </c>
      <c r="F3626" s="21"/>
      <c r="G3626" s="16" t="str">
        <f>HYPERLINK("http://maps.google.com/maps?f=q&amp;hl=en&amp;geocode=&amp;q=40.24837,-74.86253")</f>
        <v>http://maps.google.com/maps?f=q&amp;hl=en&amp;geocode=&amp;q=40.24837,-74.86253</v>
      </c>
    </row>
    <row r="3627" spans="1:7" ht="15" x14ac:dyDescent="0.3">
      <c r="A3627">
        <v>36.382385157353298</v>
      </c>
      <c r="B3627">
        <v>-78.628909711545006</v>
      </c>
      <c r="C3627" t="s">
        <v>41</v>
      </c>
      <c r="D3627" t="s">
        <v>138</v>
      </c>
      <c r="F3627" s="21"/>
      <c r="G3627" s="16" t="str">
        <f>HYPERLINK("http://maps.google.com/maps?f=q&amp;hl=en&amp;geocode=&amp;q=36.3823851573533,-78.628909711545")</f>
        <v>http://maps.google.com/maps?f=q&amp;hl=en&amp;geocode=&amp;q=36.3823851573533,-78.628909711545</v>
      </c>
    </row>
    <row r="3628" spans="1:7" ht="15" x14ac:dyDescent="0.3">
      <c r="A3628">
        <v>30.4329421770416</v>
      </c>
      <c r="B3628">
        <v>-87.176852768965404</v>
      </c>
      <c r="C3628" t="s">
        <v>41</v>
      </c>
      <c r="D3628" t="s">
        <v>2392</v>
      </c>
      <c r="F3628" s="21"/>
      <c r="G3628" s="16" t="str">
        <f>HYPERLINK("http://maps.google.com/maps?f=q&amp;hl=en&amp;geocode=&amp;q=30.4329421770416,-87.1768527689654")</f>
        <v>http://maps.google.com/maps?f=q&amp;hl=en&amp;geocode=&amp;q=30.4329421770416,-87.1768527689654</v>
      </c>
    </row>
    <row r="3629" spans="1:7" ht="15" x14ac:dyDescent="0.3">
      <c r="A3629">
        <v>37.454990386962898</v>
      </c>
      <c r="B3629">
        <v>-94.687171936035199</v>
      </c>
      <c r="C3629" t="s">
        <v>43</v>
      </c>
      <c r="D3629" t="s">
        <v>2393</v>
      </c>
      <c r="F3629" s="21"/>
      <c r="G3629" s="16" t="str">
        <f>HYPERLINK("http://maps.google.com/maps?f=q&amp;hl=en&amp;geocode=&amp;q=37.4549903869629,-94.6871719360352")</f>
        <v>http://maps.google.com/maps?f=q&amp;hl=en&amp;geocode=&amp;q=37.4549903869629,-94.6871719360352</v>
      </c>
    </row>
    <row r="3630" spans="1:7" ht="15" x14ac:dyDescent="0.3">
      <c r="A3630">
        <v>30.431952727702399</v>
      </c>
      <c r="B3630">
        <v>-87.176954245089902</v>
      </c>
      <c r="C3630" t="s">
        <v>41</v>
      </c>
      <c r="D3630" t="s">
        <v>2394</v>
      </c>
      <c r="F3630" s="21"/>
      <c r="G3630" s="16" t="str">
        <f>HYPERLINK("http://maps.google.com/maps?f=q&amp;hl=en&amp;geocode=&amp;q=30.4319527277024,-87.1769542450899")</f>
        <v>http://maps.google.com/maps?f=q&amp;hl=en&amp;geocode=&amp;q=30.4319527277024,-87.1769542450899</v>
      </c>
    </row>
    <row r="3631" spans="1:7" ht="15" x14ac:dyDescent="0.3">
      <c r="A3631">
        <v>40.071249999999999</v>
      </c>
      <c r="B3631">
        <v>-75.053129999999996</v>
      </c>
      <c r="C3631" t="s">
        <v>41</v>
      </c>
      <c r="D3631" t="s">
        <v>2395</v>
      </c>
      <c r="F3631" s="21"/>
      <c r="G3631" s="16" t="str">
        <f>HYPERLINK("http://maps.google.com/maps?f=q&amp;hl=en&amp;geocode=&amp;q=40.07125,-75.05313")</f>
        <v>http://maps.google.com/maps?f=q&amp;hl=en&amp;geocode=&amp;q=40.07125,-75.05313</v>
      </c>
    </row>
    <row r="3632" spans="1:7" ht="15" x14ac:dyDescent="0.3">
      <c r="A3632">
        <v>32.081922699139703</v>
      </c>
      <c r="B3632">
        <v>-83.8006413554224</v>
      </c>
      <c r="C3632" t="s">
        <v>41</v>
      </c>
      <c r="D3632" t="s">
        <v>2396</v>
      </c>
      <c r="F3632" s="21"/>
      <c r="G3632" s="16" t="str">
        <f>HYPERLINK("http://maps.google.com/maps?f=q&amp;hl=en&amp;geocode=&amp;q=32.0819226991397,-83.8006413554224")</f>
        <v>http://maps.google.com/maps?f=q&amp;hl=en&amp;geocode=&amp;q=32.0819226991397,-83.8006413554224</v>
      </c>
    </row>
    <row r="3633" spans="1:7" ht="15" x14ac:dyDescent="0.3">
      <c r="A3633">
        <v>32.082221916476598</v>
      </c>
      <c r="B3633">
        <v>-83.800202174656306</v>
      </c>
      <c r="C3633" t="s">
        <v>41</v>
      </c>
      <c r="D3633" t="s">
        <v>2230</v>
      </c>
      <c r="F3633" s="21"/>
      <c r="G3633" s="16" t="str">
        <f>HYPERLINK("http://maps.google.com/maps?f=q&amp;hl=en&amp;geocode=&amp;q=32.0822219164766,-83.8002021746563")</f>
        <v>http://maps.google.com/maps?f=q&amp;hl=en&amp;geocode=&amp;q=32.0822219164766,-83.8002021746563</v>
      </c>
    </row>
    <row r="3634" spans="1:7" ht="15" x14ac:dyDescent="0.3">
      <c r="A3634">
        <v>42.4435</v>
      </c>
      <c r="B3634">
        <v>-85.700490000000002</v>
      </c>
      <c r="C3634" t="s">
        <v>42</v>
      </c>
      <c r="D3634" t="s">
        <v>2397</v>
      </c>
      <c r="F3634" s="21"/>
      <c r="G3634" s="16" t="str">
        <f>HYPERLINK("http://maps.google.com/maps?f=q&amp;hl=en&amp;geocode=&amp;q=42.4435,-85.70049")</f>
        <v>http://maps.google.com/maps?f=q&amp;hl=en&amp;geocode=&amp;q=42.4435,-85.70049</v>
      </c>
    </row>
    <row r="3635" spans="1:7" ht="15" x14ac:dyDescent="0.3">
      <c r="A3635">
        <v>32.082221916476598</v>
      </c>
      <c r="B3635">
        <v>-83.800202174656306</v>
      </c>
      <c r="C3635" t="s">
        <v>41</v>
      </c>
      <c r="D3635" t="s">
        <v>2230</v>
      </c>
      <c r="F3635" s="21"/>
      <c r="G3635" s="16" t="str">
        <f>HYPERLINK("http://maps.google.com/maps?f=q&amp;hl=en&amp;geocode=&amp;q=32.0822219164766,-83.8002021746563")</f>
        <v>http://maps.google.com/maps?f=q&amp;hl=en&amp;geocode=&amp;q=32.0822219164766,-83.8002021746563</v>
      </c>
    </row>
    <row r="3636" spans="1:7" ht="15" x14ac:dyDescent="0.3">
      <c r="A3636">
        <v>32.082221916476598</v>
      </c>
      <c r="B3636">
        <v>-83.800202174656306</v>
      </c>
      <c r="C3636" t="s">
        <v>41</v>
      </c>
      <c r="D3636" t="s">
        <v>2230</v>
      </c>
      <c r="F3636" s="21"/>
      <c r="G3636" s="16" t="str">
        <f>HYPERLINK("http://maps.google.com/maps?f=q&amp;hl=en&amp;geocode=&amp;q=32.0822219164766,-83.8002021746563")</f>
        <v>http://maps.google.com/maps?f=q&amp;hl=en&amp;geocode=&amp;q=32.0822219164766,-83.8002021746563</v>
      </c>
    </row>
    <row r="3637" spans="1:7" ht="15" x14ac:dyDescent="0.3">
      <c r="A3637">
        <v>40.036299999999997</v>
      </c>
      <c r="B3637">
        <v>-75.083039999999997</v>
      </c>
      <c r="C3637" t="s">
        <v>41</v>
      </c>
      <c r="D3637" t="s">
        <v>2398</v>
      </c>
      <c r="F3637" s="21"/>
      <c r="G3637" s="16" t="str">
        <f>HYPERLINK("http://maps.google.com/maps?f=q&amp;hl=en&amp;geocode=&amp;q=40.0363,-75.08304")</f>
        <v>http://maps.google.com/maps?f=q&amp;hl=en&amp;geocode=&amp;q=40.0363,-75.08304</v>
      </c>
    </row>
    <row r="3638" spans="1:7" ht="15" x14ac:dyDescent="0.3">
      <c r="A3638">
        <v>42.792403282178</v>
      </c>
      <c r="B3638">
        <v>-86.189923795785404</v>
      </c>
      <c r="C3638" t="s">
        <v>41</v>
      </c>
      <c r="D3638" t="s">
        <v>2399</v>
      </c>
      <c r="F3638" s="21"/>
      <c r="G3638" s="16" t="str">
        <f>HYPERLINK("http://maps.google.com/maps?f=q&amp;hl=en&amp;geocode=&amp;q=42.792403282178,-86.1899237957854")</f>
        <v>http://maps.google.com/maps?f=q&amp;hl=en&amp;geocode=&amp;q=42.792403282178,-86.1899237957854</v>
      </c>
    </row>
    <row r="3639" spans="1:7" ht="15" x14ac:dyDescent="0.3">
      <c r="A3639">
        <v>39.995550000000001</v>
      </c>
      <c r="B3639">
        <v>-75.165930000000003</v>
      </c>
      <c r="C3639" t="s">
        <v>41</v>
      </c>
      <c r="D3639" t="s">
        <v>2400</v>
      </c>
      <c r="F3639" s="21"/>
      <c r="G3639" s="16" t="str">
        <f>HYPERLINK("http://maps.google.com/maps?f=q&amp;hl=en&amp;geocode=&amp;q=39.99555,-75.16593")</f>
        <v>http://maps.google.com/maps?f=q&amp;hl=en&amp;geocode=&amp;q=39.99555,-75.16593</v>
      </c>
    </row>
    <row r="3640" spans="1:7" ht="15" x14ac:dyDescent="0.3">
      <c r="A3640">
        <v>32.082221916476598</v>
      </c>
      <c r="B3640">
        <v>-83.800202174656306</v>
      </c>
      <c r="C3640" t="s">
        <v>41</v>
      </c>
      <c r="D3640" t="s">
        <v>2230</v>
      </c>
      <c r="F3640" s="21"/>
      <c r="G3640" s="16" t="str">
        <f>HYPERLINK("http://maps.google.com/maps?f=q&amp;hl=en&amp;geocode=&amp;q=32.0822219164766,-83.8002021746563")</f>
        <v>http://maps.google.com/maps?f=q&amp;hl=en&amp;geocode=&amp;q=32.0822219164766,-83.8002021746563</v>
      </c>
    </row>
    <row r="3641" spans="1:7" ht="15" x14ac:dyDescent="0.3">
      <c r="A3641">
        <v>39.950969999999998</v>
      </c>
      <c r="B3641">
        <v>-75.222560000000001</v>
      </c>
      <c r="C3641" t="s">
        <v>41</v>
      </c>
      <c r="D3641" t="s">
        <v>665</v>
      </c>
      <c r="F3641" s="21"/>
      <c r="G3641" s="16" t="str">
        <f>HYPERLINK("http://maps.google.com/maps?f=q&amp;hl=en&amp;geocode=&amp;q=39.95097,-75.22256")</f>
        <v>http://maps.google.com/maps?f=q&amp;hl=en&amp;geocode=&amp;q=39.95097,-75.22256</v>
      </c>
    </row>
    <row r="3642" spans="1:7" ht="15" x14ac:dyDescent="0.3">
      <c r="A3642">
        <v>39.657279217294203</v>
      </c>
      <c r="B3642">
        <v>-105.035875748622</v>
      </c>
      <c r="C3642" t="s">
        <v>41</v>
      </c>
      <c r="D3642" t="s">
        <v>2401</v>
      </c>
      <c r="F3642" s="21"/>
      <c r="G3642" s="16" t="str">
        <f>HYPERLINK("http://maps.google.com/maps?f=q&amp;hl=en&amp;geocode=&amp;q=39.6572792172942,-105.035875748622")</f>
        <v>http://maps.google.com/maps?f=q&amp;hl=en&amp;geocode=&amp;q=39.6572792172942,-105.035875748622</v>
      </c>
    </row>
    <row r="3643" spans="1:7" ht="15" x14ac:dyDescent="0.3">
      <c r="A3643">
        <v>40.905166253895999</v>
      </c>
      <c r="B3643">
        <v>-77.452244841612398</v>
      </c>
      <c r="C3643" t="s">
        <v>41</v>
      </c>
      <c r="D3643" t="s">
        <v>2402</v>
      </c>
      <c r="F3643" s="21"/>
      <c r="G3643" s="16" t="str">
        <f>HYPERLINK("http://maps.google.com/maps?f=q&amp;hl=en&amp;geocode=&amp;q=40.905166253896,-77.4522448416124")</f>
        <v>http://maps.google.com/maps?f=q&amp;hl=en&amp;geocode=&amp;q=40.905166253896,-77.4522448416124</v>
      </c>
    </row>
    <row r="3644" spans="1:7" ht="15" x14ac:dyDescent="0.3">
      <c r="A3644">
        <v>40.905166253895999</v>
      </c>
      <c r="B3644">
        <v>-77.452244841612398</v>
      </c>
      <c r="C3644" t="s">
        <v>41</v>
      </c>
      <c r="D3644" t="s">
        <v>2402</v>
      </c>
      <c r="F3644" s="21"/>
      <c r="G3644" s="16" t="str">
        <f>HYPERLINK("http://maps.google.com/maps?f=q&amp;hl=en&amp;geocode=&amp;q=40.905166253896,-77.4522448416124")</f>
        <v>http://maps.google.com/maps?f=q&amp;hl=en&amp;geocode=&amp;q=40.905166253896,-77.4522448416124</v>
      </c>
    </row>
    <row r="3645" spans="1:7" ht="15" x14ac:dyDescent="0.3">
      <c r="A3645">
        <v>37.672438122499798</v>
      </c>
      <c r="B3645">
        <v>-76.426643214228207</v>
      </c>
      <c r="C3645" t="s">
        <v>41</v>
      </c>
      <c r="D3645" t="s">
        <v>2403</v>
      </c>
      <c r="F3645" s="21"/>
      <c r="G3645" s="16" t="str">
        <f>HYPERLINK("http://maps.google.com/maps?f=q&amp;hl=en&amp;geocode=&amp;q=37.6724381224998,-76.4266432142282")</f>
        <v>http://maps.google.com/maps?f=q&amp;hl=en&amp;geocode=&amp;q=37.6724381224998,-76.4266432142282</v>
      </c>
    </row>
    <row r="3646" spans="1:7" ht="15" x14ac:dyDescent="0.3">
      <c r="A3646">
        <v>-36.864284515380902</v>
      </c>
      <c r="B3646">
        <v>144.31039428710901</v>
      </c>
      <c r="C3646" t="s">
        <v>41</v>
      </c>
      <c r="D3646" t="s">
        <v>2404</v>
      </c>
      <c r="F3646" s="21"/>
      <c r="G3646" s="16" t="str">
        <f>HYPERLINK("http://maps.google.com/maps?f=q&amp;hl=en&amp;geocode=&amp;q=-36.8642845153809,144.310394287109")</f>
        <v>http://maps.google.com/maps?f=q&amp;hl=en&amp;geocode=&amp;q=-36.8642845153809,144.310394287109</v>
      </c>
    </row>
    <row r="3647" spans="1:7" ht="15" x14ac:dyDescent="0.3">
      <c r="A3647">
        <v>-36.864284515380902</v>
      </c>
      <c r="B3647">
        <v>144.31039428710901</v>
      </c>
      <c r="C3647" t="s">
        <v>41</v>
      </c>
      <c r="D3647" t="s">
        <v>2404</v>
      </c>
      <c r="F3647" s="21"/>
      <c r="G3647" s="16" t="str">
        <f>HYPERLINK("http://maps.google.com/maps?f=q&amp;hl=en&amp;geocode=&amp;q=-36.8642845153809,144.310394287109")</f>
        <v>http://maps.google.com/maps?f=q&amp;hl=en&amp;geocode=&amp;q=-36.8642845153809,144.310394287109</v>
      </c>
    </row>
    <row r="3648" spans="1:7" ht="15" x14ac:dyDescent="0.3">
      <c r="A3648">
        <v>41.952276199259799</v>
      </c>
      <c r="B3648">
        <v>-87.701904216695496</v>
      </c>
      <c r="C3648" t="s">
        <v>41</v>
      </c>
      <c r="D3648" t="s">
        <v>2405</v>
      </c>
      <c r="F3648" s="21"/>
      <c r="G3648" s="16" t="str">
        <f>HYPERLINK("http://maps.google.com/maps?f=q&amp;hl=en&amp;geocode=&amp;q=41.9522761992598,-87.7019042166955")</f>
        <v>http://maps.google.com/maps?f=q&amp;hl=en&amp;geocode=&amp;q=41.9522761992598,-87.7019042166955</v>
      </c>
    </row>
    <row r="3649" spans="1:7" ht="15" x14ac:dyDescent="0.3">
      <c r="A3649">
        <v>31.9538898468018</v>
      </c>
      <c r="B3649">
        <v>34.891830444335902</v>
      </c>
      <c r="C3649" t="s">
        <v>43</v>
      </c>
      <c r="D3649" t="s">
        <v>2406</v>
      </c>
      <c r="F3649" s="21"/>
      <c r="G3649" s="16" t="str">
        <f>HYPERLINK("http://maps.google.com/maps?f=q&amp;hl=en&amp;geocode=&amp;q=31.9538898468018,34.8918304443359")</f>
        <v>http://maps.google.com/maps?f=q&amp;hl=en&amp;geocode=&amp;q=31.9538898468018,34.8918304443359</v>
      </c>
    </row>
    <row r="3650" spans="1:7" ht="15" x14ac:dyDescent="0.3">
      <c r="A3650">
        <v>39.993569999999998</v>
      </c>
      <c r="B3650">
        <v>-75.169799999999995</v>
      </c>
      <c r="C3650" t="s">
        <v>43</v>
      </c>
      <c r="D3650" t="s">
        <v>2407</v>
      </c>
      <c r="F3650" s="21"/>
      <c r="G3650" s="16" t="str">
        <f>HYPERLINK("http://maps.google.com/maps?f=q&amp;hl=en&amp;geocode=&amp;q=39.99357,-75.1698")</f>
        <v>http://maps.google.com/maps?f=q&amp;hl=en&amp;geocode=&amp;q=39.99357,-75.1698</v>
      </c>
    </row>
    <row r="3651" spans="1:7" ht="15" x14ac:dyDescent="0.3">
      <c r="A3651">
        <v>42.999576568603501</v>
      </c>
      <c r="B3651">
        <v>-107.551513671875</v>
      </c>
      <c r="C3651" t="s">
        <v>41</v>
      </c>
      <c r="D3651" t="s">
        <v>2245</v>
      </c>
      <c r="F3651" s="21"/>
      <c r="G3651" s="16" t="str">
        <f>HYPERLINK("http://maps.google.com/maps?f=q&amp;hl=en&amp;geocode=&amp;q=42.9995765686035,-107.551513671875")</f>
        <v>http://maps.google.com/maps?f=q&amp;hl=en&amp;geocode=&amp;q=42.9995765686035,-107.551513671875</v>
      </c>
    </row>
    <row r="3652" spans="1:7" ht="15" x14ac:dyDescent="0.3">
      <c r="A3652">
        <v>42.999576568603501</v>
      </c>
      <c r="B3652">
        <v>-107.551513671875</v>
      </c>
      <c r="C3652" t="s">
        <v>41</v>
      </c>
      <c r="D3652" t="s">
        <v>2245</v>
      </c>
      <c r="F3652" s="21"/>
      <c r="G3652" s="16" t="str">
        <f>HYPERLINK("http://maps.google.com/maps?f=q&amp;hl=en&amp;geocode=&amp;q=42.9995765686035,-107.551513671875")</f>
        <v>http://maps.google.com/maps?f=q&amp;hl=en&amp;geocode=&amp;q=42.9995765686035,-107.551513671875</v>
      </c>
    </row>
    <row r="3653" spans="1:7" ht="15" x14ac:dyDescent="0.3">
      <c r="A3653">
        <v>42.999576568603501</v>
      </c>
      <c r="B3653">
        <v>-107.551513671875</v>
      </c>
      <c r="C3653" t="s">
        <v>41</v>
      </c>
      <c r="D3653" t="s">
        <v>2245</v>
      </c>
      <c r="F3653" s="21"/>
      <c r="G3653" s="16" t="str">
        <f>HYPERLINK("http://maps.google.com/maps?f=q&amp;hl=en&amp;geocode=&amp;q=42.9995765686035,-107.551513671875")</f>
        <v>http://maps.google.com/maps?f=q&amp;hl=en&amp;geocode=&amp;q=42.9995765686035,-107.551513671875</v>
      </c>
    </row>
    <row r="3654" spans="1:7" ht="15" x14ac:dyDescent="0.3">
      <c r="A3654">
        <v>42.999576568603501</v>
      </c>
      <c r="B3654">
        <v>-107.551513671875</v>
      </c>
      <c r="C3654" t="s">
        <v>41</v>
      </c>
      <c r="D3654" t="s">
        <v>2245</v>
      </c>
      <c r="F3654" s="21"/>
      <c r="G3654" s="16" t="str">
        <f>HYPERLINK("http://maps.google.com/maps?f=q&amp;hl=en&amp;geocode=&amp;q=42.9995765686035,-107.551513671875")</f>
        <v>http://maps.google.com/maps?f=q&amp;hl=en&amp;geocode=&amp;q=42.9995765686035,-107.551513671875</v>
      </c>
    </row>
    <row r="3655" spans="1:7" ht="15" x14ac:dyDescent="0.3">
      <c r="A3655">
        <v>42.999576568603501</v>
      </c>
      <c r="B3655">
        <v>-107.551513671875</v>
      </c>
      <c r="C3655" t="s">
        <v>41</v>
      </c>
      <c r="D3655" t="s">
        <v>2245</v>
      </c>
      <c r="F3655" s="21"/>
      <c r="G3655" s="16" t="str">
        <f>HYPERLINK("http://maps.google.com/maps?f=q&amp;hl=en&amp;geocode=&amp;q=42.9995765686035,-107.551513671875")</f>
        <v>http://maps.google.com/maps?f=q&amp;hl=en&amp;geocode=&amp;q=42.9995765686035,-107.551513671875</v>
      </c>
    </row>
    <row r="3656" spans="1:7" ht="15" x14ac:dyDescent="0.3">
      <c r="A3656">
        <v>42.999576568603501</v>
      </c>
      <c r="B3656">
        <v>-107.551513671875</v>
      </c>
      <c r="C3656" t="s">
        <v>41</v>
      </c>
      <c r="D3656" t="s">
        <v>2245</v>
      </c>
      <c r="F3656" s="21"/>
      <c r="G3656" s="16" t="str">
        <f>HYPERLINK("http://maps.google.com/maps?f=q&amp;hl=en&amp;geocode=&amp;q=42.9995765686035,-107.551513671875")</f>
        <v>http://maps.google.com/maps?f=q&amp;hl=en&amp;geocode=&amp;q=42.9995765686035,-107.551513671875</v>
      </c>
    </row>
    <row r="3657" spans="1:7" ht="15" x14ac:dyDescent="0.3">
      <c r="A3657">
        <v>40.801070000000003</v>
      </c>
      <c r="B3657">
        <v>-96.744690000000006</v>
      </c>
      <c r="C3657" t="s">
        <v>42</v>
      </c>
      <c r="D3657" t="s">
        <v>2408</v>
      </c>
      <c r="F3657" s="21"/>
      <c r="G3657" s="16" t="str">
        <f>HYPERLINK("http://maps.google.com/maps?f=q&amp;hl=en&amp;geocode=&amp;q=40.80107,-96.74469")</f>
        <v>http://maps.google.com/maps?f=q&amp;hl=en&amp;geocode=&amp;q=40.80107,-96.74469</v>
      </c>
    </row>
    <row r="3658" spans="1:7" ht="15" x14ac:dyDescent="0.3">
      <c r="A3658">
        <v>49.592750549316399</v>
      </c>
      <c r="B3658">
        <v>6.1265730857849103</v>
      </c>
      <c r="C3658" t="s">
        <v>41</v>
      </c>
      <c r="D3658" t="s">
        <v>2409</v>
      </c>
      <c r="F3658" s="21"/>
      <c r="G3658" s="16" t="str">
        <f>HYPERLINK("http://maps.google.com/maps?f=q&amp;hl=en&amp;geocode=&amp;q=49.5927505493164,6.12657308578491")</f>
        <v>http://maps.google.com/maps?f=q&amp;hl=en&amp;geocode=&amp;q=49.5927505493164,6.12657308578491</v>
      </c>
    </row>
    <row r="3659" spans="1:7" ht="15" x14ac:dyDescent="0.3">
      <c r="A3659">
        <v>35.525709999999997</v>
      </c>
      <c r="B3659">
        <v>-92.613339999999994</v>
      </c>
      <c r="C3659" t="s">
        <v>42</v>
      </c>
      <c r="D3659" t="s">
        <v>2410</v>
      </c>
      <c r="F3659" s="21"/>
      <c r="G3659" s="16" t="str">
        <f>HYPERLINK("http://maps.google.com/maps?f=q&amp;hl=en&amp;geocode=&amp;q=35.52571,-92.61334")</f>
        <v>http://maps.google.com/maps?f=q&amp;hl=en&amp;geocode=&amp;q=35.52571,-92.61334</v>
      </c>
    </row>
    <row r="3660" spans="1:7" ht="15" x14ac:dyDescent="0.3">
      <c r="A3660">
        <v>33.110443983454097</v>
      </c>
      <c r="B3660">
        <v>-96.639503004148906</v>
      </c>
      <c r="C3660" t="s">
        <v>41</v>
      </c>
      <c r="D3660" t="s">
        <v>1480</v>
      </c>
      <c r="F3660" s="21"/>
      <c r="G3660" s="16" t="str">
        <f>HYPERLINK("http://maps.google.com/maps?f=q&amp;hl=en&amp;geocode=&amp;q=33.1104439834541,-96.6395030041489")</f>
        <v>http://maps.google.com/maps?f=q&amp;hl=en&amp;geocode=&amp;q=33.1104439834541,-96.6395030041489</v>
      </c>
    </row>
    <row r="3661" spans="1:7" ht="15" x14ac:dyDescent="0.3">
      <c r="A3661" t="s">
        <v>44</v>
      </c>
      <c r="B3661" t="s">
        <v>44</v>
      </c>
      <c r="C3661" t="s">
        <v>44</v>
      </c>
      <c r="D3661" t="s">
        <v>2411</v>
      </c>
      <c r="F3661" s="21"/>
      <c r="G3661" s="16"/>
    </row>
    <row r="3662" spans="1:7" ht="15" x14ac:dyDescent="0.3">
      <c r="A3662">
        <v>32.032314483015597</v>
      </c>
      <c r="B3662">
        <v>-84.8342769296314</v>
      </c>
      <c r="C3662" t="s">
        <v>41</v>
      </c>
      <c r="D3662" t="s">
        <v>2412</v>
      </c>
      <c r="F3662" s="21"/>
      <c r="G3662" s="16" t="str">
        <f>HYPERLINK("http://maps.google.com/maps?f=q&amp;hl=en&amp;geocode=&amp;q=32.0323144830156,-84.8342769296314")</f>
        <v>http://maps.google.com/maps?f=q&amp;hl=en&amp;geocode=&amp;q=32.0323144830156,-84.8342769296314</v>
      </c>
    </row>
    <row r="3663" spans="1:7" ht="15" x14ac:dyDescent="0.3">
      <c r="A3663">
        <v>36.382385157353298</v>
      </c>
      <c r="B3663">
        <v>-78.628909711545006</v>
      </c>
      <c r="C3663" t="s">
        <v>41</v>
      </c>
      <c r="D3663" t="s">
        <v>138</v>
      </c>
      <c r="F3663" s="21"/>
      <c r="G3663" s="16" t="str">
        <f>HYPERLINK("http://maps.google.com/maps?f=q&amp;hl=en&amp;geocode=&amp;q=36.3823851573533,-78.628909711545")</f>
        <v>http://maps.google.com/maps?f=q&amp;hl=en&amp;geocode=&amp;q=36.3823851573533,-78.628909711545</v>
      </c>
    </row>
    <row r="3664" spans="1:7" ht="15" x14ac:dyDescent="0.3">
      <c r="A3664">
        <v>14.5838928222656</v>
      </c>
      <c r="B3664">
        <v>121.07668304443401</v>
      </c>
      <c r="C3664" t="s">
        <v>43</v>
      </c>
      <c r="D3664" t="s">
        <v>2413</v>
      </c>
      <c r="F3664" s="21"/>
      <c r="G3664" s="16" t="str">
        <f>HYPERLINK("http://maps.google.com/maps?f=q&amp;hl=en&amp;geocode=&amp;q=14.5838928222656,121.076683044434")</f>
        <v>http://maps.google.com/maps?f=q&amp;hl=en&amp;geocode=&amp;q=14.5838928222656,121.076683044434</v>
      </c>
    </row>
    <row r="3665" spans="1:7" ht="15" x14ac:dyDescent="0.3">
      <c r="A3665">
        <v>38.58887</v>
      </c>
      <c r="B3665">
        <v>-90.28819</v>
      </c>
      <c r="C3665" t="s">
        <v>41</v>
      </c>
      <c r="D3665" t="s">
        <v>429</v>
      </c>
      <c r="F3665" s="21"/>
      <c r="G3665" s="16" t="str">
        <f>HYPERLINK("http://maps.google.com/maps?f=q&amp;hl=en&amp;geocode=&amp;q=38.58887,-90.28819")</f>
        <v>http://maps.google.com/maps?f=q&amp;hl=en&amp;geocode=&amp;q=38.58887,-90.28819</v>
      </c>
    </row>
    <row r="3666" spans="1:7" ht="15" x14ac:dyDescent="0.3">
      <c r="A3666">
        <v>40.029926383333297</v>
      </c>
      <c r="B3666">
        <v>-75.1227359512486</v>
      </c>
      <c r="C3666" t="s">
        <v>41</v>
      </c>
      <c r="D3666" t="s">
        <v>1833</v>
      </c>
      <c r="F3666" s="21"/>
      <c r="G3666" s="16" t="str">
        <f>HYPERLINK("http://maps.google.com/maps?f=q&amp;hl=en&amp;geocode=&amp;q=40.0299263833333,-75.1227359512486")</f>
        <v>http://maps.google.com/maps?f=q&amp;hl=en&amp;geocode=&amp;q=40.0299263833333,-75.1227359512486</v>
      </c>
    </row>
    <row r="3667" spans="1:7" ht="15" x14ac:dyDescent="0.3">
      <c r="A3667">
        <v>40.248370000000001</v>
      </c>
      <c r="B3667">
        <v>-74.862530000000007</v>
      </c>
      <c r="C3667" t="s">
        <v>41</v>
      </c>
      <c r="D3667" t="s">
        <v>1534</v>
      </c>
      <c r="F3667" s="21"/>
      <c r="G3667" s="16" t="str">
        <f>HYPERLINK("http://maps.google.com/maps?f=q&amp;hl=en&amp;geocode=&amp;q=40.24837,-74.86253")</f>
        <v>http://maps.google.com/maps?f=q&amp;hl=en&amp;geocode=&amp;q=40.24837,-74.86253</v>
      </c>
    </row>
    <row r="3668" spans="1:7" ht="15" x14ac:dyDescent="0.3">
      <c r="A3668">
        <v>37.805080413818402</v>
      </c>
      <c r="B3668">
        <v>-122.273071289063</v>
      </c>
      <c r="C3668" t="s">
        <v>41</v>
      </c>
      <c r="D3668" t="s">
        <v>2414</v>
      </c>
      <c r="F3668" s="21"/>
      <c r="G3668" s="16" t="str">
        <f>HYPERLINK("http://maps.google.com/maps?f=q&amp;hl=en&amp;geocode=&amp;q=37.8050804138184,-122.273071289063")</f>
        <v>http://maps.google.com/maps?f=q&amp;hl=en&amp;geocode=&amp;q=37.8050804138184,-122.273071289063</v>
      </c>
    </row>
    <row r="3669" spans="1:7" ht="15" x14ac:dyDescent="0.3">
      <c r="A3669">
        <v>42.997422656800801</v>
      </c>
      <c r="B3669">
        <v>-95.623939346082395</v>
      </c>
      <c r="C3669" t="s">
        <v>41</v>
      </c>
      <c r="D3669" t="s">
        <v>71</v>
      </c>
      <c r="F3669" s="21"/>
      <c r="G3669" s="16" t="str">
        <f>HYPERLINK("http://maps.google.com/maps?f=q&amp;hl=en&amp;geocode=&amp;q=42.9974226568008,-95.6239393460824")</f>
        <v>http://maps.google.com/maps?f=q&amp;hl=en&amp;geocode=&amp;q=42.9974226568008,-95.6239393460824</v>
      </c>
    </row>
    <row r="3670" spans="1:7" ht="15" x14ac:dyDescent="0.3">
      <c r="A3670">
        <v>42.997422656800801</v>
      </c>
      <c r="B3670">
        <v>-95.623939346082395</v>
      </c>
      <c r="C3670" t="s">
        <v>41</v>
      </c>
      <c r="D3670" t="s">
        <v>71</v>
      </c>
      <c r="F3670" s="21"/>
      <c r="G3670" s="16" t="str">
        <f>HYPERLINK("http://maps.google.com/maps?f=q&amp;hl=en&amp;geocode=&amp;q=42.9974226568008,-95.6239393460824")</f>
        <v>http://maps.google.com/maps?f=q&amp;hl=en&amp;geocode=&amp;q=42.9974226568008,-95.6239393460824</v>
      </c>
    </row>
    <row r="3671" spans="1:7" ht="15" x14ac:dyDescent="0.3">
      <c r="A3671">
        <v>33.389363917813398</v>
      </c>
      <c r="B3671">
        <v>-112.16425240285</v>
      </c>
      <c r="C3671" t="s">
        <v>41</v>
      </c>
      <c r="D3671" t="s">
        <v>2415</v>
      </c>
      <c r="F3671" s="21"/>
      <c r="G3671" s="16" t="str">
        <f>HYPERLINK("http://maps.google.com/maps?f=q&amp;hl=en&amp;geocode=&amp;q=33.3893639178134,-112.16425240285")</f>
        <v>http://maps.google.com/maps?f=q&amp;hl=en&amp;geocode=&amp;q=33.3893639178134,-112.16425240285</v>
      </c>
    </row>
    <row r="3672" spans="1:7" ht="15" x14ac:dyDescent="0.3">
      <c r="A3672" t="s">
        <v>44</v>
      </c>
      <c r="B3672" t="s">
        <v>44</v>
      </c>
      <c r="C3672" t="s">
        <v>44</v>
      </c>
      <c r="D3672" t="s">
        <v>2173</v>
      </c>
      <c r="F3672" s="21"/>
      <c r="G3672" s="16"/>
    </row>
    <row r="3673" spans="1:7" ht="15" x14ac:dyDescent="0.3">
      <c r="A3673">
        <v>38.590000000000003</v>
      </c>
      <c r="B3673">
        <v>-90.292699999999996</v>
      </c>
      <c r="C3673" t="s">
        <v>41</v>
      </c>
      <c r="D3673" t="s">
        <v>2416</v>
      </c>
      <c r="F3673" s="21"/>
      <c r="G3673" s="16" t="str">
        <f>HYPERLINK("http://maps.google.com/maps?f=q&amp;hl=en&amp;geocode=&amp;q=38.59,-90.2927")</f>
        <v>http://maps.google.com/maps?f=q&amp;hl=en&amp;geocode=&amp;q=38.59,-90.2927</v>
      </c>
    </row>
    <row r="3674" spans="1:7" ht="15" x14ac:dyDescent="0.3">
      <c r="A3674">
        <v>-36.701439999999998</v>
      </c>
      <c r="B3674">
        <v>142.19977</v>
      </c>
      <c r="C3674" t="s">
        <v>41</v>
      </c>
      <c r="D3674" t="s">
        <v>2300</v>
      </c>
      <c r="F3674" s="21"/>
      <c r="G3674" s="16" t="str">
        <f>HYPERLINK("http://maps.google.com/maps?f=q&amp;hl=en&amp;geocode=&amp;q=-36.70144,142.19977")</f>
        <v>http://maps.google.com/maps?f=q&amp;hl=en&amp;geocode=&amp;q=-36.70144,142.19977</v>
      </c>
    </row>
    <row r="3675" spans="1:7" ht="15" x14ac:dyDescent="0.3">
      <c r="A3675">
        <v>37.257853709249297</v>
      </c>
      <c r="B3675">
        <v>-121.824320325023</v>
      </c>
      <c r="C3675" t="s">
        <v>41</v>
      </c>
      <c r="D3675" t="s">
        <v>2417</v>
      </c>
      <c r="F3675" s="21"/>
      <c r="G3675" s="16" t="str">
        <f>HYPERLINK("http://maps.google.com/maps?f=q&amp;hl=en&amp;geocode=&amp;q=37.2578537092493,-121.824320325023")</f>
        <v>http://maps.google.com/maps?f=q&amp;hl=en&amp;geocode=&amp;q=37.2578537092493,-121.824320325023</v>
      </c>
    </row>
    <row r="3676" spans="1:7" ht="15" x14ac:dyDescent="0.3">
      <c r="A3676">
        <v>29.8049771463841</v>
      </c>
      <c r="B3676">
        <v>-81.599258179236699</v>
      </c>
      <c r="C3676" t="s">
        <v>41</v>
      </c>
      <c r="D3676" t="s">
        <v>2418</v>
      </c>
      <c r="F3676" s="21"/>
      <c r="G3676" s="16" t="str">
        <f>HYPERLINK("http://maps.google.com/maps?f=q&amp;hl=en&amp;geocode=&amp;q=29.8049771463841,-81.5992581792367")</f>
        <v>http://maps.google.com/maps?f=q&amp;hl=en&amp;geocode=&amp;q=29.8049771463841,-81.5992581792367</v>
      </c>
    </row>
    <row r="3677" spans="1:7" ht="15" x14ac:dyDescent="0.3">
      <c r="A3677">
        <v>40.042947327277503</v>
      </c>
      <c r="B3677">
        <v>-75.100491989710605</v>
      </c>
      <c r="C3677" t="s">
        <v>41</v>
      </c>
      <c r="D3677" t="s">
        <v>2419</v>
      </c>
      <c r="F3677" s="21"/>
      <c r="G3677" s="16" t="str">
        <f>HYPERLINK("http://maps.google.com/maps?f=q&amp;hl=en&amp;geocode=&amp;q=40.0429473272775,-75.1004919897106")</f>
        <v>http://maps.google.com/maps?f=q&amp;hl=en&amp;geocode=&amp;q=40.0429473272775,-75.1004919897106</v>
      </c>
    </row>
    <row r="3678" spans="1:7" ht="15" x14ac:dyDescent="0.3">
      <c r="A3678">
        <v>48.008468627929702</v>
      </c>
      <c r="B3678">
        <v>12.169349670410201</v>
      </c>
      <c r="C3678" t="s">
        <v>43</v>
      </c>
      <c r="D3678" t="s">
        <v>2420</v>
      </c>
      <c r="F3678" s="21"/>
      <c r="G3678" s="16" t="str">
        <f>HYPERLINK("http://maps.google.com/maps?f=q&amp;hl=en&amp;geocode=&amp;q=48.0084686279297,12.1693496704102")</f>
        <v>http://maps.google.com/maps?f=q&amp;hl=en&amp;geocode=&amp;q=48.0084686279297,12.1693496704102</v>
      </c>
    </row>
    <row r="3679" spans="1:7" ht="15" x14ac:dyDescent="0.3">
      <c r="A3679">
        <v>33.831611633300803</v>
      </c>
      <c r="B3679">
        <v>-118.262092590332</v>
      </c>
      <c r="C3679" t="s">
        <v>43</v>
      </c>
      <c r="D3679" t="s">
        <v>2421</v>
      </c>
      <c r="F3679" s="21"/>
      <c r="G3679" s="16" t="str">
        <f>HYPERLINK("http://maps.google.com/maps?f=q&amp;hl=en&amp;geocode=&amp;q=33.8316116333008,-118.262092590332")</f>
        <v>http://maps.google.com/maps?f=q&amp;hl=en&amp;geocode=&amp;q=33.8316116333008,-118.262092590332</v>
      </c>
    </row>
    <row r="3680" spans="1:7" ht="15" x14ac:dyDescent="0.3">
      <c r="A3680">
        <v>40.460018157958999</v>
      </c>
      <c r="B3680">
        <v>-78.591552734375</v>
      </c>
      <c r="C3680" t="s">
        <v>43</v>
      </c>
      <c r="D3680" t="s">
        <v>2422</v>
      </c>
      <c r="F3680" s="21"/>
      <c r="G3680" s="16" t="str">
        <f>HYPERLINK("http://maps.google.com/maps?f=q&amp;hl=en&amp;geocode=&amp;q=40.460018157959,-78.591552734375")</f>
        <v>http://maps.google.com/maps?f=q&amp;hl=en&amp;geocode=&amp;q=40.460018157959,-78.591552734375</v>
      </c>
    </row>
    <row r="3681" spans="1:7" ht="15" x14ac:dyDescent="0.3">
      <c r="A3681">
        <v>38.589645359082297</v>
      </c>
      <c r="B3681">
        <v>-90.293496937326097</v>
      </c>
      <c r="C3681" t="s">
        <v>41</v>
      </c>
      <c r="D3681" t="s">
        <v>2423</v>
      </c>
      <c r="F3681" s="21"/>
      <c r="G3681" s="16" t="str">
        <f>HYPERLINK("http://maps.google.com/maps?f=q&amp;hl=en&amp;geocode=&amp;q=38.5896453590823,-90.2934969373261")</f>
        <v>http://maps.google.com/maps?f=q&amp;hl=en&amp;geocode=&amp;q=38.5896453590823,-90.2934969373261</v>
      </c>
    </row>
    <row r="3682" spans="1:7" ht="15" x14ac:dyDescent="0.3">
      <c r="A3682">
        <v>-37.040729522705099</v>
      </c>
      <c r="B3682">
        <v>174.87356567382801</v>
      </c>
      <c r="C3682" t="s">
        <v>41</v>
      </c>
      <c r="D3682" t="s">
        <v>2142</v>
      </c>
      <c r="F3682" s="21"/>
      <c r="G3682" s="16" t="str">
        <f>HYPERLINK("http://maps.google.com/maps?f=q&amp;hl=en&amp;geocode=&amp;q=-37.0407295227051,174.873565673828")</f>
        <v>http://maps.google.com/maps?f=q&amp;hl=en&amp;geocode=&amp;q=-37.0407295227051,174.873565673828</v>
      </c>
    </row>
    <row r="3683" spans="1:7" x14ac:dyDescent="0.2">
      <c r="A3683" t="s">
        <v>44</v>
      </c>
      <c r="B3683" t="s">
        <v>44</v>
      </c>
      <c r="C3683" t="s">
        <v>44</v>
      </c>
      <c r="D3683" t="s">
        <v>2424</v>
      </c>
      <c r="F3683" s="21"/>
    </row>
    <row r="3684" spans="1:7" ht="15" x14ac:dyDescent="0.3">
      <c r="A3684">
        <v>-34.124710083007798</v>
      </c>
      <c r="B3684">
        <v>139.34753417968801</v>
      </c>
      <c r="C3684" t="s">
        <v>43</v>
      </c>
      <c r="D3684" t="s">
        <v>2425</v>
      </c>
      <c r="F3684" s="21"/>
      <c r="G3684" s="16" t="str">
        <f>HYPERLINK("http://maps.google.com/maps?f=q&amp;hl=en&amp;geocode=&amp;q=-34.1247100830078,139.347534179688")</f>
        <v>http://maps.google.com/maps?f=q&amp;hl=en&amp;geocode=&amp;q=-34.1247100830078,139.347534179688</v>
      </c>
    </row>
    <row r="3685" spans="1:7" ht="15" x14ac:dyDescent="0.3">
      <c r="A3685">
        <v>54.901432037353501</v>
      </c>
      <c r="B3685">
        <v>10.7508296966553</v>
      </c>
      <c r="C3685" t="s">
        <v>43</v>
      </c>
      <c r="D3685" t="s">
        <v>2236</v>
      </c>
      <c r="F3685" s="21"/>
      <c r="G3685" s="16" t="str">
        <f>HYPERLINK("http://maps.google.com/maps?f=q&amp;hl=en&amp;geocode=&amp;q=54.9014320373535,10.7508296966553")</f>
        <v>http://maps.google.com/maps?f=q&amp;hl=en&amp;geocode=&amp;q=54.9014320373535,10.7508296966553</v>
      </c>
    </row>
    <row r="3686" spans="1:7" ht="15" x14ac:dyDescent="0.3">
      <c r="A3686">
        <v>42.015090000000001</v>
      </c>
      <c r="B3686">
        <v>-87.854410000000001</v>
      </c>
      <c r="C3686" t="s">
        <v>41</v>
      </c>
      <c r="D3686" t="s">
        <v>2426</v>
      </c>
      <c r="F3686" s="21"/>
      <c r="G3686" s="16" t="str">
        <f>HYPERLINK("http://maps.google.com/maps?f=q&amp;hl=en&amp;geocode=&amp;q=42.01509,-87.85441")</f>
        <v>http://maps.google.com/maps?f=q&amp;hl=en&amp;geocode=&amp;q=42.01509,-87.85441</v>
      </c>
    </row>
    <row r="3687" spans="1:7" ht="15" x14ac:dyDescent="0.3">
      <c r="A3687">
        <v>28.309629392087601</v>
      </c>
      <c r="B3687">
        <v>-81.227677881379904</v>
      </c>
      <c r="C3687" t="s">
        <v>41</v>
      </c>
      <c r="D3687" t="s">
        <v>2427</v>
      </c>
      <c r="F3687" s="21"/>
      <c r="G3687" s="16" t="str">
        <f>HYPERLINK("http://maps.google.com/maps?f=q&amp;hl=en&amp;geocode=&amp;q=28.3096293920876,-81.2276778813799")</f>
        <v>http://maps.google.com/maps?f=q&amp;hl=en&amp;geocode=&amp;q=28.3096293920876,-81.2276778813799</v>
      </c>
    </row>
    <row r="3688" spans="1:7" ht="15" x14ac:dyDescent="0.3">
      <c r="A3688">
        <v>28.309629392087601</v>
      </c>
      <c r="B3688">
        <v>-81.227677881379904</v>
      </c>
      <c r="C3688" t="s">
        <v>41</v>
      </c>
      <c r="D3688" t="s">
        <v>2427</v>
      </c>
      <c r="F3688" s="21"/>
      <c r="G3688" s="16" t="str">
        <f>HYPERLINK("http://maps.google.com/maps?f=q&amp;hl=en&amp;geocode=&amp;q=28.3096293920876,-81.2276778813799")</f>
        <v>http://maps.google.com/maps?f=q&amp;hl=en&amp;geocode=&amp;q=28.3096293920876,-81.2276778813799</v>
      </c>
    </row>
    <row r="3689" spans="1:7" ht="15" x14ac:dyDescent="0.3">
      <c r="A3689">
        <v>29.94772</v>
      </c>
      <c r="B3689">
        <v>-93.937799999999996</v>
      </c>
      <c r="C3689" t="s">
        <v>41</v>
      </c>
      <c r="D3689" t="s">
        <v>772</v>
      </c>
      <c r="F3689" s="21"/>
      <c r="G3689" s="16" t="str">
        <f>HYPERLINK("http://maps.google.com/maps?f=q&amp;hl=en&amp;geocode=&amp;q=29.94772,-93.9378")</f>
        <v>http://maps.google.com/maps?f=q&amp;hl=en&amp;geocode=&amp;q=29.94772,-93.9378</v>
      </c>
    </row>
    <row r="3690" spans="1:7" ht="15" x14ac:dyDescent="0.3">
      <c r="A3690">
        <v>39.916759999999996</v>
      </c>
      <c r="B3690">
        <v>-75.234579999999994</v>
      </c>
      <c r="C3690" t="s">
        <v>41</v>
      </c>
      <c r="D3690" t="s">
        <v>2428</v>
      </c>
      <c r="F3690" s="21"/>
      <c r="G3690" s="16" t="str">
        <f>HYPERLINK("http://maps.google.com/maps?f=q&amp;hl=en&amp;geocode=&amp;q=39.91676,-75.23458")</f>
        <v>http://maps.google.com/maps?f=q&amp;hl=en&amp;geocode=&amp;q=39.91676,-75.23458</v>
      </c>
    </row>
    <row r="3691" spans="1:7" ht="15" x14ac:dyDescent="0.3">
      <c r="A3691">
        <v>39.934269999999998</v>
      </c>
      <c r="B3691">
        <v>-75.155659999999997</v>
      </c>
      <c r="C3691" t="s">
        <v>42</v>
      </c>
      <c r="D3691" t="s">
        <v>2429</v>
      </c>
      <c r="F3691" s="21"/>
      <c r="G3691" s="16" t="str">
        <f>HYPERLINK("http://maps.google.com/maps?f=q&amp;hl=en&amp;geocode=&amp;q=39.93427,-75.15566")</f>
        <v>http://maps.google.com/maps?f=q&amp;hl=en&amp;geocode=&amp;q=39.93427,-75.15566</v>
      </c>
    </row>
    <row r="3692" spans="1:7" ht="15" x14ac:dyDescent="0.3">
      <c r="A3692" t="s">
        <v>44</v>
      </c>
      <c r="B3692" t="s">
        <v>44</v>
      </c>
      <c r="C3692" t="s">
        <v>44</v>
      </c>
      <c r="D3692" t="s">
        <v>2430</v>
      </c>
      <c r="F3692" s="21"/>
      <c r="G3692" s="16"/>
    </row>
    <row r="3693" spans="1:7" ht="15" x14ac:dyDescent="0.3">
      <c r="A3693">
        <v>40.710586474060399</v>
      </c>
      <c r="B3693">
        <v>-111.852585414849</v>
      </c>
      <c r="C3693" t="s">
        <v>41</v>
      </c>
      <c r="D3693" t="s">
        <v>2431</v>
      </c>
      <c r="F3693" s="21"/>
      <c r="G3693" s="16" t="str">
        <f>HYPERLINK("http://maps.google.com/maps?f=q&amp;hl=en&amp;geocode=&amp;q=40.7105864740604,-111.852585414849")</f>
        <v>http://maps.google.com/maps?f=q&amp;hl=en&amp;geocode=&amp;q=40.7105864740604,-111.852585414849</v>
      </c>
    </row>
    <row r="3694" spans="1:7" ht="15" x14ac:dyDescent="0.3">
      <c r="A3694">
        <v>40.710586474060399</v>
      </c>
      <c r="B3694">
        <v>-111.852585414849</v>
      </c>
      <c r="C3694" t="s">
        <v>41</v>
      </c>
      <c r="D3694" t="s">
        <v>2431</v>
      </c>
      <c r="F3694" s="21"/>
      <c r="G3694" s="16" t="str">
        <f>HYPERLINK("http://maps.google.com/maps?f=q&amp;hl=en&amp;geocode=&amp;q=40.7105864740604,-111.852585414849")</f>
        <v>http://maps.google.com/maps?f=q&amp;hl=en&amp;geocode=&amp;q=40.7105864740604,-111.852585414849</v>
      </c>
    </row>
    <row r="3695" spans="1:7" ht="15" x14ac:dyDescent="0.3">
      <c r="A3695">
        <v>-26.16686</v>
      </c>
      <c r="B3695">
        <v>27.955960000000001</v>
      </c>
      <c r="C3695" t="s">
        <v>41</v>
      </c>
      <c r="D3695" t="s">
        <v>2432</v>
      </c>
      <c r="F3695" s="21"/>
      <c r="G3695" s="16" t="str">
        <f>HYPERLINK("http://maps.google.com/maps?f=q&amp;hl=en&amp;geocode=&amp;q=-26.16686,27.95596")</f>
        <v>http://maps.google.com/maps?f=q&amp;hl=en&amp;geocode=&amp;q=-26.16686,27.95596</v>
      </c>
    </row>
    <row r="3696" spans="1:7" ht="15" x14ac:dyDescent="0.3">
      <c r="A3696" t="s">
        <v>44</v>
      </c>
      <c r="B3696" t="s">
        <v>44</v>
      </c>
      <c r="C3696" t="s">
        <v>44</v>
      </c>
      <c r="D3696" t="s">
        <v>2433</v>
      </c>
      <c r="F3696" s="21"/>
      <c r="G3696" s="16"/>
    </row>
    <row r="3697" spans="1:7" ht="15" x14ac:dyDescent="0.3">
      <c r="A3697">
        <v>47.411293029785199</v>
      </c>
      <c r="B3697">
        <v>-120.556266784668</v>
      </c>
      <c r="C3697" t="s">
        <v>41</v>
      </c>
      <c r="D3697" t="s">
        <v>2434</v>
      </c>
      <c r="F3697" s="21"/>
      <c r="G3697" s="16" t="str">
        <f>HYPERLINK("http://maps.google.com/maps?f=q&amp;hl=en&amp;geocode=&amp;q=47.4112930297852,-120.556266784668")</f>
        <v>http://maps.google.com/maps?f=q&amp;hl=en&amp;geocode=&amp;q=47.4112930297852,-120.556266784668</v>
      </c>
    </row>
    <row r="3698" spans="1:7" ht="15" x14ac:dyDescent="0.3">
      <c r="A3698">
        <v>39.078589999999998</v>
      </c>
      <c r="B3698">
        <v>-94.543170000000003</v>
      </c>
      <c r="C3698" t="s">
        <v>43</v>
      </c>
      <c r="D3698" t="s">
        <v>2435</v>
      </c>
      <c r="F3698" s="21"/>
      <c r="G3698" s="16" t="str">
        <f>HYPERLINK("http://maps.google.com/maps?f=q&amp;hl=en&amp;geocode=&amp;q=39.07859,-94.54317")</f>
        <v>http://maps.google.com/maps?f=q&amp;hl=en&amp;geocode=&amp;q=39.07859,-94.54317</v>
      </c>
    </row>
    <row r="3699" spans="1:7" ht="15" x14ac:dyDescent="0.3">
      <c r="A3699">
        <v>-35.011020000000002</v>
      </c>
      <c r="B3699">
        <v>138.56721999999999</v>
      </c>
      <c r="C3699" t="s">
        <v>41</v>
      </c>
      <c r="D3699" t="s">
        <v>2436</v>
      </c>
      <c r="F3699" s="21"/>
      <c r="G3699" s="16" t="str">
        <f>HYPERLINK("http://maps.google.com/maps?f=q&amp;hl=en&amp;geocode=&amp;q=-35.01102,138.56722")</f>
        <v>http://maps.google.com/maps?f=q&amp;hl=en&amp;geocode=&amp;q=-35.01102,138.56722</v>
      </c>
    </row>
    <row r="3700" spans="1:7" ht="15" x14ac:dyDescent="0.3">
      <c r="A3700">
        <v>38.345570000000002</v>
      </c>
      <c r="B3700">
        <v>-75.079660000000004</v>
      </c>
      <c r="C3700" t="s">
        <v>43</v>
      </c>
      <c r="D3700" t="s">
        <v>2437</v>
      </c>
      <c r="F3700" s="21"/>
      <c r="G3700" s="16" t="str">
        <f>HYPERLINK("http://maps.google.com/maps?f=q&amp;hl=en&amp;geocode=&amp;q=38.34557,-75.07966")</f>
        <v>http://maps.google.com/maps?f=q&amp;hl=en&amp;geocode=&amp;q=38.34557,-75.07966</v>
      </c>
    </row>
    <row r="3701" spans="1:7" ht="15" x14ac:dyDescent="0.3">
      <c r="A3701">
        <v>38.345570000000002</v>
      </c>
      <c r="B3701">
        <v>-75.079660000000004</v>
      </c>
      <c r="C3701" t="s">
        <v>43</v>
      </c>
      <c r="D3701" t="s">
        <v>2437</v>
      </c>
      <c r="F3701" s="21"/>
      <c r="G3701" s="16" t="str">
        <f>HYPERLINK("http://maps.google.com/maps?f=q&amp;hl=en&amp;geocode=&amp;q=38.34557,-75.07966")</f>
        <v>http://maps.google.com/maps?f=q&amp;hl=en&amp;geocode=&amp;q=38.34557,-75.07966</v>
      </c>
    </row>
    <row r="3702" spans="1:7" ht="15" x14ac:dyDescent="0.3">
      <c r="A3702">
        <v>38.345570000000002</v>
      </c>
      <c r="B3702">
        <v>-75.079660000000004</v>
      </c>
      <c r="C3702" t="s">
        <v>43</v>
      </c>
      <c r="D3702" t="s">
        <v>2437</v>
      </c>
      <c r="F3702" s="21"/>
      <c r="G3702" s="16" t="str">
        <f>HYPERLINK("http://maps.google.com/maps?f=q&amp;hl=en&amp;geocode=&amp;q=38.34557,-75.07966")</f>
        <v>http://maps.google.com/maps?f=q&amp;hl=en&amp;geocode=&amp;q=38.34557,-75.07966</v>
      </c>
    </row>
    <row r="3703" spans="1:7" ht="15" x14ac:dyDescent="0.3">
      <c r="A3703">
        <v>38.345570000000002</v>
      </c>
      <c r="B3703">
        <v>-75.079660000000004</v>
      </c>
      <c r="C3703" t="s">
        <v>43</v>
      </c>
      <c r="D3703" t="s">
        <v>2437</v>
      </c>
      <c r="F3703" s="21"/>
      <c r="G3703" s="16" t="str">
        <f>HYPERLINK("http://maps.google.com/maps?f=q&amp;hl=en&amp;geocode=&amp;q=38.34557,-75.07966")</f>
        <v>http://maps.google.com/maps?f=q&amp;hl=en&amp;geocode=&amp;q=38.34557,-75.07966</v>
      </c>
    </row>
    <row r="3704" spans="1:7" ht="15" x14ac:dyDescent="0.3">
      <c r="A3704" t="s">
        <v>44</v>
      </c>
      <c r="B3704" t="s">
        <v>44</v>
      </c>
      <c r="C3704" t="s">
        <v>44</v>
      </c>
      <c r="D3704" t="s">
        <v>2438</v>
      </c>
      <c r="F3704" s="21"/>
      <c r="G3704" s="16"/>
    </row>
    <row r="3705" spans="1:7" ht="15" x14ac:dyDescent="0.3">
      <c r="A3705">
        <v>41.153622051066698</v>
      </c>
      <c r="B3705">
        <v>-111.911943634571</v>
      </c>
      <c r="C3705" t="s">
        <v>41</v>
      </c>
      <c r="D3705" t="s">
        <v>592</v>
      </c>
      <c r="F3705" s="21"/>
      <c r="G3705" s="16" t="str">
        <f>HYPERLINK("http://maps.google.com/maps?f=q&amp;hl=en&amp;geocode=&amp;q=41.1536220510667,-111.911943634571")</f>
        <v>http://maps.google.com/maps?f=q&amp;hl=en&amp;geocode=&amp;q=41.1536220510667,-111.911943634571</v>
      </c>
    </row>
    <row r="3706" spans="1:7" ht="15" x14ac:dyDescent="0.3">
      <c r="A3706">
        <v>36.254959493032104</v>
      </c>
      <c r="B3706">
        <v>-119.31585477940099</v>
      </c>
      <c r="C3706" t="s">
        <v>41</v>
      </c>
      <c r="D3706" t="s">
        <v>2439</v>
      </c>
      <c r="F3706" s="21"/>
      <c r="G3706" s="16" t="str">
        <f>HYPERLINK("http://maps.google.com/maps?f=q&amp;hl=en&amp;geocode=&amp;q=36.2549594930321,-119.315854779401")</f>
        <v>http://maps.google.com/maps?f=q&amp;hl=en&amp;geocode=&amp;q=36.2549594930321,-119.315854779401</v>
      </c>
    </row>
    <row r="3707" spans="1:7" ht="15" x14ac:dyDescent="0.3">
      <c r="A3707">
        <v>55.444332122802699</v>
      </c>
      <c r="B3707">
        <v>11.8504753112793</v>
      </c>
      <c r="C3707" t="s">
        <v>41</v>
      </c>
      <c r="D3707" t="s">
        <v>2313</v>
      </c>
      <c r="F3707" s="21"/>
      <c r="G3707" s="16" t="str">
        <f>HYPERLINK("http://maps.google.com/maps?f=q&amp;hl=en&amp;geocode=&amp;q=55.4443321228027,11.8504753112793")</f>
        <v>http://maps.google.com/maps?f=q&amp;hl=en&amp;geocode=&amp;q=55.4443321228027,11.8504753112793</v>
      </c>
    </row>
    <row r="3708" spans="1:7" ht="15" x14ac:dyDescent="0.3">
      <c r="A3708">
        <v>55.444332122802699</v>
      </c>
      <c r="B3708">
        <v>11.8504753112793</v>
      </c>
      <c r="C3708" t="s">
        <v>41</v>
      </c>
      <c r="D3708" t="s">
        <v>2313</v>
      </c>
      <c r="F3708" s="21"/>
      <c r="G3708" s="16" t="str">
        <f>HYPERLINK("http://maps.google.com/maps?f=q&amp;hl=en&amp;geocode=&amp;q=55.4443321228027,11.8504753112793")</f>
        <v>http://maps.google.com/maps?f=q&amp;hl=en&amp;geocode=&amp;q=55.4443321228027,11.8504753112793</v>
      </c>
    </row>
    <row r="3709" spans="1:7" ht="15" x14ac:dyDescent="0.3">
      <c r="A3709">
        <v>43.1462056492663</v>
      </c>
      <c r="B3709">
        <v>-75.463922665397305</v>
      </c>
      <c r="C3709" t="s">
        <v>41</v>
      </c>
      <c r="D3709" t="s">
        <v>2440</v>
      </c>
      <c r="F3709" s="21"/>
      <c r="G3709" s="16" t="str">
        <f>HYPERLINK("http://maps.google.com/maps?f=q&amp;hl=en&amp;geocode=&amp;q=43.1462056492663,-75.4639226653973")</f>
        <v>http://maps.google.com/maps?f=q&amp;hl=en&amp;geocode=&amp;q=43.1462056492663,-75.4639226653973</v>
      </c>
    </row>
    <row r="3710" spans="1:7" ht="15" x14ac:dyDescent="0.3">
      <c r="A3710">
        <v>40.126319317074099</v>
      </c>
      <c r="B3710">
        <v>-86.477936107795102</v>
      </c>
      <c r="C3710" t="s">
        <v>42</v>
      </c>
      <c r="D3710" t="s">
        <v>2441</v>
      </c>
      <c r="F3710" s="21"/>
      <c r="G3710" s="16" t="str">
        <f>HYPERLINK("http://maps.google.com/maps?f=q&amp;hl=en&amp;geocode=&amp;q=40.1263193170741,-86.4779361077951")</f>
        <v>http://maps.google.com/maps?f=q&amp;hl=en&amp;geocode=&amp;q=40.1263193170741,-86.4779361077951</v>
      </c>
    </row>
    <row r="3711" spans="1:7" ht="15" x14ac:dyDescent="0.3">
      <c r="A3711">
        <v>39.995420000000003</v>
      </c>
      <c r="B3711">
        <v>-75.167749999999998</v>
      </c>
      <c r="C3711" t="s">
        <v>41</v>
      </c>
      <c r="D3711" t="s">
        <v>2442</v>
      </c>
      <c r="F3711" s="21"/>
      <c r="G3711" s="16" t="str">
        <f>HYPERLINK("http://maps.google.com/maps?f=q&amp;hl=en&amp;geocode=&amp;q=39.99542,-75.16775")</f>
        <v>http://maps.google.com/maps?f=q&amp;hl=en&amp;geocode=&amp;q=39.99542,-75.16775</v>
      </c>
    </row>
    <row r="3712" spans="1:7" ht="15" x14ac:dyDescent="0.3">
      <c r="A3712">
        <v>39.941827601865803</v>
      </c>
      <c r="B3712">
        <v>-83.777586819788397</v>
      </c>
      <c r="C3712" t="s">
        <v>41</v>
      </c>
      <c r="D3712" t="s">
        <v>2443</v>
      </c>
      <c r="F3712" s="21"/>
      <c r="G3712" s="16" t="str">
        <f>HYPERLINK("http://maps.google.com/maps?f=q&amp;hl=en&amp;geocode=&amp;q=39.9418276018658,-83.7775868197884")</f>
        <v>http://maps.google.com/maps?f=q&amp;hl=en&amp;geocode=&amp;q=39.9418276018658,-83.7775868197884</v>
      </c>
    </row>
    <row r="3713" spans="1:7" ht="15" x14ac:dyDescent="0.3">
      <c r="A3713" t="s">
        <v>44</v>
      </c>
      <c r="B3713" t="s">
        <v>44</v>
      </c>
      <c r="C3713" t="s">
        <v>44</v>
      </c>
      <c r="D3713" t="s">
        <v>2444</v>
      </c>
      <c r="F3713" s="21"/>
      <c r="G3713" s="16"/>
    </row>
    <row r="3714" spans="1:7" ht="15" x14ac:dyDescent="0.3">
      <c r="A3714">
        <v>54.901432037353501</v>
      </c>
      <c r="B3714">
        <v>10.7508296966553</v>
      </c>
      <c r="C3714" t="s">
        <v>43</v>
      </c>
      <c r="D3714" t="s">
        <v>2236</v>
      </c>
      <c r="F3714" s="21"/>
      <c r="G3714" s="16" t="str">
        <f>HYPERLINK("http://maps.google.com/maps?f=q&amp;hl=en&amp;geocode=&amp;q=54.9014320373535,10.7508296966553")</f>
        <v>http://maps.google.com/maps?f=q&amp;hl=en&amp;geocode=&amp;q=54.9014320373535,10.7508296966553</v>
      </c>
    </row>
    <row r="3715" spans="1:7" ht="15" x14ac:dyDescent="0.3">
      <c r="A3715">
        <v>40.043282529474297</v>
      </c>
      <c r="B3715">
        <v>-75.075860464798893</v>
      </c>
      <c r="C3715" t="s">
        <v>41</v>
      </c>
      <c r="D3715" t="s">
        <v>2445</v>
      </c>
      <c r="F3715" s="21"/>
      <c r="G3715" s="16" t="str">
        <f>HYPERLINK("http://maps.google.com/maps?f=q&amp;hl=en&amp;geocode=&amp;q=40.0432825294743,-75.0758604647989")</f>
        <v>http://maps.google.com/maps?f=q&amp;hl=en&amp;geocode=&amp;q=40.0432825294743,-75.0758604647989</v>
      </c>
    </row>
    <row r="3716" spans="1:7" ht="15" x14ac:dyDescent="0.3">
      <c r="A3716">
        <v>40.273551680022102</v>
      </c>
      <c r="B3716">
        <v>-75.9632035799047</v>
      </c>
      <c r="C3716" t="s">
        <v>41</v>
      </c>
      <c r="D3716" t="s">
        <v>2446</v>
      </c>
      <c r="F3716" s="21"/>
      <c r="G3716" s="16" t="str">
        <f>HYPERLINK("http://maps.google.com/maps?f=q&amp;hl=en&amp;geocode=&amp;q=40.2735516800221,-75.9632035799047")</f>
        <v>http://maps.google.com/maps?f=q&amp;hl=en&amp;geocode=&amp;q=40.2735516800221,-75.9632035799047</v>
      </c>
    </row>
    <row r="3717" spans="1:7" ht="15" x14ac:dyDescent="0.3">
      <c r="A3717" t="s">
        <v>44</v>
      </c>
      <c r="B3717" t="s">
        <v>44</v>
      </c>
      <c r="C3717" t="s">
        <v>44</v>
      </c>
      <c r="D3717" t="s">
        <v>1153</v>
      </c>
      <c r="F3717" s="21"/>
      <c r="G3717" s="16"/>
    </row>
    <row r="3718" spans="1:7" ht="15" x14ac:dyDescent="0.3">
      <c r="A3718" t="s">
        <v>44</v>
      </c>
      <c r="B3718" t="s">
        <v>44</v>
      </c>
      <c r="C3718" t="s">
        <v>44</v>
      </c>
      <c r="D3718" t="s">
        <v>1153</v>
      </c>
      <c r="F3718" s="21"/>
      <c r="G3718" s="16"/>
    </row>
    <row r="3719" spans="1:7" ht="15" x14ac:dyDescent="0.3">
      <c r="A3719" t="s">
        <v>44</v>
      </c>
      <c r="B3719" t="s">
        <v>44</v>
      </c>
      <c r="C3719" t="s">
        <v>44</v>
      </c>
      <c r="D3719" t="s">
        <v>1153</v>
      </c>
      <c r="F3719" s="21"/>
      <c r="G3719" s="16"/>
    </row>
    <row r="3720" spans="1:7" ht="15" x14ac:dyDescent="0.3">
      <c r="A3720">
        <v>33.3581109291028</v>
      </c>
      <c r="B3720">
        <v>-111.902057543352</v>
      </c>
      <c r="C3720" t="s">
        <v>41</v>
      </c>
      <c r="D3720" t="s">
        <v>781</v>
      </c>
      <c r="F3720" s="21"/>
      <c r="G3720" s="16" t="str">
        <f>HYPERLINK("http://maps.google.com/maps?f=q&amp;hl=en&amp;geocode=&amp;q=33.3581109291028,-111.902057543352")</f>
        <v>http://maps.google.com/maps?f=q&amp;hl=en&amp;geocode=&amp;q=33.3581109291028,-111.902057543352</v>
      </c>
    </row>
    <row r="3721" spans="1:7" ht="15" x14ac:dyDescent="0.3">
      <c r="A3721">
        <v>33.9562929685613</v>
      </c>
      <c r="B3721">
        <v>-79.059089847370004</v>
      </c>
      <c r="C3721" t="s">
        <v>41</v>
      </c>
      <c r="D3721" t="s">
        <v>2447</v>
      </c>
      <c r="F3721" s="21"/>
      <c r="G3721" s="16" t="str">
        <f>HYPERLINK("http://maps.google.com/maps?f=q&amp;hl=en&amp;geocode=&amp;q=33.9562929685613,-79.05908984737")</f>
        <v>http://maps.google.com/maps?f=q&amp;hl=en&amp;geocode=&amp;q=33.9562929685613,-79.05908984737</v>
      </c>
    </row>
    <row r="3722" spans="1:7" ht="15" x14ac:dyDescent="0.3">
      <c r="A3722">
        <v>-33.138832092285199</v>
      </c>
      <c r="B3722">
        <v>137.29994201660199</v>
      </c>
      <c r="C3722" t="s">
        <v>41</v>
      </c>
      <c r="D3722" t="s">
        <v>1636</v>
      </c>
      <c r="F3722" s="21"/>
      <c r="G3722" s="16" t="str">
        <f>HYPERLINK("http://maps.google.com/maps?f=q&amp;hl=en&amp;geocode=&amp;q=-33.1388320922852,137.299942016602")</f>
        <v>http://maps.google.com/maps?f=q&amp;hl=en&amp;geocode=&amp;q=-33.1388320922852,137.299942016602</v>
      </c>
    </row>
    <row r="3723" spans="1:7" ht="15" x14ac:dyDescent="0.3">
      <c r="A3723">
        <v>40.240113182502803</v>
      </c>
      <c r="B3723">
        <v>-77.051440745918896</v>
      </c>
      <c r="C3723" t="s">
        <v>41</v>
      </c>
      <c r="D3723" t="s">
        <v>2448</v>
      </c>
      <c r="F3723" s="21"/>
      <c r="G3723" s="16" t="str">
        <f>HYPERLINK("http://maps.google.com/maps?f=q&amp;hl=en&amp;geocode=&amp;q=40.2401131825028,-77.0514407459189")</f>
        <v>http://maps.google.com/maps?f=q&amp;hl=en&amp;geocode=&amp;q=40.2401131825028,-77.0514407459189</v>
      </c>
    </row>
    <row r="3724" spans="1:7" ht="15" x14ac:dyDescent="0.3">
      <c r="A3724">
        <v>49.746891021728501</v>
      </c>
      <c r="B3724">
        <v>6.0999960899353001</v>
      </c>
      <c r="C3724" t="s">
        <v>41</v>
      </c>
      <c r="D3724" t="s">
        <v>2449</v>
      </c>
      <c r="F3724" s="21"/>
      <c r="G3724" s="16" t="str">
        <f>HYPERLINK("http://maps.google.com/maps?f=q&amp;hl=en&amp;geocode=&amp;q=49.7468910217285,6.0999960899353")</f>
        <v>http://maps.google.com/maps?f=q&amp;hl=en&amp;geocode=&amp;q=49.7468910217285,6.0999960899353</v>
      </c>
    </row>
    <row r="3725" spans="1:7" ht="15" x14ac:dyDescent="0.3">
      <c r="F3725" s="21"/>
      <c r="G3725" s="16"/>
    </row>
    <row r="3726" spans="1:7" ht="15" x14ac:dyDescent="0.3">
      <c r="A3726" t="s">
        <v>44</v>
      </c>
      <c r="B3726" t="s">
        <v>44</v>
      </c>
      <c r="C3726" t="s">
        <v>44</v>
      </c>
      <c r="D3726" t="s">
        <v>2136</v>
      </c>
      <c r="F3726" s="21"/>
      <c r="G3726" s="16"/>
    </row>
    <row r="3727" spans="1:7" ht="15" x14ac:dyDescent="0.3">
      <c r="A3727">
        <v>35.765806399100903</v>
      </c>
      <c r="B3727">
        <v>-83.657565736394105</v>
      </c>
      <c r="C3727" t="s">
        <v>43</v>
      </c>
      <c r="D3727" t="s">
        <v>2450</v>
      </c>
      <c r="F3727" s="21"/>
      <c r="G3727" s="16" t="str">
        <f>HYPERLINK("http://maps.google.com/maps?f=q&amp;hl=en&amp;geocode=&amp;q=35.7658063991009,-83.6575657363941")</f>
        <v>http://maps.google.com/maps?f=q&amp;hl=en&amp;geocode=&amp;q=35.7658063991009,-83.6575657363941</v>
      </c>
    </row>
    <row r="3728" spans="1:7" ht="15" x14ac:dyDescent="0.3">
      <c r="A3728">
        <v>33.596593951297798</v>
      </c>
      <c r="B3728">
        <v>-84.234836509950497</v>
      </c>
      <c r="C3728" t="s">
        <v>41</v>
      </c>
      <c r="D3728" t="s">
        <v>576</v>
      </c>
      <c r="F3728" s="21"/>
      <c r="G3728" s="16" t="str">
        <f>HYPERLINK("http://maps.google.com/maps?f=q&amp;hl=en&amp;geocode=&amp;q=33.5965939512978,-84.2348365099505")</f>
        <v>http://maps.google.com/maps?f=q&amp;hl=en&amp;geocode=&amp;q=33.5965939512978,-84.2348365099505</v>
      </c>
    </row>
    <row r="3729" spans="1:7" ht="15" x14ac:dyDescent="0.3">
      <c r="A3729" t="s">
        <v>44</v>
      </c>
      <c r="B3729" t="s">
        <v>44</v>
      </c>
      <c r="C3729" t="s">
        <v>44</v>
      </c>
      <c r="D3729" t="s">
        <v>2451</v>
      </c>
      <c r="F3729" s="21"/>
      <c r="G3729" s="16"/>
    </row>
    <row r="3730" spans="1:7" ht="15" x14ac:dyDescent="0.3">
      <c r="A3730">
        <v>38.947154998779297</v>
      </c>
      <c r="B3730">
        <v>-8.9184045791625994</v>
      </c>
      <c r="C3730" t="s">
        <v>41</v>
      </c>
      <c r="D3730" t="s">
        <v>2103</v>
      </c>
      <c r="F3730" s="21"/>
      <c r="G3730" s="16" t="str">
        <f>HYPERLINK("http://maps.google.com/maps?f=q&amp;hl=en&amp;geocode=&amp;q=38.9471549987793,-8.9184045791626")</f>
        <v>http://maps.google.com/maps?f=q&amp;hl=en&amp;geocode=&amp;q=38.9471549987793,-8.9184045791626</v>
      </c>
    </row>
    <row r="3731" spans="1:7" ht="15" x14ac:dyDescent="0.3">
      <c r="A3731">
        <v>36.4110249671388</v>
      </c>
      <c r="B3731">
        <v>-102.530080414349</v>
      </c>
      <c r="C3731" t="s">
        <v>41</v>
      </c>
      <c r="D3731" t="s">
        <v>2452</v>
      </c>
      <c r="F3731" s="21"/>
      <c r="G3731" s="16" t="str">
        <f>HYPERLINK("http://maps.google.com/maps?f=q&amp;hl=en&amp;geocode=&amp;q=36.4110249671388,-102.530080414349")</f>
        <v>http://maps.google.com/maps?f=q&amp;hl=en&amp;geocode=&amp;q=36.4110249671388,-102.530080414349</v>
      </c>
    </row>
    <row r="3732" spans="1:7" ht="15" x14ac:dyDescent="0.3">
      <c r="A3732">
        <v>-34.847869873046903</v>
      </c>
      <c r="B3732">
        <v>138.77195739746099</v>
      </c>
      <c r="C3732" t="s">
        <v>41</v>
      </c>
      <c r="D3732" t="s">
        <v>2453</v>
      </c>
      <c r="F3732" s="21"/>
      <c r="G3732" s="16" t="str">
        <f>HYPERLINK("http://maps.google.com/maps?f=q&amp;hl=en&amp;geocode=&amp;q=-34.8478698730469,138.771957397461")</f>
        <v>http://maps.google.com/maps?f=q&amp;hl=en&amp;geocode=&amp;q=-34.8478698730469,138.771957397461</v>
      </c>
    </row>
    <row r="3733" spans="1:7" ht="15" x14ac:dyDescent="0.3">
      <c r="A3733" t="s">
        <v>44</v>
      </c>
      <c r="B3733" t="s">
        <v>44</v>
      </c>
      <c r="C3733" t="s">
        <v>44</v>
      </c>
      <c r="D3733" t="s">
        <v>2454</v>
      </c>
      <c r="F3733" s="21"/>
      <c r="G3733" s="16"/>
    </row>
    <row r="3734" spans="1:7" ht="15" x14ac:dyDescent="0.3">
      <c r="A3734">
        <v>45.899297146376</v>
      </c>
      <c r="B3734">
        <v>-92.333725386355994</v>
      </c>
      <c r="C3734" t="s">
        <v>41</v>
      </c>
      <c r="D3734" t="s">
        <v>1290</v>
      </c>
      <c r="F3734" s="21"/>
      <c r="G3734" s="16" t="str">
        <f>HYPERLINK("http://maps.google.com/maps?f=q&amp;hl=en&amp;geocode=&amp;q=45.899297146376,-92.333725386356")</f>
        <v>http://maps.google.com/maps?f=q&amp;hl=en&amp;geocode=&amp;q=45.899297146376,-92.333725386356</v>
      </c>
    </row>
    <row r="3735" spans="1:7" ht="15" x14ac:dyDescent="0.3">
      <c r="A3735" t="s">
        <v>44</v>
      </c>
      <c r="B3735" t="s">
        <v>44</v>
      </c>
      <c r="C3735" t="s">
        <v>44</v>
      </c>
      <c r="D3735" t="s">
        <v>2455</v>
      </c>
      <c r="F3735" s="21"/>
      <c r="G3735" s="16"/>
    </row>
    <row r="3736" spans="1:7" ht="15" x14ac:dyDescent="0.3">
      <c r="A3736">
        <v>52.209800720214801</v>
      </c>
      <c r="B3736">
        <v>0.111469998955727</v>
      </c>
      <c r="C3736" t="s">
        <v>41</v>
      </c>
      <c r="D3736" t="s">
        <v>2456</v>
      </c>
      <c r="F3736" s="21"/>
      <c r="G3736" s="16" t="str">
        <f>HYPERLINK("http://maps.google.com/maps?f=q&amp;hl=en&amp;geocode=&amp;q=52.2098007202148,0.111469998955727")</f>
        <v>http://maps.google.com/maps?f=q&amp;hl=en&amp;geocode=&amp;q=52.2098007202148,0.111469998955727</v>
      </c>
    </row>
    <row r="3737" spans="1:7" ht="15" x14ac:dyDescent="0.3">
      <c r="A3737">
        <v>39.955100000000002</v>
      </c>
      <c r="B3737">
        <v>-75.219840000000005</v>
      </c>
      <c r="C3737" t="s">
        <v>42</v>
      </c>
      <c r="D3737" t="s">
        <v>2457</v>
      </c>
      <c r="F3737" s="21"/>
      <c r="G3737" s="16" t="str">
        <f>HYPERLINK("http://maps.google.com/maps?f=q&amp;hl=en&amp;geocode=&amp;q=39.9551,-75.21984")</f>
        <v>http://maps.google.com/maps?f=q&amp;hl=en&amp;geocode=&amp;q=39.9551,-75.21984</v>
      </c>
    </row>
    <row r="3738" spans="1:7" ht="15" x14ac:dyDescent="0.3">
      <c r="A3738">
        <v>39.984090000000002</v>
      </c>
      <c r="B3738">
        <v>-75.234269999999995</v>
      </c>
      <c r="C3738" t="s">
        <v>42</v>
      </c>
      <c r="D3738" t="s">
        <v>2458</v>
      </c>
      <c r="F3738" s="21"/>
      <c r="G3738" s="16" t="str">
        <f>HYPERLINK("http://maps.google.com/maps?f=q&amp;hl=en&amp;geocode=&amp;q=39.98409,-75.23427")</f>
        <v>http://maps.google.com/maps?f=q&amp;hl=en&amp;geocode=&amp;q=39.98409,-75.23427</v>
      </c>
    </row>
    <row r="3739" spans="1:7" ht="15" x14ac:dyDescent="0.3">
      <c r="A3739">
        <v>39.955100000000002</v>
      </c>
      <c r="B3739">
        <v>-75.219840000000005</v>
      </c>
      <c r="C3739" t="s">
        <v>42</v>
      </c>
      <c r="D3739" t="s">
        <v>2457</v>
      </c>
      <c r="F3739" s="21"/>
      <c r="G3739" s="16" t="str">
        <f>HYPERLINK("http://maps.google.com/maps?f=q&amp;hl=en&amp;geocode=&amp;q=39.9551,-75.21984")</f>
        <v>http://maps.google.com/maps?f=q&amp;hl=en&amp;geocode=&amp;q=39.9551,-75.21984</v>
      </c>
    </row>
    <row r="3740" spans="1:7" ht="15" x14ac:dyDescent="0.3">
      <c r="A3740">
        <v>41.539311717313197</v>
      </c>
      <c r="B3740">
        <v>-83.856374214840002</v>
      </c>
      <c r="C3740" t="s">
        <v>41</v>
      </c>
      <c r="D3740" t="s">
        <v>2459</v>
      </c>
      <c r="F3740" s="21"/>
      <c r="G3740" s="16" t="str">
        <f>HYPERLINK("http://maps.google.com/maps?f=q&amp;hl=en&amp;geocode=&amp;q=41.5393117173132,-83.85637421484")</f>
        <v>http://maps.google.com/maps?f=q&amp;hl=en&amp;geocode=&amp;q=41.5393117173132,-83.85637421484</v>
      </c>
    </row>
    <row r="3741" spans="1:7" ht="15" x14ac:dyDescent="0.3">
      <c r="A3741">
        <v>44.9096384688266</v>
      </c>
      <c r="B3741">
        <v>-90.315616419795305</v>
      </c>
      <c r="C3741" t="s">
        <v>41</v>
      </c>
      <c r="D3741" t="s">
        <v>2460</v>
      </c>
      <c r="F3741" s="21"/>
      <c r="G3741" s="16" t="str">
        <f>HYPERLINK("http://maps.google.com/maps?f=q&amp;hl=en&amp;geocode=&amp;q=44.9096384688266,-90.3156164197953")</f>
        <v>http://maps.google.com/maps?f=q&amp;hl=en&amp;geocode=&amp;q=44.9096384688266,-90.3156164197953</v>
      </c>
    </row>
    <row r="3742" spans="1:7" ht="15" x14ac:dyDescent="0.3">
      <c r="A3742">
        <v>50.455070495605497</v>
      </c>
      <c r="B3742">
        <v>3.9648540019989</v>
      </c>
      <c r="C3742" t="s">
        <v>43</v>
      </c>
      <c r="D3742" t="s">
        <v>2461</v>
      </c>
      <c r="F3742" s="21"/>
      <c r="G3742" s="16" t="str">
        <f>HYPERLINK("http://maps.google.com/maps?f=q&amp;hl=en&amp;geocode=&amp;q=50.4550704956055,3.9648540019989")</f>
        <v>http://maps.google.com/maps?f=q&amp;hl=en&amp;geocode=&amp;q=50.4550704956055,3.9648540019989</v>
      </c>
    </row>
    <row r="3743" spans="1:7" ht="15" x14ac:dyDescent="0.3">
      <c r="A3743">
        <v>36.502029418945298</v>
      </c>
      <c r="B3743">
        <v>-88.325889587402301</v>
      </c>
      <c r="C3743" t="s">
        <v>43</v>
      </c>
      <c r="D3743" t="s">
        <v>2462</v>
      </c>
      <c r="F3743" s="21"/>
      <c r="G3743" s="16" t="str">
        <f>HYPERLINK("http://maps.google.com/maps?f=q&amp;hl=en&amp;geocode=&amp;q=36.5020294189453,-88.3258895874023")</f>
        <v>http://maps.google.com/maps?f=q&amp;hl=en&amp;geocode=&amp;q=36.5020294189453,-88.3258895874023</v>
      </c>
    </row>
    <row r="3744" spans="1:7" ht="15" x14ac:dyDescent="0.3">
      <c r="A3744">
        <v>36.502029418945298</v>
      </c>
      <c r="B3744">
        <v>-88.325889587402301</v>
      </c>
      <c r="C3744" t="s">
        <v>43</v>
      </c>
      <c r="D3744" t="s">
        <v>2462</v>
      </c>
      <c r="F3744" s="21"/>
      <c r="G3744" s="16" t="str">
        <f>HYPERLINK("http://maps.google.com/maps?f=q&amp;hl=en&amp;geocode=&amp;q=36.5020294189453,-88.3258895874023")</f>
        <v>http://maps.google.com/maps?f=q&amp;hl=en&amp;geocode=&amp;q=36.5020294189453,-88.3258895874023</v>
      </c>
    </row>
    <row r="3745" spans="1:7" ht="15" x14ac:dyDescent="0.3">
      <c r="A3745">
        <v>41.528929886105303</v>
      </c>
      <c r="B3745">
        <v>-83.853731080587195</v>
      </c>
      <c r="C3745" t="s">
        <v>41</v>
      </c>
      <c r="D3745" t="s">
        <v>2463</v>
      </c>
      <c r="F3745" s="21"/>
      <c r="G3745" s="16" t="str">
        <f>HYPERLINK("http://maps.google.com/maps?f=q&amp;hl=en&amp;geocode=&amp;q=41.5289298861053,-83.8537310805872")</f>
        <v>http://maps.google.com/maps?f=q&amp;hl=en&amp;geocode=&amp;q=41.5289298861053,-83.8537310805872</v>
      </c>
    </row>
    <row r="3746" spans="1:7" ht="15" x14ac:dyDescent="0.3">
      <c r="A3746">
        <v>36.788460000000001</v>
      </c>
      <c r="B3746">
        <v>-86.804990000000004</v>
      </c>
      <c r="C3746" t="s">
        <v>42</v>
      </c>
      <c r="D3746" t="s">
        <v>2464</v>
      </c>
      <c r="F3746" s="21"/>
      <c r="G3746" s="16" t="str">
        <f>HYPERLINK("http://maps.google.com/maps?f=q&amp;hl=en&amp;geocode=&amp;q=36.78846,-86.80499")</f>
        <v>http://maps.google.com/maps?f=q&amp;hl=en&amp;geocode=&amp;q=36.78846,-86.80499</v>
      </c>
    </row>
    <row r="3747" spans="1:7" ht="15" x14ac:dyDescent="0.3">
      <c r="A3747">
        <v>35.2904667671231</v>
      </c>
      <c r="B3747">
        <v>-95.574803512870105</v>
      </c>
      <c r="C3747" t="s">
        <v>41</v>
      </c>
      <c r="D3747" t="s">
        <v>2465</v>
      </c>
      <c r="F3747" s="21"/>
      <c r="G3747" s="16" t="str">
        <f>HYPERLINK("http://maps.google.com/maps?f=q&amp;hl=en&amp;geocode=&amp;q=35.2904667671231,-95.5748035128701")</f>
        <v>http://maps.google.com/maps?f=q&amp;hl=en&amp;geocode=&amp;q=35.2904667671231,-95.5748035128701</v>
      </c>
    </row>
    <row r="3748" spans="1:7" ht="15" x14ac:dyDescent="0.3">
      <c r="A3748">
        <v>46.322145815540502</v>
      </c>
      <c r="B3748">
        <v>-119.266059281191</v>
      </c>
      <c r="C3748" t="s">
        <v>41</v>
      </c>
      <c r="D3748" t="s">
        <v>2466</v>
      </c>
      <c r="F3748" s="21"/>
      <c r="G3748" s="16" t="str">
        <f>HYPERLINK("http://maps.google.com/maps?f=q&amp;hl=en&amp;geocode=&amp;q=46.3221458155405,-119.266059281191")</f>
        <v>http://maps.google.com/maps?f=q&amp;hl=en&amp;geocode=&amp;q=46.3221458155405,-119.266059281191</v>
      </c>
    </row>
    <row r="3749" spans="1:7" ht="15" x14ac:dyDescent="0.3">
      <c r="A3749">
        <v>36.153765632784101</v>
      </c>
      <c r="B3749">
        <v>-86.794563609150401</v>
      </c>
      <c r="C3749" t="s">
        <v>41</v>
      </c>
      <c r="D3749" t="s">
        <v>718</v>
      </c>
      <c r="F3749" s="21"/>
      <c r="G3749" s="16" t="str">
        <f>HYPERLINK("http://maps.google.com/maps?f=q&amp;hl=en&amp;geocode=&amp;q=36.1537656327841,-86.7945636091504")</f>
        <v>http://maps.google.com/maps?f=q&amp;hl=en&amp;geocode=&amp;q=36.1537656327841,-86.7945636091504</v>
      </c>
    </row>
    <row r="3750" spans="1:7" ht="15" x14ac:dyDescent="0.3">
      <c r="A3750">
        <v>39.917000000000002</v>
      </c>
      <c r="B3750">
        <v>-75.240369999999999</v>
      </c>
      <c r="C3750" t="s">
        <v>41</v>
      </c>
      <c r="D3750" t="s">
        <v>2467</v>
      </c>
      <c r="F3750" s="21"/>
      <c r="G3750" s="16" t="str">
        <f>HYPERLINK("http://maps.google.com/maps?f=q&amp;hl=en&amp;geocode=&amp;q=39.917,-75.24037")</f>
        <v>http://maps.google.com/maps?f=q&amp;hl=en&amp;geocode=&amp;q=39.917,-75.24037</v>
      </c>
    </row>
    <row r="3751" spans="1:7" ht="15" x14ac:dyDescent="0.3">
      <c r="A3751">
        <v>39.242506678307599</v>
      </c>
      <c r="B3751">
        <v>-78.203576719034103</v>
      </c>
      <c r="C3751" t="s">
        <v>41</v>
      </c>
      <c r="D3751" t="s">
        <v>2468</v>
      </c>
      <c r="F3751" s="21"/>
      <c r="G3751" s="16" t="str">
        <f>HYPERLINK("http://maps.google.com/maps?f=q&amp;hl=en&amp;geocode=&amp;q=39.2425066783076,-78.2035767190341")</f>
        <v>http://maps.google.com/maps?f=q&amp;hl=en&amp;geocode=&amp;q=39.2425066783076,-78.2035767190341</v>
      </c>
    </row>
    <row r="3752" spans="1:7" ht="15" x14ac:dyDescent="0.3">
      <c r="A3752">
        <v>39.693474149294801</v>
      </c>
      <c r="B3752">
        <v>-84.118671277588902</v>
      </c>
      <c r="C3752" t="s">
        <v>41</v>
      </c>
      <c r="D3752" t="s">
        <v>206</v>
      </c>
      <c r="F3752" s="21"/>
      <c r="G3752" s="16" t="str">
        <f>HYPERLINK("http://maps.google.com/maps?f=q&amp;hl=en&amp;geocode=&amp;q=39.6934741492948,-84.1186712775889")</f>
        <v>http://maps.google.com/maps?f=q&amp;hl=en&amp;geocode=&amp;q=39.6934741492948,-84.1186712775889</v>
      </c>
    </row>
    <row r="3753" spans="1:7" ht="15" x14ac:dyDescent="0.3">
      <c r="A3753">
        <v>40.037979125976598</v>
      </c>
      <c r="B3753">
        <v>-75.223060607910199</v>
      </c>
      <c r="C3753" t="s">
        <v>41</v>
      </c>
      <c r="D3753" t="s">
        <v>2469</v>
      </c>
      <c r="F3753" s="21"/>
      <c r="G3753" s="16" t="str">
        <f>HYPERLINK("http://maps.google.com/maps?f=q&amp;hl=en&amp;geocode=&amp;q=40.0379791259766,-75.2230606079102")</f>
        <v>http://maps.google.com/maps?f=q&amp;hl=en&amp;geocode=&amp;q=40.0379791259766,-75.2230606079102</v>
      </c>
    </row>
    <row r="3754" spans="1:7" ht="15" x14ac:dyDescent="0.3">
      <c r="A3754" t="s">
        <v>44</v>
      </c>
      <c r="B3754" t="s">
        <v>44</v>
      </c>
      <c r="C3754" t="s">
        <v>44</v>
      </c>
      <c r="D3754" t="s">
        <v>2470</v>
      </c>
      <c r="F3754" s="21"/>
      <c r="G3754" s="16"/>
    </row>
    <row r="3755" spans="1:7" ht="15" x14ac:dyDescent="0.3">
      <c r="A3755">
        <v>34.127752725355897</v>
      </c>
      <c r="B3755">
        <v>-116.23849384587299</v>
      </c>
      <c r="C3755" t="s">
        <v>41</v>
      </c>
      <c r="D3755" t="s">
        <v>2471</v>
      </c>
      <c r="F3755" s="21"/>
      <c r="G3755" s="16" t="str">
        <f>HYPERLINK("http://maps.google.com/maps?f=q&amp;hl=en&amp;geocode=&amp;q=34.1277527253559,-116.238493845873")</f>
        <v>http://maps.google.com/maps?f=q&amp;hl=en&amp;geocode=&amp;q=34.1277527253559,-116.238493845873</v>
      </c>
    </row>
    <row r="3756" spans="1:7" ht="15" x14ac:dyDescent="0.3">
      <c r="A3756">
        <v>40.026049999999998</v>
      </c>
      <c r="B3756">
        <v>-75.169479999999993</v>
      </c>
      <c r="C3756" t="s">
        <v>41</v>
      </c>
      <c r="D3756" t="s">
        <v>2288</v>
      </c>
      <c r="F3756" s="21"/>
      <c r="G3756" s="16" t="str">
        <f>HYPERLINK("http://maps.google.com/maps?f=q&amp;hl=en&amp;geocode=&amp;q=40.02605,-75.16948")</f>
        <v>http://maps.google.com/maps?f=q&amp;hl=en&amp;geocode=&amp;q=40.02605,-75.16948</v>
      </c>
    </row>
    <row r="3757" spans="1:7" ht="15" x14ac:dyDescent="0.3">
      <c r="A3757" t="s">
        <v>44</v>
      </c>
      <c r="B3757" t="s">
        <v>44</v>
      </c>
      <c r="C3757" t="s">
        <v>44</v>
      </c>
      <c r="D3757" t="s">
        <v>2472</v>
      </c>
      <c r="F3757" s="21"/>
      <c r="G3757" s="16"/>
    </row>
    <row r="3758" spans="1:7" ht="15" x14ac:dyDescent="0.3">
      <c r="A3758">
        <v>33.667568206787102</v>
      </c>
      <c r="B3758">
        <v>-117.32785797119099</v>
      </c>
      <c r="C3758" t="s">
        <v>43</v>
      </c>
      <c r="D3758" t="s">
        <v>2473</v>
      </c>
      <c r="F3758" s="21"/>
      <c r="G3758" s="16" t="str">
        <f>HYPERLINK("http://maps.google.com/maps?f=q&amp;hl=en&amp;geocode=&amp;q=33.6675682067871,-117.327857971191")</f>
        <v>http://maps.google.com/maps?f=q&amp;hl=en&amp;geocode=&amp;q=33.6675682067871,-117.327857971191</v>
      </c>
    </row>
    <row r="3759" spans="1:7" ht="15" x14ac:dyDescent="0.3">
      <c r="A3759">
        <v>39.773628234863303</v>
      </c>
      <c r="B3759">
        <v>-87.206352233886705</v>
      </c>
      <c r="C3759" t="s">
        <v>41</v>
      </c>
      <c r="D3759" t="s">
        <v>76</v>
      </c>
      <c r="F3759" s="21"/>
      <c r="G3759" s="16" t="str">
        <f>HYPERLINK("http://maps.google.com/maps?f=q&amp;hl=en&amp;geocode=&amp;q=39.7736282348633,-87.2063522338867")</f>
        <v>http://maps.google.com/maps?f=q&amp;hl=en&amp;geocode=&amp;q=39.7736282348633,-87.2063522338867</v>
      </c>
    </row>
    <row r="3760" spans="1:7" ht="15" x14ac:dyDescent="0.3">
      <c r="A3760">
        <v>39.773628234863303</v>
      </c>
      <c r="B3760">
        <v>-87.206352233886705</v>
      </c>
      <c r="C3760" t="s">
        <v>41</v>
      </c>
      <c r="D3760" t="s">
        <v>76</v>
      </c>
      <c r="F3760" s="21"/>
      <c r="G3760" s="16" t="str">
        <f>HYPERLINK("http://maps.google.com/maps?f=q&amp;hl=en&amp;geocode=&amp;q=39.7736282348633,-87.2063522338867")</f>
        <v>http://maps.google.com/maps?f=q&amp;hl=en&amp;geocode=&amp;q=39.7736282348633,-87.2063522338867</v>
      </c>
    </row>
    <row r="3761" spans="1:7" ht="15" x14ac:dyDescent="0.3">
      <c r="A3761">
        <v>42.976468489900597</v>
      </c>
      <c r="B3761">
        <v>-90.546843884785204</v>
      </c>
      <c r="C3761" t="s">
        <v>42</v>
      </c>
      <c r="D3761" t="s">
        <v>1637</v>
      </c>
      <c r="F3761" s="21"/>
      <c r="G3761" s="16" t="str">
        <f>HYPERLINK("http://maps.google.com/maps?f=q&amp;hl=en&amp;geocode=&amp;q=42.9764684899006,-90.5468438847852")</f>
        <v>http://maps.google.com/maps?f=q&amp;hl=en&amp;geocode=&amp;q=42.9764684899006,-90.5468438847852</v>
      </c>
    </row>
    <row r="3762" spans="1:7" ht="15" x14ac:dyDescent="0.3">
      <c r="A3762">
        <v>40.024738311767599</v>
      </c>
      <c r="B3762">
        <v>-75.213882446289105</v>
      </c>
      <c r="C3762" t="s">
        <v>43</v>
      </c>
      <c r="D3762" t="s">
        <v>2474</v>
      </c>
      <c r="F3762" s="21"/>
      <c r="G3762" s="16" t="str">
        <f>HYPERLINK("http://maps.google.com/maps?f=q&amp;hl=en&amp;geocode=&amp;q=40.0247383117676,-75.2138824462891")</f>
        <v>http://maps.google.com/maps?f=q&amp;hl=en&amp;geocode=&amp;q=40.0247383117676,-75.2138824462891</v>
      </c>
    </row>
    <row r="3763" spans="1:7" ht="15" x14ac:dyDescent="0.3">
      <c r="A3763">
        <v>42.976468489900597</v>
      </c>
      <c r="B3763">
        <v>-90.546843884785204</v>
      </c>
      <c r="C3763" t="s">
        <v>42</v>
      </c>
      <c r="D3763" t="s">
        <v>1637</v>
      </c>
      <c r="F3763" s="21"/>
      <c r="G3763" s="16" t="str">
        <f>HYPERLINK("http://maps.google.com/maps?f=q&amp;hl=en&amp;geocode=&amp;q=42.9764684899006,-90.5468438847852")</f>
        <v>http://maps.google.com/maps?f=q&amp;hl=en&amp;geocode=&amp;q=42.9764684899006,-90.5468438847852</v>
      </c>
    </row>
    <row r="3764" spans="1:7" ht="15" x14ac:dyDescent="0.3">
      <c r="A3764">
        <v>37.6307527593533</v>
      </c>
      <c r="B3764">
        <v>-80.985487552934401</v>
      </c>
      <c r="C3764" t="s">
        <v>41</v>
      </c>
      <c r="D3764" t="s">
        <v>84</v>
      </c>
      <c r="F3764" s="21"/>
      <c r="G3764" s="16" t="str">
        <f>HYPERLINK("http://maps.google.com/maps?f=q&amp;hl=en&amp;geocode=&amp;q=37.6307527593533,-80.9854875529344")</f>
        <v>http://maps.google.com/maps?f=q&amp;hl=en&amp;geocode=&amp;q=37.6307527593533,-80.9854875529344</v>
      </c>
    </row>
    <row r="3765" spans="1:7" ht="15" x14ac:dyDescent="0.3">
      <c r="A3765">
        <v>40.065840000000001</v>
      </c>
      <c r="B3765">
        <v>-75.050629999999998</v>
      </c>
      <c r="C3765" t="s">
        <v>41</v>
      </c>
      <c r="D3765" t="s">
        <v>2475</v>
      </c>
      <c r="F3765" s="21"/>
      <c r="G3765" s="16" t="str">
        <f>HYPERLINK("http://maps.google.com/maps?f=q&amp;hl=en&amp;geocode=&amp;q=40.06584,-75.05063")</f>
        <v>http://maps.google.com/maps?f=q&amp;hl=en&amp;geocode=&amp;q=40.06584,-75.05063</v>
      </c>
    </row>
    <row r="3766" spans="1:7" ht="15" x14ac:dyDescent="0.3">
      <c r="A3766">
        <v>42.976468489900597</v>
      </c>
      <c r="B3766">
        <v>-90.546843884785204</v>
      </c>
      <c r="C3766" t="s">
        <v>42</v>
      </c>
      <c r="D3766" t="s">
        <v>1637</v>
      </c>
      <c r="F3766" s="21"/>
      <c r="G3766" s="16" t="str">
        <f>HYPERLINK("http://maps.google.com/maps?f=q&amp;hl=en&amp;geocode=&amp;q=42.9764684899006,-90.5468438847852")</f>
        <v>http://maps.google.com/maps?f=q&amp;hl=en&amp;geocode=&amp;q=42.9764684899006,-90.5468438847852</v>
      </c>
    </row>
    <row r="3767" spans="1:7" ht="15" x14ac:dyDescent="0.3">
      <c r="A3767">
        <v>36.5842938039955</v>
      </c>
      <c r="B3767">
        <v>-89.083912796209304</v>
      </c>
      <c r="C3767" t="s">
        <v>41</v>
      </c>
      <c r="D3767" t="s">
        <v>2476</v>
      </c>
      <c r="F3767" s="21"/>
      <c r="G3767" s="16" t="str">
        <f>HYPERLINK("http://maps.google.com/maps?f=q&amp;hl=en&amp;geocode=&amp;q=36.5842938039955,-89.0839127962093")</f>
        <v>http://maps.google.com/maps?f=q&amp;hl=en&amp;geocode=&amp;q=36.5842938039955,-89.0839127962093</v>
      </c>
    </row>
    <row r="3768" spans="1:7" ht="15" x14ac:dyDescent="0.3">
      <c r="A3768">
        <v>39.996020000000001</v>
      </c>
      <c r="B3768">
        <v>-75.174019999999999</v>
      </c>
      <c r="C3768" t="s">
        <v>42</v>
      </c>
      <c r="D3768" t="s">
        <v>2477</v>
      </c>
      <c r="F3768" s="21"/>
      <c r="G3768" s="16" t="str">
        <f>HYPERLINK("http://maps.google.com/maps?f=q&amp;hl=en&amp;geocode=&amp;q=39.99602,-75.17402")</f>
        <v>http://maps.google.com/maps?f=q&amp;hl=en&amp;geocode=&amp;q=39.99602,-75.17402</v>
      </c>
    </row>
    <row r="3769" spans="1:7" ht="15" x14ac:dyDescent="0.3">
      <c r="A3769">
        <v>40.86157</v>
      </c>
      <c r="B3769">
        <v>-111.88437</v>
      </c>
      <c r="C3769" t="s">
        <v>42</v>
      </c>
      <c r="D3769" t="s">
        <v>2478</v>
      </c>
      <c r="F3769" s="21"/>
      <c r="G3769" s="16" t="str">
        <f>HYPERLINK("http://maps.google.com/maps?f=q&amp;hl=en&amp;geocode=&amp;q=40.86157,-111.88437")</f>
        <v>http://maps.google.com/maps?f=q&amp;hl=en&amp;geocode=&amp;q=40.86157,-111.88437</v>
      </c>
    </row>
    <row r="3770" spans="1:7" ht="15" x14ac:dyDescent="0.3">
      <c r="A3770">
        <v>42.976468489900597</v>
      </c>
      <c r="B3770">
        <v>-90.546843884785204</v>
      </c>
      <c r="C3770" t="s">
        <v>42</v>
      </c>
      <c r="D3770" t="s">
        <v>1637</v>
      </c>
      <c r="F3770" s="21"/>
      <c r="G3770" s="16" t="str">
        <f>HYPERLINK("http://maps.google.com/maps?f=q&amp;hl=en&amp;geocode=&amp;q=42.9764684899006,-90.5468438847852")</f>
        <v>http://maps.google.com/maps?f=q&amp;hl=en&amp;geocode=&amp;q=42.9764684899006,-90.5468438847852</v>
      </c>
    </row>
    <row r="3771" spans="1:7" ht="15" x14ac:dyDescent="0.3">
      <c r="A3771">
        <v>39.996980000000001</v>
      </c>
      <c r="B3771">
        <v>-75.176500000000004</v>
      </c>
      <c r="C3771" t="s">
        <v>41</v>
      </c>
      <c r="D3771" t="s">
        <v>2479</v>
      </c>
      <c r="F3771" s="21"/>
      <c r="G3771" s="16" t="str">
        <f>HYPERLINK("http://maps.google.com/maps?f=q&amp;hl=en&amp;geocode=&amp;q=39.99698,-75.1765")</f>
        <v>http://maps.google.com/maps?f=q&amp;hl=en&amp;geocode=&amp;q=39.99698,-75.1765</v>
      </c>
    </row>
    <row r="3772" spans="1:7" ht="15" x14ac:dyDescent="0.3">
      <c r="A3772">
        <v>30.705249128445601</v>
      </c>
      <c r="B3772">
        <v>-88.085707386382197</v>
      </c>
      <c r="C3772" t="s">
        <v>41</v>
      </c>
      <c r="D3772" t="s">
        <v>2480</v>
      </c>
      <c r="F3772" s="21"/>
      <c r="G3772" s="16" t="str">
        <f>HYPERLINK("http://maps.google.com/maps?f=q&amp;hl=en&amp;geocode=&amp;q=30.7052491284456,-88.0857073863822")</f>
        <v>http://maps.google.com/maps?f=q&amp;hl=en&amp;geocode=&amp;q=30.7052491284456,-88.0857073863822</v>
      </c>
    </row>
    <row r="3773" spans="1:7" ht="15" x14ac:dyDescent="0.3">
      <c r="A3773">
        <v>40.86157</v>
      </c>
      <c r="B3773">
        <v>-111.88437</v>
      </c>
      <c r="C3773" t="s">
        <v>42</v>
      </c>
      <c r="D3773" t="s">
        <v>2478</v>
      </c>
      <c r="F3773" s="21"/>
      <c r="G3773" s="16" t="str">
        <f>HYPERLINK("http://maps.google.com/maps?f=q&amp;hl=en&amp;geocode=&amp;q=40.86157,-111.88437")</f>
        <v>http://maps.google.com/maps?f=q&amp;hl=en&amp;geocode=&amp;q=40.86157,-111.88437</v>
      </c>
    </row>
    <row r="3774" spans="1:7" ht="15" x14ac:dyDescent="0.3">
      <c r="A3774">
        <v>30.018740000000001</v>
      </c>
      <c r="B3774">
        <v>-90.177070000000001</v>
      </c>
      <c r="C3774" t="s">
        <v>41</v>
      </c>
      <c r="D3774" t="s">
        <v>2481</v>
      </c>
      <c r="F3774" s="21"/>
      <c r="G3774" s="16" t="str">
        <f>HYPERLINK("http://maps.google.com/maps?f=q&amp;hl=en&amp;geocode=&amp;q=30.01874,-90.17707")</f>
        <v>http://maps.google.com/maps?f=q&amp;hl=en&amp;geocode=&amp;q=30.01874,-90.17707</v>
      </c>
    </row>
    <row r="3775" spans="1:7" ht="15" x14ac:dyDescent="0.3">
      <c r="A3775">
        <v>30.018719999999998</v>
      </c>
      <c r="B3775">
        <v>-90.177070000000001</v>
      </c>
      <c r="C3775" t="s">
        <v>41</v>
      </c>
      <c r="D3775" t="s">
        <v>2482</v>
      </c>
      <c r="F3775" s="21"/>
      <c r="G3775" s="16" t="str">
        <f>HYPERLINK("http://maps.google.com/maps?f=q&amp;hl=en&amp;geocode=&amp;q=30.01872,-90.17707")</f>
        <v>http://maps.google.com/maps?f=q&amp;hl=en&amp;geocode=&amp;q=30.01872,-90.17707</v>
      </c>
    </row>
    <row r="3776" spans="1:7" ht="15" x14ac:dyDescent="0.3">
      <c r="A3776">
        <v>40.015053357098097</v>
      </c>
      <c r="B3776">
        <v>-75.135397193599303</v>
      </c>
      <c r="C3776" t="s">
        <v>43</v>
      </c>
      <c r="D3776" t="s">
        <v>2483</v>
      </c>
      <c r="F3776" s="21"/>
      <c r="G3776" s="16" t="str">
        <f>HYPERLINK("http://maps.google.com/maps?f=q&amp;hl=en&amp;geocode=&amp;q=40.0150533570981,-75.1353971935993")</f>
        <v>http://maps.google.com/maps?f=q&amp;hl=en&amp;geocode=&amp;q=40.0150533570981,-75.1353971935993</v>
      </c>
    </row>
    <row r="3777" spans="1:7" ht="15" x14ac:dyDescent="0.3">
      <c r="A3777">
        <v>33.2316202361894</v>
      </c>
      <c r="B3777">
        <v>-97.1972586684699</v>
      </c>
      <c r="C3777" t="s">
        <v>43</v>
      </c>
      <c r="D3777" t="s">
        <v>2484</v>
      </c>
      <c r="F3777" s="21"/>
      <c r="G3777" s="16" t="str">
        <f>HYPERLINK("http://maps.google.com/maps?f=q&amp;hl=en&amp;geocode=&amp;q=33.2316202361894,-97.1972586684699")</f>
        <v>http://maps.google.com/maps?f=q&amp;hl=en&amp;geocode=&amp;q=33.2316202361894,-97.1972586684699</v>
      </c>
    </row>
    <row r="3778" spans="1:7" ht="15" x14ac:dyDescent="0.3">
      <c r="A3778">
        <v>33.2316202361894</v>
      </c>
      <c r="B3778">
        <v>-97.1972586684699</v>
      </c>
      <c r="C3778" t="s">
        <v>43</v>
      </c>
      <c r="D3778" t="s">
        <v>2484</v>
      </c>
      <c r="F3778" s="21"/>
      <c r="G3778" s="16" t="str">
        <f>HYPERLINK("http://maps.google.com/maps?f=q&amp;hl=en&amp;geocode=&amp;q=33.2316202361894,-97.1972586684699")</f>
        <v>http://maps.google.com/maps?f=q&amp;hl=en&amp;geocode=&amp;q=33.2316202361894,-97.1972586684699</v>
      </c>
    </row>
    <row r="3779" spans="1:7" ht="15" x14ac:dyDescent="0.3">
      <c r="A3779">
        <v>30.018247516629302</v>
      </c>
      <c r="B3779">
        <v>-90.176915024691496</v>
      </c>
      <c r="C3779" t="s">
        <v>41</v>
      </c>
      <c r="D3779" t="s">
        <v>2485</v>
      </c>
      <c r="F3779" s="21"/>
      <c r="G3779" s="16" t="str">
        <f>HYPERLINK("http://maps.google.com/maps?f=q&amp;hl=en&amp;geocode=&amp;q=30.0182475166293,-90.1769150246915")</f>
        <v>http://maps.google.com/maps?f=q&amp;hl=en&amp;geocode=&amp;q=30.0182475166293,-90.1769150246915</v>
      </c>
    </row>
    <row r="3780" spans="1:7" ht="15" x14ac:dyDescent="0.3">
      <c r="A3780">
        <v>34.983314011026202</v>
      </c>
      <c r="B3780">
        <v>-80.551371197258305</v>
      </c>
      <c r="C3780" t="s">
        <v>41</v>
      </c>
      <c r="D3780" t="s">
        <v>2486</v>
      </c>
      <c r="F3780" s="21"/>
      <c r="G3780" s="16" t="str">
        <f>HYPERLINK("http://maps.google.com/maps?f=q&amp;hl=en&amp;geocode=&amp;q=34.9833140110262,-80.5513711972583")</f>
        <v>http://maps.google.com/maps?f=q&amp;hl=en&amp;geocode=&amp;q=34.9833140110262,-80.5513711972583</v>
      </c>
    </row>
    <row r="3781" spans="1:7" ht="15" x14ac:dyDescent="0.3">
      <c r="A3781">
        <v>43.1462056492663</v>
      </c>
      <c r="B3781">
        <v>-75.463922665397305</v>
      </c>
      <c r="C3781" t="s">
        <v>41</v>
      </c>
      <c r="D3781" t="s">
        <v>2440</v>
      </c>
      <c r="F3781" s="21"/>
      <c r="G3781" s="16" t="str">
        <f>HYPERLINK("http://maps.google.com/maps?f=q&amp;hl=en&amp;geocode=&amp;q=43.1462056492663,-75.4639226653973")</f>
        <v>http://maps.google.com/maps?f=q&amp;hl=en&amp;geocode=&amp;q=43.1462056492663,-75.4639226653973</v>
      </c>
    </row>
    <row r="3782" spans="1:7" ht="15" x14ac:dyDescent="0.3">
      <c r="A3782">
        <v>30.017420000000001</v>
      </c>
      <c r="B3782">
        <v>-90.177009999999996</v>
      </c>
      <c r="C3782" t="s">
        <v>41</v>
      </c>
      <c r="D3782" t="s">
        <v>2307</v>
      </c>
      <c r="F3782" s="21"/>
      <c r="G3782" s="16" t="str">
        <f>HYPERLINK("http://maps.google.com/maps?f=q&amp;hl=en&amp;geocode=&amp;q=30.01742,-90.17701")</f>
        <v>http://maps.google.com/maps?f=q&amp;hl=en&amp;geocode=&amp;q=30.01742,-90.17701</v>
      </c>
    </row>
    <row r="3783" spans="1:7" ht="15" x14ac:dyDescent="0.3">
      <c r="A3783">
        <v>39.860118071004202</v>
      </c>
      <c r="B3783">
        <v>-86.136386901205896</v>
      </c>
      <c r="C3783" t="s">
        <v>41</v>
      </c>
      <c r="D3783" t="s">
        <v>2487</v>
      </c>
      <c r="F3783" s="21"/>
      <c r="G3783" s="16" t="str">
        <f>HYPERLINK("http://maps.google.com/maps?f=q&amp;hl=en&amp;geocode=&amp;q=39.8601180710042,-86.1363869012059")</f>
        <v>http://maps.google.com/maps?f=q&amp;hl=en&amp;geocode=&amp;q=39.8601180710042,-86.1363869012059</v>
      </c>
    </row>
    <row r="3784" spans="1:7" ht="15" x14ac:dyDescent="0.3">
      <c r="A3784" t="s">
        <v>44</v>
      </c>
      <c r="B3784" t="s">
        <v>44</v>
      </c>
      <c r="C3784" t="s">
        <v>44</v>
      </c>
      <c r="D3784" t="s">
        <v>981</v>
      </c>
      <c r="F3784" s="21"/>
      <c r="G3784" s="16"/>
    </row>
    <row r="3785" spans="1:7" ht="15" x14ac:dyDescent="0.3">
      <c r="F3785" s="21"/>
      <c r="G3785" s="16"/>
    </row>
    <row r="3786" spans="1:7" ht="15" x14ac:dyDescent="0.3">
      <c r="A3786">
        <v>39.950628136933901</v>
      </c>
      <c r="B3786">
        <v>-75.233096100469496</v>
      </c>
      <c r="C3786" t="s">
        <v>41</v>
      </c>
      <c r="D3786" t="s">
        <v>911</v>
      </c>
      <c r="F3786" s="21"/>
      <c r="G3786" s="16" t="str">
        <f>HYPERLINK("http://maps.google.com/maps?f=q&amp;hl=en&amp;geocode=&amp;q=39.9506281369339,-75.2330961004695")</f>
        <v>http://maps.google.com/maps?f=q&amp;hl=en&amp;geocode=&amp;q=39.9506281369339,-75.2330961004695</v>
      </c>
    </row>
    <row r="3787" spans="1:7" ht="15" x14ac:dyDescent="0.3">
      <c r="A3787">
        <v>49.565284729003899</v>
      </c>
      <c r="B3787">
        <v>6.1541261672973597</v>
      </c>
      <c r="C3787" t="s">
        <v>41</v>
      </c>
      <c r="D3787" t="s">
        <v>2488</v>
      </c>
      <c r="F3787" s="21"/>
      <c r="G3787" s="16" t="str">
        <f>HYPERLINK("http://maps.google.com/maps?f=q&amp;hl=en&amp;geocode=&amp;q=49.5652847290039,6.15412616729736")</f>
        <v>http://maps.google.com/maps?f=q&amp;hl=en&amp;geocode=&amp;q=49.5652847290039,6.15412616729736</v>
      </c>
    </row>
    <row r="3788" spans="1:7" ht="15" x14ac:dyDescent="0.3">
      <c r="A3788" t="s">
        <v>44</v>
      </c>
      <c r="B3788" t="s">
        <v>44</v>
      </c>
      <c r="C3788" t="s">
        <v>44</v>
      </c>
      <c r="D3788" t="s">
        <v>2489</v>
      </c>
      <c r="F3788" s="21"/>
      <c r="G3788" s="16"/>
    </row>
    <row r="3789" spans="1:7" ht="15" x14ac:dyDescent="0.3">
      <c r="A3789">
        <v>35.927199999999999</v>
      </c>
      <c r="B3789">
        <v>-80.044300000000007</v>
      </c>
      <c r="C3789" t="s">
        <v>42</v>
      </c>
      <c r="D3789" t="s">
        <v>2490</v>
      </c>
      <c r="F3789" s="21"/>
      <c r="G3789" s="16" t="str">
        <f>HYPERLINK("http://maps.google.com/maps?f=q&amp;hl=en&amp;geocode=&amp;q=35.9272,-80.0443")</f>
        <v>http://maps.google.com/maps?f=q&amp;hl=en&amp;geocode=&amp;q=35.9272,-80.0443</v>
      </c>
    </row>
    <row r="3790" spans="1:7" ht="15" x14ac:dyDescent="0.3">
      <c r="A3790">
        <v>40.393252853590802</v>
      </c>
      <c r="B3790">
        <v>-91.586079040398403</v>
      </c>
      <c r="C3790" t="s">
        <v>41</v>
      </c>
      <c r="D3790" t="s">
        <v>567</v>
      </c>
      <c r="F3790" s="21"/>
      <c r="G3790" s="16" t="str">
        <f>HYPERLINK("http://maps.google.com/maps?f=q&amp;hl=en&amp;geocode=&amp;q=40.3932528535908,-91.5860790403984")</f>
        <v>http://maps.google.com/maps?f=q&amp;hl=en&amp;geocode=&amp;q=40.3932528535908,-91.5860790403984</v>
      </c>
    </row>
    <row r="3791" spans="1:7" ht="15" x14ac:dyDescent="0.3">
      <c r="A3791">
        <v>43.432513010476498</v>
      </c>
      <c r="B3791">
        <v>-95.860597423980806</v>
      </c>
      <c r="C3791" t="s">
        <v>41</v>
      </c>
      <c r="D3791" t="s">
        <v>2491</v>
      </c>
      <c r="F3791" s="21"/>
      <c r="G3791" s="16" t="str">
        <f>HYPERLINK("http://maps.google.com/maps?f=q&amp;hl=en&amp;geocode=&amp;q=43.4325130104765,-95.8605974239808")</f>
        <v>http://maps.google.com/maps?f=q&amp;hl=en&amp;geocode=&amp;q=43.4325130104765,-95.8605974239808</v>
      </c>
    </row>
    <row r="3792" spans="1:7" ht="15" x14ac:dyDescent="0.3">
      <c r="A3792">
        <v>39.745369956936102</v>
      </c>
      <c r="B3792">
        <v>-84.637328641982805</v>
      </c>
      <c r="C3792" t="s">
        <v>41</v>
      </c>
      <c r="D3792" t="s">
        <v>1282</v>
      </c>
      <c r="F3792" s="21"/>
      <c r="G3792" s="16" t="str">
        <f>HYPERLINK("http://maps.google.com/maps?f=q&amp;hl=en&amp;geocode=&amp;q=39.7453699569361,-84.6373286419828")</f>
        <v>http://maps.google.com/maps?f=q&amp;hl=en&amp;geocode=&amp;q=39.7453699569361,-84.6373286419828</v>
      </c>
    </row>
    <row r="3793" spans="1:7" ht="15" x14ac:dyDescent="0.3">
      <c r="A3793">
        <v>47.655110000000001</v>
      </c>
      <c r="B3793">
        <v>-122.32536</v>
      </c>
      <c r="C3793" t="s">
        <v>41</v>
      </c>
      <c r="D3793" t="s">
        <v>2492</v>
      </c>
      <c r="F3793" s="21"/>
      <c r="G3793" s="16" t="str">
        <f>HYPERLINK("http://maps.google.com/maps?f=q&amp;hl=en&amp;geocode=&amp;q=47.65511,-122.32536")</f>
        <v>http://maps.google.com/maps?f=q&amp;hl=en&amp;geocode=&amp;q=47.65511,-122.32536</v>
      </c>
    </row>
    <row r="3794" spans="1:7" ht="15" x14ac:dyDescent="0.3">
      <c r="A3794" t="s">
        <v>44</v>
      </c>
      <c r="B3794" t="s">
        <v>44</v>
      </c>
      <c r="C3794" t="s">
        <v>44</v>
      </c>
      <c r="D3794" t="s">
        <v>2493</v>
      </c>
      <c r="F3794" s="21"/>
      <c r="G3794" s="16"/>
    </row>
    <row r="3795" spans="1:7" ht="15" x14ac:dyDescent="0.3">
      <c r="A3795">
        <v>31.693166610636599</v>
      </c>
      <c r="B3795">
        <v>-83.645837412754204</v>
      </c>
      <c r="C3795" t="s">
        <v>41</v>
      </c>
      <c r="D3795" t="s">
        <v>352</v>
      </c>
      <c r="F3795" s="21"/>
      <c r="G3795" s="16" t="str">
        <f>HYPERLINK("http://maps.google.com/maps?f=q&amp;hl=en&amp;geocode=&amp;q=31.6931666106366,-83.6458374127542")</f>
        <v>http://maps.google.com/maps?f=q&amp;hl=en&amp;geocode=&amp;q=31.6931666106366,-83.6458374127542</v>
      </c>
    </row>
    <row r="3796" spans="1:7" ht="15" x14ac:dyDescent="0.3">
      <c r="A3796" t="s">
        <v>44</v>
      </c>
      <c r="B3796" t="s">
        <v>44</v>
      </c>
      <c r="C3796" t="s">
        <v>44</v>
      </c>
      <c r="D3796" t="s">
        <v>2493</v>
      </c>
      <c r="F3796" s="21"/>
      <c r="G3796" s="16"/>
    </row>
    <row r="3797" spans="1:7" ht="15" x14ac:dyDescent="0.3">
      <c r="A3797" t="s">
        <v>44</v>
      </c>
      <c r="B3797" t="s">
        <v>44</v>
      </c>
      <c r="C3797" t="s">
        <v>44</v>
      </c>
      <c r="D3797" t="s">
        <v>2494</v>
      </c>
      <c r="F3797" s="21"/>
      <c r="G3797" s="16"/>
    </row>
    <row r="3798" spans="1:7" ht="15" x14ac:dyDescent="0.3">
      <c r="A3798" t="s">
        <v>44</v>
      </c>
      <c r="B3798" t="s">
        <v>44</v>
      </c>
      <c r="C3798" t="s">
        <v>44</v>
      </c>
      <c r="D3798" t="s">
        <v>2495</v>
      </c>
      <c r="F3798" s="21"/>
      <c r="G3798" s="16"/>
    </row>
    <row r="3799" spans="1:7" ht="15" x14ac:dyDescent="0.3">
      <c r="A3799">
        <v>40.049819999999997</v>
      </c>
      <c r="B3799">
        <v>-75.095699999999994</v>
      </c>
      <c r="C3799" t="s">
        <v>43</v>
      </c>
      <c r="D3799" t="s">
        <v>2496</v>
      </c>
      <c r="F3799" s="21"/>
      <c r="G3799" s="16" t="str">
        <f>HYPERLINK("http://maps.google.com/maps?f=q&amp;hl=en&amp;geocode=&amp;q=40.04982,-75.0957")</f>
        <v>http://maps.google.com/maps?f=q&amp;hl=en&amp;geocode=&amp;q=40.04982,-75.0957</v>
      </c>
    </row>
    <row r="3800" spans="1:7" ht="15" x14ac:dyDescent="0.3">
      <c r="A3800">
        <v>50.413559900000003</v>
      </c>
      <c r="B3800">
        <v>4.4393700000000003</v>
      </c>
      <c r="C3800" t="s">
        <v>41</v>
      </c>
      <c r="D3800" t="s">
        <v>544</v>
      </c>
      <c r="F3800" s="21"/>
      <c r="G3800" s="16" t="str">
        <f>HYPERLINK("http://maps.google.com/maps?f=q&amp;hl=en&amp;geocode=&amp;q=50.4135599,4.43937")</f>
        <v>http://maps.google.com/maps?f=q&amp;hl=en&amp;geocode=&amp;q=50.4135599,4.43937</v>
      </c>
    </row>
    <row r="3801" spans="1:7" ht="15" x14ac:dyDescent="0.3">
      <c r="A3801">
        <v>41.098739624023402</v>
      </c>
      <c r="B3801">
        <v>-81.022628784179702</v>
      </c>
      <c r="C3801" t="s">
        <v>43</v>
      </c>
      <c r="D3801" t="s">
        <v>2497</v>
      </c>
      <c r="F3801" s="21"/>
      <c r="G3801" s="16" t="str">
        <f>HYPERLINK("http://maps.google.com/maps?f=q&amp;hl=en&amp;geocode=&amp;q=41.0987396240234,-81.0226287841797")</f>
        <v>http://maps.google.com/maps?f=q&amp;hl=en&amp;geocode=&amp;q=41.0987396240234,-81.0226287841797</v>
      </c>
    </row>
    <row r="3802" spans="1:7" ht="15" x14ac:dyDescent="0.3">
      <c r="A3802">
        <v>39.196866309622102</v>
      </c>
      <c r="B3802">
        <v>-76.843152876898003</v>
      </c>
      <c r="C3802" t="s">
        <v>41</v>
      </c>
      <c r="D3802" t="s">
        <v>2498</v>
      </c>
      <c r="F3802" s="21"/>
      <c r="G3802" s="16" t="str">
        <f>HYPERLINK("http://maps.google.com/maps?f=q&amp;hl=en&amp;geocode=&amp;q=39.1968663096221,-76.843152876898")</f>
        <v>http://maps.google.com/maps?f=q&amp;hl=en&amp;geocode=&amp;q=39.1968663096221,-76.843152876898</v>
      </c>
    </row>
    <row r="3803" spans="1:7" ht="15" x14ac:dyDescent="0.3">
      <c r="A3803">
        <v>35.076482063598398</v>
      </c>
      <c r="B3803">
        <v>-88.251108870814093</v>
      </c>
      <c r="C3803" t="s">
        <v>41</v>
      </c>
      <c r="D3803" t="s">
        <v>298</v>
      </c>
      <c r="F3803" s="21"/>
      <c r="G3803" s="16" t="str">
        <f>HYPERLINK("http://maps.google.com/maps?f=q&amp;hl=en&amp;geocode=&amp;q=35.0764820635984,-88.2511088708141")</f>
        <v>http://maps.google.com/maps?f=q&amp;hl=en&amp;geocode=&amp;q=35.0764820635984,-88.2511088708141</v>
      </c>
    </row>
    <row r="3804" spans="1:7" ht="15" x14ac:dyDescent="0.3">
      <c r="A3804">
        <v>31.693166610636599</v>
      </c>
      <c r="B3804">
        <v>-83.645837412754204</v>
      </c>
      <c r="C3804" t="s">
        <v>41</v>
      </c>
      <c r="D3804" t="s">
        <v>352</v>
      </c>
      <c r="F3804" s="21"/>
      <c r="G3804" s="16" t="str">
        <f>HYPERLINK("http://maps.google.com/maps?f=q&amp;hl=en&amp;geocode=&amp;q=31.6931666106366,-83.6458374127542")</f>
        <v>http://maps.google.com/maps?f=q&amp;hl=en&amp;geocode=&amp;q=31.6931666106366,-83.6458374127542</v>
      </c>
    </row>
    <row r="3805" spans="1:7" ht="15" x14ac:dyDescent="0.3">
      <c r="A3805">
        <v>39.955309999999997</v>
      </c>
      <c r="B3805">
        <v>-75.221800000000002</v>
      </c>
      <c r="C3805" t="s">
        <v>42</v>
      </c>
      <c r="D3805" t="s">
        <v>811</v>
      </c>
      <c r="F3805" s="21"/>
      <c r="G3805" s="16" t="str">
        <f>HYPERLINK("http://maps.google.com/maps?f=q&amp;hl=en&amp;geocode=&amp;q=39.95531,-75.2218")</f>
        <v>http://maps.google.com/maps?f=q&amp;hl=en&amp;geocode=&amp;q=39.95531,-75.2218</v>
      </c>
    </row>
    <row r="3806" spans="1:7" ht="15" x14ac:dyDescent="0.3">
      <c r="A3806">
        <v>35.260009765625</v>
      </c>
      <c r="B3806">
        <v>-80.425880432128906</v>
      </c>
      <c r="C3806" t="s">
        <v>43</v>
      </c>
      <c r="D3806" t="s">
        <v>2499</v>
      </c>
      <c r="F3806" s="21"/>
      <c r="G3806" s="16" t="str">
        <f>HYPERLINK("http://maps.google.com/maps?f=q&amp;hl=en&amp;geocode=&amp;q=35.260009765625,-80.4258804321289")</f>
        <v>http://maps.google.com/maps?f=q&amp;hl=en&amp;geocode=&amp;q=35.260009765625,-80.4258804321289</v>
      </c>
    </row>
    <row r="3807" spans="1:7" ht="15" x14ac:dyDescent="0.3">
      <c r="A3807">
        <v>39.773628234863303</v>
      </c>
      <c r="B3807">
        <v>-87.206352233886705</v>
      </c>
      <c r="C3807" t="s">
        <v>41</v>
      </c>
      <c r="D3807" t="s">
        <v>76</v>
      </c>
      <c r="F3807" s="21"/>
      <c r="G3807" s="16" t="str">
        <f>HYPERLINK("http://maps.google.com/maps?f=q&amp;hl=en&amp;geocode=&amp;q=39.7736282348633,-87.2063522338867")</f>
        <v>http://maps.google.com/maps?f=q&amp;hl=en&amp;geocode=&amp;q=39.7736282348633,-87.2063522338867</v>
      </c>
    </row>
    <row r="3808" spans="1:7" ht="15" x14ac:dyDescent="0.3">
      <c r="A3808">
        <v>42.062980651855497</v>
      </c>
      <c r="B3808">
        <v>-88.122947692871094</v>
      </c>
      <c r="C3808" t="s">
        <v>43</v>
      </c>
      <c r="D3808" t="s">
        <v>2500</v>
      </c>
      <c r="F3808" s="21"/>
      <c r="G3808" s="16" t="str">
        <f>HYPERLINK("http://maps.google.com/maps?f=q&amp;hl=en&amp;geocode=&amp;q=42.0629806518555,-88.1229476928711")</f>
        <v>http://maps.google.com/maps?f=q&amp;hl=en&amp;geocode=&amp;q=42.0629806518555,-88.1229476928711</v>
      </c>
    </row>
    <row r="3809" spans="1:7" ht="15" x14ac:dyDescent="0.3">
      <c r="A3809">
        <v>51.386085510253899</v>
      </c>
      <c r="B3809">
        <v>-0.21295830607414301</v>
      </c>
      <c r="C3809" t="s">
        <v>43</v>
      </c>
      <c r="D3809" t="s">
        <v>2501</v>
      </c>
      <c r="F3809" s="21"/>
      <c r="G3809" s="16" t="str">
        <f>HYPERLINK("http://maps.google.com/maps?f=q&amp;hl=en&amp;geocode=&amp;q=51.3860855102539,-0.212958306074143")</f>
        <v>http://maps.google.com/maps?f=q&amp;hl=en&amp;geocode=&amp;q=51.3860855102539,-0.212958306074143</v>
      </c>
    </row>
    <row r="3810" spans="1:7" ht="15" x14ac:dyDescent="0.3">
      <c r="A3810">
        <v>32.082221916476598</v>
      </c>
      <c r="B3810">
        <v>-83.800202174656306</v>
      </c>
      <c r="C3810" t="s">
        <v>41</v>
      </c>
      <c r="D3810" t="s">
        <v>2230</v>
      </c>
      <c r="F3810" s="21"/>
      <c r="G3810" s="16" t="str">
        <f>HYPERLINK("http://maps.google.com/maps?f=q&amp;hl=en&amp;geocode=&amp;q=32.0822219164766,-83.8002021746563")</f>
        <v>http://maps.google.com/maps?f=q&amp;hl=en&amp;geocode=&amp;q=32.0822219164766,-83.8002021746563</v>
      </c>
    </row>
    <row r="3811" spans="1:7" ht="15" x14ac:dyDescent="0.3">
      <c r="A3811">
        <v>32.082221916476598</v>
      </c>
      <c r="B3811">
        <v>-83.800202174656306</v>
      </c>
      <c r="C3811" t="s">
        <v>41</v>
      </c>
      <c r="D3811" t="s">
        <v>2230</v>
      </c>
      <c r="F3811" s="21"/>
      <c r="G3811" s="16" t="str">
        <f>HYPERLINK("http://maps.google.com/maps?f=q&amp;hl=en&amp;geocode=&amp;q=32.0822219164766,-83.8002021746563")</f>
        <v>http://maps.google.com/maps?f=q&amp;hl=en&amp;geocode=&amp;q=32.0822219164766,-83.8002021746563</v>
      </c>
    </row>
    <row r="3812" spans="1:7" ht="15" x14ac:dyDescent="0.3">
      <c r="A3812">
        <v>32.082221916476598</v>
      </c>
      <c r="B3812">
        <v>-83.800202174656306</v>
      </c>
      <c r="C3812" t="s">
        <v>41</v>
      </c>
      <c r="D3812" t="s">
        <v>2230</v>
      </c>
      <c r="F3812" s="21"/>
      <c r="G3812" s="16" t="str">
        <f>HYPERLINK("http://maps.google.com/maps?f=q&amp;hl=en&amp;geocode=&amp;q=32.0822219164766,-83.8002021746563")</f>
        <v>http://maps.google.com/maps?f=q&amp;hl=en&amp;geocode=&amp;q=32.0822219164766,-83.8002021746563</v>
      </c>
    </row>
    <row r="3813" spans="1:7" ht="15" x14ac:dyDescent="0.3">
      <c r="A3813" t="s">
        <v>44</v>
      </c>
      <c r="B3813" t="s">
        <v>44</v>
      </c>
      <c r="C3813" t="s">
        <v>44</v>
      </c>
      <c r="D3813" t="s">
        <v>2502</v>
      </c>
      <c r="F3813" s="21"/>
      <c r="G3813" s="16"/>
    </row>
    <row r="3814" spans="1:7" ht="15" x14ac:dyDescent="0.3">
      <c r="A3814">
        <v>38.815941012783703</v>
      </c>
      <c r="B3814">
        <v>-76.022462876315799</v>
      </c>
      <c r="C3814" t="s">
        <v>41</v>
      </c>
      <c r="D3814" t="s">
        <v>2503</v>
      </c>
      <c r="F3814" s="21"/>
      <c r="G3814" s="16" t="str">
        <f>HYPERLINK("http://maps.google.com/maps?f=q&amp;hl=en&amp;geocode=&amp;q=38.8159410127837,-76.0224628763158")</f>
        <v>http://maps.google.com/maps?f=q&amp;hl=en&amp;geocode=&amp;q=38.8159410127837,-76.0224628763158</v>
      </c>
    </row>
    <row r="3815" spans="1:7" ht="15" x14ac:dyDescent="0.3">
      <c r="A3815">
        <v>37.8674176746729</v>
      </c>
      <c r="B3815">
        <v>-93.149058759607897</v>
      </c>
      <c r="C3815" t="s">
        <v>41</v>
      </c>
      <c r="D3815" t="s">
        <v>2504</v>
      </c>
      <c r="F3815" s="21"/>
      <c r="G3815" s="16" t="str">
        <f>HYPERLINK("http://maps.google.com/maps?f=q&amp;hl=en&amp;geocode=&amp;q=37.8674176746729,-93.1490587596079")</f>
        <v>http://maps.google.com/maps?f=q&amp;hl=en&amp;geocode=&amp;q=37.8674176746729,-93.1490587596079</v>
      </c>
    </row>
    <row r="3816" spans="1:7" ht="15" x14ac:dyDescent="0.3">
      <c r="A3816">
        <v>40.037979125976598</v>
      </c>
      <c r="B3816">
        <v>-75.223060607910199</v>
      </c>
      <c r="C3816" t="s">
        <v>41</v>
      </c>
      <c r="D3816" t="s">
        <v>2505</v>
      </c>
      <c r="F3816" s="21"/>
      <c r="G3816" s="16" t="str">
        <f>HYPERLINK("http://maps.google.com/maps?f=q&amp;hl=en&amp;geocode=&amp;q=40.0379791259766,-75.2230606079102")</f>
        <v>http://maps.google.com/maps?f=q&amp;hl=en&amp;geocode=&amp;q=40.0379791259766,-75.2230606079102</v>
      </c>
    </row>
    <row r="3817" spans="1:7" ht="15" x14ac:dyDescent="0.3">
      <c r="A3817">
        <v>40.024738311767599</v>
      </c>
      <c r="B3817">
        <v>-75.213882446289105</v>
      </c>
      <c r="C3817" t="s">
        <v>43</v>
      </c>
      <c r="D3817" t="s">
        <v>141</v>
      </c>
      <c r="F3817" s="21"/>
      <c r="G3817" s="16" t="str">
        <f>HYPERLINK("http://maps.google.com/maps?f=q&amp;hl=en&amp;geocode=&amp;q=40.0247383117676,-75.2138824462891")</f>
        <v>http://maps.google.com/maps?f=q&amp;hl=en&amp;geocode=&amp;q=40.0247383117676,-75.2138824462891</v>
      </c>
    </row>
    <row r="3818" spans="1:7" ht="15" x14ac:dyDescent="0.3">
      <c r="A3818">
        <v>50.3648490905762</v>
      </c>
      <c r="B3818">
        <v>5.4648299217224103</v>
      </c>
      <c r="C3818" t="s">
        <v>43</v>
      </c>
      <c r="D3818" t="s">
        <v>1970</v>
      </c>
      <c r="F3818" s="21"/>
      <c r="G3818" s="16" t="str">
        <f>HYPERLINK("http://maps.google.com/maps?f=q&amp;hl=en&amp;geocode=&amp;q=50.3648490905762,5.46482992172241")</f>
        <v>http://maps.google.com/maps?f=q&amp;hl=en&amp;geocode=&amp;q=50.3648490905762,5.46482992172241</v>
      </c>
    </row>
    <row r="3819" spans="1:7" ht="15" x14ac:dyDescent="0.3">
      <c r="A3819">
        <v>55.782436370849602</v>
      </c>
      <c r="B3819">
        <v>12.730588912963899</v>
      </c>
      <c r="C3819" t="s">
        <v>41</v>
      </c>
      <c r="D3819" t="s">
        <v>110</v>
      </c>
      <c r="F3819" s="21"/>
      <c r="G3819" s="16" t="str">
        <f>HYPERLINK("http://maps.google.com/maps?f=q&amp;hl=en&amp;geocode=&amp;q=55.7824363708496,12.7305889129639")</f>
        <v>http://maps.google.com/maps?f=q&amp;hl=en&amp;geocode=&amp;q=55.7824363708496,12.7305889129639</v>
      </c>
    </row>
    <row r="3820" spans="1:7" ht="15" x14ac:dyDescent="0.3">
      <c r="A3820">
        <v>37.6307527593533</v>
      </c>
      <c r="B3820">
        <v>-80.985487552934401</v>
      </c>
      <c r="C3820" t="s">
        <v>41</v>
      </c>
      <c r="D3820" t="s">
        <v>84</v>
      </c>
      <c r="F3820" s="21"/>
      <c r="G3820" s="16" t="str">
        <f>HYPERLINK("http://maps.google.com/maps?f=q&amp;hl=en&amp;geocode=&amp;q=37.6307527593533,-80.9854875529344")</f>
        <v>http://maps.google.com/maps?f=q&amp;hl=en&amp;geocode=&amp;q=37.6307527593533,-80.9854875529344</v>
      </c>
    </row>
    <row r="3821" spans="1:7" ht="15" x14ac:dyDescent="0.3">
      <c r="A3821">
        <v>40.080819752545501</v>
      </c>
      <c r="B3821">
        <v>-74.056377723795507</v>
      </c>
      <c r="C3821" t="s">
        <v>41</v>
      </c>
      <c r="D3821" t="s">
        <v>2506</v>
      </c>
      <c r="F3821" s="21"/>
      <c r="G3821" s="16" t="str">
        <f>HYPERLINK("http://maps.google.com/maps?f=q&amp;hl=en&amp;geocode=&amp;q=40.0808197525455,-74.0563777237955")</f>
        <v>http://maps.google.com/maps?f=q&amp;hl=en&amp;geocode=&amp;q=40.0808197525455,-74.0563777237955</v>
      </c>
    </row>
    <row r="3822" spans="1:7" ht="15" x14ac:dyDescent="0.3">
      <c r="A3822">
        <v>28.309629392087601</v>
      </c>
      <c r="B3822">
        <v>-81.227677881379904</v>
      </c>
      <c r="C3822" t="s">
        <v>41</v>
      </c>
      <c r="D3822" t="s">
        <v>2427</v>
      </c>
      <c r="F3822" s="21"/>
      <c r="G3822" s="16" t="str">
        <f>HYPERLINK("http://maps.google.com/maps?f=q&amp;hl=en&amp;geocode=&amp;q=28.3096293920876,-81.2276778813799")</f>
        <v>http://maps.google.com/maps?f=q&amp;hl=en&amp;geocode=&amp;q=28.3096293920876,-81.2276778813799</v>
      </c>
    </row>
    <row r="3823" spans="1:7" ht="15" x14ac:dyDescent="0.3">
      <c r="A3823">
        <v>39.918709999999997</v>
      </c>
      <c r="B3823">
        <v>-75.228719999999996</v>
      </c>
      <c r="C3823" t="s">
        <v>41</v>
      </c>
      <c r="D3823" t="s">
        <v>381</v>
      </c>
      <c r="F3823" s="21"/>
      <c r="G3823" s="16" t="str">
        <f>HYPERLINK("http://maps.google.com/maps?f=q&amp;hl=en&amp;geocode=&amp;q=39.91871,-75.22872")</f>
        <v>http://maps.google.com/maps?f=q&amp;hl=en&amp;geocode=&amp;q=39.91871,-75.22872</v>
      </c>
    </row>
    <row r="3824" spans="1:7" ht="15" x14ac:dyDescent="0.3">
      <c r="A3824">
        <v>33.1972846984863</v>
      </c>
      <c r="B3824">
        <v>-87.584518432617202</v>
      </c>
      <c r="C3824" t="s">
        <v>41</v>
      </c>
      <c r="D3824" t="s">
        <v>2507</v>
      </c>
      <c r="F3824" s="21"/>
      <c r="G3824" s="16" t="str">
        <f>HYPERLINK("http://maps.google.com/maps?f=q&amp;hl=en&amp;geocode=&amp;q=33.1972846984863,-87.5845184326172")</f>
        <v>http://maps.google.com/maps?f=q&amp;hl=en&amp;geocode=&amp;q=33.1972846984863,-87.5845184326172</v>
      </c>
    </row>
    <row r="3825" spans="1:7" ht="15" x14ac:dyDescent="0.3">
      <c r="A3825">
        <v>40.1221164412486</v>
      </c>
      <c r="B3825">
        <v>-75.016062397614903</v>
      </c>
      <c r="C3825" t="s">
        <v>41</v>
      </c>
      <c r="D3825" t="s">
        <v>2508</v>
      </c>
      <c r="F3825" s="21"/>
      <c r="G3825" s="16" t="str">
        <f>HYPERLINK("http://maps.google.com/maps?f=q&amp;hl=en&amp;geocode=&amp;q=40.1221164412486,-75.0160623976149")</f>
        <v>http://maps.google.com/maps?f=q&amp;hl=en&amp;geocode=&amp;q=40.1221164412486,-75.0160623976149</v>
      </c>
    </row>
    <row r="3826" spans="1:7" ht="15" x14ac:dyDescent="0.3">
      <c r="A3826">
        <v>30.2982497165229</v>
      </c>
      <c r="B3826">
        <v>-81.701928067683994</v>
      </c>
      <c r="C3826" t="s">
        <v>41</v>
      </c>
      <c r="D3826" t="s">
        <v>2509</v>
      </c>
      <c r="F3826" s="21"/>
      <c r="G3826" s="16" t="str">
        <f>HYPERLINK("http://maps.google.com/maps?f=q&amp;hl=en&amp;geocode=&amp;q=30.2982497165229,-81.701928067684")</f>
        <v>http://maps.google.com/maps?f=q&amp;hl=en&amp;geocode=&amp;q=30.2982497165229,-81.701928067684</v>
      </c>
    </row>
    <row r="3827" spans="1:7" ht="15" x14ac:dyDescent="0.3">
      <c r="A3827">
        <v>49.518180847167997</v>
      </c>
      <c r="B3827">
        <v>5.8978409767150897</v>
      </c>
      <c r="C3827" t="s">
        <v>41</v>
      </c>
      <c r="D3827" t="s">
        <v>2510</v>
      </c>
      <c r="F3827" s="21"/>
      <c r="G3827" s="16" t="str">
        <f>HYPERLINK("http://maps.google.com/maps?f=q&amp;hl=en&amp;geocode=&amp;q=49.518180847168,5.89784097671509")</f>
        <v>http://maps.google.com/maps?f=q&amp;hl=en&amp;geocode=&amp;q=49.518180847168,5.89784097671509</v>
      </c>
    </row>
    <row r="3828" spans="1:7" ht="15" x14ac:dyDescent="0.3">
      <c r="A3828">
        <v>49.610485076904297</v>
      </c>
      <c r="B3828">
        <v>6.1192398071289098</v>
      </c>
      <c r="C3828" t="s">
        <v>41</v>
      </c>
      <c r="D3828" t="s">
        <v>2511</v>
      </c>
      <c r="F3828" s="21"/>
      <c r="G3828" s="16" t="str">
        <f>HYPERLINK("http://maps.google.com/maps?f=q&amp;hl=en&amp;geocode=&amp;q=49.6104850769043,6.11923980712891")</f>
        <v>http://maps.google.com/maps?f=q&amp;hl=en&amp;geocode=&amp;q=49.6104850769043,6.11923980712891</v>
      </c>
    </row>
    <row r="3829" spans="1:7" ht="15" x14ac:dyDescent="0.3">
      <c r="A3829">
        <v>40.040390000000002</v>
      </c>
      <c r="B3829">
        <v>-75.109629999999996</v>
      </c>
      <c r="C3829" t="s">
        <v>43</v>
      </c>
      <c r="D3829" t="s">
        <v>777</v>
      </c>
      <c r="F3829" s="21"/>
      <c r="G3829" s="16" t="str">
        <f>HYPERLINK("http://maps.google.com/maps?f=q&amp;hl=en&amp;geocode=&amp;q=40.04039,-75.10963")</f>
        <v>http://maps.google.com/maps?f=q&amp;hl=en&amp;geocode=&amp;q=40.04039,-75.10963</v>
      </c>
    </row>
    <row r="3830" spans="1:7" ht="15" x14ac:dyDescent="0.3">
      <c r="A3830">
        <v>48.651748657226598</v>
      </c>
      <c r="B3830">
        <v>11.036919593811</v>
      </c>
      <c r="C3830" t="s">
        <v>41</v>
      </c>
      <c r="D3830" t="s">
        <v>2512</v>
      </c>
      <c r="F3830" s="21"/>
      <c r="G3830" s="16" t="str">
        <f>HYPERLINK("http://maps.google.com/maps?f=q&amp;hl=en&amp;geocode=&amp;q=48.6517486572266,11.036919593811")</f>
        <v>http://maps.google.com/maps?f=q&amp;hl=en&amp;geocode=&amp;q=48.6517486572266,11.036919593811</v>
      </c>
    </row>
    <row r="3831" spans="1:7" ht="15" x14ac:dyDescent="0.3">
      <c r="A3831">
        <v>37.050380706787102</v>
      </c>
      <c r="B3831">
        <v>-122.07330322265599</v>
      </c>
      <c r="C3831" t="s">
        <v>43</v>
      </c>
      <c r="D3831" t="s">
        <v>1967</v>
      </c>
      <c r="F3831" s="21"/>
      <c r="G3831" s="16" t="str">
        <f>HYPERLINK("http://maps.google.com/maps?f=q&amp;hl=en&amp;geocode=&amp;q=37.0503807067871,-122.073303222656")</f>
        <v>http://maps.google.com/maps?f=q&amp;hl=en&amp;geocode=&amp;q=37.0503807067871,-122.073303222656</v>
      </c>
    </row>
    <row r="3832" spans="1:7" ht="15" x14ac:dyDescent="0.3">
      <c r="A3832">
        <v>39.905861185995199</v>
      </c>
      <c r="B3832">
        <v>-74.9693790559636</v>
      </c>
      <c r="C3832" t="s">
        <v>43</v>
      </c>
      <c r="D3832" t="s">
        <v>2513</v>
      </c>
      <c r="F3832" s="21"/>
      <c r="G3832" s="16" t="str">
        <f>HYPERLINK("http://maps.google.com/maps?f=q&amp;hl=en&amp;geocode=&amp;q=39.9058611859952,-74.9693790559636")</f>
        <v>http://maps.google.com/maps?f=q&amp;hl=en&amp;geocode=&amp;q=39.9058611859952,-74.9693790559636</v>
      </c>
    </row>
    <row r="3833" spans="1:7" ht="15" x14ac:dyDescent="0.3">
      <c r="A3833">
        <v>32.082221916476598</v>
      </c>
      <c r="B3833">
        <v>-83.800202174656306</v>
      </c>
      <c r="C3833" t="s">
        <v>41</v>
      </c>
      <c r="D3833" t="s">
        <v>2230</v>
      </c>
      <c r="F3833" s="21"/>
      <c r="G3833" s="16" t="str">
        <f>HYPERLINK("http://maps.google.com/maps?f=q&amp;hl=en&amp;geocode=&amp;q=32.0822219164766,-83.8002021746563")</f>
        <v>http://maps.google.com/maps?f=q&amp;hl=en&amp;geocode=&amp;q=32.0822219164766,-83.8002021746563</v>
      </c>
    </row>
    <row r="3834" spans="1:7" ht="15" x14ac:dyDescent="0.3">
      <c r="A3834">
        <v>32.082221916476598</v>
      </c>
      <c r="B3834">
        <v>-83.800202174656306</v>
      </c>
      <c r="C3834" t="s">
        <v>41</v>
      </c>
      <c r="D3834" t="s">
        <v>2230</v>
      </c>
      <c r="F3834" s="21"/>
      <c r="G3834" s="16" t="str">
        <f>HYPERLINK("http://maps.google.com/maps?f=q&amp;hl=en&amp;geocode=&amp;q=32.0822219164766,-83.8002021746563")</f>
        <v>http://maps.google.com/maps?f=q&amp;hl=en&amp;geocode=&amp;q=32.0822219164766,-83.8002021746563</v>
      </c>
    </row>
    <row r="3835" spans="1:7" ht="15" x14ac:dyDescent="0.3">
      <c r="A3835">
        <v>32.082221916476598</v>
      </c>
      <c r="B3835">
        <v>-83.800202174656306</v>
      </c>
      <c r="C3835" t="s">
        <v>41</v>
      </c>
      <c r="D3835" t="s">
        <v>2230</v>
      </c>
      <c r="F3835" s="21"/>
      <c r="G3835" s="16" t="str">
        <f>HYPERLINK("http://maps.google.com/maps?f=q&amp;hl=en&amp;geocode=&amp;q=32.0822219164766,-83.8002021746563")</f>
        <v>http://maps.google.com/maps?f=q&amp;hl=en&amp;geocode=&amp;q=32.0822219164766,-83.8002021746563</v>
      </c>
    </row>
    <row r="3836" spans="1:7" ht="15" x14ac:dyDescent="0.3">
      <c r="A3836">
        <v>42.999576568603501</v>
      </c>
      <c r="B3836">
        <v>-107.551513671875</v>
      </c>
      <c r="C3836" t="s">
        <v>41</v>
      </c>
      <c r="D3836" t="s">
        <v>2245</v>
      </c>
      <c r="F3836" s="21"/>
      <c r="G3836" s="16" t="str">
        <f>HYPERLINK("http://maps.google.com/maps?f=q&amp;hl=en&amp;geocode=&amp;q=42.9995765686035,-107.551513671875")</f>
        <v>http://maps.google.com/maps?f=q&amp;hl=en&amp;geocode=&amp;q=42.9995765686035,-107.551513671875</v>
      </c>
    </row>
    <row r="3837" spans="1:7" ht="15" x14ac:dyDescent="0.3">
      <c r="A3837">
        <v>42.999576568603501</v>
      </c>
      <c r="B3837">
        <v>-107.551513671875</v>
      </c>
      <c r="C3837" t="s">
        <v>41</v>
      </c>
      <c r="D3837" t="s">
        <v>2245</v>
      </c>
      <c r="F3837" s="21"/>
      <c r="G3837" s="16" t="str">
        <f>HYPERLINK("http://maps.google.com/maps?f=q&amp;hl=en&amp;geocode=&amp;q=42.9995765686035,-107.551513671875")</f>
        <v>http://maps.google.com/maps?f=q&amp;hl=en&amp;geocode=&amp;q=42.9995765686035,-107.551513671875</v>
      </c>
    </row>
    <row r="3838" spans="1:7" ht="15" x14ac:dyDescent="0.3">
      <c r="A3838">
        <v>42.999576568603501</v>
      </c>
      <c r="B3838">
        <v>-107.551513671875</v>
      </c>
      <c r="C3838" t="s">
        <v>41</v>
      </c>
      <c r="D3838" t="s">
        <v>2245</v>
      </c>
      <c r="F3838" s="21"/>
      <c r="G3838" s="16" t="str">
        <f>HYPERLINK("http://maps.google.com/maps?f=q&amp;hl=en&amp;geocode=&amp;q=42.9995765686035,-107.551513671875")</f>
        <v>http://maps.google.com/maps?f=q&amp;hl=en&amp;geocode=&amp;q=42.9995765686035,-107.551513671875</v>
      </c>
    </row>
    <row r="3839" spans="1:7" ht="15" x14ac:dyDescent="0.3">
      <c r="A3839">
        <v>42.999576568603501</v>
      </c>
      <c r="B3839">
        <v>-107.551513671875</v>
      </c>
      <c r="C3839" t="s">
        <v>41</v>
      </c>
      <c r="D3839" t="s">
        <v>2245</v>
      </c>
      <c r="F3839" s="21"/>
      <c r="G3839" s="16" t="str">
        <f>HYPERLINK("http://maps.google.com/maps?f=q&amp;hl=en&amp;geocode=&amp;q=42.9995765686035,-107.551513671875")</f>
        <v>http://maps.google.com/maps?f=q&amp;hl=en&amp;geocode=&amp;q=42.9995765686035,-107.551513671875</v>
      </c>
    </row>
    <row r="3840" spans="1:7" ht="15" x14ac:dyDescent="0.3">
      <c r="A3840">
        <v>42.999576568603501</v>
      </c>
      <c r="B3840">
        <v>-107.551513671875</v>
      </c>
      <c r="C3840" t="s">
        <v>41</v>
      </c>
      <c r="D3840" t="s">
        <v>2245</v>
      </c>
      <c r="F3840" s="21"/>
      <c r="G3840" s="16" t="str">
        <f>HYPERLINK("http://maps.google.com/maps?f=q&amp;hl=en&amp;geocode=&amp;q=42.9995765686035,-107.551513671875")</f>
        <v>http://maps.google.com/maps?f=q&amp;hl=en&amp;geocode=&amp;q=42.9995765686035,-107.551513671875</v>
      </c>
    </row>
    <row r="3841" spans="1:7" ht="15" x14ac:dyDescent="0.3">
      <c r="A3841">
        <v>42.999576568603501</v>
      </c>
      <c r="B3841">
        <v>-107.551513671875</v>
      </c>
      <c r="C3841" t="s">
        <v>41</v>
      </c>
      <c r="D3841" t="s">
        <v>2245</v>
      </c>
      <c r="F3841" s="21"/>
      <c r="G3841" s="16" t="str">
        <f>HYPERLINK("http://maps.google.com/maps?f=q&amp;hl=en&amp;geocode=&amp;q=42.9995765686035,-107.551513671875")</f>
        <v>http://maps.google.com/maps?f=q&amp;hl=en&amp;geocode=&amp;q=42.9995765686035,-107.551513671875</v>
      </c>
    </row>
    <row r="3842" spans="1:7" ht="15" x14ac:dyDescent="0.3">
      <c r="A3842">
        <v>31.882580000000001</v>
      </c>
      <c r="B3842">
        <v>-95.66113</v>
      </c>
      <c r="C3842" t="s">
        <v>42</v>
      </c>
      <c r="D3842" t="s">
        <v>2514</v>
      </c>
      <c r="F3842" s="21"/>
      <c r="G3842" s="16" t="str">
        <f>HYPERLINK("http://maps.google.com/maps?f=q&amp;hl=en&amp;geocode=&amp;q=31.88258,-95.66113")</f>
        <v>http://maps.google.com/maps?f=q&amp;hl=en&amp;geocode=&amp;q=31.88258,-95.66113</v>
      </c>
    </row>
    <row r="3843" spans="1:7" ht="15" x14ac:dyDescent="0.3">
      <c r="A3843">
        <v>40.065422599820202</v>
      </c>
      <c r="B3843">
        <v>-76.275415341847193</v>
      </c>
      <c r="C3843" t="s">
        <v>41</v>
      </c>
      <c r="D3843" t="s">
        <v>2515</v>
      </c>
      <c r="F3843" s="21"/>
      <c r="G3843" s="16" t="str">
        <f>HYPERLINK("http://maps.google.com/maps?f=q&amp;hl=en&amp;geocode=&amp;q=40.0654225998202,-76.2754153418472")</f>
        <v>http://maps.google.com/maps?f=q&amp;hl=en&amp;geocode=&amp;q=40.0654225998202,-76.2754153418472</v>
      </c>
    </row>
    <row r="3844" spans="1:7" ht="15" x14ac:dyDescent="0.3">
      <c r="A3844">
        <v>39.942369999999997</v>
      </c>
      <c r="B3844">
        <v>-75.227990000000005</v>
      </c>
      <c r="C3844" t="s">
        <v>41</v>
      </c>
      <c r="D3844" t="s">
        <v>2516</v>
      </c>
      <c r="F3844" s="21"/>
      <c r="G3844" s="16" t="str">
        <f>HYPERLINK("http://maps.google.com/maps?f=q&amp;hl=en&amp;geocode=&amp;q=39.94237,-75.22799")</f>
        <v>http://maps.google.com/maps?f=q&amp;hl=en&amp;geocode=&amp;q=39.94237,-75.22799</v>
      </c>
    </row>
    <row r="3845" spans="1:7" ht="15" x14ac:dyDescent="0.3">
      <c r="A3845">
        <v>46.531627655029297</v>
      </c>
      <c r="B3845">
        <v>6.6161589622497603</v>
      </c>
      <c r="C3845" t="s">
        <v>43</v>
      </c>
      <c r="D3845" t="s">
        <v>2517</v>
      </c>
      <c r="F3845" s="21"/>
      <c r="G3845" s="16" t="str">
        <f>HYPERLINK("http://maps.google.com/maps?f=q&amp;hl=en&amp;geocode=&amp;q=46.5316276550293,6.61615896224976")</f>
        <v>http://maps.google.com/maps?f=q&amp;hl=en&amp;geocode=&amp;q=46.5316276550293,6.61615896224976</v>
      </c>
    </row>
    <row r="3846" spans="1:7" ht="15" x14ac:dyDescent="0.3">
      <c r="A3846">
        <v>37.196883892039303</v>
      </c>
      <c r="B3846">
        <v>-87.711739141552599</v>
      </c>
      <c r="C3846" t="s">
        <v>43</v>
      </c>
      <c r="D3846" t="s">
        <v>2518</v>
      </c>
      <c r="F3846" s="21"/>
      <c r="G3846" s="16" t="str">
        <f>HYPERLINK("http://maps.google.com/maps?f=q&amp;hl=en&amp;geocode=&amp;q=37.1968838920393,-87.7117391415526")</f>
        <v>http://maps.google.com/maps?f=q&amp;hl=en&amp;geocode=&amp;q=37.1968838920393,-87.7117391415526</v>
      </c>
    </row>
    <row r="3847" spans="1:7" ht="15" x14ac:dyDescent="0.3">
      <c r="A3847">
        <v>33.383020000000002</v>
      </c>
      <c r="B3847">
        <v>-80.092119999999994</v>
      </c>
      <c r="C3847" t="s">
        <v>42</v>
      </c>
      <c r="D3847" t="s">
        <v>2519</v>
      </c>
      <c r="F3847" s="21"/>
      <c r="G3847" s="16" t="str">
        <f>HYPERLINK("http://maps.google.com/maps?f=q&amp;hl=en&amp;geocode=&amp;q=33.38302,-80.09212")</f>
        <v>http://maps.google.com/maps?f=q&amp;hl=en&amp;geocode=&amp;q=33.38302,-80.09212</v>
      </c>
    </row>
    <row r="3848" spans="1:7" ht="15" x14ac:dyDescent="0.3">
      <c r="A3848">
        <v>40.0325309412857</v>
      </c>
      <c r="B3848">
        <v>-75.036049523102406</v>
      </c>
      <c r="C3848" t="s">
        <v>41</v>
      </c>
      <c r="D3848" t="s">
        <v>2520</v>
      </c>
      <c r="F3848" s="21"/>
      <c r="G3848" s="16" t="str">
        <f>HYPERLINK("http://maps.google.com/maps?f=q&amp;hl=en&amp;geocode=&amp;q=40.0325309412857,-75.0360495231024")</f>
        <v>http://maps.google.com/maps?f=q&amp;hl=en&amp;geocode=&amp;q=40.0325309412857,-75.0360495231024</v>
      </c>
    </row>
    <row r="3849" spans="1:7" ht="15" x14ac:dyDescent="0.3">
      <c r="A3849">
        <v>40.255798159812898</v>
      </c>
      <c r="B3849">
        <v>-74.737254956354803</v>
      </c>
      <c r="C3849" t="s">
        <v>41</v>
      </c>
      <c r="D3849" t="s">
        <v>2521</v>
      </c>
      <c r="F3849" s="21"/>
      <c r="G3849" s="16" t="str">
        <f>HYPERLINK("http://maps.google.com/maps?f=q&amp;hl=en&amp;geocode=&amp;q=40.2557981598129,-74.7372549563548")</f>
        <v>http://maps.google.com/maps?f=q&amp;hl=en&amp;geocode=&amp;q=40.2557981598129,-74.7372549563548</v>
      </c>
    </row>
    <row r="3850" spans="1:7" ht="15" x14ac:dyDescent="0.3">
      <c r="A3850">
        <v>53.196468353271499</v>
      </c>
      <c r="B3850">
        <v>-2.8804199695587198</v>
      </c>
      <c r="C3850" t="s">
        <v>43</v>
      </c>
      <c r="D3850" t="s">
        <v>382</v>
      </c>
      <c r="F3850" s="21"/>
      <c r="G3850" s="16" t="str">
        <f>HYPERLINK("http://maps.google.com/maps?f=q&amp;hl=en&amp;geocode=&amp;q=53.1964683532715,-2.88041996955872")</f>
        <v>http://maps.google.com/maps?f=q&amp;hl=en&amp;geocode=&amp;q=53.1964683532715,-2.88041996955872</v>
      </c>
    </row>
    <row r="3851" spans="1:7" ht="15" x14ac:dyDescent="0.3">
      <c r="A3851">
        <v>39.948480000000004</v>
      </c>
      <c r="B3851">
        <v>-75.207049999999995</v>
      </c>
      <c r="C3851" t="s">
        <v>42</v>
      </c>
      <c r="D3851" t="s">
        <v>2522</v>
      </c>
      <c r="F3851" s="21"/>
      <c r="G3851" s="16" t="str">
        <f>HYPERLINK("http://maps.google.com/maps?f=q&amp;hl=en&amp;geocode=&amp;q=39.94848,-75.20705")</f>
        <v>http://maps.google.com/maps?f=q&amp;hl=en&amp;geocode=&amp;q=39.94848,-75.20705</v>
      </c>
    </row>
    <row r="3852" spans="1:7" ht="15" x14ac:dyDescent="0.3">
      <c r="A3852">
        <v>39.948480000000004</v>
      </c>
      <c r="B3852">
        <v>-75.207049999999995</v>
      </c>
      <c r="C3852" t="s">
        <v>42</v>
      </c>
      <c r="D3852" t="s">
        <v>2522</v>
      </c>
      <c r="F3852" s="21"/>
      <c r="G3852" s="16" t="str">
        <f>HYPERLINK("http://maps.google.com/maps?f=q&amp;hl=en&amp;geocode=&amp;q=39.94848,-75.20705")</f>
        <v>http://maps.google.com/maps?f=q&amp;hl=en&amp;geocode=&amp;q=39.94848,-75.20705</v>
      </c>
    </row>
    <row r="3853" spans="1:7" ht="15" x14ac:dyDescent="0.3">
      <c r="A3853">
        <v>50.427330017089801</v>
      </c>
      <c r="B3853">
        <v>4.9008412361145002</v>
      </c>
      <c r="C3853" t="s">
        <v>43</v>
      </c>
      <c r="D3853" t="s">
        <v>734</v>
      </c>
      <c r="F3853" s="21"/>
      <c r="G3853" s="16" t="str">
        <f>HYPERLINK("http://maps.google.com/maps?f=q&amp;hl=en&amp;geocode=&amp;q=50.4273300170898,4.9008412361145")</f>
        <v>http://maps.google.com/maps?f=q&amp;hl=en&amp;geocode=&amp;q=50.4273300170898,4.9008412361145</v>
      </c>
    </row>
    <row r="3854" spans="1:7" ht="15" x14ac:dyDescent="0.3">
      <c r="A3854">
        <v>29.533359527587901</v>
      </c>
      <c r="B3854">
        <v>-95.119140625</v>
      </c>
      <c r="C3854" t="s">
        <v>43</v>
      </c>
      <c r="D3854" t="s">
        <v>526</v>
      </c>
      <c r="F3854" s="21"/>
      <c r="G3854" s="16" t="str">
        <f>HYPERLINK("http://maps.google.com/maps?f=q&amp;hl=en&amp;geocode=&amp;q=29.5333595275879,-95.119140625")</f>
        <v>http://maps.google.com/maps?f=q&amp;hl=en&amp;geocode=&amp;q=29.5333595275879,-95.119140625</v>
      </c>
    </row>
    <row r="3855" spans="1:7" ht="15" x14ac:dyDescent="0.3">
      <c r="A3855">
        <v>-44.099250793457003</v>
      </c>
      <c r="B3855">
        <v>171.24234008789099</v>
      </c>
      <c r="C3855" t="s">
        <v>41</v>
      </c>
      <c r="D3855" t="s">
        <v>2523</v>
      </c>
      <c r="F3855" s="21"/>
      <c r="G3855" s="16" t="str">
        <f>HYPERLINK("http://maps.google.com/maps?f=q&amp;hl=en&amp;geocode=&amp;q=-44.099250793457,171.242340087891")</f>
        <v>http://maps.google.com/maps?f=q&amp;hl=en&amp;geocode=&amp;q=-44.099250793457,171.242340087891</v>
      </c>
    </row>
    <row r="3856" spans="1:7" ht="15" x14ac:dyDescent="0.3">
      <c r="A3856">
        <v>39.921219999999998</v>
      </c>
      <c r="B3856">
        <v>-75.164969999999997</v>
      </c>
      <c r="C3856" t="s">
        <v>43</v>
      </c>
      <c r="D3856" t="s">
        <v>2524</v>
      </c>
      <c r="F3856" s="21"/>
      <c r="G3856" s="16" t="str">
        <f>HYPERLINK("http://maps.google.com/maps?f=q&amp;hl=en&amp;geocode=&amp;q=39.92122,-75.16497")</f>
        <v>http://maps.google.com/maps?f=q&amp;hl=en&amp;geocode=&amp;q=39.92122,-75.16497</v>
      </c>
    </row>
    <row r="3857" spans="1:7" ht="15" x14ac:dyDescent="0.3">
      <c r="A3857">
        <v>39.198965303291402</v>
      </c>
      <c r="B3857">
        <v>-85.922232726339402</v>
      </c>
      <c r="C3857" t="s">
        <v>43</v>
      </c>
      <c r="D3857" t="s">
        <v>2525</v>
      </c>
      <c r="F3857" s="21"/>
      <c r="G3857" s="16" t="str">
        <f>HYPERLINK("http://maps.google.com/maps?f=q&amp;hl=en&amp;geocode=&amp;q=39.1989653032914,-85.9222327263394")</f>
        <v>http://maps.google.com/maps?f=q&amp;hl=en&amp;geocode=&amp;q=39.1989653032914,-85.9222327263394</v>
      </c>
    </row>
    <row r="3858" spans="1:7" ht="15" x14ac:dyDescent="0.3">
      <c r="A3858">
        <v>39.198965303291402</v>
      </c>
      <c r="B3858">
        <v>-85.922232726339402</v>
      </c>
      <c r="C3858" t="s">
        <v>43</v>
      </c>
      <c r="D3858" t="s">
        <v>2525</v>
      </c>
      <c r="F3858" s="21"/>
      <c r="G3858" s="16" t="str">
        <f>HYPERLINK("http://maps.google.com/maps?f=q&amp;hl=en&amp;geocode=&amp;q=39.1989653032914,-85.9222327263394")</f>
        <v>http://maps.google.com/maps?f=q&amp;hl=en&amp;geocode=&amp;q=39.1989653032914,-85.9222327263394</v>
      </c>
    </row>
    <row r="3859" spans="1:7" ht="15" x14ac:dyDescent="0.3">
      <c r="A3859">
        <v>34.778960173814397</v>
      </c>
      <c r="B3859">
        <v>-98.531672826436704</v>
      </c>
      <c r="C3859" t="s">
        <v>41</v>
      </c>
      <c r="D3859" t="s">
        <v>2526</v>
      </c>
      <c r="F3859" s="21"/>
      <c r="G3859" s="16" t="str">
        <f>HYPERLINK("http://maps.google.com/maps?f=q&amp;hl=en&amp;geocode=&amp;q=34.7789601738144,-98.5316728264367")</f>
        <v>http://maps.google.com/maps?f=q&amp;hl=en&amp;geocode=&amp;q=34.7789601738144,-98.5316728264367</v>
      </c>
    </row>
    <row r="3860" spans="1:7" ht="15" x14ac:dyDescent="0.3">
      <c r="A3860">
        <v>39.919339999999998</v>
      </c>
      <c r="B3860">
        <v>-75.160539999999997</v>
      </c>
      <c r="C3860" t="s">
        <v>42</v>
      </c>
      <c r="D3860" t="s">
        <v>2527</v>
      </c>
      <c r="F3860" s="21"/>
      <c r="G3860" s="16" t="str">
        <f>HYPERLINK("http://maps.google.com/maps?f=q&amp;hl=en&amp;geocode=&amp;q=39.91934,-75.16054")</f>
        <v>http://maps.google.com/maps?f=q&amp;hl=en&amp;geocode=&amp;q=39.91934,-75.16054</v>
      </c>
    </row>
    <row r="3861" spans="1:7" ht="15" x14ac:dyDescent="0.3">
      <c r="A3861">
        <v>41.5089111328125</v>
      </c>
      <c r="B3861">
        <v>-87.073318481445298</v>
      </c>
      <c r="C3861" t="s">
        <v>43</v>
      </c>
      <c r="D3861" t="s">
        <v>2528</v>
      </c>
      <c r="F3861" s="21"/>
      <c r="G3861" s="16" t="str">
        <f>HYPERLINK("http://maps.google.com/maps?f=q&amp;hl=en&amp;geocode=&amp;q=41.5089111328125,-87.0733184814453")</f>
        <v>http://maps.google.com/maps?f=q&amp;hl=en&amp;geocode=&amp;q=41.5089111328125,-87.0733184814453</v>
      </c>
    </row>
    <row r="3862" spans="1:7" ht="15" x14ac:dyDescent="0.3">
      <c r="A3862">
        <v>28.59911</v>
      </c>
      <c r="B3862">
        <v>-81.676720000000003</v>
      </c>
      <c r="C3862" t="s">
        <v>43</v>
      </c>
      <c r="D3862" t="s">
        <v>1979</v>
      </c>
      <c r="F3862" s="21"/>
      <c r="G3862" s="16" t="str">
        <f>HYPERLINK("http://maps.google.com/maps?f=q&amp;hl=en&amp;geocode=&amp;q=28.59911,-81.67672")</f>
        <v>http://maps.google.com/maps?f=q&amp;hl=en&amp;geocode=&amp;q=28.59911,-81.67672</v>
      </c>
    </row>
    <row r="3863" spans="1:7" ht="15" x14ac:dyDescent="0.3">
      <c r="A3863">
        <v>41.566429999999997</v>
      </c>
      <c r="B3863">
        <v>-77.111660000000001</v>
      </c>
      <c r="C3863" t="s">
        <v>42</v>
      </c>
      <c r="D3863" t="s">
        <v>2529</v>
      </c>
      <c r="F3863" s="21"/>
      <c r="G3863" s="16" t="str">
        <f>HYPERLINK("http://maps.google.com/maps?f=q&amp;hl=en&amp;geocode=&amp;q=41.56643,-77.11166")</f>
        <v>http://maps.google.com/maps?f=q&amp;hl=en&amp;geocode=&amp;q=41.56643,-77.11166</v>
      </c>
    </row>
    <row r="3864" spans="1:7" ht="15" x14ac:dyDescent="0.3">
      <c r="A3864">
        <v>41.566429999999997</v>
      </c>
      <c r="B3864">
        <v>-77.111660000000001</v>
      </c>
      <c r="C3864" t="s">
        <v>42</v>
      </c>
      <c r="D3864" t="s">
        <v>2529</v>
      </c>
      <c r="F3864" s="21"/>
      <c r="G3864" s="16" t="str">
        <f>HYPERLINK("http://maps.google.com/maps?f=q&amp;hl=en&amp;geocode=&amp;q=41.56643,-77.11166")</f>
        <v>http://maps.google.com/maps?f=q&amp;hl=en&amp;geocode=&amp;q=41.56643,-77.11166</v>
      </c>
    </row>
    <row r="3865" spans="1:7" ht="15" x14ac:dyDescent="0.3">
      <c r="A3865">
        <v>41.566429999999997</v>
      </c>
      <c r="B3865">
        <v>-77.111660000000001</v>
      </c>
      <c r="C3865" t="s">
        <v>42</v>
      </c>
      <c r="D3865" t="s">
        <v>2529</v>
      </c>
      <c r="F3865" s="21"/>
      <c r="G3865" s="16" t="str">
        <f>HYPERLINK("http://maps.google.com/maps?f=q&amp;hl=en&amp;geocode=&amp;q=41.56643,-77.11166")</f>
        <v>http://maps.google.com/maps?f=q&amp;hl=en&amp;geocode=&amp;q=41.56643,-77.11166</v>
      </c>
    </row>
    <row r="3866" spans="1:7" ht="15" x14ac:dyDescent="0.3">
      <c r="A3866" t="s">
        <v>44</v>
      </c>
      <c r="B3866" t="s">
        <v>44</v>
      </c>
      <c r="C3866" t="s">
        <v>44</v>
      </c>
      <c r="D3866" t="s">
        <v>2530</v>
      </c>
      <c r="F3866" s="21"/>
      <c r="G3866" s="16"/>
    </row>
    <row r="3867" spans="1:7" ht="15" x14ac:dyDescent="0.3">
      <c r="A3867">
        <v>50.723228454589801</v>
      </c>
      <c r="B3867">
        <v>4.6152939796447798</v>
      </c>
      <c r="C3867" t="s">
        <v>43</v>
      </c>
      <c r="D3867" t="s">
        <v>2531</v>
      </c>
      <c r="F3867" s="21"/>
      <c r="G3867" s="16" t="str">
        <f>HYPERLINK("http://maps.google.com/maps?f=q&amp;hl=en&amp;geocode=&amp;q=50.7232284545898,4.61529397964478")</f>
        <v>http://maps.google.com/maps?f=q&amp;hl=en&amp;geocode=&amp;q=50.7232284545898,4.61529397964478</v>
      </c>
    </row>
    <row r="3868" spans="1:7" ht="15" x14ac:dyDescent="0.3">
      <c r="A3868">
        <v>50.723228454589801</v>
      </c>
      <c r="B3868">
        <v>4.6152939796447798</v>
      </c>
      <c r="C3868" t="s">
        <v>43</v>
      </c>
      <c r="D3868" t="s">
        <v>2531</v>
      </c>
      <c r="F3868" s="21"/>
      <c r="G3868" s="16" t="str">
        <f>HYPERLINK("http://maps.google.com/maps?f=q&amp;hl=en&amp;geocode=&amp;q=50.7232284545898,4.61529397964478")</f>
        <v>http://maps.google.com/maps?f=q&amp;hl=en&amp;geocode=&amp;q=50.7232284545898,4.61529397964478</v>
      </c>
    </row>
    <row r="3869" spans="1:7" ht="15" x14ac:dyDescent="0.3">
      <c r="A3869">
        <v>36.708499908447301</v>
      </c>
      <c r="B3869">
        <v>-119.556350708008</v>
      </c>
      <c r="C3869" t="s">
        <v>43</v>
      </c>
      <c r="D3869" t="s">
        <v>2532</v>
      </c>
      <c r="F3869" s="21"/>
      <c r="G3869" s="16" t="str">
        <f>HYPERLINK("http://maps.google.com/maps?f=q&amp;hl=en&amp;geocode=&amp;q=36.7084999084473,-119.556350708008")</f>
        <v>http://maps.google.com/maps?f=q&amp;hl=en&amp;geocode=&amp;q=36.7084999084473,-119.556350708008</v>
      </c>
    </row>
    <row r="3870" spans="1:7" ht="15" x14ac:dyDescent="0.3">
      <c r="A3870">
        <v>-35.178089999999997</v>
      </c>
      <c r="B3870">
        <v>138.76369</v>
      </c>
      <c r="C3870" t="s">
        <v>43</v>
      </c>
      <c r="D3870" t="s">
        <v>2533</v>
      </c>
      <c r="F3870" s="21"/>
      <c r="G3870" s="16" t="str">
        <f>HYPERLINK("http://maps.google.com/maps?f=q&amp;hl=en&amp;geocode=&amp;q=-35.17809,138.76369")</f>
        <v>http://maps.google.com/maps?f=q&amp;hl=en&amp;geocode=&amp;q=-35.17809,138.76369</v>
      </c>
    </row>
    <row r="3871" spans="1:7" ht="15" x14ac:dyDescent="0.3">
      <c r="A3871">
        <v>39.9732418091886</v>
      </c>
      <c r="B3871">
        <v>-75.223002349662494</v>
      </c>
      <c r="C3871" t="s">
        <v>41</v>
      </c>
      <c r="D3871" t="s">
        <v>2534</v>
      </c>
      <c r="F3871" s="21"/>
      <c r="G3871" s="16" t="str">
        <f>HYPERLINK("http://maps.google.com/maps?f=q&amp;hl=en&amp;geocode=&amp;q=39.9732418091886,-75.2230023496625")</f>
        <v>http://maps.google.com/maps?f=q&amp;hl=en&amp;geocode=&amp;q=39.9732418091886,-75.2230023496625</v>
      </c>
    </row>
    <row r="3872" spans="1:7" ht="15" x14ac:dyDescent="0.3">
      <c r="A3872">
        <v>50.397903442382798</v>
      </c>
      <c r="B3872">
        <v>4.5238752365112296</v>
      </c>
      <c r="C3872" t="s">
        <v>43</v>
      </c>
      <c r="D3872" t="s">
        <v>2535</v>
      </c>
      <c r="F3872" s="21"/>
      <c r="G3872" s="16" t="str">
        <f>HYPERLINK("http://maps.google.com/maps?f=q&amp;hl=en&amp;geocode=&amp;q=50.3979034423828,4.52387523651123")</f>
        <v>http://maps.google.com/maps?f=q&amp;hl=en&amp;geocode=&amp;q=50.3979034423828,4.52387523651123</v>
      </c>
    </row>
    <row r="3873" spans="1:7" ht="15" x14ac:dyDescent="0.3">
      <c r="A3873">
        <v>52.6822319030762</v>
      </c>
      <c r="B3873">
        <v>0.13165999948978399</v>
      </c>
      <c r="C3873" t="s">
        <v>41</v>
      </c>
      <c r="D3873" t="s">
        <v>1331</v>
      </c>
      <c r="F3873" s="21"/>
      <c r="G3873" s="16" t="str">
        <f>HYPERLINK("http://maps.google.com/maps?f=q&amp;hl=en&amp;geocode=&amp;q=52.6822319030762,0.131659999489784")</f>
        <v>http://maps.google.com/maps?f=q&amp;hl=en&amp;geocode=&amp;q=52.6822319030762,0.131659999489784</v>
      </c>
    </row>
    <row r="3874" spans="1:7" ht="15" x14ac:dyDescent="0.3">
      <c r="A3874" t="s">
        <v>44</v>
      </c>
      <c r="B3874" t="s">
        <v>44</v>
      </c>
      <c r="C3874" t="s">
        <v>44</v>
      </c>
      <c r="D3874" t="s">
        <v>993</v>
      </c>
      <c r="F3874" s="21"/>
      <c r="G3874" s="16"/>
    </row>
    <row r="3875" spans="1:7" ht="15" x14ac:dyDescent="0.3">
      <c r="A3875">
        <v>32.382170000000002</v>
      </c>
      <c r="B3875">
        <v>-86.193489999999997</v>
      </c>
      <c r="C3875" t="s">
        <v>43</v>
      </c>
      <c r="D3875" t="s">
        <v>2536</v>
      </c>
      <c r="F3875" s="21"/>
      <c r="G3875" s="16" t="str">
        <f>HYPERLINK("http://maps.google.com/maps?f=q&amp;hl=en&amp;geocode=&amp;q=32.38217,-86.19349")</f>
        <v>http://maps.google.com/maps?f=q&amp;hl=en&amp;geocode=&amp;q=32.38217,-86.19349</v>
      </c>
    </row>
    <row r="3876" spans="1:7" ht="15" x14ac:dyDescent="0.3">
      <c r="A3876">
        <v>33.101131439208999</v>
      </c>
      <c r="B3876">
        <v>-96.674491882324205</v>
      </c>
      <c r="C3876" t="s">
        <v>43</v>
      </c>
      <c r="D3876" t="s">
        <v>2537</v>
      </c>
      <c r="F3876" s="21"/>
      <c r="G3876" s="16" t="str">
        <f>HYPERLINK("http://maps.google.com/maps?f=q&amp;hl=en&amp;geocode=&amp;q=33.101131439209,-96.6744918823242")</f>
        <v>http://maps.google.com/maps?f=q&amp;hl=en&amp;geocode=&amp;q=33.101131439209,-96.6744918823242</v>
      </c>
    </row>
    <row r="3877" spans="1:7" ht="15" x14ac:dyDescent="0.3">
      <c r="A3877">
        <v>33.464835034241801</v>
      </c>
      <c r="B3877">
        <v>-112.174360510307</v>
      </c>
      <c r="C3877" t="s">
        <v>41</v>
      </c>
      <c r="D3877" t="s">
        <v>2538</v>
      </c>
      <c r="F3877" s="21"/>
      <c r="G3877" s="16" t="str">
        <f>HYPERLINK("http://maps.google.com/maps?f=q&amp;hl=en&amp;geocode=&amp;q=33.4648350342418,-112.174360510307")</f>
        <v>http://maps.google.com/maps?f=q&amp;hl=en&amp;geocode=&amp;q=33.4648350342418,-112.174360510307</v>
      </c>
    </row>
    <row r="3878" spans="1:7" ht="15" x14ac:dyDescent="0.3">
      <c r="A3878">
        <v>34.570140000000002</v>
      </c>
      <c r="B3878">
        <v>-93.172229999999999</v>
      </c>
      <c r="C3878" t="s">
        <v>43</v>
      </c>
      <c r="D3878" t="s">
        <v>2539</v>
      </c>
      <c r="F3878" s="21"/>
      <c r="G3878" s="16" t="str">
        <f>HYPERLINK("http://maps.google.com/maps?f=q&amp;hl=en&amp;geocode=&amp;q=34.57014,-93.17223")</f>
        <v>http://maps.google.com/maps?f=q&amp;hl=en&amp;geocode=&amp;q=34.57014,-93.17223</v>
      </c>
    </row>
    <row r="3879" spans="1:7" ht="15" x14ac:dyDescent="0.3">
      <c r="A3879">
        <v>36.048599243164098</v>
      </c>
      <c r="B3879">
        <v>14.1977996826172</v>
      </c>
      <c r="C3879" t="s">
        <v>41</v>
      </c>
      <c r="D3879" t="s">
        <v>2540</v>
      </c>
      <c r="F3879" s="21"/>
      <c r="G3879" s="16" t="str">
        <f>HYPERLINK("http://maps.google.com/maps?f=q&amp;hl=en&amp;geocode=&amp;q=36.0485992431641,14.1977996826172")</f>
        <v>http://maps.google.com/maps?f=q&amp;hl=en&amp;geocode=&amp;q=36.0485992431641,14.1977996826172</v>
      </c>
    </row>
    <row r="3880" spans="1:7" ht="15" x14ac:dyDescent="0.3">
      <c r="A3880">
        <v>55.887496948242202</v>
      </c>
      <c r="B3880">
        <v>11.6570587158203</v>
      </c>
      <c r="C3880" t="s">
        <v>41</v>
      </c>
      <c r="D3880" t="s">
        <v>2541</v>
      </c>
      <c r="F3880" s="21"/>
      <c r="G3880" s="16" t="str">
        <f>HYPERLINK("http://maps.google.com/maps?f=q&amp;hl=en&amp;geocode=&amp;q=55.8874969482422,11.6570587158203")</f>
        <v>http://maps.google.com/maps?f=q&amp;hl=en&amp;geocode=&amp;q=55.8874969482422,11.6570587158203</v>
      </c>
    </row>
    <row r="3881" spans="1:7" ht="15" x14ac:dyDescent="0.3">
      <c r="A3881">
        <v>47.121860504150398</v>
      </c>
      <c r="B3881">
        <v>-88.570022583007798</v>
      </c>
      <c r="C3881" t="s">
        <v>43</v>
      </c>
      <c r="D3881" t="s">
        <v>2542</v>
      </c>
      <c r="F3881" s="21"/>
      <c r="G3881" s="16" t="str">
        <f>HYPERLINK("http://maps.google.com/maps?f=q&amp;hl=en&amp;geocode=&amp;q=47.1218605041504,-88.5700225830078")</f>
        <v>http://maps.google.com/maps?f=q&amp;hl=en&amp;geocode=&amp;q=47.1218605041504,-88.5700225830078</v>
      </c>
    </row>
    <row r="3882" spans="1:7" ht="15" x14ac:dyDescent="0.3">
      <c r="A3882" t="s">
        <v>44</v>
      </c>
      <c r="B3882" t="s">
        <v>44</v>
      </c>
      <c r="C3882" t="s">
        <v>44</v>
      </c>
      <c r="D3882" t="s">
        <v>254</v>
      </c>
      <c r="F3882" s="21"/>
      <c r="G3882" s="16"/>
    </row>
    <row r="3883" spans="1:7" ht="15" x14ac:dyDescent="0.3">
      <c r="A3883" t="s">
        <v>44</v>
      </c>
      <c r="B3883" t="s">
        <v>44</v>
      </c>
      <c r="C3883" t="s">
        <v>44</v>
      </c>
      <c r="D3883" t="s">
        <v>254</v>
      </c>
      <c r="F3883" s="21"/>
      <c r="G3883" s="16"/>
    </row>
    <row r="3884" spans="1:7" ht="15" x14ac:dyDescent="0.3">
      <c r="A3884">
        <v>35.965989015210802</v>
      </c>
      <c r="B3884">
        <v>-94.232247053401494</v>
      </c>
      <c r="C3884" t="s">
        <v>41</v>
      </c>
      <c r="D3884" t="s">
        <v>2543</v>
      </c>
      <c r="F3884" s="21"/>
      <c r="G3884" s="16" t="str">
        <f>HYPERLINK("http://maps.google.com/maps?f=q&amp;hl=en&amp;geocode=&amp;q=35.9659890152108,-94.2322470534015")</f>
        <v>http://maps.google.com/maps?f=q&amp;hl=en&amp;geocode=&amp;q=35.9659890152108,-94.2322470534015</v>
      </c>
    </row>
    <row r="3885" spans="1:7" ht="15" x14ac:dyDescent="0.3">
      <c r="A3885">
        <v>35.965989015210802</v>
      </c>
      <c r="B3885">
        <v>-94.232247053401494</v>
      </c>
      <c r="C3885" t="s">
        <v>41</v>
      </c>
      <c r="D3885" t="s">
        <v>2543</v>
      </c>
      <c r="F3885" s="21"/>
      <c r="G3885" s="16" t="str">
        <f>HYPERLINK("http://maps.google.com/maps?f=q&amp;hl=en&amp;geocode=&amp;q=35.9659890152108,-94.2322470534015")</f>
        <v>http://maps.google.com/maps?f=q&amp;hl=en&amp;geocode=&amp;q=35.9659890152108,-94.2322470534015</v>
      </c>
    </row>
    <row r="3886" spans="1:7" ht="15" x14ac:dyDescent="0.3">
      <c r="A3886">
        <v>35.965989015210802</v>
      </c>
      <c r="B3886">
        <v>-94.232247053401494</v>
      </c>
      <c r="C3886" t="s">
        <v>41</v>
      </c>
      <c r="D3886" t="s">
        <v>2543</v>
      </c>
      <c r="F3886" s="21"/>
      <c r="G3886" s="16" t="str">
        <f>HYPERLINK("http://maps.google.com/maps?f=q&amp;hl=en&amp;geocode=&amp;q=35.9659890152108,-94.2322470534015")</f>
        <v>http://maps.google.com/maps?f=q&amp;hl=en&amp;geocode=&amp;q=35.9659890152108,-94.2322470534015</v>
      </c>
    </row>
    <row r="3887" spans="1:7" ht="15" x14ac:dyDescent="0.3">
      <c r="A3887">
        <v>32.082221916476598</v>
      </c>
      <c r="B3887">
        <v>-83.800202174656306</v>
      </c>
      <c r="C3887" t="s">
        <v>41</v>
      </c>
      <c r="D3887" t="s">
        <v>2230</v>
      </c>
      <c r="F3887" s="21"/>
      <c r="G3887" s="16" t="str">
        <f>HYPERLINK("http://maps.google.com/maps?f=q&amp;hl=en&amp;geocode=&amp;q=32.0822219164766,-83.8002021746563")</f>
        <v>http://maps.google.com/maps?f=q&amp;hl=en&amp;geocode=&amp;q=32.0822219164766,-83.8002021746563</v>
      </c>
    </row>
    <row r="3888" spans="1:7" ht="15" x14ac:dyDescent="0.3">
      <c r="A3888">
        <v>43.5040824325458</v>
      </c>
      <c r="B3888">
        <v>-116.41366050275199</v>
      </c>
      <c r="C3888" t="s">
        <v>41</v>
      </c>
      <c r="D3888" t="s">
        <v>2544</v>
      </c>
      <c r="F3888" s="21"/>
      <c r="G3888" s="16" t="str">
        <f>HYPERLINK("http://maps.google.com/maps?f=q&amp;hl=en&amp;geocode=&amp;q=43.5040824325458,-116.413660502752")</f>
        <v>http://maps.google.com/maps?f=q&amp;hl=en&amp;geocode=&amp;q=43.5040824325458,-116.413660502752</v>
      </c>
    </row>
    <row r="3889" spans="1:7" ht="15" x14ac:dyDescent="0.3">
      <c r="A3889">
        <v>39.982441718012801</v>
      </c>
      <c r="B3889">
        <v>-75.111803875102794</v>
      </c>
      <c r="C3889" t="s">
        <v>41</v>
      </c>
      <c r="D3889" t="s">
        <v>2545</v>
      </c>
      <c r="F3889" s="21"/>
      <c r="G3889" s="16" t="str">
        <f>HYPERLINK("http://maps.google.com/maps?f=q&amp;hl=en&amp;geocode=&amp;q=39.9824417180128,-75.1118038751028")</f>
        <v>http://maps.google.com/maps?f=q&amp;hl=en&amp;geocode=&amp;q=39.9824417180128,-75.1118038751028</v>
      </c>
    </row>
    <row r="3890" spans="1:7" ht="15" x14ac:dyDescent="0.3">
      <c r="A3890">
        <v>39.982441718012801</v>
      </c>
      <c r="B3890">
        <v>-75.111803875102794</v>
      </c>
      <c r="C3890" t="s">
        <v>41</v>
      </c>
      <c r="D3890" t="s">
        <v>2545</v>
      </c>
      <c r="F3890" s="21"/>
      <c r="G3890" s="16" t="str">
        <f>HYPERLINK("http://maps.google.com/maps?f=q&amp;hl=en&amp;geocode=&amp;q=39.9824417180128,-75.1118038751028")</f>
        <v>http://maps.google.com/maps?f=q&amp;hl=en&amp;geocode=&amp;q=39.9824417180128,-75.1118038751028</v>
      </c>
    </row>
    <row r="3891" spans="1:7" ht="15" x14ac:dyDescent="0.3">
      <c r="A3891">
        <v>39.982441718012801</v>
      </c>
      <c r="B3891">
        <v>-75.111803875102794</v>
      </c>
      <c r="C3891" t="s">
        <v>41</v>
      </c>
      <c r="D3891" t="s">
        <v>2545</v>
      </c>
      <c r="F3891" s="21"/>
      <c r="G3891" s="16" t="str">
        <f>HYPERLINK("http://maps.google.com/maps?f=q&amp;hl=en&amp;geocode=&amp;q=39.9824417180128,-75.1118038751028")</f>
        <v>http://maps.google.com/maps?f=q&amp;hl=en&amp;geocode=&amp;q=39.9824417180128,-75.1118038751028</v>
      </c>
    </row>
    <row r="3892" spans="1:7" ht="15" x14ac:dyDescent="0.3">
      <c r="A3892">
        <v>46.656574249267599</v>
      </c>
      <c r="B3892">
        <v>6.9134998321533203</v>
      </c>
      <c r="C3892" t="s">
        <v>43</v>
      </c>
      <c r="D3892" t="s">
        <v>2546</v>
      </c>
      <c r="F3892" s="21"/>
      <c r="G3892" s="16" t="str">
        <f>HYPERLINK("http://maps.google.com/maps?f=q&amp;hl=en&amp;geocode=&amp;q=46.6565742492676,6.91349983215332")</f>
        <v>http://maps.google.com/maps?f=q&amp;hl=en&amp;geocode=&amp;q=46.6565742492676,6.91349983215332</v>
      </c>
    </row>
    <row r="3893" spans="1:7" ht="15" x14ac:dyDescent="0.3">
      <c r="A3893">
        <v>38.269828766544997</v>
      </c>
      <c r="B3893">
        <v>-121.28338617118899</v>
      </c>
      <c r="C3893" t="s">
        <v>41</v>
      </c>
      <c r="D3893" t="s">
        <v>2547</v>
      </c>
      <c r="F3893" s="21"/>
      <c r="G3893" s="16" t="str">
        <f>HYPERLINK("http://maps.google.com/maps?f=q&amp;hl=en&amp;geocode=&amp;q=38.269828766545,-121.283386171189")</f>
        <v>http://maps.google.com/maps?f=q&amp;hl=en&amp;geocode=&amp;q=38.269828766545,-121.283386171189</v>
      </c>
    </row>
    <row r="3894" spans="1:7" ht="15" x14ac:dyDescent="0.3">
      <c r="A3894">
        <v>31.7097909704481</v>
      </c>
      <c r="B3894">
        <v>-87.774574860142707</v>
      </c>
      <c r="C3894" t="s">
        <v>41</v>
      </c>
      <c r="D3894" t="s">
        <v>2548</v>
      </c>
      <c r="F3894" s="21"/>
      <c r="G3894" s="16" t="str">
        <f>HYPERLINK("http://maps.google.com/maps?f=q&amp;hl=en&amp;geocode=&amp;q=31.7097909704481,-87.7745748601427")</f>
        <v>http://maps.google.com/maps?f=q&amp;hl=en&amp;geocode=&amp;q=31.7097909704481,-87.7745748601427</v>
      </c>
    </row>
    <row r="3895" spans="1:7" ht="15" x14ac:dyDescent="0.3">
      <c r="A3895" t="s">
        <v>44</v>
      </c>
      <c r="B3895" t="s">
        <v>44</v>
      </c>
      <c r="C3895" t="s">
        <v>44</v>
      </c>
      <c r="D3895" t="s">
        <v>227</v>
      </c>
      <c r="F3895" s="21"/>
      <c r="G3895" s="16"/>
    </row>
    <row r="3896" spans="1:7" ht="15" x14ac:dyDescent="0.3">
      <c r="A3896">
        <v>39.977955000000001</v>
      </c>
      <c r="B3896">
        <v>-75.120114000000001</v>
      </c>
      <c r="C3896" t="s">
        <v>41</v>
      </c>
      <c r="D3896" t="s">
        <v>2549</v>
      </c>
      <c r="F3896" s="21"/>
      <c r="G3896" s="16" t="str">
        <f>HYPERLINK("http://maps.google.com/maps?f=q&amp;hl=en&amp;geocode=&amp;q=39.977955,-75.120114")</f>
        <v>http://maps.google.com/maps?f=q&amp;hl=en&amp;geocode=&amp;q=39.977955,-75.120114</v>
      </c>
    </row>
    <row r="3897" spans="1:7" ht="15" x14ac:dyDescent="0.3">
      <c r="A3897">
        <v>39.929169999999999</v>
      </c>
      <c r="B3897">
        <v>-75.158370000000005</v>
      </c>
      <c r="C3897" t="s">
        <v>43</v>
      </c>
      <c r="D3897" t="s">
        <v>2550</v>
      </c>
      <c r="F3897" s="21"/>
      <c r="G3897" s="16" t="str">
        <f>HYPERLINK("http://maps.google.com/maps?f=q&amp;hl=en&amp;geocode=&amp;q=39.92917,-75.15837")</f>
        <v>http://maps.google.com/maps?f=q&amp;hl=en&amp;geocode=&amp;q=39.92917,-75.15837</v>
      </c>
    </row>
    <row r="3898" spans="1:7" ht="15" x14ac:dyDescent="0.3">
      <c r="A3898">
        <v>25.735151386437401</v>
      </c>
      <c r="B3898">
        <v>-80.246814644678807</v>
      </c>
      <c r="C3898" t="s">
        <v>41</v>
      </c>
      <c r="D3898" t="s">
        <v>2551</v>
      </c>
      <c r="F3898" s="21"/>
      <c r="G3898" s="16" t="str">
        <f>HYPERLINK("http://maps.google.com/maps?f=q&amp;hl=en&amp;geocode=&amp;q=25.7351513864374,-80.2468146446788")</f>
        <v>http://maps.google.com/maps?f=q&amp;hl=en&amp;geocode=&amp;q=25.7351513864374,-80.2468146446788</v>
      </c>
    </row>
    <row r="3899" spans="1:7" ht="15" x14ac:dyDescent="0.3">
      <c r="A3899">
        <v>39.926990000000004</v>
      </c>
      <c r="B3899">
        <v>-75.226159999999993</v>
      </c>
      <c r="C3899" t="s">
        <v>41</v>
      </c>
      <c r="D3899" t="s">
        <v>462</v>
      </c>
      <c r="F3899" s="21"/>
      <c r="G3899" s="16" t="str">
        <f>HYPERLINK("http://maps.google.com/maps?f=q&amp;hl=en&amp;geocode=&amp;q=39.92699,-75.22616")</f>
        <v>http://maps.google.com/maps?f=q&amp;hl=en&amp;geocode=&amp;q=39.92699,-75.22616</v>
      </c>
    </row>
    <row r="3900" spans="1:7" ht="15" x14ac:dyDescent="0.3">
      <c r="A3900">
        <v>35.5703557132749</v>
      </c>
      <c r="B3900">
        <v>-112.242703367583</v>
      </c>
      <c r="C3900" t="s">
        <v>41</v>
      </c>
      <c r="D3900" t="s">
        <v>2043</v>
      </c>
      <c r="F3900" s="21"/>
      <c r="G3900" s="16" t="str">
        <f>HYPERLINK("http://maps.google.com/maps?f=q&amp;hl=en&amp;geocode=&amp;q=35.5703557132749,-112.242703367583")</f>
        <v>http://maps.google.com/maps?f=q&amp;hl=en&amp;geocode=&amp;q=35.5703557132749,-112.242703367583</v>
      </c>
    </row>
    <row r="3901" spans="1:7" ht="15" x14ac:dyDescent="0.3">
      <c r="A3901">
        <v>42.267138524175799</v>
      </c>
      <c r="B3901">
        <v>-83.287078263413505</v>
      </c>
      <c r="C3901" t="s">
        <v>41</v>
      </c>
      <c r="D3901" t="s">
        <v>2552</v>
      </c>
      <c r="F3901" s="21"/>
      <c r="G3901" s="16" t="str">
        <f>HYPERLINK("http://maps.google.com/maps?f=q&amp;hl=en&amp;geocode=&amp;q=42.2671385241758,-83.2870782634135")</f>
        <v>http://maps.google.com/maps?f=q&amp;hl=en&amp;geocode=&amp;q=42.2671385241758,-83.2870782634135</v>
      </c>
    </row>
    <row r="3902" spans="1:7" ht="15" x14ac:dyDescent="0.3">
      <c r="A3902">
        <v>40.309269608683202</v>
      </c>
      <c r="B3902">
        <v>-78.318082809230006</v>
      </c>
      <c r="C3902" t="s">
        <v>41</v>
      </c>
      <c r="D3902" t="s">
        <v>784</v>
      </c>
      <c r="F3902" s="21"/>
      <c r="G3902" s="16" t="str">
        <f>HYPERLINK("http://maps.google.com/maps?f=q&amp;hl=en&amp;geocode=&amp;q=40.3092696086832,-78.31808280923")</f>
        <v>http://maps.google.com/maps?f=q&amp;hl=en&amp;geocode=&amp;q=40.3092696086832,-78.31808280923</v>
      </c>
    </row>
    <row r="3903" spans="1:7" ht="15" x14ac:dyDescent="0.3">
      <c r="A3903">
        <v>40.309269608683202</v>
      </c>
      <c r="B3903">
        <v>-78.318082809230006</v>
      </c>
      <c r="C3903" t="s">
        <v>41</v>
      </c>
      <c r="D3903" t="s">
        <v>784</v>
      </c>
      <c r="F3903" s="21"/>
      <c r="G3903" s="16" t="str">
        <f>HYPERLINK("http://maps.google.com/maps?f=q&amp;hl=en&amp;geocode=&amp;q=40.3092696086832,-78.31808280923")</f>
        <v>http://maps.google.com/maps?f=q&amp;hl=en&amp;geocode=&amp;q=40.3092696086832,-78.31808280923</v>
      </c>
    </row>
    <row r="3904" spans="1:7" ht="15" x14ac:dyDescent="0.3">
      <c r="A3904">
        <v>39.989109999999997</v>
      </c>
      <c r="B3904">
        <v>-75.139499999999998</v>
      </c>
      <c r="C3904" t="s">
        <v>41</v>
      </c>
      <c r="D3904" t="s">
        <v>2038</v>
      </c>
      <c r="F3904" s="21"/>
      <c r="G3904" s="16" t="str">
        <f>HYPERLINK("http://maps.google.com/maps?f=q&amp;hl=en&amp;geocode=&amp;q=39.98911,-75.1395")</f>
        <v>http://maps.google.com/maps?f=q&amp;hl=en&amp;geocode=&amp;q=39.98911,-75.1395</v>
      </c>
    </row>
    <row r="3905" spans="1:7" ht="15" x14ac:dyDescent="0.3">
      <c r="A3905">
        <v>39.989109999999997</v>
      </c>
      <c r="B3905">
        <v>-75.139499999999998</v>
      </c>
      <c r="C3905" t="s">
        <v>41</v>
      </c>
      <c r="D3905" t="s">
        <v>2038</v>
      </c>
      <c r="F3905" s="21"/>
      <c r="G3905" s="16" t="str">
        <f>HYPERLINK("http://maps.google.com/maps?f=q&amp;hl=en&amp;geocode=&amp;q=39.98911,-75.1395")</f>
        <v>http://maps.google.com/maps?f=q&amp;hl=en&amp;geocode=&amp;q=39.98911,-75.1395</v>
      </c>
    </row>
    <row r="3906" spans="1:7" ht="15" x14ac:dyDescent="0.3">
      <c r="A3906">
        <v>39.989109999999997</v>
      </c>
      <c r="B3906">
        <v>-75.139499999999998</v>
      </c>
      <c r="C3906" t="s">
        <v>41</v>
      </c>
      <c r="D3906" t="s">
        <v>2038</v>
      </c>
      <c r="F3906" s="21"/>
      <c r="G3906" s="16" t="str">
        <f>HYPERLINK("http://maps.google.com/maps?f=q&amp;hl=en&amp;geocode=&amp;q=39.98911,-75.1395")</f>
        <v>http://maps.google.com/maps?f=q&amp;hl=en&amp;geocode=&amp;q=39.98911,-75.1395</v>
      </c>
    </row>
    <row r="3907" spans="1:7" ht="15" x14ac:dyDescent="0.3">
      <c r="A3907">
        <v>39.989109999999997</v>
      </c>
      <c r="B3907">
        <v>-75.139499999999998</v>
      </c>
      <c r="C3907" t="s">
        <v>41</v>
      </c>
      <c r="D3907" t="s">
        <v>2038</v>
      </c>
      <c r="F3907" s="21"/>
      <c r="G3907" s="16" t="str">
        <f>HYPERLINK("http://maps.google.com/maps?f=q&amp;hl=en&amp;geocode=&amp;q=39.98911,-75.1395")</f>
        <v>http://maps.google.com/maps?f=q&amp;hl=en&amp;geocode=&amp;q=39.98911,-75.1395</v>
      </c>
    </row>
    <row r="3908" spans="1:7" ht="15" x14ac:dyDescent="0.3">
      <c r="A3908">
        <v>39.989109999999997</v>
      </c>
      <c r="B3908">
        <v>-75.139499999999998</v>
      </c>
      <c r="C3908" t="s">
        <v>41</v>
      </c>
      <c r="D3908" t="s">
        <v>2038</v>
      </c>
      <c r="F3908" s="21"/>
      <c r="G3908" s="16" t="str">
        <f>HYPERLINK("http://maps.google.com/maps?f=q&amp;hl=en&amp;geocode=&amp;q=39.98911,-75.1395")</f>
        <v>http://maps.google.com/maps?f=q&amp;hl=en&amp;geocode=&amp;q=39.98911,-75.1395</v>
      </c>
    </row>
    <row r="3909" spans="1:7" ht="15" x14ac:dyDescent="0.3">
      <c r="A3909">
        <v>39.989109999999997</v>
      </c>
      <c r="B3909">
        <v>-75.139499999999998</v>
      </c>
      <c r="C3909" t="s">
        <v>41</v>
      </c>
      <c r="D3909" t="s">
        <v>2038</v>
      </c>
      <c r="F3909" s="21"/>
      <c r="G3909" s="16" t="str">
        <f>HYPERLINK("http://maps.google.com/maps?f=q&amp;hl=en&amp;geocode=&amp;q=39.98911,-75.1395")</f>
        <v>http://maps.google.com/maps?f=q&amp;hl=en&amp;geocode=&amp;q=39.98911,-75.1395</v>
      </c>
    </row>
    <row r="3910" spans="1:7" ht="15" x14ac:dyDescent="0.3">
      <c r="A3910">
        <v>39.989109999999997</v>
      </c>
      <c r="B3910">
        <v>-75.139499999999998</v>
      </c>
      <c r="C3910" t="s">
        <v>41</v>
      </c>
      <c r="D3910" t="s">
        <v>2038</v>
      </c>
      <c r="F3910" s="21"/>
      <c r="G3910" s="16" t="str">
        <f>HYPERLINK("http://maps.google.com/maps?f=q&amp;hl=en&amp;geocode=&amp;q=39.98911,-75.1395")</f>
        <v>http://maps.google.com/maps?f=q&amp;hl=en&amp;geocode=&amp;q=39.98911,-75.1395</v>
      </c>
    </row>
    <row r="3911" spans="1:7" ht="15" x14ac:dyDescent="0.3">
      <c r="A3911">
        <v>37.132553100585902</v>
      </c>
      <c r="B3911">
        <v>-8.4525938034057599</v>
      </c>
      <c r="C3911" t="s">
        <v>43</v>
      </c>
      <c r="D3911" t="s">
        <v>1799</v>
      </c>
      <c r="F3911" s="21"/>
      <c r="G3911" s="16" t="str">
        <f>HYPERLINK("http://maps.google.com/maps?f=q&amp;hl=en&amp;geocode=&amp;q=37.1325531005859,-8.45259380340576")</f>
        <v>http://maps.google.com/maps?f=q&amp;hl=en&amp;geocode=&amp;q=37.1325531005859,-8.45259380340576</v>
      </c>
    </row>
    <row r="3912" spans="1:7" ht="15" x14ac:dyDescent="0.3">
      <c r="A3912">
        <v>37.132553100585902</v>
      </c>
      <c r="B3912">
        <v>-8.4525938034057599</v>
      </c>
      <c r="C3912" t="s">
        <v>43</v>
      </c>
      <c r="D3912" t="s">
        <v>1799</v>
      </c>
      <c r="F3912" s="21"/>
      <c r="G3912" s="16" t="str">
        <f>HYPERLINK("http://maps.google.com/maps?f=q&amp;hl=en&amp;geocode=&amp;q=37.1325531005859,-8.45259380340576")</f>
        <v>http://maps.google.com/maps?f=q&amp;hl=en&amp;geocode=&amp;q=37.1325531005859,-8.45259380340576</v>
      </c>
    </row>
    <row r="3913" spans="1:7" ht="15" x14ac:dyDescent="0.3">
      <c r="A3913">
        <v>37.132553100585902</v>
      </c>
      <c r="B3913">
        <v>-8.4525938034057599</v>
      </c>
      <c r="C3913" t="s">
        <v>43</v>
      </c>
      <c r="D3913" t="s">
        <v>1799</v>
      </c>
      <c r="F3913" s="21"/>
      <c r="G3913" s="16" t="str">
        <f>HYPERLINK("http://maps.google.com/maps?f=q&amp;hl=en&amp;geocode=&amp;q=37.1325531005859,-8.45259380340576")</f>
        <v>http://maps.google.com/maps?f=q&amp;hl=en&amp;geocode=&amp;q=37.1325531005859,-8.45259380340576</v>
      </c>
    </row>
    <row r="3914" spans="1:7" ht="15" x14ac:dyDescent="0.3">
      <c r="A3914">
        <v>37.194240570068402</v>
      </c>
      <c r="B3914">
        <v>-8.5855684280395508</v>
      </c>
      <c r="C3914" t="s">
        <v>41</v>
      </c>
      <c r="D3914" t="s">
        <v>344</v>
      </c>
      <c r="F3914" s="21"/>
      <c r="G3914" s="16" t="str">
        <f>HYPERLINK("http://maps.google.com/maps?f=q&amp;hl=en&amp;geocode=&amp;q=37.1942405700684,-8.58556842803955")</f>
        <v>http://maps.google.com/maps?f=q&amp;hl=en&amp;geocode=&amp;q=37.1942405700684,-8.58556842803955</v>
      </c>
    </row>
    <row r="3915" spans="1:7" ht="15" x14ac:dyDescent="0.3">
      <c r="A3915">
        <v>48.424280000000003</v>
      </c>
      <c r="B3915">
        <v>-4.4996600000000004</v>
      </c>
      <c r="C3915" t="s">
        <v>41</v>
      </c>
      <c r="D3915" t="s">
        <v>2553</v>
      </c>
      <c r="F3915" s="21"/>
      <c r="G3915" s="16" t="str">
        <f>HYPERLINK("http://maps.google.com/maps?f=q&amp;hl=en&amp;geocode=&amp;q=48.42428,-4.49966")</f>
        <v>http://maps.google.com/maps?f=q&amp;hl=en&amp;geocode=&amp;q=48.42428,-4.49966</v>
      </c>
    </row>
    <row r="3916" spans="1:7" ht="15" x14ac:dyDescent="0.3">
      <c r="A3916">
        <v>39.982441718012801</v>
      </c>
      <c r="B3916">
        <v>-75.111803875102794</v>
      </c>
      <c r="C3916" t="s">
        <v>41</v>
      </c>
      <c r="D3916" t="s">
        <v>2545</v>
      </c>
      <c r="F3916" s="21"/>
      <c r="G3916" s="16" t="str">
        <f>HYPERLINK("http://maps.google.com/maps?f=q&amp;hl=en&amp;geocode=&amp;q=39.9824417180128,-75.1118038751028")</f>
        <v>http://maps.google.com/maps?f=q&amp;hl=en&amp;geocode=&amp;q=39.9824417180128,-75.1118038751028</v>
      </c>
    </row>
    <row r="3917" spans="1:7" ht="15" x14ac:dyDescent="0.3">
      <c r="A3917">
        <v>39.982441718012801</v>
      </c>
      <c r="B3917">
        <v>-75.111803875102794</v>
      </c>
      <c r="C3917" t="s">
        <v>41</v>
      </c>
      <c r="D3917" t="s">
        <v>2545</v>
      </c>
      <c r="F3917" s="21"/>
      <c r="G3917" s="16" t="str">
        <f>HYPERLINK("http://maps.google.com/maps?f=q&amp;hl=en&amp;geocode=&amp;q=39.9824417180128,-75.1118038751028")</f>
        <v>http://maps.google.com/maps?f=q&amp;hl=en&amp;geocode=&amp;q=39.9824417180128,-75.1118038751028</v>
      </c>
    </row>
    <row r="3918" spans="1:7" ht="15" x14ac:dyDescent="0.3">
      <c r="A3918">
        <v>36.106142512758801</v>
      </c>
      <c r="B3918">
        <v>-79.211578257001307</v>
      </c>
      <c r="C3918" t="s">
        <v>41</v>
      </c>
      <c r="D3918" t="s">
        <v>2554</v>
      </c>
      <c r="F3918" s="21"/>
      <c r="G3918" s="16" t="str">
        <f>HYPERLINK("http://maps.google.com/maps?f=q&amp;hl=en&amp;geocode=&amp;q=36.1061425127588,-79.2115782570013")</f>
        <v>http://maps.google.com/maps?f=q&amp;hl=en&amp;geocode=&amp;q=36.1061425127588,-79.2115782570013</v>
      </c>
    </row>
    <row r="3919" spans="1:7" ht="15" x14ac:dyDescent="0.3">
      <c r="A3919">
        <v>39.9681530217321</v>
      </c>
      <c r="B3919">
        <v>-75.144075296303797</v>
      </c>
      <c r="C3919" t="s">
        <v>41</v>
      </c>
      <c r="D3919" t="s">
        <v>2555</v>
      </c>
      <c r="F3919" s="21"/>
      <c r="G3919" s="16" t="str">
        <f>HYPERLINK("http://maps.google.com/maps?f=q&amp;hl=en&amp;geocode=&amp;q=39.9681530217321,-75.1440752963038")</f>
        <v>http://maps.google.com/maps?f=q&amp;hl=en&amp;geocode=&amp;q=39.9681530217321,-75.1440752963038</v>
      </c>
    </row>
    <row r="3920" spans="1:7" ht="15" x14ac:dyDescent="0.3">
      <c r="A3920">
        <v>-33.542310000000001</v>
      </c>
      <c r="B3920">
        <v>118.14669000000001</v>
      </c>
      <c r="C3920" t="s">
        <v>41</v>
      </c>
      <c r="D3920" t="s">
        <v>2556</v>
      </c>
      <c r="F3920" s="21"/>
      <c r="G3920" s="16" t="str">
        <f>HYPERLINK("http://maps.google.com/maps?f=q&amp;hl=en&amp;geocode=&amp;q=-33.54231,118.14669")</f>
        <v>http://maps.google.com/maps?f=q&amp;hl=en&amp;geocode=&amp;q=-33.54231,118.14669</v>
      </c>
    </row>
    <row r="3921" spans="1:7" ht="15" x14ac:dyDescent="0.3">
      <c r="A3921">
        <v>46.241408724920603</v>
      </c>
      <c r="B3921">
        <v>-119.111384180305</v>
      </c>
      <c r="C3921" t="s">
        <v>41</v>
      </c>
      <c r="D3921" t="s">
        <v>2557</v>
      </c>
      <c r="F3921" s="21"/>
      <c r="G3921" s="16" t="str">
        <f>HYPERLINK("http://maps.google.com/maps?f=q&amp;hl=en&amp;geocode=&amp;q=46.2414087249206,-119.111384180305")</f>
        <v>http://maps.google.com/maps?f=q&amp;hl=en&amp;geocode=&amp;q=46.2414087249206,-119.111384180305</v>
      </c>
    </row>
    <row r="3922" spans="1:7" ht="15" x14ac:dyDescent="0.3">
      <c r="A3922">
        <v>47.095829010009801</v>
      </c>
      <c r="B3922">
        <v>-122.62953948974599</v>
      </c>
      <c r="C3922" t="s">
        <v>43</v>
      </c>
      <c r="D3922" t="s">
        <v>236</v>
      </c>
      <c r="F3922" s="21"/>
      <c r="G3922" s="16" t="str">
        <f>HYPERLINK("http://maps.google.com/maps?f=q&amp;hl=en&amp;geocode=&amp;q=47.0958290100098,-122.629539489746")</f>
        <v>http://maps.google.com/maps?f=q&amp;hl=en&amp;geocode=&amp;q=47.0958290100098,-122.629539489746</v>
      </c>
    </row>
    <row r="3923" spans="1:7" ht="15" x14ac:dyDescent="0.3">
      <c r="A3923">
        <v>-26.142440000000001</v>
      </c>
      <c r="B3923">
        <v>27.91825</v>
      </c>
      <c r="C3923" t="s">
        <v>41</v>
      </c>
      <c r="D3923" t="s">
        <v>2558</v>
      </c>
      <c r="F3923" s="21"/>
      <c r="G3923" s="16" t="str">
        <f>HYPERLINK("http://maps.google.com/maps?f=q&amp;hl=en&amp;geocode=&amp;q=-26.14244,27.91825")</f>
        <v>http://maps.google.com/maps?f=q&amp;hl=en&amp;geocode=&amp;q=-26.14244,27.91825</v>
      </c>
    </row>
    <row r="3924" spans="1:7" ht="15" x14ac:dyDescent="0.3">
      <c r="A3924">
        <v>-26.142440000000001</v>
      </c>
      <c r="B3924">
        <v>27.91825</v>
      </c>
      <c r="C3924" t="s">
        <v>41</v>
      </c>
      <c r="D3924" t="s">
        <v>2558</v>
      </c>
      <c r="F3924" s="21"/>
      <c r="G3924" s="16" t="str">
        <f>HYPERLINK("http://maps.google.com/maps?f=q&amp;hl=en&amp;geocode=&amp;q=-26.14244,27.91825")</f>
        <v>http://maps.google.com/maps?f=q&amp;hl=en&amp;geocode=&amp;q=-26.14244,27.91825</v>
      </c>
    </row>
    <row r="3925" spans="1:7" ht="15" x14ac:dyDescent="0.3">
      <c r="A3925">
        <v>39.940959999999997</v>
      </c>
      <c r="B3925">
        <v>-75.177859999999995</v>
      </c>
      <c r="C3925" t="s">
        <v>43</v>
      </c>
      <c r="D3925" t="s">
        <v>2559</v>
      </c>
      <c r="F3925" s="21"/>
      <c r="G3925" s="16" t="str">
        <f>HYPERLINK("http://maps.google.com/maps?f=q&amp;hl=en&amp;geocode=&amp;q=39.94096,-75.17786")</f>
        <v>http://maps.google.com/maps?f=q&amp;hl=en&amp;geocode=&amp;q=39.94096,-75.17786</v>
      </c>
    </row>
    <row r="3926" spans="1:7" ht="15" x14ac:dyDescent="0.3">
      <c r="A3926">
        <v>45.268642425537102</v>
      </c>
      <c r="B3926">
        <v>-110.023239135742</v>
      </c>
      <c r="C3926" t="s">
        <v>41</v>
      </c>
      <c r="D3926" t="s">
        <v>65</v>
      </c>
      <c r="F3926" s="21"/>
      <c r="G3926" s="16" t="str">
        <f>HYPERLINK("http://maps.google.com/maps?f=q&amp;hl=en&amp;geocode=&amp;q=45.2686424255371,-110.023239135742")</f>
        <v>http://maps.google.com/maps?f=q&amp;hl=en&amp;geocode=&amp;q=45.2686424255371,-110.023239135742</v>
      </c>
    </row>
    <row r="3927" spans="1:7" ht="15" x14ac:dyDescent="0.3">
      <c r="A3927">
        <v>40.024619260599501</v>
      </c>
      <c r="B3927">
        <v>-75.131679512591504</v>
      </c>
      <c r="C3927" t="s">
        <v>41</v>
      </c>
      <c r="D3927" t="s">
        <v>513</v>
      </c>
      <c r="F3927" s="21"/>
      <c r="G3927" s="16" t="str">
        <f>HYPERLINK("http://maps.google.com/maps?f=q&amp;hl=en&amp;geocode=&amp;q=40.0246192605995,-75.1316795125915")</f>
        <v>http://maps.google.com/maps?f=q&amp;hl=en&amp;geocode=&amp;q=40.0246192605995,-75.1316795125915</v>
      </c>
    </row>
    <row r="3928" spans="1:7" ht="15" x14ac:dyDescent="0.3">
      <c r="A3928">
        <v>39.916480042826798</v>
      </c>
      <c r="B3928">
        <v>-75.232415955746006</v>
      </c>
      <c r="C3928" t="s">
        <v>43</v>
      </c>
      <c r="D3928" t="s">
        <v>802</v>
      </c>
      <c r="F3928" s="21"/>
      <c r="G3928" s="16" t="str">
        <f>HYPERLINK("http://maps.google.com/maps?f=q&amp;hl=en&amp;geocode=&amp;q=39.9164800428268,-75.232415955746")</f>
        <v>http://maps.google.com/maps?f=q&amp;hl=en&amp;geocode=&amp;q=39.9164800428268,-75.232415955746</v>
      </c>
    </row>
    <row r="3929" spans="1:7" ht="15" x14ac:dyDescent="0.3">
      <c r="A3929">
        <v>30.520505209270301</v>
      </c>
      <c r="B3929">
        <v>-85.957755193812204</v>
      </c>
      <c r="C3929" t="s">
        <v>41</v>
      </c>
      <c r="D3929" t="s">
        <v>2560</v>
      </c>
      <c r="F3929" s="21"/>
      <c r="G3929" s="16" t="str">
        <f>HYPERLINK("http://maps.google.com/maps?f=q&amp;hl=en&amp;geocode=&amp;q=30.5205052092703,-85.9577551938122")</f>
        <v>http://maps.google.com/maps?f=q&amp;hl=en&amp;geocode=&amp;q=30.5205052092703,-85.9577551938122</v>
      </c>
    </row>
    <row r="3930" spans="1:7" ht="15" x14ac:dyDescent="0.3">
      <c r="A3930">
        <v>39.151271820068402</v>
      </c>
      <c r="B3930">
        <v>-76.764373779296903</v>
      </c>
      <c r="C3930" t="s">
        <v>43</v>
      </c>
      <c r="D3930" t="s">
        <v>869</v>
      </c>
      <c r="F3930" s="21"/>
      <c r="G3930" s="16" t="str">
        <f>HYPERLINK("http://maps.google.com/maps?f=q&amp;hl=en&amp;geocode=&amp;q=39.1512718200684,-76.7643737792969")</f>
        <v>http://maps.google.com/maps?f=q&amp;hl=en&amp;geocode=&amp;q=39.1512718200684,-76.7643737792969</v>
      </c>
    </row>
    <row r="3931" spans="1:7" ht="15" x14ac:dyDescent="0.3">
      <c r="A3931">
        <v>40.025613521956203</v>
      </c>
      <c r="B3931">
        <v>-75.172591319148196</v>
      </c>
      <c r="C3931" t="s">
        <v>41</v>
      </c>
      <c r="D3931" t="s">
        <v>2561</v>
      </c>
      <c r="F3931" s="21"/>
      <c r="G3931" s="16" t="str">
        <f>HYPERLINK("http://maps.google.com/maps?f=q&amp;hl=en&amp;geocode=&amp;q=40.0256135219562,-75.1725913191482")</f>
        <v>http://maps.google.com/maps?f=q&amp;hl=en&amp;geocode=&amp;q=40.0256135219562,-75.1725913191482</v>
      </c>
    </row>
    <row r="3932" spans="1:7" ht="15" x14ac:dyDescent="0.3">
      <c r="A3932">
        <v>41.539915949497697</v>
      </c>
      <c r="B3932">
        <v>-83.856926514973694</v>
      </c>
      <c r="C3932" t="s">
        <v>41</v>
      </c>
      <c r="D3932" t="s">
        <v>1865</v>
      </c>
      <c r="F3932" s="21"/>
      <c r="G3932" s="16" t="str">
        <f>HYPERLINK("http://maps.google.com/maps?f=q&amp;hl=en&amp;geocode=&amp;q=41.5399159494977,-83.8569265149737")</f>
        <v>http://maps.google.com/maps?f=q&amp;hl=en&amp;geocode=&amp;q=41.5399159494977,-83.8569265149737</v>
      </c>
    </row>
    <row r="3933" spans="1:7" ht="15" x14ac:dyDescent="0.3">
      <c r="A3933" t="s">
        <v>44</v>
      </c>
      <c r="B3933" t="s">
        <v>44</v>
      </c>
      <c r="C3933" t="s">
        <v>44</v>
      </c>
      <c r="D3933" t="s">
        <v>981</v>
      </c>
      <c r="F3933" s="21"/>
      <c r="G3933" s="16"/>
    </row>
    <row r="3934" spans="1:7" ht="15" x14ac:dyDescent="0.3">
      <c r="A3934" t="s">
        <v>44</v>
      </c>
      <c r="B3934" t="s">
        <v>44</v>
      </c>
      <c r="C3934" t="s">
        <v>44</v>
      </c>
      <c r="D3934" t="s">
        <v>2562</v>
      </c>
      <c r="F3934" s="21"/>
      <c r="G3934" s="16"/>
    </row>
    <row r="3935" spans="1:7" ht="15" x14ac:dyDescent="0.3">
      <c r="A3935">
        <v>-33.542310000000001</v>
      </c>
      <c r="B3935">
        <v>118.14669000000001</v>
      </c>
      <c r="C3935" t="s">
        <v>41</v>
      </c>
      <c r="D3935" t="s">
        <v>2556</v>
      </c>
      <c r="F3935" s="21"/>
      <c r="G3935" s="16" t="str">
        <f>HYPERLINK("http://maps.google.com/maps?f=q&amp;hl=en&amp;geocode=&amp;q=-33.54231,118.14669")</f>
        <v>http://maps.google.com/maps?f=q&amp;hl=en&amp;geocode=&amp;q=-33.54231,118.14669</v>
      </c>
    </row>
    <row r="3936" spans="1:7" ht="15" x14ac:dyDescent="0.3">
      <c r="A3936" t="s">
        <v>44</v>
      </c>
      <c r="B3936" t="s">
        <v>44</v>
      </c>
      <c r="C3936" t="s">
        <v>44</v>
      </c>
      <c r="D3936" t="s">
        <v>235</v>
      </c>
      <c r="F3936" s="21"/>
      <c r="G3936" s="16"/>
    </row>
    <row r="3937" spans="1:7" ht="15" x14ac:dyDescent="0.3">
      <c r="A3937" t="s">
        <v>44</v>
      </c>
      <c r="B3937" t="s">
        <v>44</v>
      </c>
      <c r="C3937" t="s">
        <v>44</v>
      </c>
      <c r="D3937" t="s">
        <v>235</v>
      </c>
      <c r="F3937" s="21"/>
      <c r="G3937" s="16"/>
    </row>
    <row r="3938" spans="1:7" ht="15" x14ac:dyDescent="0.3">
      <c r="A3938">
        <v>34.274926077825597</v>
      </c>
      <c r="B3938">
        <v>-85.182046376414505</v>
      </c>
      <c r="C3938" t="s">
        <v>43</v>
      </c>
      <c r="D3938" t="s">
        <v>1584</v>
      </c>
      <c r="F3938" s="21"/>
      <c r="G3938" s="16" t="str">
        <f>HYPERLINK("http://maps.google.com/maps?f=q&amp;hl=en&amp;geocode=&amp;q=34.2749260778256,-85.1820463764145")</f>
        <v>http://maps.google.com/maps?f=q&amp;hl=en&amp;geocode=&amp;q=34.2749260778256,-85.1820463764145</v>
      </c>
    </row>
    <row r="3939" spans="1:7" ht="15" x14ac:dyDescent="0.3">
      <c r="A3939">
        <v>39.974530000000001</v>
      </c>
      <c r="B3939">
        <v>-75.260499999999993</v>
      </c>
      <c r="C3939" t="s">
        <v>41</v>
      </c>
      <c r="D3939" t="s">
        <v>2563</v>
      </c>
      <c r="F3939" s="21"/>
      <c r="G3939" s="16" t="str">
        <f>HYPERLINK("http://maps.google.com/maps?f=q&amp;hl=en&amp;geocode=&amp;q=39.97453,-75.2605")</f>
        <v>http://maps.google.com/maps?f=q&amp;hl=en&amp;geocode=&amp;q=39.97453,-75.2605</v>
      </c>
    </row>
    <row r="3940" spans="1:7" ht="15" x14ac:dyDescent="0.3">
      <c r="F3940" s="21"/>
      <c r="G3940" s="16"/>
    </row>
    <row r="3941" spans="1:7" ht="15" x14ac:dyDescent="0.3">
      <c r="A3941">
        <v>31.883710000000001</v>
      </c>
      <c r="B3941">
        <v>-102.49551</v>
      </c>
      <c r="C3941" t="s">
        <v>41</v>
      </c>
      <c r="D3941" t="s">
        <v>119</v>
      </c>
      <c r="F3941" s="21"/>
      <c r="G3941" s="16" t="str">
        <f>HYPERLINK("http://maps.google.com/maps?f=q&amp;hl=en&amp;geocode=&amp;q=31.88371,-102.49551")</f>
        <v>http://maps.google.com/maps?f=q&amp;hl=en&amp;geocode=&amp;q=31.88371,-102.49551</v>
      </c>
    </row>
    <row r="3942" spans="1:7" ht="15" x14ac:dyDescent="0.3">
      <c r="A3942">
        <v>38.205649999999999</v>
      </c>
      <c r="B3942">
        <v>-104.26692</v>
      </c>
      <c r="C3942" t="s">
        <v>42</v>
      </c>
      <c r="D3942" t="s">
        <v>739</v>
      </c>
      <c r="F3942" s="21"/>
      <c r="G3942" s="16" t="str">
        <f>HYPERLINK("http://maps.google.com/maps?f=q&amp;hl=en&amp;geocode=&amp;q=38.20565,-104.26692")</f>
        <v>http://maps.google.com/maps?f=q&amp;hl=en&amp;geocode=&amp;q=38.20565,-104.26692</v>
      </c>
    </row>
    <row r="3943" spans="1:7" ht="15" x14ac:dyDescent="0.3">
      <c r="A3943">
        <v>40.7389639295628</v>
      </c>
      <c r="B3943">
        <v>-93.461028551492305</v>
      </c>
      <c r="C3943" t="s">
        <v>41</v>
      </c>
      <c r="D3943" t="s">
        <v>2564</v>
      </c>
      <c r="F3943" s="21"/>
      <c r="G3943" s="16" t="str">
        <f>HYPERLINK("http://maps.google.com/maps?f=q&amp;hl=en&amp;geocode=&amp;q=40.7389639295628,-93.4610285514923")</f>
        <v>http://maps.google.com/maps?f=q&amp;hl=en&amp;geocode=&amp;q=40.7389639295628,-93.4610285514923</v>
      </c>
    </row>
    <row r="3944" spans="1:7" ht="15" x14ac:dyDescent="0.3">
      <c r="A3944">
        <v>31.883710000000001</v>
      </c>
      <c r="B3944">
        <v>-102.49551</v>
      </c>
      <c r="C3944" t="s">
        <v>41</v>
      </c>
      <c r="D3944" t="s">
        <v>119</v>
      </c>
      <c r="F3944" s="21"/>
      <c r="G3944" s="16" t="str">
        <f>HYPERLINK("http://maps.google.com/maps?f=q&amp;hl=en&amp;geocode=&amp;q=31.88371,-102.49551")</f>
        <v>http://maps.google.com/maps?f=q&amp;hl=en&amp;geocode=&amp;q=31.88371,-102.49551</v>
      </c>
    </row>
    <row r="3945" spans="1:7" ht="15" x14ac:dyDescent="0.3">
      <c r="A3945">
        <v>31.883710000000001</v>
      </c>
      <c r="B3945">
        <v>-102.49551</v>
      </c>
      <c r="C3945" t="s">
        <v>41</v>
      </c>
      <c r="D3945" t="s">
        <v>119</v>
      </c>
      <c r="F3945" s="21"/>
      <c r="G3945" s="16" t="str">
        <f>HYPERLINK("http://maps.google.com/maps?f=q&amp;hl=en&amp;geocode=&amp;q=31.88371,-102.49551")</f>
        <v>http://maps.google.com/maps?f=q&amp;hl=en&amp;geocode=&amp;q=31.88371,-102.49551</v>
      </c>
    </row>
    <row r="3946" spans="1:7" ht="15" x14ac:dyDescent="0.3">
      <c r="A3946">
        <v>31.880279999999999</v>
      </c>
      <c r="B3946">
        <v>-102.49442999999999</v>
      </c>
      <c r="C3946" t="s">
        <v>41</v>
      </c>
      <c r="D3946" t="s">
        <v>1134</v>
      </c>
      <c r="F3946" s="21"/>
      <c r="G3946" s="16" t="str">
        <f>HYPERLINK("http://maps.google.com/maps?f=q&amp;hl=en&amp;geocode=&amp;q=31.88028,-102.49443")</f>
        <v>http://maps.google.com/maps?f=q&amp;hl=en&amp;geocode=&amp;q=31.88028,-102.49443</v>
      </c>
    </row>
    <row r="3947" spans="1:7" ht="15" x14ac:dyDescent="0.3">
      <c r="A3947">
        <v>40.013988494872997</v>
      </c>
      <c r="B3947">
        <v>-75.303192138671903</v>
      </c>
      <c r="C3947" t="s">
        <v>41</v>
      </c>
      <c r="D3947" t="s">
        <v>2565</v>
      </c>
      <c r="F3947" s="21"/>
      <c r="G3947" s="16" t="str">
        <f>HYPERLINK("http://maps.google.com/maps?f=q&amp;hl=en&amp;geocode=&amp;q=40.013988494873,-75.3031921386719")</f>
        <v>http://maps.google.com/maps?f=q&amp;hl=en&amp;geocode=&amp;q=40.013988494873,-75.3031921386719</v>
      </c>
    </row>
    <row r="3948" spans="1:7" ht="15" x14ac:dyDescent="0.3">
      <c r="A3948">
        <v>31.880279999999999</v>
      </c>
      <c r="B3948">
        <v>-102.49442999999999</v>
      </c>
      <c r="C3948" t="s">
        <v>41</v>
      </c>
      <c r="D3948" t="s">
        <v>1134</v>
      </c>
      <c r="F3948" s="21"/>
      <c r="G3948" s="16" t="str">
        <f>HYPERLINK("http://maps.google.com/maps?f=q&amp;hl=en&amp;geocode=&amp;q=31.88028,-102.49443")</f>
        <v>http://maps.google.com/maps?f=q&amp;hl=en&amp;geocode=&amp;q=31.88028,-102.49443</v>
      </c>
    </row>
    <row r="3949" spans="1:7" ht="15" x14ac:dyDescent="0.3">
      <c r="A3949">
        <v>-36.750904083252003</v>
      </c>
      <c r="B3949">
        <v>174.759689331055</v>
      </c>
      <c r="C3949" t="s">
        <v>43</v>
      </c>
      <c r="D3949" t="s">
        <v>2566</v>
      </c>
      <c r="F3949" s="21"/>
      <c r="G3949" s="16" t="str">
        <f>HYPERLINK("http://maps.google.com/maps?f=q&amp;hl=en&amp;geocode=&amp;q=-36.750904083252,174.759689331055")</f>
        <v>http://maps.google.com/maps?f=q&amp;hl=en&amp;geocode=&amp;q=-36.750904083252,174.759689331055</v>
      </c>
    </row>
    <row r="3950" spans="1:7" ht="15" x14ac:dyDescent="0.3">
      <c r="A3950">
        <v>39.9536720964674</v>
      </c>
      <c r="B3950">
        <v>-75.241227235137202</v>
      </c>
      <c r="C3950" t="s">
        <v>41</v>
      </c>
      <c r="D3950" t="s">
        <v>195</v>
      </c>
      <c r="F3950" s="21"/>
      <c r="G3950" s="16" t="str">
        <f>HYPERLINK("http://maps.google.com/maps?f=q&amp;hl=en&amp;geocode=&amp;q=39.9536720964674,-75.2412272351372")</f>
        <v>http://maps.google.com/maps?f=q&amp;hl=en&amp;geocode=&amp;q=39.9536720964674,-75.2412272351372</v>
      </c>
    </row>
    <row r="3951" spans="1:7" ht="15" x14ac:dyDescent="0.3">
      <c r="A3951">
        <v>38.725276947021499</v>
      </c>
      <c r="B3951">
        <v>-77.047775268554702</v>
      </c>
      <c r="C3951" t="s">
        <v>41</v>
      </c>
      <c r="D3951" t="s">
        <v>2567</v>
      </c>
      <c r="F3951" s="21"/>
      <c r="G3951" s="16" t="str">
        <f>HYPERLINK("http://maps.google.com/maps?f=q&amp;hl=en&amp;geocode=&amp;q=38.7252769470215,-77.0477752685547")</f>
        <v>http://maps.google.com/maps?f=q&amp;hl=en&amp;geocode=&amp;q=38.7252769470215,-77.0477752685547</v>
      </c>
    </row>
    <row r="3952" spans="1:7" ht="15" x14ac:dyDescent="0.3">
      <c r="A3952">
        <v>60.300830841064503</v>
      </c>
      <c r="B3952">
        <v>19.131389617919901</v>
      </c>
      <c r="C3952" t="s">
        <v>43</v>
      </c>
      <c r="D3952" t="s">
        <v>2568</v>
      </c>
      <c r="F3952" s="21"/>
      <c r="G3952" s="16" t="str">
        <f>HYPERLINK("http://maps.google.com/maps?f=q&amp;hl=en&amp;geocode=&amp;q=60.3008308410645,19.1313896179199")</f>
        <v>http://maps.google.com/maps?f=q&amp;hl=en&amp;geocode=&amp;q=60.3008308410645,19.1313896179199</v>
      </c>
    </row>
    <row r="3953" spans="1:7" ht="15" x14ac:dyDescent="0.3">
      <c r="A3953">
        <v>30.393874359212301</v>
      </c>
      <c r="B3953">
        <v>-87.051135681122503</v>
      </c>
      <c r="C3953" t="s">
        <v>41</v>
      </c>
      <c r="D3953" t="s">
        <v>2569</v>
      </c>
      <c r="F3953" s="21"/>
      <c r="G3953" s="16" t="str">
        <f>HYPERLINK("http://maps.google.com/maps?f=q&amp;hl=en&amp;geocode=&amp;q=30.3938743592123,-87.0511356811225")</f>
        <v>http://maps.google.com/maps?f=q&amp;hl=en&amp;geocode=&amp;q=30.3938743592123,-87.0511356811225</v>
      </c>
    </row>
    <row r="3954" spans="1:7" ht="15" x14ac:dyDescent="0.3">
      <c r="A3954">
        <v>38.491455035432701</v>
      </c>
      <c r="B3954">
        <v>-89.817895222618702</v>
      </c>
      <c r="C3954" t="s">
        <v>41</v>
      </c>
      <c r="D3954" t="s">
        <v>2570</v>
      </c>
      <c r="F3954" s="21"/>
      <c r="G3954" s="16" t="str">
        <f>HYPERLINK("http://maps.google.com/maps?f=q&amp;hl=en&amp;geocode=&amp;q=38.4914550354327,-89.8178952226187")</f>
        <v>http://maps.google.com/maps?f=q&amp;hl=en&amp;geocode=&amp;q=38.4914550354327,-89.8178952226187</v>
      </c>
    </row>
    <row r="3955" spans="1:7" ht="15" x14ac:dyDescent="0.3">
      <c r="A3955">
        <v>41.539311717313197</v>
      </c>
      <c r="B3955">
        <v>-83.856374214840002</v>
      </c>
      <c r="C3955" t="s">
        <v>41</v>
      </c>
      <c r="D3955" t="s">
        <v>2459</v>
      </c>
      <c r="F3955" s="21"/>
      <c r="G3955" s="16" t="str">
        <f>HYPERLINK("http://maps.google.com/maps?f=q&amp;hl=en&amp;geocode=&amp;q=41.5393117173132,-83.85637421484")</f>
        <v>http://maps.google.com/maps?f=q&amp;hl=en&amp;geocode=&amp;q=41.5393117173132,-83.85637421484</v>
      </c>
    </row>
    <row r="3956" spans="1:7" ht="15" x14ac:dyDescent="0.3">
      <c r="A3956">
        <v>42.317848205566399</v>
      </c>
      <c r="B3956">
        <v>-83.033866882324205</v>
      </c>
      <c r="C3956" t="s">
        <v>43</v>
      </c>
      <c r="D3956" t="s">
        <v>2571</v>
      </c>
      <c r="F3956" s="21"/>
      <c r="G3956" s="16" t="str">
        <f>HYPERLINK("http://maps.google.com/maps?f=q&amp;hl=en&amp;geocode=&amp;q=42.3178482055664,-83.0338668823242")</f>
        <v>http://maps.google.com/maps?f=q&amp;hl=en&amp;geocode=&amp;q=42.3178482055664,-83.0338668823242</v>
      </c>
    </row>
    <row r="3957" spans="1:7" ht="15" x14ac:dyDescent="0.3">
      <c r="A3957">
        <v>40.037979125976598</v>
      </c>
      <c r="B3957">
        <v>-75.223060607910199</v>
      </c>
      <c r="C3957" t="s">
        <v>41</v>
      </c>
      <c r="D3957" t="s">
        <v>100</v>
      </c>
      <c r="F3957" s="21"/>
      <c r="G3957" s="16" t="str">
        <f>HYPERLINK("http://maps.google.com/maps?f=q&amp;hl=en&amp;geocode=&amp;q=40.0379791259766,-75.2230606079102")</f>
        <v>http://maps.google.com/maps?f=q&amp;hl=en&amp;geocode=&amp;q=40.0379791259766,-75.2230606079102</v>
      </c>
    </row>
    <row r="3958" spans="1:7" ht="15" x14ac:dyDescent="0.3">
      <c r="A3958">
        <v>-37.250358581542997</v>
      </c>
      <c r="B3958">
        <v>144.36451721191401</v>
      </c>
      <c r="C3958" t="s">
        <v>41</v>
      </c>
      <c r="D3958" t="s">
        <v>2572</v>
      </c>
      <c r="F3958" s="21"/>
      <c r="G3958" s="16" t="str">
        <f>HYPERLINK("http://maps.google.com/maps?f=q&amp;hl=en&amp;geocode=&amp;q=-37.250358581543,144.364517211914")</f>
        <v>http://maps.google.com/maps?f=q&amp;hl=en&amp;geocode=&amp;q=-37.250358581543,144.364517211914</v>
      </c>
    </row>
    <row r="3959" spans="1:7" ht="15" x14ac:dyDescent="0.3">
      <c r="A3959">
        <v>28.492582321166999</v>
      </c>
      <c r="B3959">
        <v>-82.472221374511705</v>
      </c>
      <c r="C3959" t="s">
        <v>41</v>
      </c>
      <c r="D3959" t="s">
        <v>2573</v>
      </c>
      <c r="F3959" s="21"/>
      <c r="G3959" s="16" t="str">
        <f>HYPERLINK("http://maps.google.com/maps?f=q&amp;hl=en&amp;geocode=&amp;q=28.492582321167,-82.4722213745117")</f>
        <v>http://maps.google.com/maps?f=q&amp;hl=en&amp;geocode=&amp;q=28.492582321167,-82.4722213745117</v>
      </c>
    </row>
    <row r="3960" spans="1:7" ht="15" x14ac:dyDescent="0.3">
      <c r="A3960" t="s">
        <v>44</v>
      </c>
      <c r="B3960" t="s">
        <v>44</v>
      </c>
      <c r="C3960" t="s">
        <v>44</v>
      </c>
      <c r="D3960" t="s">
        <v>75</v>
      </c>
      <c r="F3960" s="21"/>
      <c r="G3960" s="16"/>
    </row>
    <row r="3961" spans="1:7" ht="15" x14ac:dyDescent="0.3">
      <c r="A3961">
        <v>7.3835182189941397</v>
      </c>
      <c r="B3961">
        <v>-12.2588081359863</v>
      </c>
      <c r="C3961" t="s">
        <v>41</v>
      </c>
      <c r="D3961" t="s">
        <v>202</v>
      </c>
      <c r="F3961" s="21"/>
      <c r="G3961" s="16" t="str">
        <f>HYPERLINK("http://maps.google.com/maps?f=q&amp;hl=en&amp;geocode=&amp;q=7.38351821899414,-12.2588081359863")</f>
        <v>http://maps.google.com/maps?f=q&amp;hl=en&amp;geocode=&amp;q=7.38351821899414,-12.2588081359863</v>
      </c>
    </row>
    <row r="3962" spans="1:7" ht="15" x14ac:dyDescent="0.3">
      <c r="A3962">
        <v>54.515911102294901</v>
      </c>
      <c r="B3962">
        <v>-128.60321044921901</v>
      </c>
      <c r="C3962" t="s">
        <v>43</v>
      </c>
      <c r="D3962" t="s">
        <v>1144</v>
      </c>
      <c r="F3962" s="21"/>
      <c r="G3962" s="16" t="str">
        <f>HYPERLINK("http://maps.google.com/maps?f=q&amp;hl=en&amp;geocode=&amp;q=54.5159111022949,-128.603210449219")</f>
        <v>http://maps.google.com/maps?f=q&amp;hl=en&amp;geocode=&amp;q=54.5159111022949,-128.603210449219</v>
      </c>
    </row>
    <row r="3963" spans="1:7" ht="15" x14ac:dyDescent="0.3">
      <c r="A3963">
        <v>39.964260000000003</v>
      </c>
      <c r="B3963">
        <v>-75.214209999999994</v>
      </c>
      <c r="C3963" t="s">
        <v>42</v>
      </c>
      <c r="D3963" t="s">
        <v>2574</v>
      </c>
      <c r="F3963" s="21"/>
      <c r="G3963" s="16" t="str">
        <f>HYPERLINK("http://maps.google.com/maps?f=q&amp;hl=en&amp;geocode=&amp;q=39.96426,-75.21421")</f>
        <v>http://maps.google.com/maps?f=q&amp;hl=en&amp;geocode=&amp;q=39.96426,-75.21421</v>
      </c>
    </row>
    <row r="3964" spans="1:7" ht="15" x14ac:dyDescent="0.3">
      <c r="A3964">
        <v>40.024738311767599</v>
      </c>
      <c r="B3964">
        <v>-75.213882446289105</v>
      </c>
      <c r="C3964" t="s">
        <v>43</v>
      </c>
      <c r="D3964" t="s">
        <v>141</v>
      </c>
      <c r="F3964" s="21"/>
      <c r="G3964" s="16" t="str">
        <f>HYPERLINK("http://maps.google.com/maps?f=q&amp;hl=en&amp;geocode=&amp;q=40.0247383117676,-75.2138824462891")</f>
        <v>http://maps.google.com/maps?f=q&amp;hl=en&amp;geocode=&amp;q=40.0247383117676,-75.2138824462891</v>
      </c>
    </row>
    <row r="3965" spans="1:7" ht="15" x14ac:dyDescent="0.3">
      <c r="A3965">
        <v>41.539311717313197</v>
      </c>
      <c r="B3965">
        <v>-83.856374214840002</v>
      </c>
      <c r="C3965" t="s">
        <v>41</v>
      </c>
      <c r="D3965" t="s">
        <v>2459</v>
      </c>
      <c r="F3965" s="21"/>
      <c r="G3965" s="16" t="str">
        <f>HYPERLINK("http://maps.google.com/maps?f=q&amp;hl=en&amp;geocode=&amp;q=41.5393117173132,-83.85637421484")</f>
        <v>http://maps.google.com/maps?f=q&amp;hl=en&amp;geocode=&amp;q=41.5393117173132,-83.85637421484</v>
      </c>
    </row>
    <row r="3966" spans="1:7" ht="15" x14ac:dyDescent="0.3">
      <c r="A3966">
        <v>40.027439999999999</v>
      </c>
      <c r="B3966">
        <v>-75.221800000000002</v>
      </c>
      <c r="C3966" t="s">
        <v>41</v>
      </c>
      <c r="D3966" t="s">
        <v>2575</v>
      </c>
      <c r="F3966" s="21"/>
      <c r="G3966" s="16" t="str">
        <f>HYPERLINK("http://maps.google.com/maps?f=q&amp;hl=en&amp;geocode=&amp;q=40.02744,-75.2218")</f>
        <v>http://maps.google.com/maps?f=q&amp;hl=en&amp;geocode=&amp;q=40.02744,-75.2218</v>
      </c>
    </row>
    <row r="3967" spans="1:7" ht="15" x14ac:dyDescent="0.3">
      <c r="A3967">
        <v>-25.292770385742202</v>
      </c>
      <c r="B3967">
        <v>-57.661319732666001</v>
      </c>
      <c r="C3967" t="s">
        <v>43</v>
      </c>
      <c r="D3967" t="s">
        <v>2576</v>
      </c>
      <c r="F3967" s="21"/>
      <c r="G3967" s="16" t="str">
        <f>HYPERLINK("http://maps.google.com/maps?f=q&amp;hl=en&amp;geocode=&amp;q=-25.2927703857422,-57.661319732666")</f>
        <v>http://maps.google.com/maps?f=q&amp;hl=en&amp;geocode=&amp;q=-25.2927703857422,-57.661319732666</v>
      </c>
    </row>
    <row r="3968" spans="1:7" ht="15" x14ac:dyDescent="0.3">
      <c r="A3968">
        <v>-25.292770385742202</v>
      </c>
      <c r="B3968">
        <v>-57.661319732666001</v>
      </c>
      <c r="C3968" t="s">
        <v>43</v>
      </c>
      <c r="D3968" t="s">
        <v>2576</v>
      </c>
      <c r="F3968" s="21"/>
      <c r="G3968" s="16" t="str">
        <f>HYPERLINK("http://maps.google.com/maps?f=q&amp;hl=en&amp;geocode=&amp;q=-25.2927703857422,-57.661319732666")</f>
        <v>http://maps.google.com/maps?f=q&amp;hl=en&amp;geocode=&amp;q=-25.2927703857422,-57.661319732666</v>
      </c>
    </row>
    <row r="3969" spans="1:7" ht="15" x14ac:dyDescent="0.3">
      <c r="A3969">
        <v>31.880279999999999</v>
      </c>
      <c r="B3969">
        <v>-102.49442999999999</v>
      </c>
      <c r="C3969" t="s">
        <v>41</v>
      </c>
      <c r="D3969" t="s">
        <v>1134</v>
      </c>
      <c r="F3969" s="21"/>
      <c r="G3969" s="16" t="str">
        <f>HYPERLINK("http://maps.google.com/maps?f=q&amp;hl=en&amp;geocode=&amp;q=31.88028,-102.49443")</f>
        <v>http://maps.google.com/maps?f=q&amp;hl=en&amp;geocode=&amp;q=31.88028,-102.49443</v>
      </c>
    </row>
    <row r="3970" spans="1:7" ht="15" x14ac:dyDescent="0.3">
      <c r="A3970">
        <v>39.93244</v>
      </c>
      <c r="B3970">
        <v>-75.16413</v>
      </c>
      <c r="C3970" t="s">
        <v>41</v>
      </c>
      <c r="D3970" t="s">
        <v>2577</v>
      </c>
      <c r="F3970" s="21"/>
      <c r="G3970" s="16" t="str">
        <f>HYPERLINK("http://maps.google.com/maps?f=q&amp;hl=en&amp;geocode=&amp;q=39.93244,-75.16413")</f>
        <v>http://maps.google.com/maps?f=q&amp;hl=en&amp;geocode=&amp;q=39.93244,-75.16413</v>
      </c>
    </row>
    <row r="3971" spans="1:7" ht="15" x14ac:dyDescent="0.3">
      <c r="A3971">
        <v>39.996630000000003</v>
      </c>
      <c r="B3971">
        <v>-75.116540000000001</v>
      </c>
      <c r="C3971" t="s">
        <v>41</v>
      </c>
      <c r="D3971" t="s">
        <v>2578</v>
      </c>
      <c r="F3971" s="21"/>
      <c r="G3971" s="16" t="str">
        <f>HYPERLINK("http://maps.google.com/maps?f=q&amp;hl=en&amp;geocode=&amp;q=39.99663,-75.11654")</f>
        <v>http://maps.google.com/maps?f=q&amp;hl=en&amp;geocode=&amp;q=39.99663,-75.11654</v>
      </c>
    </row>
    <row r="3972" spans="1:7" ht="15" x14ac:dyDescent="0.3">
      <c r="A3972" t="s">
        <v>44</v>
      </c>
      <c r="B3972" t="s">
        <v>44</v>
      </c>
      <c r="C3972" t="s">
        <v>44</v>
      </c>
      <c r="D3972" t="s">
        <v>2579</v>
      </c>
      <c r="F3972" s="21"/>
      <c r="G3972" s="16"/>
    </row>
    <row r="3973" spans="1:7" ht="15" x14ac:dyDescent="0.3">
      <c r="A3973" t="s">
        <v>44</v>
      </c>
      <c r="B3973" t="s">
        <v>44</v>
      </c>
      <c r="C3973" t="s">
        <v>44</v>
      </c>
      <c r="D3973" t="s">
        <v>2580</v>
      </c>
      <c r="F3973" s="21"/>
      <c r="G3973" s="16"/>
    </row>
    <row r="3974" spans="1:7" ht="15" x14ac:dyDescent="0.3">
      <c r="A3974">
        <v>40.479381505305199</v>
      </c>
      <c r="B3974">
        <v>-91.535884421996798</v>
      </c>
      <c r="C3974" t="s">
        <v>41</v>
      </c>
      <c r="D3974" t="s">
        <v>2581</v>
      </c>
      <c r="F3974" s="21"/>
      <c r="G3974" s="16" t="str">
        <f>HYPERLINK("http://maps.google.com/maps?f=q&amp;hl=en&amp;geocode=&amp;q=40.4793815053052,-91.5358844219968")</f>
        <v>http://maps.google.com/maps?f=q&amp;hl=en&amp;geocode=&amp;q=40.4793815053052,-91.5358844219968</v>
      </c>
    </row>
    <row r="3975" spans="1:7" ht="15" x14ac:dyDescent="0.3">
      <c r="A3975">
        <v>39.99915</v>
      </c>
      <c r="B3975">
        <v>-75.119550000000004</v>
      </c>
      <c r="C3975" t="s">
        <v>41</v>
      </c>
      <c r="D3975" t="s">
        <v>2582</v>
      </c>
      <c r="F3975" s="21"/>
      <c r="G3975" s="16" t="str">
        <f>HYPERLINK("http://maps.google.com/maps?f=q&amp;hl=en&amp;geocode=&amp;q=39.99915,-75.11955")</f>
        <v>http://maps.google.com/maps?f=q&amp;hl=en&amp;geocode=&amp;q=39.99915,-75.11955</v>
      </c>
    </row>
    <row r="3976" spans="1:7" ht="15" x14ac:dyDescent="0.3">
      <c r="A3976">
        <v>40.008699999999997</v>
      </c>
      <c r="B3976">
        <v>-75.100269999999995</v>
      </c>
      <c r="C3976" t="s">
        <v>43</v>
      </c>
      <c r="D3976" t="s">
        <v>2583</v>
      </c>
      <c r="F3976" s="21"/>
      <c r="G3976" s="16" t="str">
        <f>HYPERLINK("http://maps.google.com/maps?f=q&amp;hl=en&amp;geocode=&amp;q=40.0087,-75.10027")</f>
        <v>http://maps.google.com/maps?f=q&amp;hl=en&amp;geocode=&amp;q=40.0087,-75.10027</v>
      </c>
    </row>
    <row r="3977" spans="1:7" ht="15" x14ac:dyDescent="0.3">
      <c r="A3977">
        <v>39.902050018310497</v>
      </c>
      <c r="B3977">
        <v>-75.1798095703125</v>
      </c>
      <c r="C3977" t="s">
        <v>41</v>
      </c>
      <c r="D3977" t="s">
        <v>1195</v>
      </c>
      <c r="F3977" s="21"/>
      <c r="G3977" s="16" t="str">
        <f>HYPERLINK("http://maps.google.com/maps?f=q&amp;hl=en&amp;geocode=&amp;q=39.9020500183105,-75.1798095703125")</f>
        <v>http://maps.google.com/maps?f=q&amp;hl=en&amp;geocode=&amp;q=39.9020500183105,-75.1798095703125</v>
      </c>
    </row>
    <row r="3978" spans="1:7" ht="15" x14ac:dyDescent="0.3">
      <c r="A3978" t="s">
        <v>44</v>
      </c>
      <c r="B3978" t="s">
        <v>44</v>
      </c>
      <c r="C3978" t="s">
        <v>44</v>
      </c>
      <c r="D3978" t="s">
        <v>1004</v>
      </c>
      <c r="F3978" s="21"/>
      <c r="G3978" s="16"/>
    </row>
    <row r="3979" spans="1:7" ht="15" x14ac:dyDescent="0.3">
      <c r="A3979">
        <v>41.5089111328125</v>
      </c>
      <c r="B3979">
        <v>-87.073318481445298</v>
      </c>
      <c r="C3979" t="s">
        <v>43</v>
      </c>
      <c r="D3979" t="s">
        <v>1498</v>
      </c>
      <c r="F3979" s="21"/>
      <c r="G3979" s="16" t="str">
        <f>HYPERLINK("http://maps.google.com/maps?f=q&amp;hl=en&amp;geocode=&amp;q=41.5089111328125,-87.0733184814453")</f>
        <v>http://maps.google.com/maps?f=q&amp;hl=en&amp;geocode=&amp;q=41.5089111328125,-87.0733184814453</v>
      </c>
    </row>
    <row r="3980" spans="1:7" ht="15" x14ac:dyDescent="0.3">
      <c r="A3980">
        <v>41.545448303222699</v>
      </c>
      <c r="B3980">
        <v>-76.742660522460895</v>
      </c>
      <c r="C3980" t="s">
        <v>43</v>
      </c>
      <c r="D3980" t="s">
        <v>2584</v>
      </c>
      <c r="F3980" s="21"/>
      <c r="G3980" s="16" t="str">
        <f>HYPERLINK("http://maps.google.com/maps?f=q&amp;hl=en&amp;geocode=&amp;q=41.5454483032227,-76.7426605224609")</f>
        <v>http://maps.google.com/maps?f=q&amp;hl=en&amp;geocode=&amp;q=41.5454483032227,-76.7426605224609</v>
      </c>
    </row>
    <row r="3981" spans="1:7" ht="15" x14ac:dyDescent="0.3">
      <c r="A3981">
        <v>35.260009765625</v>
      </c>
      <c r="B3981">
        <v>-80.425880432128906</v>
      </c>
      <c r="C3981" t="s">
        <v>43</v>
      </c>
      <c r="D3981" t="s">
        <v>2585</v>
      </c>
      <c r="F3981" s="21"/>
      <c r="G3981" s="16" t="str">
        <f>HYPERLINK("http://maps.google.com/maps?f=q&amp;hl=en&amp;geocode=&amp;q=35.260009765625,-80.4258804321289")</f>
        <v>http://maps.google.com/maps?f=q&amp;hl=en&amp;geocode=&amp;q=35.260009765625,-80.4258804321289</v>
      </c>
    </row>
    <row r="3982" spans="1:7" ht="15" x14ac:dyDescent="0.3">
      <c r="A3982">
        <v>39.996954737656701</v>
      </c>
      <c r="B3982">
        <v>-75.117221959843704</v>
      </c>
      <c r="C3982" t="s">
        <v>41</v>
      </c>
      <c r="D3982" t="s">
        <v>521</v>
      </c>
      <c r="F3982" s="21"/>
      <c r="G3982" s="16" t="str">
        <f>HYPERLINK("http://maps.google.com/maps?f=q&amp;hl=en&amp;geocode=&amp;q=39.9969547376567,-75.1172219598437")</f>
        <v>http://maps.google.com/maps?f=q&amp;hl=en&amp;geocode=&amp;q=39.9969547376567,-75.1172219598437</v>
      </c>
    </row>
    <row r="3983" spans="1:7" ht="15" x14ac:dyDescent="0.3">
      <c r="A3983">
        <v>39.995840000000001</v>
      </c>
      <c r="B3983">
        <v>-75.167649999999995</v>
      </c>
      <c r="C3983" t="s">
        <v>41</v>
      </c>
      <c r="D3983" t="s">
        <v>2586</v>
      </c>
      <c r="F3983" s="21"/>
      <c r="G3983" s="16" t="str">
        <f>HYPERLINK("http://maps.google.com/maps?f=q&amp;hl=en&amp;geocode=&amp;q=39.99584,-75.16765")</f>
        <v>http://maps.google.com/maps?f=q&amp;hl=en&amp;geocode=&amp;q=39.99584,-75.16765</v>
      </c>
    </row>
    <row r="3984" spans="1:7" ht="15" x14ac:dyDescent="0.3">
      <c r="A3984">
        <v>39.939920000000001</v>
      </c>
      <c r="B3984">
        <v>-75.172039999999996</v>
      </c>
      <c r="C3984" t="s">
        <v>41</v>
      </c>
      <c r="D3984" t="s">
        <v>2587</v>
      </c>
      <c r="F3984" s="21"/>
      <c r="G3984" s="16" t="str">
        <f>HYPERLINK("http://maps.google.com/maps?f=q&amp;hl=en&amp;geocode=&amp;q=39.93992,-75.17204")</f>
        <v>http://maps.google.com/maps?f=q&amp;hl=en&amp;geocode=&amp;q=39.93992,-75.17204</v>
      </c>
    </row>
    <row r="3985" spans="1:7" ht="15" x14ac:dyDescent="0.3">
      <c r="A3985">
        <v>39.939920000000001</v>
      </c>
      <c r="B3985">
        <v>-75.172039999999996</v>
      </c>
      <c r="C3985" t="s">
        <v>41</v>
      </c>
      <c r="D3985" t="s">
        <v>2587</v>
      </c>
      <c r="F3985" s="21"/>
      <c r="G3985" s="16" t="str">
        <f>HYPERLINK("http://maps.google.com/maps?f=q&amp;hl=en&amp;geocode=&amp;q=39.93992,-75.17204")</f>
        <v>http://maps.google.com/maps?f=q&amp;hl=en&amp;geocode=&amp;q=39.93992,-75.17204</v>
      </c>
    </row>
    <row r="3986" spans="1:7" ht="15" x14ac:dyDescent="0.3">
      <c r="A3986">
        <v>47.257503999999997</v>
      </c>
      <c r="B3986">
        <v>-122.219556</v>
      </c>
      <c r="C3986" t="s">
        <v>42</v>
      </c>
      <c r="D3986" t="s">
        <v>2588</v>
      </c>
      <c r="F3986" s="21"/>
      <c r="G3986" s="16" t="str">
        <f>HYPERLINK("http://maps.google.com/maps?f=q&amp;hl=en&amp;geocode=&amp;q=47.257504,-122.219556")</f>
        <v>http://maps.google.com/maps?f=q&amp;hl=en&amp;geocode=&amp;q=47.257504,-122.219556</v>
      </c>
    </row>
    <row r="3987" spans="1:7" ht="15" x14ac:dyDescent="0.3">
      <c r="A3987">
        <v>39.951030000000003</v>
      </c>
      <c r="B3987">
        <v>-75.226749999999996</v>
      </c>
      <c r="C3987" t="s">
        <v>43</v>
      </c>
      <c r="D3987" t="s">
        <v>2589</v>
      </c>
      <c r="F3987" s="21"/>
      <c r="G3987" s="16" t="str">
        <f>HYPERLINK("http://maps.google.com/maps?f=q&amp;hl=en&amp;geocode=&amp;q=39.95103,-75.22675")</f>
        <v>http://maps.google.com/maps?f=q&amp;hl=en&amp;geocode=&amp;q=39.95103,-75.22675</v>
      </c>
    </row>
    <row r="3988" spans="1:7" ht="15" x14ac:dyDescent="0.3">
      <c r="A3988">
        <v>46.807389999999998</v>
      </c>
      <c r="B3988">
        <v>-100.76233999999999</v>
      </c>
      <c r="C3988" t="s">
        <v>41</v>
      </c>
      <c r="D3988" t="s">
        <v>2590</v>
      </c>
      <c r="F3988" s="21"/>
      <c r="G3988" s="16" t="str">
        <f>HYPERLINK("http://maps.google.com/maps?f=q&amp;hl=en&amp;geocode=&amp;q=46.80739,-100.76234")</f>
        <v>http://maps.google.com/maps?f=q&amp;hl=en&amp;geocode=&amp;q=46.80739,-100.76234</v>
      </c>
    </row>
    <row r="3989" spans="1:7" ht="15" x14ac:dyDescent="0.3">
      <c r="A3989">
        <v>38.798560000000002</v>
      </c>
      <c r="B3989">
        <v>-90.20908</v>
      </c>
      <c r="C3989" t="s">
        <v>43</v>
      </c>
      <c r="D3989" t="s">
        <v>413</v>
      </c>
      <c r="F3989" s="21"/>
      <c r="G3989" s="16" t="str">
        <f>HYPERLINK("http://maps.google.com/maps?f=q&amp;hl=en&amp;geocode=&amp;q=38.79856,-90.20908")</f>
        <v>http://maps.google.com/maps?f=q&amp;hl=en&amp;geocode=&amp;q=38.79856,-90.20908</v>
      </c>
    </row>
    <row r="3990" spans="1:7" ht="15" x14ac:dyDescent="0.3">
      <c r="A3990">
        <v>38.798560000000002</v>
      </c>
      <c r="B3990">
        <v>-90.20908</v>
      </c>
      <c r="C3990" t="s">
        <v>43</v>
      </c>
      <c r="D3990" t="s">
        <v>2591</v>
      </c>
      <c r="F3990" s="21"/>
      <c r="G3990" s="16" t="str">
        <f>HYPERLINK("http://maps.google.com/maps?f=q&amp;hl=en&amp;geocode=&amp;q=38.79856,-90.20908")</f>
        <v>http://maps.google.com/maps?f=q&amp;hl=en&amp;geocode=&amp;q=38.79856,-90.20908</v>
      </c>
    </row>
    <row r="3991" spans="1:7" ht="15" x14ac:dyDescent="0.3">
      <c r="A3991">
        <v>54.298728942871101</v>
      </c>
      <c r="B3991">
        <v>9.7888298034668004</v>
      </c>
      <c r="C3991" t="s">
        <v>43</v>
      </c>
      <c r="D3991" t="s">
        <v>2592</v>
      </c>
      <c r="F3991" s="21"/>
      <c r="G3991" s="16" t="str">
        <f>HYPERLINK("http://maps.google.com/maps?f=q&amp;hl=en&amp;geocode=&amp;q=54.2987289428711,9.7888298034668")</f>
        <v>http://maps.google.com/maps?f=q&amp;hl=en&amp;geocode=&amp;q=54.2987289428711,9.7888298034668</v>
      </c>
    </row>
    <row r="3992" spans="1:7" ht="15" x14ac:dyDescent="0.3">
      <c r="A3992">
        <v>39.902050018310497</v>
      </c>
      <c r="B3992">
        <v>-75.1798095703125</v>
      </c>
      <c r="C3992" t="s">
        <v>41</v>
      </c>
      <c r="D3992" t="s">
        <v>1195</v>
      </c>
      <c r="F3992" s="21"/>
      <c r="G3992" s="16" t="str">
        <f>HYPERLINK("http://maps.google.com/maps?f=q&amp;hl=en&amp;geocode=&amp;q=39.9020500183105,-75.1798095703125")</f>
        <v>http://maps.google.com/maps?f=q&amp;hl=en&amp;geocode=&amp;q=39.9020500183105,-75.1798095703125</v>
      </c>
    </row>
    <row r="3993" spans="1:7" ht="15" x14ac:dyDescent="0.3">
      <c r="A3993">
        <v>40.005638470252002</v>
      </c>
      <c r="B3993">
        <v>-83.061253944999905</v>
      </c>
      <c r="C3993" t="s">
        <v>41</v>
      </c>
      <c r="D3993" t="s">
        <v>2593</v>
      </c>
      <c r="F3993" s="21"/>
      <c r="G3993" s="16" t="str">
        <f>HYPERLINK("http://maps.google.com/maps?f=q&amp;hl=en&amp;geocode=&amp;q=40.005638470252,-83.0612539449999")</f>
        <v>http://maps.google.com/maps?f=q&amp;hl=en&amp;geocode=&amp;q=40.005638470252,-83.0612539449999</v>
      </c>
    </row>
    <row r="3994" spans="1:7" ht="15" x14ac:dyDescent="0.3">
      <c r="A3994">
        <v>39.965036790043797</v>
      </c>
      <c r="B3994">
        <v>-75.234225861874407</v>
      </c>
      <c r="C3994" t="s">
        <v>41</v>
      </c>
      <c r="D3994" t="s">
        <v>2594</v>
      </c>
      <c r="F3994" s="21"/>
      <c r="G3994" s="16" t="str">
        <f>HYPERLINK("http://maps.google.com/maps?f=q&amp;hl=en&amp;geocode=&amp;q=39.9650367900438,-75.2342258618744")</f>
        <v>http://maps.google.com/maps?f=q&amp;hl=en&amp;geocode=&amp;q=39.9650367900438,-75.2342258618744</v>
      </c>
    </row>
    <row r="3995" spans="1:7" ht="15" x14ac:dyDescent="0.3">
      <c r="A3995">
        <v>39.956510000000002</v>
      </c>
      <c r="B3995">
        <v>-75.24718</v>
      </c>
      <c r="C3995" t="s">
        <v>43</v>
      </c>
      <c r="D3995" t="s">
        <v>2595</v>
      </c>
      <c r="F3995" s="21"/>
      <c r="G3995" s="16" t="str">
        <f>HYPERLINK("http://maps.google.com/maps?f=q&amp;hl=en&amp;geocode=&amp;q=39.95651,-75.24718")</f>
        <v>http://maps.google.com/maps?f=q&amp;hl=en&amp;geocode=&amp;q=39.95651,-75.24718</v>
      </c>
    </row>
    <row r="3996" spans="1:7" ht="15" x14ac:dyDescent="0.3">
      <c r="A3996">
        <v>40.045740000000002</v>
      </c>
      <c r="B3996">
        <v>-75.095939999999999</v>
      </c>
      <c r="C3996" t="s">
        <v>43</v>
      </c>
      <c r="D3996" t="s">
        <v>2596</v>
      </c>
      <c r="F3996" s="21"/>
      <c r="G3996" s="16" t="str">
        <f>HYPERLINK("http://maps.google.com/maps?f=q&amp;hl=en&amp;geocode=&amp;q=40.04574,-75.09594")</f>
        <v>http://maps.google.com/maps?f=q&amp;hl=en&amp;geocode=&amp;q=40.04574,-75.09594</v>
      </c>
    </row>
    <row r="3997" spans="1:7" ht="15" x14ac:dyDescent="0.3">
      <c r="A3997">
        <v>48.1610717773438</v>
      </c>
      <c r="B3997">
        <v>15.638429641723601</v>
      </c>
      <c r="C3997" t="s">
        <v>43</v>
      </c>
      <c r="D3997" t="s">
        <v>2597</v>
      </c>
      <c r="F3997" s="21"/>
      <c r="G3997" s="16" t="str">
        <f>HYPERLINK("http://maps.google.com/maps?f=q&amp;hl=en&amp;geocode=&amp;q=48.1610717773438,15.6384296417236")</f>
        <v>http://maps.google.com/maps?f=q&amp;hl=en&amp;geocode=&amp;q=48.1610717773438,15.6384296417236</v>
      </c>
    </row>
    <row r="3998" spans="1:7" ht="15" x14ac:dyDescent="0.3">
      <c r="A3998">
        <v>44.901672853588202</v>
      </c>
      <c r="B3998">
        <v>-89.600563482719494</v>
      </c>
      <c r="C3998" t="s">
        <v>41</v>
      </c>
      <c r="D3998" t="s">
        <v>2598</v>
      </c>
      <c r="F3998" s="21"/>
      <c r="G3998" s="16" t="str">
        <f>HYPERLINK("http://maps.google.com/maps?f=q&amp;hl=en&amp;geocode=&amp;q=44.9016728535882,-89.6005634827195")</f>
        <v>http://maps.google.com/maps?f=q&amp;hl=en&amp;geocode=&amp;q=44.9016728535882,-89.6005634827195</v>
      </c>
    </row>
    <row r="3999" spans="1:7" ht="15" x14ac:dyDescent="0.3">
      <c r="A3999">
        <v>39.950887358243797</v>
      </c>
      <c r="B3999">
        <v>-75.235135942669899</v>
      </c>
      <c r="C3999" t="s">
        <v>41</v>
      </c>
      <c r="D3999" t="s">
        <v>1086</v>
      </c>
      <c r="F3999" s="21"/>
      <c r="G3999" s="16" t="str">
        <f>HYPERLINK("http://maps.google.com/maps?f=q&amp;hl=en&amp;geocode=&amp;q=39.9508873582438,-75.2351359426699")</f>
        <v>http://maps.google.com/maps?f=q&amp;hl=en&amp;geocode=&amp;q=39.9508873582438,-75.2351359426699</v>
      </c>
    </row>
    <row r="4000" spans="1:7" ht="15" x14ac:dyDescent="0.3">
      <c r="A4000">
        <v>42.322071075439503</v>
      </c>
      <c r="B4000">
        <v>-83.176292419433594</v>
      </c>
      <c r="C4000" t="s">
        <v>43</v>
      </c>
      <c r="D4000" t="s">
        <v>2599</v>
      </c>
      <c r="F4000" s="21"/>
      <c r="G4000" s="16" t="str">
        <f>HYPERLINK("http://maps.google.com/maps?f=q&amp;hl=en&amp;geocode=&amp;q=42.3220710754395,-83.1762924194336")</f>
        <v>http://maps.google.com/maps?f=q&amp;hl=en&amp;geocode=&amp;q=42.3220710754395,-83.1762924194336</v>
      </c>
    </row>
    <row r="4001" spans="1:7" ht="15" x14ac:dyDescent="0.3">
      <c r="A4001">
        <v>19.019824981689499</v>
      </c>
      <c r="B4001">
        <v>-70.792854309082003</v>
      </c>
      <c r="C4001" t="s">
        <v>43</v>
      </c>
      <c r="D4001" t="s">
        <v>2600</v>
      </c>
      <c r="F4001" s="21"/>
      <c r="G4001" s="16" t="str">
        <f>HYPERLINK("http://maps.google.com/maps?f=q&amp;hl=en&amp;geocode=&amp;q=19.0198249816895,-70.792854309082")</f>
        <v>http://maps.google.com/maps?f=q&amp;hl=en&amp;geocode=&amp;q=19.0198249816895,-70.792854309082</v>
      </c>
    </row>
    <row r="4002" spans="1:7" ht="15" x14ac:dyDescent="0.3">
      <c r="A4002">
        <v>41.1077880859375</v>
      </c>
      <c r="B4002">
        <v>-74.133483886718807</v>
      </c>
      <c r="C4002" t="s">
        <v>41</v>
      </c>
      <c r="D4002" t="s">
        <v>570</v>
      </c>
      <c r="F4002" s="21"/>
      <c r="G4002" s="16" t="str">
        <f>HYPERLINK("http://maps.google.com/maps?f=q&amp;hl=en&amp;geocode=&amp;q=41.1077880859375,-74.1334838867188")</f>
        <v>http://maps.google.com/maps?f=q&amp;hl=en&amp;geocode=&amp;q=41.1077880859375,-74.1334838867188</v>
      </c>
    </row>
    <row r="4003" spans="1:7" ht="15" x14ac:dyDescent="0.3">
      <c r="A4003">
        <v>39.309040000000003</v>
      </c>
      <c r="B4003">
        <v>-76.676670000000001</v>
      </c>
      <c r="C4003" t="s">
        <v>41</v>
      </c>
      <c r="D4003" t="s">
        <v>2601</v>
      </c>
      <c r="F4003" s="21"/>
      <c r="G4003" s="16" t="str">
        <f>HYPERLINK("http://maps.google.com/maps?f=q&amp;hl=en&amp;geocode=&amp;q=39.30904,-76.67667")</f>
        <v>http://maps.google.com/maps?f=q&amp;hl=en&amp;geocode=&amp;q=39.30904,-76.67667</v>
      </c>
    </row>
    <row r="4004" spans="1:7" ht="15" x14ac:dyDescent="0.3">
      <c r="A4004">
        <v>39.973590000000002</v>
      </c>
      <c r="B4004">
        <v>-75.247209999999995</v>
      </c>
      <c r="C4004" t="s">
        <v>42</v>
      </c>
      <c r="D4004" t="s">
        <v>2602</v>
      </c>
      <c r="F4004" s="21"/>
      <c r="G4004" s="16" t="str">
        <f>HYPERLINK("http://maps.google.com/maps?f=q&amp;hl=en&amp;geocode=&amp;q=39.97359,-75.24721")</f>
        <v>http://maps.google.com/maps?f=q&amp;hl=en&amp;geocode=&amp;q=39.97359,-75.24721</v>
      </c>
    </row>
    <row r="4005" spans="1:7" ht="15" x14ac:dyDescent="0.3">
      <c r="A4005">
        <v>43.674785117452799</v>
      </c>
      <c r="B4005">
        <v>-83.245684795079598</v>
      </c>
      <c r="C4005" t="s">
        <v>41</v>
      </c>
      <c r="D4005" t="s">
        <v>2603</v>
      </c>
      <c r="F4005" s="21"/>
      <c r="G4005" s="16" t="str">
        <f>HYPERLINK("http://maps.google.com/maps?f=q&amp;hl=en&amp;geocode=&amp;q=43.6747851174528,-83.2456847950796")</f>
        <v>http://maps.google.com/maps?f=q&amp;hl=en&amp;geocode=&amp;q=43.6747851174528,-83.2456847950796</v>
      </c>
    </row>
    <row r="4006" spans="1:7" ht="15" x14ac:dyDescent="0.3">
      <c r="A4006">
        <v>52.086502075195298</v>
      </c>
      <c r="B4006">
        <v>4.3096618652343803</v>
      </c>
      <c r="C4006" t="s">
        <v>41</v>
      </c>
      <c r="D4006" t="s">
        <v>2604</v>
      </c>
      <c r="F4006" s="21"/>
      <c r="G4006" s="16" t="str">
        <f>HYPERLINK("http://maps.google.com/maps?f=q&amp;hl=en&amp;geocode=&amp;q=52.0865020751953,4.30966186523438")</f>
        <v>http://maps.google.com/maps?f=q&amp;hl=en&amp;geocode=&amp;q=52.0865020751953,4.30966186523438</v>
      </c>
    </row>
    <row r="4007" spans="1:7" ht="15" x14ac:dyDescent="0.3">
      <c r="A4007">
        <v>49.590812683105497</v>
      </c>
      <c r="B4007">
        <v>6.1282281875610396</v>
      </c>
      <c r="C4007" t="s">
        <v>41</v>
      </c>
      <c r="D4007" t="s">
        <v>2605</v>
      </c>
      <c r="F4007" s="21"/>
      <c r="G4007" s="16" t="str">
        <f>HYPERLINK("http://maps.google.com/maps?f=q&amp;hl=en&amp;geocode=&amp;q=49.5908126831055,6.12822818756104")</f>
        <v>http://maps.google.com/maps?f=q&amp;hl=en&amp;geocode=&amp;q=49.5908126831055,6.12822818756104</v>
      </c>
    </row>
    <row r="4008" spans="1:7" ht="15" x14ac:dyDescent="0.3">
      <c r="A4008" t="s">
        <v>44</v>
      </c>
      <c r="B4008" t="s">
        <v>44</v>
      </c>
      <c r="C4008" t="s">
        <v>44</v>
      </c>
      <c r="D4008" t="s">
        <v>2606</v>
      </c>
      <c r="F4008" s="21"/>
      <c r="G4008" s="16"/>
    </row>
    <row r="4009" spans="1:7" ht="15" x14ac:dyDescent="0.3">
      <c r="A4009">
        <v>40.499420000000001</v>
      </c>
      <c r="B4009">
        <v>-98.951800000000006</v>
      </c>
      <c r="C4009" t="s">
        <v>43</v>
      </c>
      <c r="D4009" t="s">
        <v>2607</v>
      </c>
      <c r="F4009" s="21"/>
      <c r="G4009" s="16" t="str">
        <f>HYPERLINK("http://maps.google.com/maps?f=q&amp;hl=en&amp;geocode=&amp;q=40.49942,-98.9518")</f>
        <v>http://maps.google.com/maps?f=q&amp;hl=en&amp;geocode=&amp;q=40.49942,-98.9518</v>
      </c>
    </row>
    <row r="4010" spans="1:7" ht="15" x14ac:dyDescent="0.3">
      <c r="A4010">
        <v>32.473899841308601</v>
      </c>
      <c r="B4010">
        <v>-82.645301818847699</v>
      </c>
      <c r="C4010" t="s">
        <v>43</v>
      </c>
      <c r="D4010" t="s">
        <v>2608</v>
      </c>
      <c r="F4010" s="21"/>
      <c r="G4010" s="16" t="str">
        <f>HYPERLINK("http://maps.google.com/maps?f=q&amp;hl=en&amp;geocode=&amp;q=32.4738998413086,-82.6453018188477")</f>
        <v>http://maps.google.com/maps?f=q&amp;hl=en&amp;geocode=&amp;q=32.4738998413086,-82.6453018188477</v>
      </c>
    </row>
    <row r="4011" spans="1:7" ht="15" x14ac:dyDescent="0.3">
      <c r="A4011">
        <v>51.403392791747997</v>
      </c>
      <c r="B4011">
        <v>-0.26280936598777799</v>
      </c>
      <c r="C4011" t="s">
        <v>41</v>
      </c>
      <c r="D4011" t="s">
        <v>2609</v>
      </c>
      <c r="F4011" s="21"/>
      <c r="G4011" s="16" t="str">
        <f>HYPERLINK("http://maps.google.com/maps?f=q&amp;hl=en&amp;geocode=&amp;q=51.403392791748,-0.262809365987778")</f>
        <v>http://maps.google.com/maps?f=q&amp;hl=en&amp;geocode=&amp;q=51.403392791748,-0.262809365987778</v>
      </c>
    </row>
    <row r="4012" spans="1:7" ht="15" x14ac:dyDescent="0.3">
      <c r="A4012">
        <v>37.850288391113303</v>
      </c>
      <c r="B4012">
        <v>-122.27384185791</v>
      </c>
      <c r="C4012" t="s">
        <v>43</v>
      </c>
      <c r="D4012" t="s">
        <v>2610</v>
      </c>
      <c r="F4012" s="21"/>
      <c r="G4012" s="16" t="str">
        <f>HYPERLINK("http://maps.google.com/maps?f=q&amp;hl=en&amp;geocode=&amp;q=37.8502883911133,-122.27384185791")</f>
        <v>http://maps.google.com/maps?f=q&amp;hl=en&amp;geocode=&amp;q=37.8502883911133,-122.27384185791</v>
      </c>
    </row>
    <row r="4013" spans="1:7" ht="15" x14ac:dyDescent="0.3">
      <c r="A4013">
        <v>36.386279557936497</v>
      </c>
      <c r="B4013">
        <v>-80.1351179779532</v>
      </c>
      <c r="C4013" t="s">
        <v>43</v>
      </c>
      <c r="D4013" t="s">
        <v>2611</v>
      </c>
      <c r="F4013" s="21"/>
      <c r="G4013" s="16" t="str">
        <f>HYPERLINK("http://maps.google.com/maps?f=q&amp;hl=en&amp;geocode=&amp;q=36.3862795579365,-80.1351179779532")</f>
        <v>http://maps.google.com/maps?f=q&amp;hl=en&amp;geocode=&amp;q=36.3862795579365,-80.1351179779532</v>
      </c>
    </row>
    <row r="4014" spans="1:7" ht="15" x14ac:dyDescent="0.3">
      <c r="A4014">
        <v>40.168048858642599</v>
      </c>
      <c r="B4014">
        <v>-78.135139465332003</v>
      </c>
      <c r="C4014" t="s">
        <v>43</v>
      </c>
      <c r="D4014" t="s">
        <v>2612</v>
      </c>
      <c r="F4014" s="21"/>
      <c r="G4014" s="16" t="str">
        <f>HYPERLINK("http://maps.google.com/maps?f=q&amp;hl=en&amp;geocode=&amp;q=40.1680488586426,-78.135139465332")</f>
        <v>http://maps.google.com/maps?f=q&amp;hl=en&amp;geocode=&amp;q=40.1680488586426,-78.135139465332</v>
      </c>
    </row>
    <row r="4015" spans="1:7" ht="15" x14ac:dyDescent="0.3">
      <c r="A4015">
        <v>54.515911102294901</v>
      </c>
      <c r="B4015">
        <v>-128.60321044921901</v>
      </c>
      <c r="C4015" t="s">
        <v>43</v>
      </c>
      <c r="D4015" t="s">
        <v>1144</v>
      </c>
      <c r="F4015" s="21"/>
      <c r="G4015" s="16" t="str">
        <f>HYPERLINK("http://maps.google.com/maps?f=q&amp;hl=en&amp;geocode=&amp;q=54.5159111022949,-128.603210449219")</f>
        <v>http://maps.google.com/maps?f=q&amp;hl=en&amp;geocode=&amp;q=54.5159111022949,-128.603210449219</v>
      </c>
    </row>
    <row r="4016" spans="1:7" ht="15" x14ac:dyDescent="0.3">
      <c r="A4016">
        <v>54.515911102294901</v>
      </c>
      <c r="B4016">
        <v>-128.60321044921901</v>
      </c>
      <c r="C4016" t="s">
        <v>43</v>
      </c>
      <c r="D4016" t="s">
        <v>1144</v>
      </c>
      <c r="F4016" s="21"/>
      <c r="G4016" s="16" t="str">
        <f>HYPERLINK("http://maps.google.com/maps?f=q&amp;hl=en&amp;geocode=&amp;q=54.5159111022949,-128.603210449219")</f>
        <v>http://maps.google.com/maps?f=q&amp;hl=en&amp;geocode=&amp;q=54.5159111022949,-128.603210449219</v>
      </c>
    </row>
    <row r="4017" spans="1:7" ht="15" x14ac:dyDescent="0.3">
      <c r="A4017">
        <v>-9.2125329971313494</v>
      </c>
      <c r="B4017">
        <v>-74.422119140625</v>
      </c>
      <c r="C4017" t="s">
        <v>43</v>
      </c>
      <c r="D4017" t="s">
        <v>2613</v>
      </c>
      <c r="F4017" s="21"/>
      <c r="G4017" s="16" t="str">
        <f>HYPERLINK("http://maps.google.com/maps?f=q&amp;hl=en&amp;geocode=&amp;q=-9.21253299713135,-74.422119140625")</f>
        <v>http://maps.google.com/maps?f=q&amp;hl=en&amp;geocode=&amp;q=-9.21253299713135,-74.422119140625</v>
      </c>
    </row>
    <row r="4018" spans="1:7" ht="15" x14ac:dyDescent="0.3">
      <c r="A4018">
        <v>-4.9628200531005904</v>
      </c>
      <c r="B4018">
        <v>119.568771362305</v>
      </c>
      <c r="C4018" t="s">
        <v>43</v>
      </c>
      <c r="D4018" t="s">
        <v>2614</v>
      </c>
      <c r="F4018" s="21"/>
      <c r="G4018" s="16" t="str">
        <f>HYPERLINK("http://maps.google.com/maps?f=q&amp;hl=en&amp;geocode=&amp;q=-4.96282005310059,119.568771362305")</f>
        <v>http://maps.google.com/maps?f=q&amp;hl=en&amp;geocode=&amp;q=-4.96282005310059,119.568771362305</v>
      </c>
    </row>
    <row r="4019" spans="1:7" ht="15" x14ac:dyDescent="0.3">
      <c r="A4019">
        <v>-37.250358581542997</v>
      </c>
      <c r="B4019">
        <v>144.36451721191401</v>
      </c>
      <c r="C4019" t="s">
        <v>41</v>
      </c>
      <c r="D4019" t="s">
        <v>2615</v>
      </c>
      <c r="F4019" s="21"/>
      <c r="G4019" s="16" t="str">
        <f>HYPERLINK("http://maps.google.com/maps?f=q&amp;hl=en&amp;geocode=&amp;q=-37.250358581543,144.364517211914")</f>
        <v>http://maps.google.com/maps?f=q&amp;hl=en&amp;geocode=&amp;q=-37.250358581543,144.364517211914</v>
      </c>
    </row>
    <row r="4020" spans="1:7" ht="15" x14ac:dyDescent="0.3">
      <c r="A4020">
        <v>40.268650000000001</v>
      </c>
      <c r="B4020">
        <v>-92.954080000000005</v>
      </c>
      <c r="C4020" t="s">
        <v>42</v>
      </c>
      <c r="D4020" t="s">
        <v>2616</v>
      </c>
      <c r="F4020" s="21"/>
      <c r="G4020" s="16" t="str">
        <f>HYPERLINK("http://maps.google.com/maps?f=q&amp;hl=en&amp;geocode=&amp;q=40.26865,-92.95408")</f>
        <v>http://maps.google.com/maps?f=q&amp;hl=en&amp;geocode=&amp;q=40.26865,-92.95408</v>
      </c>
    </row>
    <row r="4021" spans="1:7" ht="15" x14ac:dyDescent="0.3">
      <c r="A4021">
        <v>39.937274385789898</v>
      </c>
      <c r="B4021">
        <v>-75.618201640243399</v>
      </c>
      <c r="C4021" t="s">
        <v>41</v>
      </c>
      <c r="D4021" t="s">
        <v>2617</v>
      </c>
      <c r="F4021" s="21"/>
      <c r="G4021" s="16" t="str">
        <f>HYPERLINK("http://maps.google.com/maps?f=q&amp;hl=en&amp;geocode=&amp;q=39.9372743857899,-75.6182016402434")</f>
        <v>http://maps.google.com/maps?f=q&amp;hl=en&amp;geocode=&amp;q=39.9372743857899,-75.6182016402434</v>
      </c>
    </row>
    <row r="4022" spans="1:7" ht="15" x14ac:dyDescent="0.3">
      <c r="A4022">
        <v>42.999576568603501</v>
      </c>
      <c r="B4022">
        <v>-107.551513671875</v>
      </c>
      <c r="C4022" t="s">
        <v>41</v>
      </c>
      <c r="D4022" t="s">
        <v>2618</v>
      </c>
      <c r="F4022" s="21"/>
      <c r="G4022" s="16" t="str">
        <f>HYPERLINK("http://maps.google.com/maps?f=q&amp;hl=en&amp;geocode=&amp;q=42.9995765686035,-107.551513671875")</f>
        <v>http://maps.google.com/maps?f=q&amp;hl=en&amp;geocode=&amp;q=42.9995765686035,-107.551513671875</v>
      </c>
    </row>
    <row r="4023" spans="1:7" ht="15" x14ac:dyDescent="0.3">
      <c r="A4023">
        <v>32.436612128449198</v>
      </c>
      <c r="B4023">
        <v>-86.423846660785699</v>
      </c>
      <c r="C4023" t="s">
        <v>43</v>
      </c>
      <c r="D4023" t="s">
        <v>2619</v>
      </c>
      <c r="F4023" s="21"/>
      <c r="G4023" s="16" t="str">
        <f>HYPERLINK("http://maps.google.com/maps?f=q&amp;hl=en&amp;geocode=&amp;q=32.4366121284492,-86.4238466607857")</f>
        <v>http://maps.google.com/maps?f=q&amp;hl=en&amp;geocode=&amp;q=32.4366121284492,-86.4238466607857</v>
      </c>
    </row>
    <row r="4024" spans="1:7" ht="15" x14ac:dyDescent="0.3">
      <c r="A4024" t="s">
        <v>44</v>
      </c>
      <c r="B4024" t="s">
        <v>44</v>
      </c>
      <c r="C4024" t="s">
        <v>44</v>
      </c>
      <c r="D4024" t="s">
        <v>981</v>
      </c>
      <c r="F4024" s="21"/>
      <c r="G4024" s="16"/>
    </row>
    <row r="4025" spans="1:7" ht="15" x14ac:dyDescent="0.3">
      <c r="A4025">
        <v>40.499420000000001</v>
      </c>
      <c r="B4025">
        <v>-98.951800000000006</v>
      </c>
      <c r="C4025" t="s">
        <v>43</v>
      </c>
      <c r="D4025" t="s">
        <v>2620</v>
      </c>
      <c r="F4025" s="21"/>
      <c r="G4025" s="16" t="str">
        <f>HYPERLINK("http://maps.google.com/maps?f=q&amp;hl=en&amp;geocode=&amp;q=40.49942,-98.9518")</f>
        <v>http://maps.google.com/maps?f=q&amp;hl=en&amp;geocode=&amp;q=40.49942,-98.9518</v>
      </c>
    </row>
    <row r="4026" spans="1:7" ht="15" x14ac:dyDescent="0.3">
      <c r="A4026">
        <v>35.907490000000003</v>
      </c>
      <c r="B4026">
        <v>-78.483360000000005</v>
      </c>
      <c r="C4026" t="s">
        <v>42</v>
      </c>
      <c r="D4026" t="s">
        <v>2621</v>
      </c>
      <c r="F4026" s="21"/>
      <c r="G4026" s="16" t="str">
        <f>HYPERLINK("http://maps.google.com/maps?f=q&amp;hl=en&amp;geocode=&amp;q=35.90749,-78.48336")</f>
        <v>http://maps.google.com/maps?f=q&amp;hl=en&amp;geocode=&amp;q=35.90749,-78.48336</v>
      </c>
    </row>
    <row r="4027" spans="1:7" ht="15" x14ac:dyDescent="0.3">
      <c r="A4027">
        <v>55.316757202148402</v>
      </c>
      <c r="B4027">
        <v>10.7729501724243</v>
      </c>
      <c r="C4027" t="s">
        <v>43</v>
      </c>
      <c r="D4027" t="s">
        <v>2622</v>
      </c>
      <c r="F4027" s="21"/>
      <c r="G4027" s="16" t="str">
        <f>HYPERLINK("http://maps.google.com/maps?f=q&amp;hl=en&amp;geocode=&amp;q=55.3167572021484,10.7729501724243")</f>
        <v>http://maps.google.com/maps?f=q&amp;hl=en&amp;geocode=&amp;q=55.3167572021484,10.7729501724243</v>
      </c>
    </row>
    <row r="4028" spans="1:7" ht="15" x14ac:dyDescent="0.3">
      <c r="A4028">
        <v>37.813539147738503</v>
      </c>
      <c r="B4028">
        <v>-121.376471826757</v>
      </c>
      <c r="C4028" t="s">
        <v>41</v>
      </c>
      <c r="D4028" t="s">
        <v>2623</v>
      </c>
      <c r="F4028" s="21"/>
      <c r="G4028" s="16" t="str">
        <f>HYPERLINK("http://maps.google.com/maps?f=q&amp;hl=en&amp;geocode=&amp;q=37.8135391477385,-121.376471826757")</f>
        <v>http://maps.google.com/maps?f=q&amp;hl=en&amp;geocode=&amp;q=37.8135391477385,-121.376471826757</v>
      </c>
    </row>
    <row r="4029" spans="1:7" ht="15" x14ac:dyDescent="0.3">
      <c r="A4029">
        <v>38.589080000000003</v>
      </c>
      <c r="B4029">
        <v>-90.290170000000003</v>
      </c>
      <c r="C4029" t="s">
        <v>41</v>
      </c>
      <c r="D4029" t="s">
        <v>421</v>
      </c>
      <c r="F4029" s="21"/>
      <c r="G4029" s="16" t="str">
        <f>HYPERLINK("http://maps.google.com/maps?f=q&amp;hl=en&amp;geocode=&amp;q=38.58908,-90.29017")</f>
        <v>http://maps.google.com/maps?f=q&amp;hl=en&amp;geocode=&amp;q=38.58908,-90.29017</v>
      </c>
    </row>
    <row r="4030" spans="1:7" ht="15" x14ac:dyDescent="0.3">
      <c r="A4030">
        <v>49.631263732910199</v>
      </c>
      <c r="B4030">
        <v>6.1715021133422896</v>
      </c>
      <c r="C4030" t="s">
        <v>41</v>
      </c>
      <c r="D4030" t="s">
        <v>2624</v>
      </c>
      <c r="F4030" s="21"/>
      <c r="G4030" s="16" t="str">
        <f>HYPERLINK("http://maps.google.com/maps?f=q&amp;hl=en&amp;geocode=&amp;q=49.6312637329102,6.17150211334229")</f>
        <v>http://maps.google.com/maps?f=q&amp;hl=en&amp;geocode=&amp;q=49.6312637329102,6.17150211334229</v>
      </c>
    </row>
    <row r="4031" spans="1:7" ht="15" x14ac:dyDescent="0.3">
      <c r="A4031">
        <v>44.862617492675803</v>
      </c>
      <c r="B4031">
        <v>-85.735137939453097</v>
      </c>
      <c r="C4031" t="s">
        <v>41</v>
      </c>
      <c r="D4031" t="s">
        <v>2625</v>
      </c>
      <c r="F4031" s="21"/>
      <c r="G4031" s="16" t="str">
        <f>HYPERLINK("http://maps.google.com/maps?f=q&amp;hl=en&amp;geocode=&amp;q=44.8626174926758,-85.7351379394531")</f>
        <v>http://maps.google.com/maps?f=q&amp;hl=en&amp;geocode=&amp;q=44.8626174926758,-85.7351379394531</v>
      </c>
    </row>
    <row r="4032" spans="1:7" ht="15" x14ac:dyDescent="0.3">
      <c r="A4032" t="s">
        <v>44</v>
      </c>
      <c r="B4032" t="s">
        <v>44</v>
      </c>
      <c r="C4032" t="s">
        <v>44</v>
      </c>
      <c r="D4032" t="s">
        <v>2626</v>
      </c>
      <c r="F4032" s="21"/>
      <c r="G4032" s="16"/>
    </row>
    <row r="4033" spans="1:7" ht="15" x14ac:dyDescent="0.3">
      <c r="A4033" t="s">
        <v>44</v>
      </c>
      <c r="B4033" t="s">
        <v>44</v>
      </c>
      <c r="C4033" t="s">
        <v>44</v>
      </c>
      <c r="D4033">
        <v>300</v>
      </c>
      <c r="F4033" s="21"/>
      <c r="G4033" s="16"/>
    </row>
    <row r="4034" spans="1:7" ht="15" x14ac:dyDescent="0.3">
      <c r="A4034">
        <v>39.151271820068402</v>
      </c>
      <c r="B4034">
        <v>-76.764373779296903</v>
      </c>
      <c r="C4034" t="s">
        <v>43</v>
      </c>
      <c r="D4034" t="s">
        <v>1200</v>
      </c>
      <c r="F4034" s="21"/>
      <c r="G4034" s="16" t="str">
        <f>HYPERLINK("http://maps.google.com/maps?f=q&amp;hl=en&amp;geocode=&amp;q=39.1512718200684,-76.7643737792969")</f>
        <v>http://maps.google.com/maps?f=q&amp;hl=en&amp;geocode=&amp;q=39.1512718200684,-76.7643737792969</v>
      </c>
    </row>
    <row r="4035" spans="1:7" ht="15" x14ac:dyDescent="0.3">
      <c r="A4035">
        <v>41.545448303222699</v>
      </c>
      <c r="B4035">
        <v>-76.742660522460895</v>
      </c>
      <c r="C4035" t="s">
        <v>43</v>
      </c>
      <c r="D4035" t="s">
        <v>2627</v>
      </c>
      <c r="F4035" s="21"/>
      <c r="G4035" s="16" t="str">
        <f>HYPERLINK("http://maps.google.com/maps?f=q&amp;hl=en&amp;geocode=&amp;q=41.5454483032227,-76.7426605224609")</f>
        <v>http://maps.google.com/maps?f=q&amp;hl=en&amp;geocode=&amp;q=41.5454483032227,-76.7426605224609</v>
      </c>
    </row>
    <row r="4036" spans="1:7" ht="15" x14ac:dyDescent="0.3">
      <c r="A4036">
        <v>41.545448303222699</v>
      </c>
      <c r="B4036">
        <v>-76.742660522460895</v>
      </c>
      <c r="C4036" t="s">
        <v>43</v>
      </c>
      <c r="D4036" t="s">
        <v>2627</v>
      </c>
      <c r="F4036" s="21"/>
      <c r="G4036" s="16" t="str">
        <f>HYPERLINK("http://maps.google.com/maps?f=q&amp;hl=en&amp;geocode=&amp;q=41.5454483032227,-76.7426605224609")</f>
        <v>http://maps.google.com/maps?f=q&amp;hl=en&amp;geocode=&amp;q=41.5454483032227,-76.7426605224609</v>
      </c>
    </row>
    <row r="4037" spans="1:7" ht="15" x14ac:dyDescent="0.3">
      <c r="A4037">
        <v>31.05575</v>
      </c>
      <c r="B4037">
        <v>-97.695329999999998</v>
      </c>
      <c r="C4037" t="s">
        <v>41</v>
      </c>
      <c r="D4037" t="s">
        <v>2628</v>
      </c>
      <c r="F4037" s="21"/>
      <c r="G4037" s="16" t="str">
        <f>HYPERLINK("http://maps.google.com/maps?f=q&amp;hl=en&amp;geocode=&amp;q=31.05575,-97.69533")</f>
        <v>http://maps.google.com/maps?f=q&amp;hl=en&amp;geocode=&amp;q=31.05575,-97.69533</v>
      </c>
    </row>
    <row r="4038" spans="1:7" ht="15" x14ac:dyDescent="0.3">
      <c r="A4038">
        <v>37.957173529708697</v>
      </c>
      <c r="B4038">
        <v>-85.651539476732196</v>
      </c>
      <c r="C4038" t="s">
        <v>43</v>
      </c>
      <c r="D4038" t="s">
        <v>2629</v>
      </c>
      <c r="F4038" s="21"/>
      <c r="G4038" s="16" t="str">
        <f>HYPERLINK("http://maps.google.com/maps?f=q&amp;hl=en&amp;geocode=&amp;q=37.9571735297087,-85.6515394767322")</f>
        <v>http://maps.google.com/maps?f=q&amp;hl=en&amp;geocode=&amp;q=37.9571735297087,-85.6515394767322</v>
      </c>
    </row>
    <row r="4039" spans="1:7" ht="15" x14ac:dyDescent="0.3">
      <c r="A4039">
        <v>31.787612906586901</v>
      </c>
      <c r="B4039">
        <v>-81.622321104871901</v>
      </c>
      <c r="C4039" t="s">
        <v>41</v>
      </c>
      <c r="D4039" t="s">
        <v>2630</v>
      </c>
      <c r="F4039" s="21"/>
      <c r="G4039" s="16" t="str">
        <f>HYPERLINK("http://maps.google.com/maps?f=q&amp;hl=en&amp;geocode=&amp;q=31.7876129065869,-81.6223211048719")</f>
        <v>http://maps.google.com/maps?f=q&amp;hl=en&amp;geocode=&amp;q=31.7876129065869,-81.6223211048719</v>
      </c>
    </row>
    <row r="4040" spans="1:7" ht="15" x14ac:dyDescent="0.3">
      <c r="A4040">
        <v>36.7413234390499</v>
      </c>
      <c r="B4040">
        <v>-119.736139519993</v>
      </c>
      <c r="C4040" t="s">
        <v>41</v>
      </c>
      <c r="D4040" t="s">
        <v>2631</v>
      </c>
      <c r="F4040" s="21"/>
      <c r="G4040" s="16" t="str">
        <f>HYPERLINK("http://maps.google.com/maps?f=q&amp;hl=en&amp;geocode=&amp;q=36.7413234390499,-119.736139519993")</f>
        <v>http://maps.google.com/maps?f=q&amp;hl=en&amp;geocode=&amp;q=36.7413234390499,-119.736139519993</v>
      </c>
    </row>
    <row r="4041" spans="1:7" ht="15" x14ac:dyDescent="0.3">
      <c r="A4041">
        <v>38.519611358642599</v>
      </c>
      <c r="B4041">
        <v>-90.209381103515597</v>
      </c>
      <c r="C4041" t="s">
        <v>41</v>
      </c>
      <c r="D4041" t="s">
        <v>2632</v>
      </c>
      <c r="F4041" s="21"/>
      <c r="G4041" s="16" t="str">
        <f>HYPERLINK("http://maps.google.com/maps?f=q&amp;hl=en&amp;geocode=&amp;q=38.5196113586426,-90.2093811035156")</f>
        <v>http://maps.google.com/maps?f=q&amp;hl=en&amp;geocode=&amp;q=38.5196113586426,-90.2093811035156</v>
      </c>
    </row>
    <row r="4042" spans="1:7" ht="15" x14ac:dyDescent="0.3">
      <c r="A4042">
        <v>38.519611358642599</v>
      </c>
      <c r="B4042">
        <v>-90.209381103515597</v>
      </c>
      <c r="C4042" t="s">
        <v>41</v>
      </c>
      <c r="D4042" t="s">
        <v>2632</v>
      </c>
      <c r="F4042" s="21"/>
      <c r="G4042" s="16" t="str">
        <f>HYPERLINK("http://maps.google.com/maps?f=q&amp;hl=en&amp;geocode=&amp;q=38.5196113586426,-90.2093811035156")</f>
        <v>http://maps.google.com/maps?f=q&amp;hl=en&amp;geocode=&amp;q=38.5196113586426,-90.2093811035156</v>
      </c>
    </row>
    <row r="4043" spans="1:7" ht="15" x14ac:dyDescent="0.3">
      <c r="A4043">
        <v>38.519611358642599</v>
      </c>
      <c r="B4043">
        <v>-90.209381103515597</v>
      </c>
      <c r="C4043" t="s">
        <v>41</v>
      </c>
      <c r="D4043" t="s">
        <v>2632</v>
      </c>
      <c r="F4043" s="21"/>
      <c r="G4043" s="16" t="str">
        <f>HYPERLINK("http://maps.google.com/maps?f=q&amp;hl=en&amp;geocode=&amp;q=38.5196113586426,-90.2093811035156")</f>
        <v>http://maps.google.com/maps?f=q&amp;hl=en&amp;geocode=&amp;q=38.5196113586426,-90.2093811035156</v>
      </c>
    </row>
    <row r="4044" spans="1:7" ht="15" x14ac:dyDescent="0.3">
      <c r="A4044">
        <v>38.519611358642599</v>
      </c>
      <c r="B4044">
        <v>-90.209381103515597</v>
      </c>
      <c r="C4044" t="s">
        <v>41</v>
      </c>
      <c r="D4044" t="s">
        <v>2632</v>
      </c>
      <c r="F4044" s="21"/>
      <c r="G4044" s="16" t="str">
        <f>HYPERLINK("http://maps.google.com/maps?f=q&amp;hl=en&amp;geocode=&amp;q=38.5196113586426,-90.2093811035156")</f>
        <v>http://maps.google.com/maps?f=q&amp;hl=en&amp;geocode=&amp;q=38.5196113586426,-90.2093811035156</v>
      </c>
    </row>
    <row r="4045" spans="1:7" ht="15" x14ac:dyDescent="0.3">
      <c r="A4045">
        <v>38.519611358642599</v>
      </c>
      <c r="B4045">
        <v>-90.209381103515597</v>
      </c>
      <c r="C4045" t="s">
        <v>41</v>
      </c>
      <c r="D4045" t="s">
        <v>2632</v>
      </c>
      <c r="F4045" s="21"/>
      <c r="G4045" s="16" t="str">
        <f>HYPERLINK("http://maps.google.com/maps?f=q&amp;hl=en&amp;geocode=&amp;q=38.5196113586426,-90.2093811035156")</f>
        <v>http://maps.google.com/maps?f=q&amp;hl=en&amp;geocode=&amp;q=38.5196113586426,-90.2093811035156</v>
      </c>
    </row>
    <row r="4046" spans="1:7" ht="15" x14ac:dyDescent="0.3">
      <c r="A4046">
        <v>33.711970000000001</v>
      </c>
      <c r="B4046">
        <v>-87.471819999999994</v>
      </c>
      <c r="C4046" t="s">
        <v>42</v>
      </c>
      <c r="D4046" t="s">
        <v>2633</v>
      </c>
      <c r="F4046" s="21"/>
      <c r="G4046" s="16" t="str">
        <f>HYPERLINK("http://maps.google.com/maps?f=q&amp;hl=en&amp;geocode=&amp;q=33.71197,-87.47182")</f>
        <v>http://maps.google.com/maps?f=q&amp;hl=en&amp;geocode=&amp;q=33.71197,-87.47182</v>
      </c>
    </row>
    <row r="4047" spans="1:7" ht="15" x14ac:dyDescent="0.3">
      <c r="A4047">
        <v>27.624804189521601</v>
      </c>
      <c r="B4047">
        <v>-81.409275523457197</v>
      </c>
      <c r="C4047" t="s">
        <v>41</v>
      </c>
      <c r="D4047" t="s">
        <v>2634</v>
      </c>
      <c r="F4047" s="21"/>
      <c r="G4047" s="16" t="str">
        <f>HYPERLINK("http://maps.google.com/maps?f=q&amp;hl=en&amp;geocode=&amp;q=27.6248041895216,-81.4092755234572")</f>
        <v>http://maps.google.com/maps?f=q&amp;hl=en&amp;geocode=&amp;q=27.6248041895216,-81.4092755234572</v>
      </c>
    </row>
    <row r="4048" spans="1:7" ht="15" x14ac:dyDescent="0.3">
      <c r="A4048">
        <v>39.2213409691023</v>
      </c>
      <c r="B4048">
        <v>-76.888528284715093</v>
      </c>
      <c r="C4048" t="s">
        <v>43</v>
      </c>
      <c r="D4048" t="s">
        <v>2635</v>
      </c>
      <c r="F4048" s="21"/>
      <c r="G4048" s="16" t="str">
        <f>HYPERLINK("http://maps.google.com/maps?f=q&amp;hl=en&amp;geocode=&amp;q=39.2213409691023,-76.8885282847151")</f>
        <v>http://maps.google.com/maps?f=q&amp;hl=en&amp;geocode=&amp;q=39.2213409691023,-76.8885282847151</v>
      </c>
    </row>
    <row r="4049" spans="1:7" ht="15" x14ac:dyDescent="0.3">
      <c r="A4049" t="s">
        <v>44</v>
      </c>
      <c r="B4049" t="s">
        <v>44</v>
      </c>
      <c r="C4049" t="s">
        <v>44</v>
      </c>
      <c r="D4049" t="s">
        <v>813</v>
      </c>
      <c r="F4049" s="21"/>
      <c r="G4049" s="16"/>
    </row>
    <row r="4050" spans="1:7" ht="15" x14ac:dyDescent="0.3">
      <c r="A4050" t="s">
        <v>44</v>
      </c>
      <c r="B4050" t="s">
        <v>44</v>
      </c>
      <c r="C4050" t="s">
        <v>44</v>
      </c>
      <c r="D4050" t="s">
        <v>813</v>
      </c>
      <c r="F4050" s="21"/>
      <c r="G4050" s="16"/>
    </row>
    <row r="4051" spans="1:7" ht="15" x14ac:dyDescent="0.3">
      <c r="A4051">
        <v>39.220934590992002</v>
      </c>
      <c r="B4051">
        <v>-76.888463143869899</v>
      </c>
      <c r="C4051" t="s">
        <v>43</v>
      </c>
      <c r="D4051" t="s">
        <v>2636</v>
      </c>
      <c r="F4051" s="21"/>
      <c r="G4051" s="16" t="str">
        <f>HYPERLINK("http://maps.google.com/maps?f=q&amp;hl=en&amp;geocode=&amp;q=39.220934590992,-76.8884631438699")</f>
        <v>http://maps.google.com/maps?f=q&amp;hl=en&amp;geocode=&amp;q=39.220934590992,-76.8884631438699</v>
      </c>
    </row>
    <row r="4052" spans="1:7" ht="15" x14ac:dyDescent="0.3">
      <c r="A4052">
        <v>38.966499917240498</v>
      </c>
      <c r="B4052">
        <v>-77.082193787372006</v>
      </c>
      <c r="C4052" t="s">
        <v>43</v>
      </c>
      <c r="D4052" t="s">
        <v>2637</v>
      </c>
      <c r="F4052" s="21"/>
      <c r="G4052" s="16" t="str">
        <f>HYPERLINK("http://maps.google.com/maps?f=q&amp;hl=en&amp;geocode=&amp;q=38.9664999172405,-77.082193787372")</f>
        <v>http://maps.google.com/maps?f=q&amp;hl=en&amp;geocode=&amp;q=38.9664999172405,-77.082193787372</v>
      </c>
    </row>
    <row r="4053" spans="1:7" ht="15" x14ac:dyDescent="0.3">
      <c r="A4053">
        <v>29.533359527587901</v>
      </c>
      <c r="B4053">
        <v>-95.119140625</v>
      </c>
      <c r="C4053" t="s">
        <v>43</v>
      </c>
      <c r="D4053" t="s">
        <v>526</v>
      </c>
      <c r="F4053" s="21"/>
      <c r="G4053" s="16" t="str">
        <f>HYPERLINK("http://maps.google.com/maps?f=q&amp;hl=en&amp;geocode=&amp;q=29.5333595275879,-95.119140625")</f>
        <v>http://maps.google.com/maps?f=q&amp;hl=en&amp;geocode=&amp;q=29.5333595275879,-95.119140625</v>
      </c>
    </row>
    <row r="4054" spans="1:7" ht="15" x14ac:dyDescent="0.3">
      <c r="A4054">
        <v>29.533359527587901</v>
      </c>
      <c r="B4054">
        <v>-95.119140625</v>
      </c>
      <c r="C4054" t="s">
        <v>43</v>
      </c>
      <c r="D4054" t="s">
        <v>222</v>
      </c>
      <c r="F4054" s="21"/>
      <c r="G4054" s="16" t="str">
        <f>HYPERLINK("http://maps.google.com/maps?f=q&amp;hl=en&amp;geocode=&amp;q=29.5333595275879,-95.119140625")</f>
        <v>http://maps.google.com/maps?f=q&amp;hl=en&amp;geocode=&amp;q=29.5333595275879,-95.119140625</v>
      </c>
    </row>
    <row r="4055" spans="1:7" ht="15" x14ac:dyDescent="0.3">
      <c r="A4055">
        <v>41.098739624023402</v>
      </c>
      <c r="B4055">
        <v>-81.022628784179702</v>
      </c>
      <c r="C4055" t="s">
        <v>43</v>
      </c>
      <c r="D4055" t="s">
        <v>2638</v>
      </c>
      <c r="F4055" s="21"/>
      <c r="G4055" s="16" t="str">
        <f>HYPERLINK("http://maps.google.com/maps?f=q&amp;hl=en&amp;geocode=&amp;q=41.0987396240234,-81.0226287841797")</f>
        <v>http://maps.google.com/maps?f=q&amp;hl=en&amp;geocode=&amp;q=41.0987396240234,-81.0226287841797</v>
      </c>
    </row>
    <row r="4056" spans="1:7" ht="15" x14ac:dyDescent="0.3">
      <c r="A4056">
        <v>39.802032393845003</v>
      </c>
      <c r="B4056">
        <v>-89.620360823321207</v>
      </c>
      <c r="C4056" t="s">
        <v>42</v>
      </c>
      <c r="D4056" t="s">
        <v>2639</v>
      </c>
      <c r="F4056" s="21"/>
      <c r="G4056" s="16" t="str">
        <f>HYPERLINK("http://maps.google.com/maps?f=q&amp;hl=en&amp;geocode=&amp;q=39.802032393845,-89.6203608233212")</f>
        <v>http://maps.google.com/maps?f=q&amp;hl=en&amp;geocode=&amp;q=39.802032393845,-89.6203608233212</v>
      </c>
    </row>
    <row r="4057" spans="1:7" ht="15" x14ac:dyDescent="0.3">
      <c r="A4057">
        <v>41.022918701171903</v>
      </c>
      <c r="B4057">
        <v>-78.438087463378906</v>
      </c>
      <c r="C4057" t="s">
        <v>41</v>
      </c>
      <c r="D4057" t="s">
        <v>2640</v>
      </c>
      <c r="F4057" s="21"/>
      <c r="G4057" s="16" t="str">
        <f>HYPERLINK("http://maps.google.com/maps?f=q&amp;hl=en&amp;geocode=&amp;q=41.0229187011719,-78.4380874633789")</f>
        <v>http://maps.google.com/maps?f=q&amp;hl=en&amp;geocode=&amp;q=41.0229187011719,-78.4380874633789</v>
      </c>
    </row>
    <row r="4058" spans="1:7" ht="15" x14ac:dyDescent="0.3">
      <c r="A4058" t="s">
        <v>44</v>
      </c>
      <c r="B4058" t="s">
        <v>44</v>
      </c>
      <c r="C4058" t="s">
        <v>44</v>
      </c>
      <c r="D4058" t="s">
        <v>2641</v>
      </c>
      <c r="F4058" s="21"/>
      <c r="G4058" s="16"/>
    </row>
    <row r="4059" spans="1:7" ht="15" x14ac:dyDescent="0.3">
      <c r="A4059">
        <v>40.018059999999998</v>
      </c>
      <c r="B4059">
        <v>-75.091449999999995</v>
      </c>
      <c r="C4059" t="s">
        <v>41</v>
      </c>
      <c r="D4059" t="s">
        <v>2642</v>
      </c>
      <c r="F4059" s="21"/>
      <c r="G4059" s="16" t="str">
        <f>HYPERLINK("http://maps.google.com/maps?f=q&amp;hl=en&amp;geocode=&amp;q=40.01806,-75.09145")</f>
        <v>http://maps.google.com/maps?f=q&amp;hl=en&amp;geocode=&amp;q=40.01806,-75.09145</v>
      </c>
    </row>
    <row r="4060" spans="1:7" ht="15" x14ac:dyDescent="0.3">
      <c r="A4060">
        <v>44.875728607177699</v>
      </c>
      <c r="B4060">
        <v>-98.517570495605497</v>
      </c>
      <c r="C4060" t="s">
        <v>43</v>
      </c>
      <c r="D4060" t="s">
        <v>2643</v>
      </c>
      <c r="F4060" s="21"/>
      <c r="G4060" s="16" t="str">
        <f>HYPERLINK("http://maps.google.com/maps?f=q&amp;hl=en&amp;geocode=&amp;q=44.8757286071777,-98.5175704956055")</f>
        <v>http://maps.google.com/maps?f=q&amp;hl=en&amp;geocode=&amp;q=44.8757286071777,-98.5175704956055</v>
      </c>
    </row>
    <row r="4061" spans="1:7" ht="15" x14ac:dyDescent="0.3">
      <c r="A4061">
        <v>42.997422656800801</v>
      </c>
      <c r="B4061">
        <v>-95.623939346082395</v>
      </c>
      <c r="C4061" t="s">
        <v>41</v>
      </c>
      <c r="D4061" t="s">
        <v>71</v>
      </c>
      <c r="F4061" s="21"/>
      <c r="G4061" s="16" t="str">
        <f>HYPERLINK("http://maps.google.com/maps?f=q&amp;hl=en&amp;geocode=&amp;q=42.9974226568008,-95.6239393460824")</f>
        <v>http://maps.google.com/maps?f=q&amp;hl=en&amp;geocode=&amp;q=42.9974226568008,-95.6239393460824</v>
      </c>
    </row>
    <row r="4062" spans="1:7" ht="15" x14ac:dyDescent="0.3">
      <c r="A4062">
        <v>42.997422656800801</v>
      </c>
      <c r="B4062">
        <v>-95.623939346082395</v>
      </c>
      <c r="C4062" t="s">
        <v>41</v>
      </c>
      <c r="D4062" t="s">
        <v>71</v>
      </c>
      <c r="F4062" s="21"/>
      <c r="G4062" s="16" t="str">
        <f>HYPERLINK("http://maps.google.com/maps?f=q&amp;hl=en&amp;geocode=&amp;q=42.9974226568008,-95.6239393460824")</f>
        <v>http://maps.google.com/maps?f=q&amp;hl=en&amp;geocode=&amp;q=42.9974226568008,-95.6239393460824</v>
      </c>
    </row>
    <row r="4063" spans="1:7" ht="15" x14ac:dyDescent="0.3">
      <c r="A4063">
        <v>52.6822319030762</v>
      </c>
      <c r="B4063">
        <v>0.13165999948978399</v>
      </c>
      <c r="C4063" t="s">
        <v>41</v>
      </c>
      <c r="D4063" t="s">
        <v>1331</v>
      </c>
      <c r="F4063" s="21"/>
      <c r="G4063" s="16" t="str">
        <f>HYPERLINK("http://maps.google.com/maps?f=q&amp;hl=en&amp;geocode=&amp;q=52.6822319030762,0.131659999489784")</f>
        <v>http://maps.google.com/maps?f=q&amp;hl=en&amp;geocode=&amp;q=52.6822319030762,0.131659999489784</v>
      </c>
    </row>
    <row r="4064" spans="1:7" ht="15" x14ac:dyDescent="0.3">
      <c r="A4064">
        <v>40.038255504820697</v>
      </c>
      <c r="B4064">
        <v>-75.0678350924169</v>
      </c>
      <c r="C4064" t="s">
        <v>41</v>
      </c>
      <c r="D4064" t="s">
        <v>2644</v>
      </c>
      <c r="F4064" s="21"/>
      <c r="G4064" s="16" t="str">
        <f>HYPERLINK("http://maps.google.com/maps?f=q&amp;hl=en&amp;geocode=&amp;q=40.0382555048207,-75.0678350924169")</f>
        <v>http://maps.google.com/maps?f=q&amp;hl=en&amp;geocode=&amp;q=40.0382555048207,-75.0678350924169</v>
      </c>
    </row>
    <row r="4065" spans="1:7" ht="15" x14ac:dyDescent="0.3">
      <c r="A4065">
        <v>39.1148309471427</v>
      </c>
      <c r="B4065">
        <v>-84.723556707274099</v>
      </c>
      <c r="C4065" t="s">
        <v>41</v>
      </c>
      <c r="D4065" t="s">
        <v>1608</v>
      </c>
      <c r="F4065" s="21"/>
      <c r="G4065" s="16" t="str">
        <f>HYPERLINK("http://maps.google.com/maps?f=q&amp;hl=en&amp;geocode=&amp;q=39.1148309471427,-84.7235567072741")</f>
        <v>http://maps.google.com/maps?f=q&amp;hl=en&amp;geocode=&amp;q=39.1148309471427,-84.7235567072741</v>
      </c>
    </row>
    <row r="4066" spans="1:7" ht="15" x14ac:dyDescent="0.3">
      <c r="A4066">
        <v>39.684371948242202</v>
      </c>
      <c r="B4066">
        <v>21.8974094390869</v>
      </c>
      <c r="C4066" t="s">
        <v>41</v>
      </c>
      <c r="D4066" t="s">
        <v>809</v>
      </c>
      <c r="F4066" s="21"/>
      <c r="G4066" s="16" t="str">
        <f>HYPERLINK("http://maps.google.com/maps?f=q&amp;hl=en&amp;geocode=&amp;q=39.6843719482422,21.8974094390869")</f>
        <v>http://maps.google.com/maps?f=q&amp;hl=en&amp;geocode=&amp;q=39.6843719482422,21.8974094390869</v>
      </c>
    </row>
    <row r="4067" spans="1:7" ht="15" x14ac:dyDescent="0.3">
      <c r="A4067">
        <v>39.684371948242202</v>
      </c>
      <c r="B4067">
        <v>21.8974094390869</v>
      </c>
      <c r="C4067" t="s">
        <v>41</v>
      </c>
      <c r="D4067" t="s">
        <v>809</v>
      </c>
      <c r="F4067" s="21"/>
      <c r="G4067" s="16" t="str">
        <f>HYPERLINK("http://maps.google.com/maps?f=q&amp;hl=en&amp;geocode=&amp;q=39.6843719482422,21.8974094390869")</f>
        <v>http://maps.google.com/maps?f=q&amp;hl=en&amp;geocode=&amp;q=39.6843719482422,21.8974094390869</v>
      </c>
    </row>
    <row r="4068" spans="1:7" ht="15" x14ac:dyDescent="0.3">
      <c r="A4068">
        <v>53.0112113952637</v>
      </c>
      <c r="B4068">
        <v>12.1616401672363</v>
      </c>
      <c r="C4068" t="s">
        <v>41</v>
      </c>
      <c r="D4068" t="s">
        <v>2645</v>
      </c>
      <c r="F4068" s="21"/>
      <c r="G4068" s="16" t="str">
        <f>HYPERLINK("http://maps.google.com/maps?f=q&amp;hl=en&amp;geocode=&amp;q=53.0112113952637,12.1616401672363")</f>
        <v>http://maps.google.com/maps?f=q&amp;hl=en&amp;geocode=&amp;q=53.0112113952637,12.1616401672363</v>
      </c>
    </row>
    <row r="4069" spans="1:7" ht="15" x14ac:dyDescent="0.3">
      <c r="A4069">
        <v>39.998541001536097</v>
      </c>
      <c r="B4069">
        <v>-75.074649266106306</v>
      </c>
      <c r="C4069" t="s">
        <v>41</v>
      </c>
      <c r="D4069" t="s">
        <v>1667</v>
      </c>
      <c r="F4069" s="21"/>
      <c r="G4069" s="16" t="str">
        <f>HYPERLINK("http://maps.google.com/maps?f=q&amp;hl=en&amp;geocode=&amp;q=39.9985410015361,-75.0746492661063")</f>
        <v>http://maps.google.com/maps?f=q&amp;hl=en&amp;geocode=&amp;q=39.9985410015361,-75.0746492661063</v>
      </c>
    </row>
    <row r="4070" spans="1:7" ht="15" x14ac:dyDescent="0.3">
      <c r="A4070">
        <v>60.300830841064503</v>
      </c>
      <c r="B4070">
        <v>19.131389617919901</v>
      </c>
      <c r="C4070" t="s">
        <v>43</v>
      </c>
      <c r="D4070" t="s">
        <v>2646</v>
      </c>
      <c r="F4070" s="21"/>
      <c r="G4070" s="16" t="str">
        <f>HYPERLINK("http://maps.google.com/maps?f=q&amp;hl=en&amp;geocode=&amp;q=60.3008308410645,19.1313896179199")</f>
        <v>http://maps.google.com/maps?f=q&amp;hl=en&amp;geocode=&amp;q=60.3008308410645,19.1313896179199</v>
      </c>
    </row>
    <row r="4071" spans="1:7" ht="15" x14ac:dyDescent="0.3">
      <c r="A4071">
        <v>-27.669080000000001</v>
      </c>
      <c r="B4071">
        <v>152.92021</v>
      </c>
      <c r="C4071" t="s">
        <v>41</v>
      </c>
      <c r="D4071" t="s">
        <v>694</v>
      </c>
      <c r="F4071" s="21"/>
      <c r="G4071" s="16" t="str">
        <f>HYPERLINK("http://maps.google.com/maps?f=q&amp;hl=en&amp;geocode=&amp;q=-27.66908,152.92021")</f>
        <v>http://maps.google.com/maps?f=q&amp;hl=en&amp;geocode=&amp;q=-27.66908,152.92021</v>
      </c>
    </row>
    <row r="4072" spans="1:7" ht="15" x14ac:dyDescent="0.3">
      <c r="A4072" t="s">
        <v>44</v>
      </c>
      <c r="B4072" t="s">
        <v>44</v>
      </c>
      <c r="C4072" t="s">
        <v>44</v>
      </c>
      <c r="D4072" t="s">
        <v>2647</v>
      </c>
      <c r="F4072" s="21"/>
      <c r="G4072" s="16"/>
    </row>
    <row r="4073" spans="1:7" ht="15" x14ac:dyDescent="0.3">
      <c r="A4073">
        <v>39.421900000000001</v>
      </c>
      <c r="B4073">
        <v>-75.274190000000004</v>
      </c>
      <c r="C4073" t="s">
        <v>41</v>
      </c>
      <c r="D4073" t="s">
        <v>2648</v>
      </c>
      <c r="F4073" s="21"/>
      <c r="G4073" s="16" t="str">
        <f>HYPERLINK("http://maps.google.com/maps?f=q&amp;hl=en&amp;geocode=&amp;q=39.4219,-75.27419")</f>
        <v>http://maps.google.com/maps?f=q&amp;hl=en&amp;geocode=&amp;q=39.4219,-75.27419</v>
      </c>
    </row>
    <row r="4074" spans="1:7" ht="15" x14ac:dyDescent="0.3">
      <c r="A4074">
        <v>43.061412811279297</v>
      </c>
      <c r="B4074">
        <v>-87.963272094726605</v>
      </c>
      <c r="C4074" t="s">
        <v>41</v>
      </c>
      <c r="D4074" t="s">
        <v>2649</v>
      </c>
      <c r="F4074" s="21"/>
      <c r="G4074" s="16" t="str">
        <f>HYPERLINK("http://maps.google.com/maps?f=q&amp;hl=en&amp;geocode=&amp;q=43.0614128112793,-87.9632720947266")</f>
        <v>http://maps.google.com/maps?f=q&amp;hl=en&amp;geocode=&amp;q=43.0614128112793,-87.9632720947266</v>
      </c>
    </row>
    <row r="4075" spans="1:7" ht="15" x14ac:dyDescent="0.3">
      <c r="A4075">
        <v>37.20655</v>
      </c>
      <c r="B4075">
        <v>-97.208420000000004</v>
      </c>
      <c r="C4075" t="s">
        <v>41</v>
      </c>
      <c r="D4075" t="s">
        <v>1232</v>
      </c>
      <c r="F4075" s="21"/>
      <c r="G4075" s="16" t="str">
        <f>HYPERLINK("http://maps.google.com/maps?f=q&amp;hl=en&amp;geocode=&amp;q=37.20655,-97.20842")</f>
        <v>http://maps.google.com/maps?f=q&amp;hl=en&amp;geocode=&amp;q=37.20655,-97.20842</v>
      </c>
    </row>
    <row r="4076" spans="1:7" ht="15" x14ac:dyDescent="0.3">
      <c r="A4076">
        <v>37.20655</v>
      </c>
      <c r="B4076">
        <v>-97.208420000000004</v>
      </c>
      <c r="C4076" t="s">
        <v>41</v>
      </c>
      <c r="D4076" t="s">
        <v>1232</v>
      </c>
      <c r="F4076" s="21"/>
      <c r="G4076" s="16" t="str">
        <f>HYPERLINK("http://maps.google.com/maps?f=q&amp;hl=en&amp;geocode=&amp;q=37.20655,-97.20842")</f>
        <v>http://maps.google.com/maps?f=q&amp;hl=en&amp;geocode=&amp;q=37.20655,-97.20842</v>
      </c>
    </row>
    <row r="4077" spans="1:7" ht="15" x14ac:dyDescent="0.3">
      <c r="A4077">
        <v>37.20655</v>
      </c>
      <c r="B4077">
        <v>-97.208420000000004</v>
      </c>
      <c r="C4077" t="s">
        <v>41</v>
      </c>
      <c r="D4077" t="s">
        <v>1232</v>
      </c>
      <c r="F4077" s="21"/>
      <c r="G4077" s="16" t="str">
        <f>HYPERLINK("http://maps.google.com/maps?f=q&amp;hl=en&amp;geocode=&amp;q=37.20655,-97.20842")</f>
        <v>http://maps.google.com/maps?f=q&amp;hl=en&amp;geocode=&amp;q=37.20655,-97.20842</v>
      </c>
    </row>
    <row r="4078" spans="1:7" ht="15" x14ac:dyDescent="0.3">
      <c r="A4078">
        <v>41.206053609158197</v>
      </c>
      <c r="B4078">
        <v>-106.78333218796701</v>
      </c>
      <c r="C4078" t="s">
        <v>41</v>
      </c>
      <c r="D4078" t="s">
        <v>2650</v>
      </c>
      <c r="F4078" s="21"/>
      <c r="G4078" s="16" t="str">
        <f>HYPERLINK("http://maps.google.com/maps?f=q&amp;hl=en&amp;geocode=&amp;q=41.2060536091582,-106.783332187967")</f>
        <v>http://maps.google.com/maps?f=q&amp;hl=en&amp;geocode=&amp;q=41.2060536091582,-106.783332187967</v>
      </c>
    </row>
    <row r="4079" spans="1:7" ht="15" x14ac:dyDescent="0.3">
      <c r="A4079">
        <v>32.274881000000001</v>
      </c>
      <c r="B4079">
        <v>-92.713254000000006</v>
      </c>
      <c r="C4079" t="s">
        <v>41</v>
      </c>
      <c r="D4079" t="s">
        <v>2651</v>
      </c>
      <c r="F4079" s="21"/>
      <c r="G4079" s="16" t="str">
        <f>HYPERLINK("http://maps.google.com/maps?f=q&amp;hl=en&amp;geocode=&amp;q=32.274881,-92.713254")</f>
        <v>http://maps.google.com/maps?f=q&amp;hl=en&amp;geocode=&amp;q=32.274881,-92.713254</v>
      </c>
    </row>
    <row r="4080" spans="1:7" ht="15" x14ac:dyDescent="0.3">
      <c r="A4080">
        <v>39.040599822997997</v>
      </c>
      <c r="B4080">
        <v>-120.63067626953099</v>
      </c>
      <c r="C4080" t="s">
        <v>43</v>
      </c>
      <c r="D4080" t="s">
        <v>2359</v>
      </c>
      <c r="F4080" s="21"/>
      <c r="G4080" s="16" t="str">
        <f>HYPERLINK("http://maps.google.com/maps?f=q&amp;hl=en&amp;geocode=&amp;q=39.040599822998,-120.630676269531")</f>
        <v>http://maps.google.com/maps?f=q&amp;hl=en&amp;geocode=&amp;q=39.040599822998,-120.630676269531</v>
      </c>
    </row>
    <row r="4081" spans="1:7" ht="15" x14ac:dyDescent="0.3">
      <c r="A4081">
        <v>39.040599822997997</v>
      </c>
      <c r="B4081">
        <v>-120.63067626953099</v>
      </c>
      <c r="C4081" t="s">
        <v>43</v>
      </c>
      <c r="D4081" t="s">
        <v>2652</v>
      </c>
      <c r="F4081" s="21"/>
      <c r="G4081" s="16" t="str">
        <f>HYPERLINK("http://maps.google.com/maps?f=q&amp;hl=en&amp;geocode=&amp;q=39.040599822998,-120.630676269531")</f>
        <v>http://maps.google.com/maps?f=q&amp;hl=en&amp;geocode=&amp;q=39.040599822998,-120.630676269531</v>
      </c>
    </row>
    <row r="4082" spans="1:7" ht="15" x14ac:dyDescent="0.3">
      <c r="A4082">
        <v>32.793254962180299</v>
      </c>
      <c r="B4082">
        <v>-97.331163662403995</v>
      </c>
      <c r="C4082" t="s">
        <v>41</v>
      </c>
      <c r="D4082" t="s">
        <v>2653</v>
      </c>
      <c r="F4082" s="21"/>
      <c r="G4082" s="16" t="str">
        <f>HYPERLINK("http://maps.google.com/maps?f=q&amp;hl=en&amp;geocode=&amp;q=32.7932549621803,-97.331163662404")</f>
        <v>http://maps.google.com/maps?f=q&amp;hl=en&amp;geocode=&amp;q=32.7932549621803,-97.331163662404</v>
      </c>
    </row>
    <row r="4083" spans="1:7" ht="15" x14ac:dyDescent="0.3">
      <c r="A4083">
        <v>32.793254962180299</v>
      </c>
      <c r="B4083">
        <v>-97.331163662403995</v>
      </c>
      <c r="C4083" t="s">
        <v>41</v>
      </c>
      <c r="D4083" t="s">
        <v>2653</v>
      </c>
      <c r="F4083" s="21"/>
      <c r="G4083" s="16" t="str">
        <f>HYPERLINK("http://maps.google.com/maps?f=q&amp;hl=en&amp;geocode=&amp;q=32.7932549621803,-97.331163662404")</f>
        <v>http://maps.google.com/maps?f=q&amp;hl=en&amp;geocode=&amp;q=32.7932549621803,-97.331163662404</v>
      </c>
    </row>
    <row r="4084" spans="1:7" ht="15" x14ac:dyDescent="0.3">
      <c r="A4084">
        <v>32.793254962180299</v>
      </c>
      <c r="B4084">
        <v>-97.331163662403995</v>
      </c>
      <c r="C4084" t="s">
        <v>41</v>
      </c>
      <c r="D4084" t="s">
        <v>2653</v>
      </c>
      <c r="F4084" s="21"/>
      <c r="G4084" s="16" t="str">
        <f>HYPERLINK("http://maps.google.com/maps?f=q&amp;hl=en&amp;geocode=&amp;q=32.7932549621803,-97.331163662404")</f>
        <v>http://maps.google.com/maps?f=q&amp;hl=en&amp;geocode=&amp;q=32.7932549621803,-97.331163662404</v>
      </c>
    </row>
    <row r="4085" spans="1:7" ht="15" x14ac:dyDescent="0.3">
      <c r="A4085">
        <v>32.793254962180299</v>
      </c>
      <c r="B4085">
        <v>-97.331163662403995</v>
      </c>
      <c r="C4085" t="s">
        <v>41</v>
      </c>
      <c r="D4085" t="s">
        <v>2653</v>
      </c>
      <c r="F4085" s="21"/>
      <c r="G4085" s="16" t="str">
        <f>HYPERLINK("http://maps.google.com/maps?f=q&amp;hl=en&amp;geocode=&amp;q=32.7932549621803,-97.331163662404")</f>
        <v>http://maps.google.com/maps?f=q&amp;hl=en&amp;geocode=&amp;q=32.7932549621803,-97.331163662404</v>
      </c>
    </row>
    <row r="4086" spans="1:7" ht="15" x14ac:dyDescent="0.3">
      <c r="A4086">
        <v>39.919803619384801</v>
      </c>
      <c r="B4086">
        <v>-86.281799316406307</v>
      </c>
      <c r="C4086" t="s">
        <v>41</v>
      </c>
      <c r="D4086" t="s">
        <v>2328</v>
      </c>
      <c r="F4086" s="21"/>
      <c r="G4086" s="16" t="str">
        <f>HYPERLINK("http://maps.google.com/maps?f=q&amp;hl=en&amp;geocode=&amp;q=39.9198036193848,-86.2817993164063")</f>
        <v>http://maps.google.com/maps?f=q&amp;hl=en&amp;geocode=&amp;q=39.9198036193848,-86.2817993164063</v>
      </c>
    </row>
    <row r="4087" spans="1:7" ht="15" x14ac:dyDescent="0.3">
      <c r="A4087">
        <v>38.205227146380302</v>
      </c>
      <c r="B4087">
        <v>-97.520512776783093</v>
      </c>
      <c r="C4087" t="s">
        <v>41</v>
      </c>
      <c r="D4087" t="s">
        <v>1744</v>
      </c>
      <c r="F4087" s="21"/>
      <c r="G4087" s="16" t="str">
        <f>HYPERLINK("http://maps.google.com/maps?f=q&amp;hl=en&amp;geocode=&amp;q=38.2052271463803,-97.5205127767831")</f>
        <v>http://maps.google.com/maps?f=q&amp;hl=en&amp;geocode=&amp;q=38.2052271463803,-97.5205127767831</v>
      </c>
    </row>
    <row r="4088" spans="1:7" ht="15" x14ac:dyDescent="0.3">
      <c r="A4088">
        <v>29.574852156483399</v>
      </c>
      <c r="B4088">
        <v>-98.381100226348806</v>
      </c>
      <c r="C4088" t="s">
        <v>41</v>
      </c>
      <c r="D4088" t="s">
        <v>255</v>
      </c>
      <c r="F4088" s="21"/>
      <c r="G4088" s="16" t="str">
        <f>HYPERLINK("http://maps.google.com/maps?f=q&amp;hl=en&amp;geocode=&amp;q=29.5748521564834,-98.3811002263488")</f>
        <v>http://maps.google.com/maps?f=q&amp;hl=en&amp;geocode=&amp;q=29.5748521564834,-98.3811002263488</v>
      </c>
    </row>
    <row r="4089" spans="1:7" ht="15" x14ac:dyDescent="0.3">
      <c r="A4089">
        <v>51.036678314208999</v>
      </c>
      <c r="B4089">
        <v>0.33834999799728399</v>
      </c>
      <c r="C4089" t="s">
        <v>43</v>
      </c>
      <c r="D4089" t="s">
        <v>2654</v>
      </c>
      <c r="F4089" s="21"/>
      <c r="G4089" s="16" t="str">
        <f>HYPERLINK("http://maps.google.com/maps?f=q&amp;hl=en&amp;geocode=&amp;q=51.036678314209,0.338349997997284")</f>
        <v>http://maps.google.com/maps?f=q&amp;hl=en&amp;geocode=&amp;q=51.036678314209,0.338349997997284</v>
      </c>
    </row>
    <row r="4090" spans="1:7" ht="15" x14ac:dyDescent="0.3">
      <c r="A4090">
        <v>-26.188575744628899</v>
      </c>
      <c r="B4090">
        <v>27.929327011108398</v>
      </c>
      <c r="C4090" t="s">
        <v>43</v>
      </c>
      <c r="D4090" t="s">
        <v>2655</v>
      </c>
      <c r="F4090" s="21"/>
      <c r="G4090" s="16" t="str">
        <f>HYPERLINK("http://maps.google.com/maps?f=q&amp;hl=en&amp;geocode=&amp;q=-26.1885757446289,27.9293270111084")</f>
        <v>http://maps.google.com/maps?f=q&amp;hl=en&amp;geocode=&amp;q=-26.1885757446289,27.9293270111084</v>
      </c>
    </row>
    <row r="4091" spans="1:7" ht="15" x14ac:dyDescent="0.3">
      <c r="A4091">
        <v>40.013988494872997</v>
      </c>
      <c r="B4091">
        <v>-75.303192138671903</v>
      </c>
      <c r="C4091" t="s">
        <v>41</v>
      </c>
      <c r="D4091" t="s">
        <v>399</v>
      </c>
      <c r="F4091" s="21"/>
      <c r="G4091" s="16" t="str">
        <f>HYPERLINK("http://maps.google.com/maps?f=q&amp;hl=en&amp;geocode=&amp;q=40.013988494873,-75.3031921386719")</f>
        <v>http://maps.google.com/maps?f=q&amp;hl=en&amp;geocode=&amp;q=40.013988494873,-75.3031921386719</v>
      </c>
    </row>
    <row r="4092" spans="1:7" ht="15" x14ac:dyDescent="0.3">
      <c r="A4092">
        <v>39.882710000000003</v>
      </c>
      <c r="B4092">
        <v>-75.063339999999997</v>
      </c>
      <c r="C4092" t="s">
        <v>43</v>
      </c>
      <c r="D4092" t="s">
        <v>2656</v>
      </c>
      <c r="F4092" s="21"/>
      <c r="G4092" s="16" t="str">
        <f>HYPERLINK("http://maps.google.com/maps?f=q&amp;hl=en&amp;geocode=&amp;q=39.88271,-75.06334")</f>
        <v>http://maps.google.com/maps?f=q&amp;hl=en&amp;geocode=&amp;q=39.88271,-75.06334</v>
      </c>
    </row>
    <row r="4093" spans="1:7" ht="15" x14ac:dyDescent="0.3">
      <c r="A4093">
        <v>30.427589999999999</v>
      </c>
      <c r="B4093">
        <v>-87.236949999999993</v>
      </c>
      <c r="C4093" t="s">
        <v>41</v>
      </c>
      <c r="D4093" t="s">
        <v>2657</v>
      </c>
      <c r="F4093" s="21"/>
      <c r="G4093" s="16" t="str">
        <f>HYPERLINK("http://maps.google.com/maps?f=q&amp;hl=en&amp;geocode=&amp;q=30.42759,-87.23695")</f>
        <v>http://maps.google.com/maps?f=q&amp;hl=en&amp;geocode=&amp;q=30.42759,-87.23695</v>
      </c>
    </row>
    <row r="4094" spans="1:7" ht="15" x14ac:dyDescent="0.3">
      <c r="A4094">
        <v>27.516309738159201</v>
      </c>
      <c r="B4094">
        <v>-82.572959899902301</v>
      </c>
      <c r="C4094" t="s">
        <v>43</v>
      </c>
      <c r="D4094" t="s">
        <v>2658</v>
      </c>
      <c r="F4094" s="21"/>
      <c r="G4094" s="16" t="str">
        <f>HYPERLINK("http://maps.google.com/maps?f=q&amp;hl=en&amp;geocode=&amp;q=27.5163097381592,-82.5729598999023")</f>
        <v>http://maps.google.com/maps?f=q&amp;hl=en&amp;geocode=&amp;q=27.5163097381592,-82.5729598999023</v>
      </c>
    </row>
    <row r="4095" spans="1:7" ht="15" x14ac:dyDescent="0.3">
      <c r="A4095">
        <v>39.019680000000001</v>
      </c>
      <c r="B4095">
        <v>-76.988240000000005</v>
      </c>
      <c r="C4095" t="s">
        <v>41</v>
      </c>
      <c r="D4095" t="s">
        <v>2659</v>
      </c>
      <c r="F4095" s="21"/>
      <c r="G4095" s="16" t="str">
        <f>HYPERLINK("http://maps.google.com/maps?f=q&amp;hl=en&amp;geocode=&amp;q=39.01968,-76.98824")</f>
        <v>http://maps.google.com/maps?f=q&amp;hl=en&amp;geocode=&amp;q=39.01968,-76.98824</v>
      </c>
    </row>
    <row r="4096" spans="1:7" ht="15" x14ac:dyDescent="0.3">
      <c r="F4096" s="21"/>
      <c r="G4096" s="16"/>
    </row>
    <row r="4097" spans="1:7" ht="15" x14ac:dyDescent="0.3">
      <c r="A4097">
        <v>53.327297210693402</v>
      </c>
      <c r="B4097">
        <v>-1.47896385192871</v>
      </c>
      <c r="C4097" t="s">
        <v>43</v>
      </c>
      <c r="D4097" t="s">
        <v>2660</v>
      </c>
      <c r="F4097" s="21"/>
      <c r="G4097" s="16" t="str">
        <f>HYPERLINK("http://maps.google.com/maps?f=q&amp;hl=en&amp;geocode=&amp;q=53.3272972106934,-1.47896385192871")</f>
        <v>http://maps.google.com/maps?f=q&amp;hl=en&amp;geocode=&amp;q=53.3272972106934,-1.47896385192871</v>
      </c>
    </row>
    <row r="4098" spans="1:7" ht="15" x14ac:dyDescent="0.3">
      <c r="A4098">
        <v>39.490409999999997</v>
      </c>
      <c r="B4098">
        <v>-78.769580000000005</v>
      </c>
      <c r="C4098" t="s">
        <v>42</v>
      </c>
      <c r="D4098" t="s">
        <v>1844</v>
      </c>
      <c r="F4098" s="21"/>
      <c r="G4098" s="16" t="str">
        <f>HYPERLINK("http://maps.google.com/maps?f=q&amp;hl=en&amp;geocode=&amp;q=39.49041,-78.76958")</f>
        <v>http://maps.google.com/maps?f=q&amp;hl=en&amp;geocode=&amp;q=39.49041,-78.76958</v>
      </c>
    </row>
    <row r="4099" spans="1:7" ht="15" x14ac:dyDescent="0.3">
      <c r="A4099">
        <v>39.490409999999997</v>
      </c>
      <c r="B4099">
        <v>-78.769580000000005</v>
      </c>
      <c r="C4099" t="s">
        <v>42</v>
      </c>
      <c r="D4099" t="s">
        <v>2661</v>
      </c>
      <c r="F4099" s="21"/>
      <c r="G4099" s="16" t="str">
        <f>HYPERLINK("http://maps.google.com/maps?f=q&amp;hl=en&amp;geocode=&amp;q=39.49041,-78.76958")</f>
        <v>http://maps.google.com/maps?f=q&amp;hl=en&amp;geocode=&amp;q=39.49041,-78.76958</v>
      </c>
    </row>
    <row r="4100" spans="1:7" ht="15" x14ac:dyDescent="0.3">
      <c r="A4100">
        <v>42.062980651855497</v>
      </c>
      <c r="B4100">
        <v>-88.122947692871094</v>
      </c>
      <c r="C4100" t="s">
        <v>43</v>
      </c>
      <c r="D4100" t="s">
        <v>2662</v>
      </c>
      <c r="F4100" s="21"/>
      <c r="G4100" s="16" t="str">
        <f>HYPERLINK("http://maps.google.com/maps?f=q&amp;hl=en&amp;geocode=&amp;q=42.0629806518555,-88.1229476928711")</f>
        <v>http://maps.google.com/maps?f=q&amp;hl=en&amp;geocode=&amp;q=42.0629806518555,-88.1229476928711</v>
      </c>
    </row>
    <row r="4101" spans="1:7" ht="15" x14ac:dyDescent="0.3">
      <c r="A4101">
        <v>34.034170000000003</v>
      </c>
      <c r="B4101">
        <v>-85.285820000000001</v>
      </c>
      <c r="C4101" t="s">
        <v>42</v>
      </c>
      <c r="D4101" t="s">
        <v>2663</v>
      </c>
      <c r="F4101" s="21"/>
      <c r="G4101" s="16" t="str">
        <f>HYPERLINK("http://maps.google.com/maps?f=q&amp;hl=en&amp;geocode=&amp;q=34.03417,-85.28582")</f>
        <v>http://maps.google.com/maps?f=q&amp;hl=en&amp;geocode=&amp;q=34.03417,-85.28582</v>
      </c>
    </row>
    <row r="4102" spans="1:7" ht="15" x14ac:dyDescent="0.3">
      <c r="A4102">
        <v>35.965989015210802</v>
      </c>
      <c r="B4102">
        <v>-94.232247053401494</v>
      </c>
      <c r="C4102" t="s">
        <v>41</v>
      </c>
      <c r="D4102" t="s">
        <v>2543</v>
      </c>
      <c r="F4102" s="21"/>
      <c r="G4102" s="16" t="str">
        <f>HYPERLINK("http://maps.google.com/maps?f=q&amp;hl=en&amp;geocode=&amp;q=35.9659890152108,-94.2322470534015")</f>
        <v>http://maps.google.com/maps?f=q&amp;hl=en&amp;geocode=&amp;q=35.9659890152108,-94.2322470534015</v>
      </c>
    </row>
    <row r="4103" spans="1:7" ht="15" x14ac:dyDescent="0.3">
      <c r="A4103">
        <v>35.965989015210802</v>
      </c>
      <c r="B4103">
        <v>-94.232247053401494</v>
      </c>
      <c r="C4103" t="s">
        <v>41</v>
      </c>
      <c r="D4103" t="s">
        <v>2543</v>
      </c>
      <c r="F4103" s="21"/>
      <c r="G4103" s="16" t="str">
        <f>HYPERLINK("http://maps.google.com/maps?f=q&amp;hl=en&amp;geocode=&amp;q=35.9659890152108,-94.2322470534015")</f>
        <v>http://maps.google.com/maps?f=q&amp;hl=en&amp;geocode=&amp;q=35.9659890152108,-94.2322470534015</v>
      </c>
    </row>
    <row r="4104" spans="1:7" ht="15" x14ac:dyDescent="0.3">
      <c r="A4104">
        <v>40.255798159812898</v>
      </c>
      <c r="B4104">
        <v>-74.737254956354803</v>
      </c>
      <c r="C4104" t="s">
        <v>41</v>
      </c>
      <c r="D4104" t="s">
        <v>2521</v>
      </c>
      <c r="F4104" s="21"/>
      <c r="G4104" s="16" t="str">
        <f>HYPERLINK("http://maps.google.com/maps?f=q&amp;hl=en&amp;geocode=&amp;q=40.2557981598129,-74.7372549563548")</f>
        <v>http://maps.google.com/maps?f=q&amp;hl=en&amp;geocode=&amp;q=40.2557981598129,-74.7372549563548</v>
      </c>
    </row>
    <row r="4105" spans="1:7" ht="15" x14ac:dyDescent="0.3">
      <c r="A4105">
        <v>40.132370000000002</v>
      </c>
      <c r="B4105">
        <v>-75.007909999999995</v>
      </c>
      <c r="C4105" t="s">
        <v>41</v>
      </c>
      <c r="D4105" t="s">
        <v>55</v>
      </c>
      <c r="F4105" s="21"/>
      <c r="G4105" s="16" t="str">
        <f>HYPERLINK("http://maps.google.com/maps?f=q&amp;hl=en&amp;geocode=&amp;q=40.13237,-75.00791")</f>
        <v>http://maps.google.com/maps?f=q&amp;hl=en&amp;geocode=&amp;q=40.13237,-75.00791</v>
      </c>
    </row>
    <row r="4106" spans="1:7" ht="15" x14ac:dyDescent="0.3">
      <c r="A4106">
        <v>-34.028602600097699</v>
      </c>
      <c r="B4106">
        <v>22.969703674316399</v>
      </c>
      <c r="C4106" t="s">
        <v>41</v>
      </c>
      <c r="D4106" t="s">
        <v>1872</v>
      </c>
      <c r="F4106" s="21"/>
      <c r="G4106" s="16" t="str">
        <f>HYPERLINK("http://maps.google.com/maps?f=q&amp;hl=en&amp;geocode=&amp;q=-34.0286026000977,22.9697036743164")</f>
        <v>http://maps.google.com/maps?f=q&amp;hl=en&amp;geocode=&amp;q=-34.0286026000977,22.9697036743164</v>
      </c>
    </row>
    <row r="4107" spans="1:7" ht="15" x14ac:dyDescent="0.3">
      <c r="A4107">
        <v>39.930149999999998</v>
      </c>
      <c r="B4107">
        <v>-75.158659999999998</v>
      </c>
      <c r="C4107" t="s">
        <v>41</v>
      </c>
      <c r="D4107" t="s">
        <v>2664</v>
      </c>
      <c r="F4107" s="21"/>
      <c r="G4107" s="16" t="str">
        <f>HYPERLINK("http://maps.google.com/maps?f=q&amp;hl=en&amp;geocode=&amp;q=39.93015,-75.15866")</f>
        <v>http://maps.google.com/maps?f=q&amp;hl=en&amp;geocode=&amp;q=39.93015,-75.15866</v>
      </c>
    </row>
    <row r="4108" spans="1:7" ht="15" x14ac:dyDescent="0.3">
      <c r="A4108">
        <v>-36.864284515380902</v>
      </c>
      <c r="B4108">
        <v>144.31039428710901</v>
      </c>
      <c r="C4108" t="s">
        <v>43</v>
      </c>
      <c r="D4108" t="s">
        <v>2665</v>
      </c>
      <c r="F4108" s="21"/>
      <c r="G4108" s="16" t="str">
        <f>HYPERLINK("http://maps.google.com/maps?f=q&amp;hl=en&amp;geocode=&amp;q=-36.8642845153809,144.310394287109")</f>
        <v>http://maps.google.com/maps?f=q&amp;hl=en&amp;geocode=&amp;q=-36.8642845153809,144.310394287109</v>
      </c>
    </row>
    <row r="4109" spans="1:7" ht="15" x14ac:dyDescent="0.3">
      <c r="A4109">
        <v>-36.864284515380902</v>
      </c>
      <c r="B4109">
        <v>144.31039428710901</v>
      </c>
      <c r="C4109" t="s">
        <v>43</v>
      </c>
      <c r="D4109" t="s">
        <v>2665</v>
      </c>
      <c r="F4109" s="21"/>
      <c r="G4109" s="16" t="str">
        <f>HYPERLINK("http://maps.google.com/maps?f=q&amp;hl=en&amp;geocode=&amp;q=-36.8642845153809,144.310394287109")</f>
        <v>http://maps.google.com/maps?f=q&amp;hl=en&amp;geocode=&amp;q=-36.8642845153809,144.310394287109</v>
      </c>
    </row>
    <row r="4110" spans="1:7" ht="15" x14ac:dyDescent="0.3">
      <c r="A4110">
        <v>38.939869999999999</v>
      </c>
      <c r="B4110">
        <v>-76.923779999999994</v>
      </c>
      <c r="C4110" t="s">
        <v>41</v>
      </c>
      <c r="D4110" t="s">
        <v>2666</v>
      </c>
      <c r="F4110" s="21"/>
      <c r="G4110" s="16" t="str">
        <f>HYPERLINK("http://maps.google.com/maps?f=q&amp;hl=en&amp;geocode=&amp;q=38.93987,-76.92378")</f>
        <v>http://maps.google.com/maps?f=q&amp;hl=en&amp;geocode=&amp;q=38.93987,-76.92378</v>
      </c>
    </row>
    <row r="4111" spans="1:7" ht="15" x14ac:dyDescent="0.3">
      <c r="A4111">
        <v>37.957173529708697</v>
      </c>
      <c r="B4111">
        <v>-85.651539476732196</v>
      </c>
      <c r="C4111" t="s">
        <v>43</v>
      </c>
      <c r="D4111" t="s">
        <v>2629</v>
      </c>
      <c r="F4111" s="21"/>
      <c r="G4111" s="16" t="str">
        <f>HYPERLINK("http://maps.google.com/maps?f=q&amp;hl=en&amp;geocode=&amp;q=37.9571735297087,-85.6515394767322")</f>
        <v>http://maps.google.com/maps?f=q&amp;hl=en&amp;geocode=&amp;q=37.9571735297087,-85.6515394767322</v>
      </c>
    </row>
    <row r="4112" spans="1:7" ht="15" x14ac:dyDescent="0.3">
      <c r="A4112">
        <v>40.723880767822301</v>
      </c>
      <c r="B4112">
        <v>-73.703208923339801</v>
      </c>
      <c r="C4112" t="s">
        <v>43</v>
      </c>
      <c r="D4112" t="s">
        <v>1555</v>
      </c>
      <c r="F4112" s="21"/>
      <c r="G4112" s="16" t="str">
        <f>HYPERLINK("http://maps.google.com/maps?f=q&amp;hl=en&amp;geocode=&amp;q=40.7238807678223,-73.7032089233398")</f>
        <v>http://maps.google.com/maps?f=q&amp;hl=en&amp;geocode=&amp;q=40.7238807678223,-73.7032089233398</v>
      </c>
    </row>
    <row r="4113" spans="1:7" ht="15" x14ac:dyDescent="0.3">
      <c r="A4113" t="s">
        <v>44</v>
      </c>
      <c r="B4113" t="s">
        <v>44</v>
      </c>
      <c r="C4113" t="s">
        <v>44</v>
      </c>
      <c r="D4113" t="s">
        <v>921</v>
      </c>
      <c r="F4113" s="21"/>
      <c r="G4113" s="16"/>
    </row>
    <row r="4114" spans="1:7" ht="15" x14ac:dyDescent="0.3">
      <c r="A4114">
        <v>34.068013458715001</v>
      </c>
      <c r="B4114">
        <v>-118.456685717665</v>
      </c>
      <c r="C4114" t="s">
        <v>41</v>
      </c>
      <c r="D4114" t="s">
        <v>2667</v>
      </c>
      <c r="F4114" s="21"/>
      <c r="G4114" s="16" t="str">
        <f>HYPERLINK("http://maps.google.com/maps?f=q&amp;hl=en&amp;geocode=&amp;q=34.068013458715,-118.456685717665")</f>
        <v>http://maps.google.com/maps?f=q&amp;hl=en&amp;geocode=&amp;q=34.068013458715,-118.456685717665</v>
      </c>
    </row>
    <row r="4115" spans="1:7" ht="15" x14ac:dyDescent="0.3">
      <c r="A4115">
        <v>41.545448303222699</v>
      </c>
      <c r="B4115">
        <v>-76.742660522460895</v>
      </c>
      <c r="C4115" t="s">
        <v>43</v>
      </c>
      <c r="D4115" t="s">
        <v>1199</v>
      </c>
      <c r="F4115" s="21"/>
      <c r="G4115" s="16" t="str">
        <f>HYPERLINK("http://maps.google.com/maps?f=q&amp;hl=en&amp;geocode=&amp;q=41.5454483032227,-76.7426605224609")</f>
        <v>http://maps.google.com/maps?f=q&amp;hl=en&amp;geocode=&amp;q=41.5454483032227,-76.7426605224609</v>
      </c>
    </row>
    <row r="4116" spans="1:7" ht="15" x14ac:dyDescent="0.3">
      <c r="A4116">
        <v>41.545448303222699</v>
      </c>
      <c r="B4116">
        <v>-76.742660522460895</v>
      </c>
      <c r="C4116" t="s">
        <v>43</v>
      </c>
      <c r="D4116" t="s">
        <v>1199</v>
      </c>
      <c r="F4116" s="21"/>
      <c r="G4116" s="16" t="str">
        <f>HYPERLINK("http://maps.google.com/maps?f=q&amp;hl=en&amp;geocode=&amp;q=41.5454483032227,-76.7426605224609")</f>
        <v>http://maps.google.com/maps?f=q&amp;hl=en&amp;geocode=&amp;q=41.5454483032227,-76.7426605224609</v>
      </c>
    </row>
    <row r="4117" spans="1:7" ht="15" x14ac:dyDescent="0.3">
      <c r="A4117">
        <v>39.151271820068402</v>
      </c>
      <c r="B4117">
        <v>-76.764373779296903</v>
      </c>
      <c r="C4117" t="s">
        <v>43</v>
      </c>
      <c r="D4117" t="s">
        <v>869</v>
      </c>
      <c r="F4117" s="21"/>
      <c r="G4117" s="16" t="str">
        <f>HYPERLINK("http://maps.google.com/maps?f=q&amp;hl=en&amp;geocode=&amp;q=39.1512718200684,-76.7643737792969")</f>
        <v>http://maps.google.com/maps?f=q&amp;hl=en&amp;geocode=&amp;q=39.1512718200684,-76.7643737792969</v>
      </c>
    </row>
    <row r="4118" spans="1:7" ht="15" x14ac:dyDescent="0.3">
      <c r="A4118">
        <v>39.151271820068402</v>
      </c>
      <c r="B4118">
        <v>-76.764373779296903</v>
      </c>
      <c r="C4118" t="s">
        <v>43</v>
      </c>
      <c r="D4118" t="s">
        <v>1200</v>
      </c>
      <c r="F4118" s="21"/>
      <c r="G4118" s="16" t="str">
        <f>HYPERLINK("http://maps.google.com/maps?f=q&amp;hl=en&amp;geocode=&amp;q=39.1512718200684,-76.7643737792969")</f>
        <v>http://maps.google.com/maps?f=q&amp;hl=en&amp;geocode=&amp;q=39.1512718200684,-76.7643737792969</v>
      </c>
    </row>
    <row r="4119" spans="1:7" ht="15" x14ac:dyDescent="0.3">
      <c r="A4119">
        <v>41.545448303222699</v>
      </c>
      <c r="B4119">
        <v>-76.742660522460895</v>
      </c>
      <c r="C4119" t="s">
        <v>43</v>
      </c>
      <c r="D4119" t="s">
        <v>2627</v>
      </c>
      <c r="F4119" s="21"/>
      <c r="G4119" s="16" t="str">
        <f>HYPERLINK("http://maps.google.com/maps?f=q&amp;hl=en&amp;geocode=&amp;q=41.5454483032227,-76.7426605224609")</f>
        <v>http://maps.google.com/maps?f=q&amp;hl=en&amp;geocode=&amp;q=41.5454483032227,-76.7426605224609</v>
      </c>
    </row>
    <row r="4120" spans="1:7" ht="15" x14ac:dyDescent="0.3">
      <c r="A4120">
        <v>13.3421745300293</v>
      </c>
      <c r="B4120">
        <v>121.187538146973</v>
      </c>
      <c r="C4120" t="s">
        <v>43</v>
      </c>
      <c r="D4120" t="s">
        <v>727</v>
      </c>
      <c r="F4120" s="21"/>
      <c r="G4120" s="16" t="str">
        <f>HYPERLINK("http://maps.google.com/maps?f=q&amp;hl=en&amp;geocode=&amp;q=13.3421745300293,121.187538146973")</f>
        <v>http://maps.google.com/maps?f=q&amp;hl=en&amp;geocode=&amp;q=13.3421745300293,121.187538146973</v>
      </c>
    </row>
    <row r="4121" spans="1:7" ht="15" x14ac:dyDescent="0.3">
      <c r="A4121">
        <v>40.038255504820697</v>
      </c>
      <c r="B4121">
        <v>-75.0678350924169</v>
      </c>
      <c r="C4121" t="s">
        <v>41</v>
      </c>
      <c r="D4121" t="s">
        <v>2644</v>
      </c>
      <c r="F4121" s="21"/>
      <c r="G4121" s="16" t="str">
        <f>HYPERLINK("http://maps.google.com/maps?f=q&amp;hl=en&amp;geocode=&amp;q=40.0382555048207,-75.0678350924169")</f>
        <v>http://maps.google.com/maps?f=q&amp;hl=en&amp;geocode=&amp;q=40.0382555048207,-75.0678350924169</v>
      </c>
    </row>
    <row r="4122" spans="1:7" ht="15" x14ac:dyDescent="0.3">
      <c r="A4122">
        <v>35.065164547365498</v>
      </c>
      <c r="B4122">
        <v>-85.3134277427516</v>
      </c>
      <c r="C4122" t="s">
        <v>41</v>
      </c>
      <c r="D4122" t="s">
        <v>2668</v>
      </c>
      <c r="F4122" s="21"/>
      <c r="G4122" s="16" t="str">
        <f>HYPERLINK("http://maps.google.com/maps?f=q&amp;hl=en&amp;geocode=&amp;q=35.0651645473655,-85.3134277427516")</f>
        <v>http://maps.google.com/maps?f=q&amp;hl=en&amp;geocode=&amp;q=35.0651645473655,-85.3134277427516</v>
      </c>
    </row>
    <row r="4123" spans="1:7" ht="15" x14ac:dyDescent="0.3">
      <c r="A4123">
        <v>40.0635973510363</v>
      </c>
      <c r="B4123">
        <v>-75.048832068213201</v>
      </c>
      <c r="C4123" t="s">
        <v>41</v>
      </c>
      <c r="D4123" t="s">
        <v>2669</v>
      </c>
      <c r="F4123" s="21"/>
      <c r="G4123" s="16" t="str">
        <f>HYPERLINK("http://maps.google.com/maps?f=q&amp;hl=en&amp;geocode=&amp;q=40.0635973510363,-75.0488320682132")</f>
        <v>http://maps.google.com/maps?f=q&amp;hl=en&amp;geocode=&amp;q=40.0635973510363,-75.0488320682132</v>
      </c>
    </row>
    <row r="4124" spans="1:7" ht="15" x14ac:dyDescent="0.3">
      <c r="A4124">
        <v>34.103709247886599</v>
      </c>
      <c r="B4124">
        <v>-90.650389360839796</v>
      </c>
      <c r="C4124" t="s">
        <v>41</v>
      </c>
      <c r="D4124" t="s">
        <v>2670</v>
      </c>
      <c r="F4124" s="21"/>
      <c r="G4124" s="16" t="str">
        <f>HYPERLINK("http://maps.google.com/maps?f=q&amp;hl=en&amp;geocode=&amp;q=34.1037092478866,-90.6503893608398")</f>
        <v>http://maps.google.com/maps?f=q&amp;hl=en&amp;geocode=&amp;q=34.1037092478866,-90.6503893608398</v>
      </c>
    </row>
    <row r="4125" spans="1:7" ht="15" x14ac:dyDescent="0.3">
      <c r="A4125" t="s">
        <v>44</v>
      </c>
      <c r="B4125" t="s">
        <v>44</v>
      </c>
      <c r="C4125" t="s">
        <v>44</v>
      </c>
      <c r="D4125" t="s">
        <v>2671</v>
      </c>
      <c r="F4125" s="21"/>
      <c r="G4125" s="16"/>
    </row>
    <row r="4126" spans="1:7" ht="15" x14ac:dyDescent="0.3">
      <c r="A4126" t="s">
        <v>44</v>
      </c>
      <c r="B4126" t="s">
        <v>44</v>
      </c>
      <c r="C4126" t="s">
        <v>44</v>
      </c>
      <c r="D4126" t="s">
        <v>993</v>
      </c>
      <c r="F4126" s="21"/>
      <c r="G4126" s="16"/>
    </row>
    <row r="4127" spans="1:7" ht="15" x14ac:dyDescent="0.3">
      <c r="A4127">
        <v>32.886337453428503</v>
      </c>
      <c r="B4127">
        <v>-98.545097268903206</v>
      </c>
      <c r="C4127" t="s">
        <v>41</v>
      </c>
      <c r="D4127" t="s">
        <v>2672</v>
      </c>
      <c r="F4127" s="21"/>
      <c r="G4127" s="16" t="str">
        <f>HYPERLINK("http://maps.google.com/maps?f=q&amp;hl=en&amp;geocode=&amp;q=32.8863374534285,-98.5450972689032")</f>
        <v>http://maps.google.com/maps?f=q&amp;hl=en&amp;geocode=&amp;q=32.8863374534285,-98.5450972689032</v>
      </c>
    </row>
    <row r="4128" spans="1:7" ht="15" x14ac:dyDescent="0.3">
      <c r="A4128" t="s">
        <v>44</v>
      </c>
      <c r="B4128" t="s">
        <v>44</v>
      </c>
      <c r="C4128" t="s">
        <v>44</v>
      </c>
      <c r="D4128" t="s">
        <v>2647</v>
      </c>
      <c r="F4128" s="21"/>
      <c r="G4128" s="16"/>
    </row>
    <row r="4129" spans="1:7" ht="15" x14ac:dyDescent="0.3">
      <c r="A4129" t="s">
        <v>44</v>
      </c>
      <c r="B4129" t="s">
        <v>44</v>
      </c>
      <c r="C4129" t="s">
        <v>44</v>
      </c>
      <c r="D4129" t="s">
        <v>2455</v>
      </c>
      <c r="F4129" s="21"/>
      <c r="G4129" s="16"/>
    </row>
    <row r="4130" spans="1:7" ht="15" x14ac:dyDescent="0.3">
      <c r="A4130">
        <v>37.143846590189199</v>
      </c>
      <c r="B4130">
        <v>-113.46708971964</v>
      </c>
      <c r="C4130" t="s">
        <v>42</v>
      </c>
      <c r="D4130" t="s">
        <v>1387</v>
      </c>
      <c r="F4130" s="21"/>
      <c r="G4130" s="16" t="str">
        <f>HYPERLINK("http://maps.google.com/maps?f=q&amp;hl=en&amp;geocode=&amp;q=37.1438465901892,-113.46708971964")</f>
        <v>http://maps.google.com/maps?f=q&amp;hl=en&amp;geocode=&amp;q=37.1438465901892,-113.46708971964</v>
      </c>
    </row>
    <row r="4131" spans="1:7" ht="15" x14ac:dyDescent="0.3">
      <c r="A4131">
        <v>34.380075442336597</v>
      </c>
      <c r="B4131">
        <v>-89.031614046054202</v>
      </c>
      <c r="C4131" t="s">
        <v>41</v>
      </c>
      <c r="D4131" t="s">
        <v>2673</v>
      </c>
      <c r="F4131" s="21"/>
      <c r="G4131" s="16" t="str">
        <f>HYPERLINK("http://maps.google.com/maps?f=q&amp;hl=en&amp;geocode=&amp;q=34.3800754423366,-89.0316140460542")</f>
        <v>http://maps.google.com/maps?f=q&amp;hl=en&amp;geocode=&amp;q=34.3800754423366,-89.0316140460542</v>
      </c>
    </row>
    <row r="4132" spans="1:7" ht="15" x14ac:dyDescent="0.3">
      <c r="A4132">
        <v>49.610649108886697</v>
      </c>
      <c r="B4132">
        <v>6.1477727890014604</v>
      </c>
      <c r="C4132" t="s">
        <v>41</v>
      </c>
      <c r="D4132" t="s">
        <v>2674</v>
      </c>
      <c r="F4132" s="21"/>
      <c r="G4132" s="16" t="str">
        <f>HYPERLINK("http://maps.google.com/maps?f=q&amp;hl=en&amp;geocode=&amp;q=49.6106491088867,6.14777278900146")</f>
        <v>http://maps.google.com/maps?f=q&amp;hl=en&amp;geocode=&amp;q=49.6106491088867,6.14777278900146</v>
      </c>
    </row>
    <row r="4133" spans="1:7" ht="15" x14ac:dyDescent="0.3">
      <c r="A4133">
        <v>43.52975</v>
      </c>
      <c r="B4133">
        <v>-116.56825000000001</v>
      </c>
      <c r="C4133" t="s">
        <v>42</v>
      </c>
      <c r="D4133" t="s">
        <v>2675</v>
      </c>
      <c r="F4133" s="21"/>
      <c r="G4133" s="16" t="str">
        <f>HYPERLINK("http://maps.google.com/maps?f=q&amp;hl=en&amp;geocode=&amp;q=43.52975,-116.56825")</f>
        <v>http://maps.google.com/maps?f=q&amp;hl=en&amp;geocode=&amp;q=43.52975,-116.56825</v>
      </c>
    </row>
    <row r="4134" spans="1:7" ht="15" x14ac:dyDescent="0.3">
      <c r="A4134">
        <v>42.722940000000001</v>
      </c>
      <c r="B4134">
        <v>-89.104380000000006</v>
      </c>
      <c r="C4134" t="s">
        <v>43</v>
      </c>
      <c r="D4134" t="s">
        <v>2676</v>
      </c>
      <c r="F4134" s="21"/>
      <c r="G4134" s="16" t="str">
        <f>HYPERLINK("http://maps.google.com/maps?f=q&amp;hl=en&amp;geocode=&amp;q=42.72294,-89.10438")</f>
        <v>http://maps.google.com/maps?f=q&amp;hl=en&amp;geocode=&amp;q=42.72294,-89.10438</v>
      </c>
    </row>
    <row r="4135" spans="1:7" ht="15" x14ac:dyDescent="0.3">
      <c r="A4135">
        <v>-37.040729522705099</v>
      </c>
      <c r="B4135">
        <v>174.87356567382801</v>
      </c>
      <c r="C4135" t="s">
        <v>41</v>
      </c>
      <c r="D4135" t="s">
        <v>2142</v>
      </c>
      <c r="F4135" s="21"/>
      <c r="G4135" s="16" t="str">
        <f>HYPERLINK("http://maps.google.com/maps?f=q&amp;hl=en&amp;geocode=&amp;q=-37.0407295227051,174.873565673828")</f>
        <v>http://maps.google.com/maps?f=q&amp;hl=en&amp;geocode=&amp;q=-37.0407295227051,174.873565673828</v>
      </c>
    </row>
    <row r="4136" spans="1:7" ht="15" x14ac:dyDescent="0.3">
      <c r="A4136">
        <v>35.965989015210802</v>
      </c>
      <c r="B4136">
        <v>-94.232247053401494</v>
      </c>
      <c r="C4136" t="s">
        <v>41</v>
      </c>
      <c r="D4136" t="s">
        <v>2543</v>
      </c>
      <c r="F4136" s="21"/>
      <c r="G4136" s="16" t="str">
        <f>HYPERLINK("http://maps.google.com/maps?f=q&amp;hl=en&amp;geocode=&amp;q=35.9659890152108,-94.2322470534015")</f>
        <v>http://maps.google.com/maps?f=q&amp;hl=en&amp;geocode=&amp;q=35.9659890152108,-94.2322470534015</v>
      </c>
    </row>
    <row r="4137" spans="1:7" ht="15" x14ac:dyDescent="0.3">
      <c r="A4137">
        <v>35.965989015210802</v>
      </c>
      <c r="B4137">
        <v>-94.232247053401494</v>
      </c>
      <c r="C4137" t="s">
        <v>41</v>
      </c>
      <c r="D4137" t="s">
        <v>2543</v>
      </c>
      <c r="F4137" s="21"/>
      <c r="G4137" s="16" t="str">
        <f>HYPERLINK("http://maps.google.com/maps?f=q&amp;hl=en&amp;geocode=&amp;q=35.9659890152108,-94.2322470534015")</f>
        <v>http://maps.google.com/maps?f=q&amp;hl=en&amp;geocode=&amp;q=35.9659890152108,-94.2322470534015</v>
      </c>
    </row>
    <row r="4138" spans="1:7" ht="15" x14ac:dyDescent="0.3">
      <c r="A4138">
        <v>32.082221916476598</v>
      </c>
      <c r="B4138">
        <v>-83.800202174656306</v>
      </c>
      <c r="C4138" t="s">
        <v>41</v>
      </c>
      <c r="D4138" t="s">
        <v>2230</v>
      </c>
      <c r="F4138" s="21"/>
      <c r="G4138" s="16" t="str">
        <f>HYPERLINK("http://maps.google.com/maps?f=q&amp;hl=en&amp;geocode=&amp;q=32.0822219164766,-83.8002021746563")</f>
        <v>http://maps.google.com/maps?f=q&amp;hl=en&amp;geocode=&amp;q=32.0822219164766,-83.8002021746563</v>
      </c>
    </row>
    <row r="4139" spans="1:7" ht="15" x14ac:dyDescent="0.3">
      <c r="A4139">
        <v>44.8207397460938</v>
      </c>
      <c r="B4139">
        <v>-93.802543640136705</v>
      </c>
      <c r="C4139" t="s">
        <v>43</v>
      </c>
      <c r="D4139" t="s">
        <v>1208</v>
      </c>
      <c r="F4139" s="21"/>
      <c r="G4139" s="16" t="str">
        <f>HYPERLINK("http://maps.google.com/maps?f=q&amp;hl=en&amp;geocode=&amp;q=44.8207397460938,-93.8025436401367")</f>
        <v>http://maps.google.com/maps?f=q&amp;hl=en&amp;geocode=&amp;q=44.8207397460938,-93.8025436401367</v>
      </c>
    </row>
    <row r="4140" spans="1:7" ht="15" x14ac:dyDescent="0.3">
      <c r="A4140">
        <v>7.1978502273559597</v>
      </c>
      <c r="B4140">
        <v>80.035339355468807</v>
      </c>
      <c r="C4140" t="s">
        <v>43</v>
      </c>
      <c r="D4140" t="s">
        <v>2677</v>
      </c>
      <c r="F4140" s="21"/>
      <c r="G4140" s="16" t="str">
        <f>HYPERLINK("http://maps.google.com/maps?f=q&amp;hl=en&amp;geocode=&amp;q=7.19785022735596,80.0353393554688")</f>
        <v>http://maps.google.com/maps?f=q&amp;hl=en&amp;geocode=&amp;q=7.19785022735596,80.0353393554688</v>
      </c>
    </row>
    <row r="4141" spans="1:7" ht="15" x14ac:dyDescent="0.3">
      <c r="A4141">
        <v>7.1978502273559597</v>
      </c>
      <c r="B4141">
        <v>80.035339355468807</v>
      </c>
      <c r="C4141" t="s">
        <v>43</v>
      </c>
      <c r="D4141" t="s">
        <v>2677</v>
      </c>
      <c r="F4141" s="21"/>
      <c r="G4141" s="16" t="str">
        <f>HYPERLINK("http://maps.google.com/maps?f=q&amp;hl=en&amp;geocode=&amp;q=7.19785022735596,80.0353393554688")</f>
        <v>http://maps.google.com/maps?f=q&amp;hl=en&amp;geocode=&amp;q=7.19785022735596,80.0353393554688</v>
      </c>
    </row>
    <row r="4142" spans="1:7" ht="15" x14ac:dyDescent="0.3">
      <c r="A4142" t="s">
        <v>44</v>
      </c>
      <c r="B4142" t="s">
        <v>44</v>
      </c>
      <c r="C4142" t="s">
        <v>44</v>
      </c>
      <c r="D4142" t="s">
        <v>2678</v>
      </c>
      <c r="F4142" s="21"/>
      <c r="G4142" s="16"/>
    </row>
    <row r="4143" spans="1:7" ht="15" x14ac:dyDescent="0.3">
      <c r="A4143">
        <v>32.8428981285372</v>
      </c>
      <c r="B4143">
        <v>-109.82603738151199</v>
      </c>
      <c r="C4143" t="s">
        <v>41</v>
      </c>
      <c r="D4143" t="s">
        <v>2679</v>
      </c>
      <c r="F4143" s="21"/>
      <c r="G4143" s="16" t="str">
        <f>HYPERLINK("http://maps.google.com/maps?f=q&amp;hl=en&amp;geocode=&amp;q=32.8428981285372,-109.826037381512")</f>
        <v>http://maps.google.com/maps?f=q&amp;hl=en&amp;geocode=&amp;q=32.8428981285372,-109.826037381512</v>
      </c>
    </row>
    <row r="4144" spans="1:7" ht="15" x14ac:dyDescent="0.3">
      <c r="A4144" t="s">
        <v>44</v>
      </c>
      <c r="B4144" t="s">
        <v>44</v>
      </c>
      <c r="C4144" t="s">
        <v>44</v>
      </c>
      <c r="D4144" t="s">
        <v>235</v>
      </c>
      <c r="F4144" s="21"/>
      <c r="G4144" s="16"/>
    </row>
    <row r="4145" spans="1:7" ht="15" x14ac:dyDescent="0.3">
      <c r="A4145">
        <v>27.270293512274002</v>
      </c>
      <c r="B4145">
        <v>-80.276742795341406</v>
      </c>
      <c r="C4145" t="s">
        <v>41</v>
      </c>
      <c r="D4145" t="s">
        <v>2047</v>
      </c>
      <c r="F4145" s="21"/>
      <c r="G4145" s="16" t="str">
        <f>HYPERLINK("http://maps.google.com/maps?f=q&amp;hl=en&amp;geocode=&amp;q=27.270293512274,-80.2767427953414")</f>
        <v>http://maps.google.com/maps?f=q&amp;hl=en&amp;geocode=&amp;q=27.270293512274,-80.2767427953414</v>
      </c>
    </row>
    <row r="4146" spans="1:7" ht="15" x14ac:dyDescent="0.3">
      <c r="A4146">
        <v>27.270293512274002</v>
      </c>
      <c r="B4146">
        <v>-80.276742795341406</v>
      </c>
      <c r="C4146" t="s">
        <v>41</v>
      </c>
      <c r="D4146" t="s">
        <v>2047</v>
      </c>
      <c r="F4146" s="21"/>
      <c r="G4146" s="16" t="str">
        <f>HYPERLINK("http://maps.google.com/maps?f=q&amp;hl=en&amp;geocode=&amp;q=27.270293512274,-80.2767427953414")</f>
        <v>http://maps.google.com/maps?f=q&amp;hl=en&amp;geocode=&amp;q=27.270293512274,-80.2767427953414</v>
      </c>
    </row>
    <row r="4147" spans="1:7" ht="15" x14ac:dyDescent="0.3">
      <c r="A4147">
        <v>27.270293512274002</v>
      </c>
      <c r="B4147">
        <v>-80.276742795341406</v>
      </c>
      <c r="C4147" t="s">
        <v>41</v>
      </c>
      <c r="D4147" t="s">
        <v>2047</v>
      </c>
      <c r="F4147" s="21"/>
      <c r="G4147" s="16" t="str">
        <f>HYPERLINK("http://maps.google.com/maps?f=q&amp;hl=en&amp;geocode=&amp;q=27.270293512274,-80.2767427953414")</f>
        <v>http://maps.google.com/maps?f=q&amp;hl=en&amp;geocode=&amp;q=27.270293512274,-80.2767427953414</v>
      </c>
    </row>
    <row r="4148" spans="1:7" ht="15" x14ac:dyDescent="0.3">
      <c r="A4148">
        <v>27.270293512274002</v>
      </c>
      <c r="B4148">
        <v>-80.276742795341406</v>
      </c>
      <c r="C4148" t="s">
        <v>41</v>
      </c>
      <c r="D4148" t="s">
        <v>2047</v>
      </c>
      <c r="F4148" s="21"/>
      <c r="G4148" s="16" t="str">
        <f>HYPERLINK("http://maps.google.com/maps?f=q&amp;hl=en&amp;geocode=&amp;q=27.270293512274,-80.2767427953414")</f>
        <v>http://maps.google.com/maps?f=q&amp;hl=en&amp;geocode=&amp;q=27.270293512274,-80.2767427953414</v>
      </c>
    </row>
    <row r="4149" spans="1:7" ht="15" x14ac:dyDescent="0.3">
      <c r="A4149">
        <v>36.015928310111001</v>
      </c>
      <c r="B4149">
        <v>-78.928323937418</v>
      </c>
      <c r="C4149" t="s">
        <v>41</v>
      </c>
      <c r="D4149" t="s">
        <v>1288</v>
      </c>
      <c r="F4149" s="21"/>
      <c r="G4149" s="16" t="str">
        <f>HYPERLINK("http://maps.google.com/maps?f=q&amp;hl=en&amp;geocode=&amp;q=36.015928310111,-78.928323937418")</f>
        <v>http://maps.google.com/maps?f=q&amp;hl=en&amp;geocode=&amp;q=36.015928310111,-78.928323937418</v>
      </c>
    </row>
    <row r="4150" spans="1:7" ht="15" x14ac:dyDescent="0.3">
      <c r="A4150">
        <v>36.015928310111001</v>
      </c>
      <c r="B4150">
        <v>-78.928323937418</v>
      </c>
      <c r="C4150" t="s">
        <v>41</v>
      </c>
      <c r="D4150" t="s">
        <v>1288</v>
      </c>
      <c r="F4150" s="21"/>
      <c r="G4150" s="16" t="str">
        <f>HYPERLINK("http://maps.google.com/maps?f=q&amp;hl=en&amp;geocode=&amp;q=36.015928310111,-78.928323937418")</f>
        <v>http://maps.google.com/maps?f=q&amp;hl=en&amp;geocode=&amp;q=36.015928310111,-78.928323937418</v>
      </c>
    </row>
    <row r="4151" spans="1:7" ht="15" x14ac:dyDescent="0.3">
      <c r="A4151">
        <v>36.015928310111001</v>
      </c>
      <c r="B4151">
        <v>-78.928323937418</v>
      </c>
      <c r="C4151" t="s">
        <v>41</v>
      </c>
      <c r="D4151" t="s">
        <v>1288</v>
      </c>
      <c r="F4151" s="21"/>
      <c r="G4151" s="16" t="str">
        <f>HYPERLINK("http://maps.google.com/maps?f=q&amp;hl=en&amp;geocode=&amp;q=36.015928310111,-78.928323937418")</f>
        <v>http://maps.google.com/maps?f=q&amp;hl=en&amp;geocode=&amp;q=36.015928310111,-78.928323937418</v>
      </c>
    </row>
    <row r="4152" spans="1:7" ht="15" x14ac:dyDescent="0.3">
      <c r="A4152">
        <v>47.165733337402301</v>
      </c>
      <c r="B4152">
        <v>19.4165744781494</v>
      </c>
      <c r="C4152" t="s">
        <v>41</v>
      </c>
      <c r="D4152" t="s">
        <v>2680</v>
      </c>
      <c r="F4152" s="21"/>
      <c r="G4152" s="16" t="str">
        <f>HYPERLINK("http://maps.google.com/maps?f=q&amp;hl=en&amp;geocode=&amp;q=47.1657333374023,19.4165744781494")</f>
        <v>http://maps.google.com/maps?f=q&amp;hl=en&amp;geocode=&amp;q=47.1657333374023,19.4165744781494</v>
      </c>
    </row>
    <row r="4153" spans="1:7" ht="15" x14ac:dyDescent="0.3">
      <c r="A4153">
        <v>39.112859999999998</v>
      </c>
      <c r="B4153">
        <v>-84.507819999999995</v>
      </c>
      <c r="C4153" t="s">
        <v>42</v>
      </c>
      <c r="D4153" t="s">
        <v>2681</v>
      </c>
      <c r="F4153" s="21"/>
      <c r="G4153" s="16" t="str">
        <f>HYPERLINK("http://maps.google.com/maps?f=q&amp;hl=en&amp;geocode=&amp;q=39.11286,-84.50782")</f>
        <v>http://maps.google.com/maps?f=q&amp;hl=en&amp;geocode=&amp;q=39.11286,-84.50782</v>
      </c>
    </row>
    <row r="4154" spans="1:7" ht="15" x14ac:dyDescent="0.3">
      <c r="A4154">
        <v>39.990549999999999</v>
      </c>
      <c r="B4154">
        <v>-75.100309999999993</v>
      </c>
      <c r="C4154" t="s">
        <v>41</v>
      </c>
      <c r="D4154" t="s">
        <v>1630</v>
      </c>
      <c r="F4154" s="21"/>
      <c r="G4154" s="16" t="str">
        <f>HYPERLINK("http://maps.google.com/maps?f=q&amp;hl=en&amp;geocode=&amp;q=39.99055,-75.10031")</f>
        <v>http://maps.google.com/maps?f=q&amp;hl=en&amp;geocode=&amp;q=39.99055,-75.10031</v>
      </c>
    </row>
    <row r="4155" spans="1:7" ht="15" x14ac:dyDescent="0.3">
      <c r="A4155">
        <v>31.243220000000001</v>
      </c>
      <c r="B4155">
        <v>-103.06478</v>
      </c>
      <c r="C4155" t="s">
        <v>43</v>
      </c>
      <c r="D4155" t="s">
        <v>2682</v>
      </c>
      <c r="F4155" s="21"/>
      <c r="G4155" s="16" t="str">
        <f>HYPERLINK("http://maps.google.com/maps?f=q&amp;hl=en&amp;geocode=&amp;q=31.24322,-103.06478")</f>
        <v>http://maps.google.com/maps?f=q&amp;hl=en&amp;geocode=&amp;q=31.24322,-103.06478</v>
      </c>
    </row>
    <row r="4156" spans="1:7" ht="15" x14ac:dyDescent="0.3">
      <c r="A4156">
        <v>31.243220000000001</v>
      </c>
      <c r="B4156">
        <v>-103.06478</v>
      </c>
      <c r="C4156" t="s">
        <v>43</v>
      </c>
      <c r="D4156" t="s">
        <v>2682</v>
      </c>
      <c r="F4156" s="21"/>
      <c r="G4156" s="16" t="str">
        <f>HYPERLINK("http://maps.google.com/maps?f=q&amp;hl=en&amp;geocode=&amp;q=31.24322,-103.06478")</f>
        <v>http://maps.google.com/maps?f=q&amp;hl=en&amp;geocode=&amp;q=31.24322,-103.06478</v>
      </c>
    </row>
    <row r="4157" spans="1:7" ht="15" x14ac:dyDescent="0.3">
      <c r="A4157">
        <v>43.042704341587402</v>
      </c>
      <c r="B4157">
        <v>-83.660222658687601</v>
      </c>
      <c r="C4157" t="s">
        <v>41</v>
      </c>
      <c r="D4157" t="s">
        <v>2683</v>
      </c>
      <c r="F4157" s="21"/>
      <c r="G4157" s="16" t="str">
        <f>HYPERLINK("http://maps.google.com/maps?f=q&amp;hl=en&amp;geocode=&amp;q=43.0427043415874,-83.6602226586876")</f>
        <v>http://maps.google.com/maps?f=q&amp;hl=en&amp;geocode=&amp;q=43.0427043415874,-83.6602226586876</v>
      </c>
    </row>
    <row r="4158" spans="1:7" ht="15" x14ac:dyDescent="0.3">
      <c r="A4158">
        <v>43.042704341587402</v>
      </c>
      <c r="B4158">
        <v>-83.660222658687601</v>
      </c>
      <c r="C4158" t="s">
        <v>41</v>
      </c>
      <c r="D4158" t="s">
        <v>2683</v>
      </c>
      <c r="F4158" s="21"/>
      <c r="G4158" s="16" t="str">
        <f>HYPERLINK("http://maps.google.com/maps?f=q&amp;hl=en&amp;geocode=&amp;q=43.0427043415874,-83.6602226586876")</f>
        <v>http://maps.google.com/maps?f=q&amp;hl=en&amp;geocode=&amp;q=43.0427043415874,-83.6602226586876</v>
      </c>
    </row>
    <row r="4159" spans="1:7" ht="15" x14ac:dyDescent="0.3">
      <c r="A4159">
        <v>43.042704341587402</v>
      </c>
      <c r="B4159">
        <v>-83.660222658687601</v>
      </c>
      <c r="C4159" t="s">
        <v>41</v>
      </c>
      <c r="D4159" t="s">
        <v>2683</v>
      </c>
      <c r="F4159" s="21"/>
      <c r="G4159" s="16" t="str">
        <f>HYPERLINK("http://maps.google.com/maps?f=q&amp;hl=en&amp;geocode=&amp;q=43.0427043415874,-83.6602226586876")</f>
        <v>http://maps.google.com/maps?f=q&amp;hl=en&amp;geocode=&amp;q=43.0427043415874,-83.6602226586876</v>
      </c>
    </row>
    <row r="4160" spans="1:7" ht="15" x14ac:dyDescent="0.3">
      <c r="A4160">
        <v>43.042699998994699</v>
      </c>
      <c r="B4160">
        <v>-83.659048570791896</v>
      </c>
      <c r="C4160" t="s">
        <v>41</v>
      </c>
      <c r="D4160" t="s">
        <v>1631</v>
      </c>
      <c r="F4160" s="21"/>
      <c r="G4160" s="16" t="str">
        <f>HYPERLINK("http://maps.google.com/maps?f=q&amp;hl=en&amp;geocode=&amp;q=43.0426999989947,-83.6590485707919")</f>
        <v>http://maps.google.com/maps?f=q&amp;hl=en&amp;geocode=&amp;q=43.0426999989947,-83.6590485707919</v>
      </c>
    </row>
    <row r="4161" spans="1:7" ht="15" x14ac:dyDescent="0.3">
      <c r="A4161">
        <v>40.986289978027301</v>
      </c>
      <c r="B4161">
        <v>-78.311256408691406</v>
      </c>
      <c r="C4161" t="s">
        <v>43</v>
      </c>
      <c r="D4161" t="s">
        <v>2684</v>
      </c>
      <c r="F4161" s="21"/>
      <c r="G4161" s="16" t="str">
        <f>HYPERLINK("http://maps.google.com/maps?f=q&amp;hl=en&amp;geocode=&amp;q=40.9862899780273,-78.3112564086914")</f>
        <v>http://maps.google.com/maps?f=q&amp;hl=en&amp;geocode=&amp;q=40.9862899780273,-78.3112564086914</v>
      </c>
    </row>
    <row r="4162" spans="1:7" ht="15" x14ac:dyDescent="0.3">
      <c r="A4162">
        <v>43.042699998994699</v>
      </c>
      <c r="B4162">
        <v>-83.659048570791896</v>
      </c>
      <c r="C4162" t="s">
        <v>41</v>
      </c>
      <c r="D4162" t="s">
        <v>1631</v>
      </c>
      <c r="F4162" s="21"/>
      <c r="G4162" s="16" t="str">
        <f>HYPERLINK("http://maps.google.com/maps?f=q&amp;hl=en&amp;geocode=&amp;q=43.0426999989947,-83.6590485707919")</f>
        <v>http://maps.google.com/maps?f=q&amp;hl=en&amp;geocode=&amp;q=43.0426999989947,-83.6590485707919</v>
      </c>
    </row>
    <row r="4163" spans="1:7" ht="15" x14ac:dyDescent="0.3">
      <c r="A4163">
        <v>42.725470999999999</v>
      </c>
      <c r="B4163">
        <v>-89.103928999999994</v>
      </c>
      <c r="C4163" t="s">
        <v>41</v>
      </c>
      <c r="D4163" t="s">
        <v>2685</v>
      </c>
      <c r="F4163" s="21"/>
      <c r="G4163" s="16" t="str">
        <f>HYPERLINK("http://maps.google.com/maps?f=q&amp;hl=en&amp;geocode=&amp;q=42.725471,-89.103929")</f>
        <v>http://maps.google.com/maps?f=q&amp;hl=en&amp;geocode=&amp;q=42.725471,-89.103929</v>
      </c>
    </row>
    <row r="4164" spans="1:7" ht="15" x14ac:dyDescent="0.3">
      <c r="A4164">
        <v>39.490409999999997</v>
      </c>
      <c r="B4164">
        <v>-78.769580000000005</v>
      </c>
      <c r="C4164" t="s">
        <v>42</v>
      </c>
      <c r="D4164" t="s">
        <v>2661</v>
      </c>
      <c r="F4164" s="21"/>
      <c r="G4164" s="16" t="str">
        <f>HYPERLINK("http://maps.google.com/maps?f=q&amp;hl=en&amp;geocode=&amp;q=39.49041,-78.76958")</f>
        <v>http://maps.google.com/maps?f=q&amp;hl=en&amp;geocode=&amp;q=39.49041,-78.76958</v>
      </c>
    </row>
    <row r="4165" spans="1:7" ht="15" x14ac:dyDescent="0.3">
      <c r="A4165">
        <v>45.8936162101528</v>
      </c>
      <c r="B4165">
        <v>-93.557508405758</v>
      </c>
      <c r="C4165" t="s">
        <v>41</v>
      </c>
      <c r="D4165" t="s">
        <v>2686</v>
      </c>
      <c r="F4165" s="21"/>
      <c r="G4165" s="16" t="str">
        <f>HYPERLINK("http://maps.google.com/maps?f=q&amp;hl=en&amp;geocode=&amp;q=45.8936162101528,-93.557508405758")</f>
        <v>http://maps.google.com/maps?f=q&amp;hl=en&amp;geocode=&amp;q=45.8936162101528,-93.557508405758</v>
      </c>
    </row>
    <row r="4166" spans="1:7" ht="15" x14ac:dyDescent="0.3">
      <c r="A4166">
        <v>37.530099999999997</v>
      </c>
      <c r="B4166">
        <v>-95.82499</v>
      </c>
      <c r="C4166" t="s">
        <v>43</v>
      </c>
      <c r="D4166" t="s">
        <v>2687</v>
      </c>
      <c r="F4166" s="21"/>
      <c r="G4166" s="16" t="str">
        <f>HYPERLINK("http://maps.google.com/maps?f=q&amp;hl=en&amp;geocode=&amp;q=37.5301,-95.82499")</f>
        <v>http://maps.google.com/maps?f=q&amp;hl=en&amp;geocode=&amp;q=37.5301,-95.82499</v>
      </c>
    </row>
    <row r="4167" spans="1:7" ht="15" x14ac:dyDescent="0.3">
      <c r="A4167">
        <v>36.103910541192697</v>
      </c>
      <c r="B4167">
        <v>-79.480931831440003</v>
      </c>
      <c r="C4167" t="s">
        <v>43</v>
      </c>
      <c r="D4167" t="s">
        <v>2385</v>
      </c>
      <c r="F4167" s="21"/>
      <c r="G4167" s="16" t="str">
        <f>HYPERLINK("http://maps.google.com/maps?f=q&amp;hl=en&amp;geocode=&amp;q=36.1039105411927,-79.48093183144")</f>
        <v>http://maps.google.com/maps?f=q&amp;hl=en&amp;geocode=&amp;q=36.1039105411927,-79.48093183144</v>
      </c>
    </row>
    <row r="4168" spans="1:7" ht="15" x14ac:dyDescent="0.3">
      <c r="A4168">
        <v>37.530099999999997</v>
      </c>
      <c r="B4168">
        <v>-95.82499</v>
      </c>
      <c r="C4168" t="s">
        <v>43</v>
      </c>
      <c r="D4168" t="s">
        <v>2687</v>
      </c>
      <c r="F4168" s="21"/>
      <c r="G4168" s="16" t="str">
        <f>HYPERLINK("http://maps.google.com/maps?f=q&amp;hl=en&amp;geocode=&amp;q=37.5301,-95.82499")</f>
        <v>http://maps.google.com/maps?f=q&amp;hl=en&amp;geocode=&amp;q=37.5301,-95.82499</v>
      </c>
    </row>
    <row r="4169" spans="1:7" ht="15" x14ac:dyDescent="0.3">
      <c r="A4169">
        <v>40.054671506450497</v>
      </c>
      <c r="B4169">
        <v>-75.070422343377999</v>
      </c>
      <c r="C4169" t="s">
        <v>41</v>
      </c>
      <c r="D4169" t="s">
        <v>1410</v>
      </c>
      <c r="F4169" s="21"/>
      <c r="G4169" s="16" t="str">
        <f>HYPERLINK("http://maps.google.com/maps?f=q&amp;hl=en&amp;geocode=&amp;q=40.0546715064505,-75.070422343378")</f>
        <v>http://maps.google.com/maps?f=q&amp;hl=en&amp;geocode=&amp;q=40.0546715064505,-75.070422343378</v>
      </c>
    </row>
    <row r="4170" spans="1:7" ht="15" x14ac:dyDescent="0.3">
      <c r="A4170">
        <v>40.543950000000002</v>
      </c>
      <c r="B4170">
        <v>-112.29679</v>
      </c>
      <c r="C4170" t="s">
        <v>43</v>
      </c>
      <c r="D4170" t="s">
        <v>2688</v>
      </c>
      <c r="F4170" s="21"/>
      <c r="G4170" s="16" t="str">
        <f>HYPERLINK("http://maps.google.com/maps?f=q&amp;hl=en&amp;geocode=&amp;q=40.54395,-112.29679")</f>
        <v>http://maps.google.com/maps?f=q&amp;hl=en&amp;geocode=&amp;q=40.54395,-112.29679</v>
      </c>
    </row>
    <row r="4171" spans="1:7" ht="15" x14ac:dyDescent="0.3">
      <c r="A4171">
        <v>45.535417580590497</v>
      </c>
      <c r="B4171">
        <v>-122.92206051487599</v>
      </c>
      <c r="C4171" t="s">
        <v>41</v>
      </c>
      <c r="D4171" t="s">
        <v>2689</v>
      </c>
      <c r="F4171" s="21"/>
      <c r="G4171" s="16" t="str">
        <f>HYPERLINK("http://maps.google.com/maps?f=q&amp;hl=en&amp;geocode=&amp;q=45.5354175805905,-122.922060514876")</f>
        <v>http://maps.google.com/maps?f=q&amp;hl=en&amp;geocode=&amp;q=45.5354175805905,-122.922060514876</v>
      </c>
    </row>
    <row r="4172" spans="1:7" ht="15" x14ac:dyDescent="0.3">
      <c r="A4172">
        <v>40.0635973510363</v>
      </c>
      <c r="B4172">
        <v>-75.048832068213201</v>
      </c>
      <c r="C4172" t="s">
        <v>41</v>
      </c>
      <c r="D4172" t="s">
        <v>2669</v>
      </c>
      <c r="F4172" s="21"/>
      <c r="G4172" s="16" t="str">
        <f>HYPERLINK("http://maps.google.com/maps?f=q&amp;hl=en&amp;geocode=&amp;q=40.0635973510363,-75.0488320682132")</f>
        <v>http://maps.google.com/maps?f=q&amp;hl=en&amp;geocode=&amp;q=40.0635973510363,-75.0488320682132</v>
      </c>
    </row>
    <row r="4173" spans="1:7" ht="15" x14ac:dyDescent="0.3">
      <c r="A4173">
        <v>40.743499999999997</v>
      </c>
      <c r="B4173">
        <v>-111.85084999999999</v>
      </c>
      <c r="C4173" t="s">
        <v>41</v>
      </c>
      <c r="D4173" t="s">
        <v>2690</v>
      </c>
      <c r="F4173" s="21"/>
      <c r="G4173" s="16" t="str">
        <f>HYPERLINK("http://maps.google.com/maps?f=q&amp;hl=en&amp;geocode=&amp;q=40.7435,-111.85085")</f>
        <v>http://maps.google.com/maps?f=q&amp;hl=en&amp;geocode=&amp;q=40.7435,-111.85085</v>
      </c>
    </row>
    <row r="4174" spans="1:7" ht="15" x14ac:dyDescent="0.3">
      <c r="A4174">
        <v>40.001463051012003</v>
      </c>
      <c r="B4174">
        <v>-75.113905025047302</v>
      </c>
      <c r="C4174" t="s">
        <v>41</v>
      </c>
      <c r="D4174" t="s">
        <v>2691</v>
      </c>
      <c r="F4174" s="21"/>
      <c r="G4174" s="16" t="str">
        <f>HYPERLINK("http://maps.google.com/maps?f=q&amp;hl=en&amp;geocode=&amp;q=40.001463051012,-75.1139050250473")</f>
        <v>http://maps.google.com/maps?f=q&amp;hl=en&amp;geocode=&amp;q=40.001463051012,-75.1139050250473</v>
      </c>
    </row>
    <row r="4175" spans="1:7" ht="15" x14ac:dyDescent="0.3">
      <c r="A4175">
        <v>56.117340087890597</v>
      </c>
      <c r="B4175">
        <v>-3.9394700527191202</v>
      </c>
      <c r="C4175" t="s">
        <v>43</v>
      </c>
      <c r="D4175" t="s">
        <v>2692</v>
      </c>
      <c r="F4175" s="21"/>
      <c r="G4175" s="16" t="str">
        <f>HYPERLINK("http://maps.google.com/maps?f=q&amp;hl=en&amp;geocode=&amp;q=56.1173400878906,-3.93947005271912")</f>
        <v>http://maps.google.com/maps?f=q&amp;hl=en&amp;geocode=&amp;q=56.1173400878906,-3.93947005271912</v>
      </c>
    </row>
    <row r="4176" spans="1:7" ht="15" x14ac:dyDescent="0.3">
      <c r="A4176" t="s">
        <v>44</v>
      </c>
      <c r="B4176" t="s">
        <v>44</v>
      </c>
      <c r="C4176" t="s">
        <v>44</v>
      </c>
      <c r="D4176" t="s">
        <v>2693</v>
      </c>
      <c r="F4176" s="21"/>
      <c r="G4176" s="16"/>
    </row>
    <row r="4177" spans="1:7" ht="15" x14ac:dyDescent="0.3">
      <c r="A4177">
        <v>29.1952</v>
      </c>
      <c r="B4177">
        <v>-81.025959999999998</v>
      </c>
      <c r="C4177" t="s">
        <v>42</v>
      </c>
      <c r="D4177" t="s">
        <v>2694</v>
      </c>
      <c r="F4177" s="21"/>
      <c r="G4177" s="16" t="str">
        <f>HYPERLINK("http://maps.google.com/maps?f=q&amp;hl=en&amp;geocode=&amp;q=29.1952,-81.02596")</f>
        <v>http://maps.google.com/maps?f=q&amp;hl=en&amp;geocode=&amp;q=29.1952,-81.02596</v>
      </c>
    </row>
    <row r="4178" spans="1:7" ht="15" x14ac:dyDescent="0.3">
      <c r="A4178">
        <v>39.997172134354301</v>
      </c>
      <c r="B4178">
        <v>-75.073444248352601</v>
      </c>
      <c r="C4178" t="s">
        <v>41</v>
      </c>
      <c r="D4178" t="s">
        <v>759</v>
      </c>
      <c r="F4178" s="21"/>
      <c r="G4178" s="16" t="str">
        <f>HYPERLINK("http://maps.google.com/maps?f=q&amp;hl=en&amp;geocode=&amp;q=39.9971721343543,-75.0734442483526")</f>
        <v>http://maps.google.com/maps?f=q&amp;hl=en&amp;geocode=&amp;q=39.9971721343543,-75.0734442483526</v>
      </c>
    </row>
    <row r="4179" spans="1:7" ht="15" x14ac:dyDescent="0.3">
      <c r="A4179">
        <v>39.997172134354301</v>
      </c>
      <c r="B4179">
        <v>-75.073444248352601</v>
      </c>
      <c r="C4179" t="s">
        <v>41</v>
      </c>
      <c r="D4179" t="s">
        <v>759</v>
      </c>
      <c r="F4179" s="21"/>
      <c r="G4179" s="16" t="str">
        <f>HYPERLINK("http://maps.google.com/maps?f=q&amp;hl=en&amp;geocode=&amp;q=39.9971721343543,-75.0734442483526")</f>
        <v>http://maps.google.com/maps?f=q&amp;hl=en&amp;geocode=&amp;q=39.9971721343543,-75.0734442483526</v>
      </c>
    </row>
    <row r="4180" spans="1:7" ht="15" x14ac:dyDescent="0.3">
      <c r="A4180">
        <v>39.997172134354301</v>
      </c>
      <c r="B4180">
        <v>-75.073444248352601</v>
      </c>
      <c r="C4180" t="s">
        <v>41</v>
      </c>
      <c r="D4180" t="s">
        <v>759</v>
      </c>
      <c r="F4180" s="21"/>
      <c r="G4180" s="16" t="str">
        <f>HYPERLINK("http://maps.google.com/maps?f=q&amp;hl=en&amp;geocode=&amp;q=39.9971721343543,-75.0734442483526")</f>
        <v>http://maps.google.com/maps?f=q&amp;hl=en&amp;geocode=&amp;q=39.9971721343543,-75.0734442483526</v>
      </c>
    </row>
    <row r="4181" spans="1:7" ht="15" x14ac:dyDescent="0.3">
      <c r="A4181">
        <v>28.007390000000001</v>
      </c>
      <c r="B4181">
        <v>-80.643069999999994</v>
      </c>
      <c r="C4181" t="s">
        <v>42</v>
      </c>
      <c r="D4181" t="s">
        <v>414</v>
      </c>
      <c r="F4181" s="21"/>
      <c r="G4181" s="16" t="str">
        <f>HYPERLINK("http://maps.google.com/maps?f=q&amp;hl=en&amp;geocode=&amp;q=28.00739,-80.64307")</f>
        <v>http://maps.google.com/maps?f=q&amp;hl=en&amp;geocode=&amp;q=28.00739,-80.64307</v>
      </c>
    </row>
    <row r="4182" spans="1:7" ht="15" x14ac:dyDescent="0.3">
      <c r="A4182">
        <v>28.007390000000001</v>
      </c>
      <c r="B4182">
        <v>-80.643069999999994</v>
      </c>
      <c r="C4182" t="s">
        <v>42</v>
      </c>
      <c r="D4182" t="s">
        <v>414</v>
      </c>
      <c r="F4182" s="21"/>
      <c r="G4182" s="16" t="str">
        <f>HYPERLINK("http://maps.google.com/maps?f=q&amp;hl=en&amp;geocode=&amp;q=28.00739,-80.64307")</f>
        <v>http://maps.google.com/maps?f=q&amp;hl=en&amp;geocode=&amp;q=28.00739,-80.64307</v>
      </c>
    </row>
    <row r="4183" spans="1:7" ht="15" x14ac:dyDescent="0.3">
      <c r="A4183">
        <v>28.007390000000001</v>
      </c>
      <c r="B4183">
        <v>-80.643069999999994</v>
      </c>
      <c r="C4183" t="s">
        <v>42</v>
      </c>
      <c r="D4183" t="s">
        <v>414</v>
      </c>
      <c r="F4183" s="21"/>
      <c r="G4183" s="16" t="str">
        <f>HYPERLINK("http://maps.google.com/maps?f=q&amp;hl=en&amp;geocode=&amp;q=28.00739,-80.64307")</f>
        <v>http://maps.google.com/maps?f=q&amp;hl=en&amp;geocode=&amp;q=28.00739,-80.64307</v>
      </c>
    </row>
    <row r="4184" spans="1:7" ht="15" x14ac:dyDescent="0.3">
      <c r="A4184">
        <v>52.274169921875</v>
      </c>
      <c r="B4184">
        <v>-100.60832977294901</v>
      </c>
      <c r="C4184" t="s">
        <v>41</v>
      </c>
      <c r="D4184" t="s">
        <v>2695</v>
      </c>
      <c r="F4184" s="21"/>
      <c r="G4184" s="16" t="str">
        <f>HYPERLINK("http://maps.google.com/maps?f=q&amp;hl=en&amp;geocode=&amp;q=52.274169921875,-100.608329772949")</f>
        <v>http://maps.google.com/maps?f=q&amp;hl=en&amp;geocode=&amp;q=52.274169921875,-100.608329772949</v>
      </c>
    </row>
    <row r="4185" spans="1:7" ht="15" x14ac:dyDescent="0.3">
      <c r="A4185">
        <v>28.007390000000001</v>
      </c>
      <c r="B4185">
        <v>-80.643069999999994</v>
      </c>
      <c r="C4185" t="s">
        <v>42</v>
      </c>
      <c r="D4185" t="s">
        <v>414</v>
      </c>
      <c r="F4185" s="21"/>
      <c r="G4185" s="16" t="str">
        <f>HYPERLINK("http://maps.google.com/maps?f=q&amp;hl=en&amp;geocode=&amp;q=28.00739,-80.64307")</f>
        <v>http://maps.google.com/maps?f=q&amp;hl=en&amp;geocode=&amp;q=28.00739,-80.64307</v>
      </c>
    </row>
    <row r="4186" spans="1:7" ht="15" x14ac:dyDescent="0.3">
      <c r="A4186" t="s">
        <v>44</v>
      </c>
      <c r="B4186" t="s">
        <v>44</v>
      </c>
      <c r="C4186" t="s">
        <v>44</v>
      </c>
      <c r="D4186" t="s">
        <v>2696</v>
      </c>
      <c r="F4186" s="21"/>
      <c r="G4186" s="16"/>
    </row>
    <row r="4187" spans="1:7" ht="15" x14ac:dyDescent="0.3">
      <c r="A4187">
        <v>35.110244067487002</v>
      </c>
      <c r="B4187">
        <v>-90.025955336757804</v>
      </c>
      <c r="C4187" t="s">
        <v>41</v>
      </c>
      <c r="D4187" t="s">
        <v>2697</v>
      </c>
      <c r="F4187" s="21"/>
      <c r="G4187" s="16" t="str">
        <f>HYPERLINK("http://maps.google.com/maps?f=q&amp;hl=en&amp;geocode=&amp;q=35.110244067487,-90.0259553367578")</f>
        <v>http://maps.google.com/maps?f=q&amp;hl=en&amp;geocode=&amp;q=35.110244067487,-90.0259553367578</v>
      </c>
    </row>
    <row r="4188" spans="1:7" ht="15" x14ac:dyDescent="0.3">
      <c r="A4188" t="s">
        <v>44</v>
      </c>
      <c r="B4188" t="s">
        <v>44</v>
      </c>
      <c r="C4188" t="s">
        <v>44</v>
      </c>
      <c r="D4188" t="s">
        <v>2698</v>
      </c>
      <c r="F4188" s="21"/>
      <c r="G4188" s="16"/>
    </row>
    <row r="4189" spans="1:7" ht="15" x14ac:dyDescent="0.3">
      <c r="A4189">
        <v>52.6822319030762</v>
      </c>
      <c r="B4189">
        <v>0.13165999948978399</v>
      </c>
      <c r="C4189" t="s">
        <v>41</v>
      </c>
      <c r="D4189" t="s">
        <v>1331</v>
      </c>
      <c r="F4189" s="21"/>
      <c r="G4189" s="16" t="str">
        <f>HYPERLINK("http://maps.google.com/maps?f=q&amp;hl=en&amp;geocode=&amp;q=52.6822319030762,0.131659999489784")</f>
        <v>http://maps.google.com/maps?f=q&amp;hl=en&amp;geocode=&amp;q=52.6822319030762,0.131659999489784</v>
      </c>
    </row>
    <row r="4190" spans="1:7" ht="15" x14ac:dyDescent="0.3">
      <c r="A4190">
        <v>39.969520568847699</v>
      </c>
      <c r="B4190">
        <v>-79.613929748535199</v>
      </c>
      <c r="C4190" t="s">
        <v>43</v>
      </c>
      <c r="D4190" t="s">
        <v>83</v>
      </c>
      <c r="F4190" s="21"/>
      <c r="G4190" s="16" t="str">
        <f>HYPERLINK("http://maps.google.com/maps?f=q&amp;hl=en&amp;geocode=&amp;q=39.9695205688477,-79.6139297485352")</f>
        <v>http://maps.google.com/maps?f=q&amp;hl=en&amp;geocode=&amp;q=39.9695205688477,-79.6139297485352</v>
      </c>
    </row>
    <row r="4191" spans="1:7" ht="15" x14ac:dyDescent="0.3">
      <c r="A4191">
        <v>-36.884181976318402</v>
      </c>
      <c r="B4191">
        <v>147.82412719726599</v>
      </c>
      <c r="C4191" t="s">
        <v>43</v>
      </c>
      <c r="D4191" t="s">
        <v>2699</v>
      </c>
      <c r="F4191" s="21"/>
      <c r="G4191" s="16" t="str">
        <f>HYPERLINK("http://maps.google.com/maps?f=q&amp;hl=en&amp;geocode=&amp;q=-36.8841819763184,147.824127197266")</f>
        <v>http://maps.google.com/maps?f=q&amp;hl=en&amp;geocode=&amp;q=-36.8841819763184,147.824127197266</v>
      </c>
    </row>
    <row r="4192" spans="1:7" ht="15" x14ac:dyDescent="0.3">
      <c r="A4192" t="s">
        <v>44</v>
      </c>
      <c r="B4192" t="s">
        <v>44</v>
      </c>
      <c r="C4192" t="s">
        <v>44</v>
      </c>
      <c r="D4192" t="s">
        <v>2267</v>
      </c>
      <c r="F4192" s="21"/>
      <c r="G4192" s="16"/>
    </row>
    <row r="4193" spans="1:7" ht="15" x14ac:dyDescent="0.3">
      <c r="A4193">
        <v>35.317956483993498</v>
      </c>
      <c r="B4193">
        <v>-82.685045705665104</v>
      </c>
      <c r="C4193" t="s">
        <v>41</v>
      </c>
      <c r="D4193" t="s">
        <v>2700</v>
      </c>
      <c r="F4193" s="21"/>
      <c r="G4193" s="16" t="str">
        <f>HYPERLINK("http://maps.google.com/maps?f=q&amp;hl=en&amp;geocode=&amp;q=35.3179564839935,-82.6850457056651")</f>
        <v>http://maps.google.com/maps?f=q&amp;hl=en&amp;geocode=&amp;q=35.3179564839935,-82.6850457056651</v>
      </c>
    </row>
    <row r="4194" spans="1:7" ht="15" x14ac:dyDescent="0.3">
      <c r="A4194">
        <v>29.539559998433401</v>
      </c>
      <c r="B4194">
        <v>-96.279854997281006</v>
      </c>
      <c r="C4194" t="s">
        <v>41</v>
      </c>
      <c r="D4194" t="s">
        <v>2171</v>
      </c>
      <c r="F4194" s="21"/>
      <c r="G4194" s="16" t="str">
        <f>HYPERLINK("http://maps.google.com/maps?f=q&amp;hl=en&amp;geocode=&amp;q=29.5395599984334,-96.279854997281")</f>
        <v>http://maps.google.com/maps?f=q&amp;hl=en&amp;geocode=&amp;q=29.5395599984334,-96.279854997281</v>
      </c>
    </row>
    <row r="4195" spans="1:7" ht="15" x14ac:dyDescent="0.3">
      <c r="A4195">
        <v>37.15155</v>
      </c>
      <c r="B4195">
        <v>-77.300139999999999</v>
      </c>
      <c r="C4195" t="s">
        <v>41</v>
      </c>
      <c r="D4195" t="s">
        <v>329</v>
      </c>
      <c r="F4195" s="21"/>
      <c r="G4195" s="16" t="str">
        <f>HYPERLINK("http://maps.google.com/maps?f=q&amp;hl=en&amp;geocode=&amp;q=37.15155,-77.30014")</f>
        <v>http://maps.google.com/maps?f=q&amp;hl=en&amp;geocode=&amp;q=37.15155,-77.30014</v>
      </c>
    </row>
    <row r="4196" spans="1:7" ht="15" x14ac:dyDescent="0.3">
      <c r="F4196" s="21"/>
      <c r="G4196" s="16"/>
    </row>
    <row r="4197" spans="1:7" ht="15" x14ac:dyDescent="0.3">
      <c r="A4197">
        <v>38.707741855237799</v>
      </c>
      <c r="B4197">
        <v>-90.271877813569702</v>
      </c>
      <c r="C4197" t="s">
        <v>41</v>
      </c>
      <c r="D4197" t="s">
        <v>785</v>
      </c>
      <c r="F4197" s="21"/>
      <c r="G4197" s="16" t="str">
        <f>HYPERLINK("http://maps.google.com/maps?f=q&amp;hl=en&amp;geocode=&amp;q=38.7077418552378,-90.2718778135697")</f>
        <v>http://maps.google.com/maps?f=q&amp;hl=en&amp;geocode=&amp;q=38.7077418552378,-90.2718778135697</v>
      </c>
    </row>
    <row r="4198" spans="1:7" ht="15" x14ac:dyDescent="0.3">
      <c r="A4198">
        <v>54.1808891296387</v>
      </c>
      <c r="B4198">
        <v>9.8008441925048793</v>
      </c>
      <c r="C4198" t="s">
        <v>43</v>
      </c>
      <c r="D4198" t="s">
        <v>2701</v>
      </c>
      <c r="F4198" s="21"/>
      <c r="G4198" s="16" t="str">
        <f>HYPERLINK("http://maps.google.com/maps?f=q&amp;hl=en&amp;geocode=&amp;q=54.1808891296387,9.80084419250488")</f>
        <v>http://maps.google.com/maps?f=q&amp;hl=en&amp;geocode=&amp;q=54.1808891296387,9.80084419250488</v>
      </c>
    </row>
    <row r="4199" spans="1:7" ht="15" x14ac:dyDescent="0.3">
      <c r="A4199">
        <v>40.017766826784701</v>
      </c>
      <c r="B4199">
        <v>-75.082533043290795</v>
      </c>
      <c r="C4199" t="s">
        <v>41</v>
      </c>
      <c r="D4199" t="s">
        <v>2702</v>
      </c>
      <c r="F4199" s="21"/>
      <c r="G4199" s="16" t="str">
        <f>HYPERLINK("http://maps.google.com/maps?f=q&amp;hl=en&amp;geocode=&amp;q=40.0177668267847,-75.0825330432908")</f>
        <v>http://maps.google.com/maps?f=q&amp;hl=en&amp;geocode=&amp;q=40.0177668267847,-75.0825330432908</v>
      </c>
    </row>
    <row r="4200" spans="1:7" ht="15" x14ac:dyDescent="0.3">
      <c r="A4200">
        <v>44.091279999999998</v>
      </c>
      <c r="B4200">
        <v>-87.689800000000005</v>
      </c>
      <c r="C4200" t="s">
        <v>42</v>
      </c>
      <c r="D4200" t="s">
        <v>1392</v>
      </c>
      <c r="F4200" s="21"/>
      <c r="G4200" s="16" t="str">
        <f>HYPERLINK("http://maps.google.com/maps?f=q&amp;hl=en&amp;geocode=&amp;q=44.09128,-87.6898")</f>
        <v>http://maps.google.com/maps?f=q&amp;hl=en&amp;geocode=&amp;q=44.09128,-87.6898</v>
      </c>
    </row>
    <row r="4201" spans="1:7" ht="15" x14ac:dyDescent="0.3">
      <c r="A4201">
        <v>42.242915038296402</v>
      </c>
      <c r="B4201">
        <v>-84.762760673616597</v>
      </c>
      <c r="C4201" t="s">
        <v>41</v>
      </c>
      <c r="D4201" t="s">
        <v>2703</v>
      </c>
      <c r="F4201" s="21"/>
      <c r="G4201" s="16" t="str">
        <f>HYPERLINK("http://maps.google.com/maps?f=q&amp;hl=en&amp;geocode=&amp;q=42.2429150382964,-84.7627606736166")</f>
        <v>http://maps.google.com/maps?f=q&amp;hl=en&amp;geocode=&amp;q=42.2429150382964,-84.7627606736166</v>
      </c>
    </row>
    <row r="4202" spans="1:7" ht="15" x14ac:dyDescent="0.3">
      <c r="A4202" t="s">
        <v>44</v>
      </c>
      <c r="B4202" t="s">
        <v>44</v>
      </c>
      <c r="C4202" t="s">
        <v>44</v>
      </c>
      <c r="D4202" t="s">
        <v>2704</v>
      </c>
      <c r="F4202" s="21"/>
      <c r="G4202" s="16"/>
    </row>
    <row r="4203" spans="1:7" ht="15" x14ac:dyDescent="0.3">
      <c r="A4203">
        <v>39.975650000000002</v>
      </c>
      <c r="B4203">
        <v>-75.135480000000001</v>
      </c>
      <c r="C4203" t="s">
        <v>41</v>
      </c>
      <c r="D4203" t="s">
        <v>2705</v>
      </c>
      <c r="F4203" s="21"/>
      <c r="G4203" s="16" t="str">
        <f>HYPERLINK("http://maps.google.com/maps?f=q&amp;hl=en&amp;geocode=&amp;q=39.97565,-75.13548")</f>
        <v>http://maps.google.com/maps?f=q&amp;hl=en&amp;geocode=&amp;q=39.97565,-75.13548</v>
      </c>
    </row>
    <row r="4204" spans="1:7" ht="15" x14ac:dyDescent="0.3">
      <c r="A4204">
        <v>41.807830000000003</v>
      </c>
      <c r="B4204">
        <v>-88.259159999999994</v>
      </c>
      <c r="C4204" t="s">
        <v>42</v>
      </c>
      <c r="D4204" t="s">
        <v>2706</v>
      </c>
      <c r="F4204" s="21"/>
      <c r="G4204" s="16" t="str">
        <f>HYPERLINK("http://maps.google.com/maps?f=q&amp;hl=en&amp;geocode=&amp;q=41.80783,-88.25916")</f>
        <v>http://maps.google.com/maps?f=q&amp;hl=en&amp;geocode=&amp;q=41.80783,-88.25916</v>
      </c>
    </row>
    <row r="4205" spans="1:7" ht="15" x14ac:dyDescent="0.3">
      <c r="A4205">
        <v>40.016758861309803</v>
      </c>
      <c r="B4205">
        <v>-75.210418099833007</v>
      </c>
      <c r="C4205" t="s">
        <v>41</v>
      </c>
      <c r="D4205" t="s">
        <v>831</v>
      </c>
      <c r="F4205" s="21"/>
      <c r="G4205" s="16" t="str">
        <f>HYPERLINK("http://maps.google.com/maps?f=q&amp;hl=en&amp;geocode=&amp;q=40.0167588613098,-75.210418099833")</f>
        <v>http://maps.google.com/maps?f=q&amp;hl=en&amp;geocode=&amp;q=40.0167588613098,-75.210418099833</v>
      </c>
    </row>
    <row r="4206" spans="1:7" ht="15" x14ac:dyDescent="0.3">
      <c r="A4206">
        <v>40.016758861309803</v>
      </c>
      <c r="B4206">
        <v>-75.210418099833007</v>
      </c>
      <c r="C4206" t="s">
        <v>41</v>
      </c>
      <c r="D4206" t="s">
        <v>831</v>
      </c>
      <c r="F4206" s="21"/>
      <c r="G4206" s="16" t="str">
        <f>HYPERLINK("http://maps.google.com/maps?f=q&amp;hl=en&amp;geocode=&amp;q=40.0167588613098,-75.210418099833")</f>
        <v>http://maps.google.com/maps?f=q&amp;hl=en&amp;geocode=&amp;q=40.0167588613098,-75.210418099833</v>
      </c>
    </row>
    <row r="4207" spans="1:7" ht="15" x14ac:dyDescent="0.3">
      <c r="A4207">
        <v>48.651748657226598</v>
      </c>
      <c r="B4207">
        <v>11.036919593811</v>
      </c>
      <c r="C4207" t="s">
        <v>41</v>
      </c>
      <c r="D4207" t="s">
        <v>1761</v>
      </c>
      <c r="F4207" s="21"/>
      <c r="G4207" s="16" t="str">
        <f>HYPERLINK("http://maps.google.com/maps?f=q&amp;hl=en&amp;geocode=&amp;q=48.6517486572266,11.036919593811")</f>
        <v>http://maps.google.com/maps?f=q&amp;hl=en&amp;geocode=&amp;q=48.6517486572266,11.036919593811</v>
      </c>
    </row>
    <row r="4208" spans="1:7" ht="15" x14ac:dyDescent="0.3">
      <c r="A4208">
        <v>39.443489999999997</v>
      </c>
      <c r="B4208">
        <v>-74.47963</v>
      </c>
      <c r="C4208" t="s">
        <v>41</v>
      </c>
      <c r="D4208" t="s">
        <v>2707</v>
      </c>
      <c r="F4208" s="21"/>
      <c r="G4208" s="16" t="str">
        <f>HYPERLINK("http://maps.google.com/maps?f=q&amp;hl=en&amp;geocode=&amp;q=39.44349,-74.47963")</f>
        <v>http://maps.google.com/maps?f=q&amp;hl=en&amp;geocode=&amp;q=39.44349,-74.47963</v>
      </c>
    </row>
    <row r="4209" spans="1:7" ht="15" x14ac:dyDescent="0.3">
      <c r="A4209">
        <v>40.003880000000002</v>
      </c>
      <c r="B4209">
        <v>-75.201909999999998</v>
      </c>
      <c r="C4209" t="s">
        <v>41</v>
      </c>
      <c r="D4209" t="s">
        <v>2708</v>
      </c>
      <c r="F4209" s="21"/>
      <c r="G4209" s="16" t="str">
        <f>HYPERLINK("http://maps.google.com/maps?f=q&amp;hl=en&amp;geocode=&amp;q=40.00388,-75.20191")</f>
        <v>http://maps.google.com/maps?f=q&amp;hl=en&amp;geocode=&amp;q=40.00388,-75.20191</v>
      </c>
    </row>
    <row r="4210" spans="1:7" ht="15" x14ac:dyDescent="0.3">
      <c r="A4210">
        <v>40.003880000000002</v>
      </c>
      <c r="B4210">
        <v>-75.201909999999998</v>
      </c>
      <c r="C4210" t="s">
        <v>41</v>
      </c>
      <c r="D4210" t="s">
        <v>2708</v>
      </c>
      <c r="F4210" s="21"/>
      <c r="G4210" s="16" t="str">
        <f>HYPERLINK("http://maps.google.com/maps?f=q&amp;hl=en&amp;geocode=&amp;q=40.00388,-75.20191")</f>
        <v>http://maps.google.com/maps?f=q&amp;hl=en&amp;geocode=&amp;q=40.00388,-75.20191</v>
      </c>
    </row>
    <row r="4211" spans="1:7" ht="15" x14ac:dyDescent="0.3">
      <c r="A4211">
        <v>39.944307010926998</v>
      </c>
      <c r="B4211">
        <v>-75.229082209851398</v>
      </c>
      <c r="C4211" t="s">
        <v>41</v>
      </c>
      <c r="D4211" t="s">
        <v>2709</v>
      </c>
      <c r="F4211" s="21"/>
      <c r="G4211" s="16" t="str">
        <f>HYPERLINK("http://maps.google.com/maps?f=q&amp;hl=en&amp;geocode=&amp;q=39.944307010927,-75.2290822098514")</f>
        <v>http://maps.google.com/maps?f=q&amp;hl=en&amp;geocode=&amp;q=39.944307010927,-75.2290822098514</v>
      </c>
    </row>
    <row r="4212" spans="1:7" ht="15" x14ac:dyDescent="0.3">
      <c r="A4212" t="s">
        <v>44</v>
      </c>
      <c r="B4212" t="s">
        <v>44</v>
      </c>
      <c r="C4212" t="s">
        <v>44</v>
      </c>
      <c r="D4212" t="s">
        <v>2710</v>
      </c>
      <c r="F4212" s="21"/>
      <c r="G4212" s="16"/>
    </row>
    <row r="4213" spans="1:7" ht="15" x14ac:dyDescent="0.3">
      <c r="A4213">
        <v>42.951878438351002</v>
      </c>
      <c r="B4213">
        <v>-83.402641075572703</v>
      </c>
      <c r="C4213" t="s">
        <v>41</v>
      </c>
      <c r="D4213" t="s">
        <v>2175</v>
      </c>
      <c r="F4213" s="21"/>
      <c r="G4213" s="16" t="str">
        <f>HYPERLINK("http://maps.google.com/maps?f=q&amp;hl=en&amp;geocode=&amp;q=42.951878438351,-83.4026410755727")</f>
        <v>http://maps.google.com/maps?f=q&amp;hl=en&amp;geocode=&amp;q=42.951878438351,-83.4026410755727</v>
      </c>
    </row>
    <row r="4214" spans="1:7" ht="15" x14ac:dyDescent="0.3">
      <c r="A4214">
        <v>31.630199689308299</v>
      </c>
      <c r="B4214">
        <v>-83.249230276140906</v>
      </c>
      <c r="C4214" t="s">
        <v>41</v>
      </c>
      <c r="D4214" t="s">
        <v>2711</v>
      </c>
      <c r="F4214" s="21"/>
      <c r="G4214" s="16" t="str">
        <f>HYPERLINK("http://maps.google.com/maps?f=q&amp;hl=en&amp;geocode=&amp;q=31.6301996893083,-83.2492302761409")</f>
        <v>http://maps.google.com/maps?f=q&amp;hl=en&amp;geocode=&amp;q=31.6301996893083,-83.2492302761409</v>
      </c>
    </row>
    <row r="4215" spans="1:7" ht="15" x14ac:dyDescent="0.3">
      <c r="A4215">
        <v>31.6361309646765</v>
      </c>
      <c r="B4215">
        <v>-82.902837754277698</v>
      </c>
      <c r="C4215" t="s">
        <v>41</v>
      </c>
      <c r="D4215" t="s">
        <v>2712</v>
      </c>
      <c r="F4215" s="21"/>
      <c r="G4215" s="16" t="str">
        <f>HYPERLINK("http://maps.google.com/maps?f=q&amp;hl=en&amp;geocode=&amp;q=31.6361309646765,-82.9028377542777")</f>
        <v>http://maps.google.com/maps?f=q&amp;hl=en&amp;geocode=&amp;q=31.6361309646765,-82.9028377542777</v>
      </c>
    </row>
    <row r="4216" spans="1:7" ht="15" x14ac:dyDescent="0.3">
      <c r="A4216">
        <v>47.116134643554702</v>
      </c>
      <c r="B4216">
        <v>6.8440089225768999</v>
      </c>
      <c r="C4216" t="s">
        <v>43</v>
      </c>
      <c r="D4216" t="s">
        <v>1664</v>
      </c>
      <c r="F4216" s="21"/>
      <c r="G4216" s="16" t="str">
        <f>HYPERLINK("http://maps.google.com/maps?f=q&amp;hl=en&amp;geocode=&amp;q=47.1161346435547,6.8440089225769")</f>
        <v>http://maps.google.com/maps?f=q&amp;hl=en&amp;geocode=&amp;q=47.1161346435547,6.8440089225769</v>
      </c>
    </row>
    <row r="4217" spans="1:7" ht="15" x14ac:dyDescent="0.3">
      <c r="A4217" t="s">
        <v>44</v>
      </c>
      <c r="B4217" t="s">
        <v>44</v>
      </c>
      <c r="C4217" t="s">
        <v>44</v>
      </c>
      <c r="D4217" t="s">
        <v>2713</v>
      </c>
      <c r="F4217" s="21"/>
      <c r="G4217" s="16"/>
    </row>
    <row r="4218" spans="1:7" ht="15" x14ac:dyDescent="0.3">
      <c r="A4218" t="s">
        <v>44</v>
      </c>
      <c r="B4218" t="s">
        <v>44</v>
      </c>
      <c r="C4218" t="s">
        <v>44</v>
      </c>
      <c r="D4218" t="s">
        <v>1004</v>
      </c>
      <c r="F4218" s="21"/>
      <c r="G4218" s="16"/>
    </row>
    <row r="4219" spans="1:7" ht="15" x14ac:dyDescent="0.3">
      <c r="A4219">
        <v>49.4726371765137</v>
      </c>
      <c r="B4219">
        <v>-2.4496390819549601</v>
      </c>
      <c r="C4219" t="s">
        <v>41</v>
      </c>
      <c r="D4219" t="s">
        <v>1433</v>
      </c>
      <c r="F4219" s="21"/>
      <c r="G4219" s="16" t="str">
        <f>HYPERLINK("http://maps.google.com/maps?f=q&amp;hl=en&amp;geocode=&amp;q=49.4726371765137,-2.44963908195496")</f>
        <v>http://maps.google.com/maps?f=q&amp;hl=en&amp;geocode=&amp;q=49.4726371765137,-2.44963908195496</v>
      </c>
    </row>
    <row r="4220" spans="1:7" ht="15" x14ac:dyDescent="0.3">
      <c r="A4220">
        <v>47.652336120605497</v>
      </c>
      <c r="B4220">
        <v>12.4129076004028</v>
      </c>
      <c r="C4220" t="s">
        <v>43</v>
      </c>
      <c r="D4220" t="s">
        <v>2714</v>
      </c>
      <c r="F4220" s="21"/>
      <c r="G4220" s="16" t="str">
        <f>HYPERLINK("http://maps.google.com/maps?f=q&amp;hl=en&amp;geocode=&amp;q=47.6523361206055,12.4129076004028")</f>
        <v>http://maps.google.com/maps?f=q&amp;hl=en&amp;geocode=&amp;q=47.6523361206055,12.4129076004028</v>
      </c>
    </row>
    <row r="4221" spans="1:7" ht="15" x14ac:dyDescent="0.3">
      <c r="A4221">
        <v>39.220829010009801</v>
      </c>
      <c r="B4221">
        <v>-87.636940002441406</v>
      </c>
      <c r="C4221" t="s">
        <v>43</v>
      </c>
      <c r="D4221" t="s">
        <v>2715</v>
      </c>
      <c r="F4221" s="21"/>
      <c r="G4221" s="16" t="str">
        <f>HYPERLINK("http://maps.google.com/maps?f=q&amp;hl=en&amp;geocode=&amp;q=39.2208290100098,-87.6369400024414")</f>
        <v>http://maps.google.com/maps?f=q&amp;hl=en&amp;geocode=&amp;q=39.2208290100098,-87.6369400024414</v>
      </c>
    </row>
    <row r="4222" spans="1:7" ht="15" x14ac:dyDescent="0.3">
      <c r="A4222">
        <v>39.220829010009801</v>
      </c>
      <c r="B4222">
        <v>-87.636940002441406</v>
      </c>
      <c r="C4222" t="s">
        <v>43</v>
      </c>
      <c r="D4222" t="s">
        <v>2716</v>
      </c>
      <c r="F4222" s="21"/>
      <c r="G4222" s="16" t="str">
        <f>HYPERLINK("http://maps.google.com/maps?f=q&amp;hl=en&amp;geocode=&amp;q=39.2208290100098,-87.6369400024414")</f>
        <v>http://maps.google.com/maps?f=q&amp;hl=en&amp;geocode=&amp;q=39.2208290100098,-87.6369400024414</v>
      </c>
    </row>
    <row r="4223" spans="1:7" ht="15" x14ac:dyDescent="0.3">
      <c r="A4223">
        <v>36.015928310111001</v>
      </c>
      <c r="B4223">
        <v>-78.928323937418</v>
      </c>
      <c r="C4223" t="s">
        <v>41</v>
      </c>
      <c r="D4223" t="s">
        <v>1288</v>
      </c>
      <c r="F4223" s="21"/>
      <c r="G4223" s="16" t="str">
        <f>HYPERLINK("http://maps.google.com/maps?f=q&amp;hl=en&amp;geocode=&amp;q=36.015928310111,-78.928323937418")</f>
        <v>http://maps.google.com/maps?f=q&amp;hl=en&amp;geocode=&amp;q=36.015928310111,-78.928323937418</v>
      </c>
    </row>
    <row r="4224" spans="1:7" ht="15" x14ac:dyDescent="0.3">
      <c r="A4224">
        <v>32.611367212099303</v>
      </c>
      <c r="B4224">
        <v>-85.426303140314303</v>
      </c>
      <c r="C4224" t="s">
        <v>42</v>
      </c>
      <c r="D4224" t="s">
        <v>1733</v>
      </c>
      <c r="F4224" s="21"/>
      <c r="G4224" s="16" t="str">
        <f>HYPERLINK("http://maps.google.com/maps?f=q&amp;hl=en&amp;geocode=&amp;q=32.6113672120993,-85.4263031403143")</f>
        <v>http://maps.google.com/maps?f=q&amp;hl=en&amp;geocode=&amp;q=32.6113672120993,-85.4263031403143</v>
      </c>
    </row>
    <row r="4225" spans="1:7" ht="15" x14ac:dyDescent="0.3">
      <c r="A4225">
        <v>36.015928310111001</v>
      </c>
      <c r="B4225">
        <v>-78.928323937418</v>
      </c>
      <c r="C4225" t="s">
        <v>41</v>
      </c>
      <c r="D4225" t="s">
        <v>1288</v>
      </c>
      <c r="F4225" s="21"/>
      <c r="G4225" s="16" t="str">
        <f>HYPERLINK("http://maps.google.com/maps?f=q&amp;hl=en&amp;geocode=&amp;q=36.015928310111,-78.928323937418")</f>
        <v>http://maps.google.com/maps?f=q&amp;hl=en&amp;geocode=&amp;q=36.015928310111,-78.928323937418</v>
      </c>
    </row>
    <row r="4226" spans="1:7" ht="15" x14ac:dyDescent="0.3">
      <c r="A4226">
        <v>36.015928310111001</v>
      </c>
      <c r="B4226">
        <v>-78.928323937418</v>
      </c>
      <c r="C4226" t="s">
        <v>41</v>
      </c>
      <c r="D4226" t="s">
        <v>1288</v>
      </c>
      <c r="F4226" s="21"/>
      <c r="G4226" s="16" t="str">
        <f>HYPERLINK("http://maps.google.com/maps?f=q&amp;hl=en&amp;geocode=&amp;q=36.015928310111,-78.928323937418")</f>
        <v>http://maps.google.com/maps?f=q&amp;hl=en&amp;geocode=&amp;q=36.015928310111,-78.928323937418</v>
      </c>
    </row>
    <row r="4227" spans="1:7" ht="15" x14ac:dyDescent="0.3">
      <c r="A4227">
        <v>36.015928310111001</v>
      </c>
      <c r="B4227">
        <v>-78.928323937418</v>
      </c>
      <c r="C4227" t="s">
        <v>41</v>
      </c>
      <c r="D4227" t="s">
        <v>1288</v>
      </c>
      <c r="F4227" s="21"/>
      <c r="G4227" s="16" t="str">
        <f>HYPERLINK("http://maps.google.com/maps?f=q&amp;hl=en&amp;geocode=&amp;q=36.015928310111,-78.928323937418")</f>
        <v>http://maps.google.com/maps?f=q&amp;hl=en&amp;geocode=&amp;q=36.015928310111,-78.928323937418</v>
      </c>
    </row>
    <row r="4228" spans="1:7" ht="15" x14ac:dyDescent="0.3">
      <c r="A4228">
        <v>36.015928310111001</v>
      </c>
      <c r="B4228">
        <v>-78.928323937418</v>
      </c>
      <c r="C4228" t="s">
        <v>41</v>
      </c>
      <c r="D4228" t="s">
        <v>1288</v>
      </c>
      <c r="F4228" s="21"/>
      <c r="G4228" s="16" t="str">
        <f>HYPERLINK("http://maps.google.com/maps?f=q&amp;hl=en&amp;geocode=&amp;q=36.015928310111,-78.928323937418")</f>
        <v>http://maps.google.com/maps?f=q&amp;hl=en&amp;geocode=&amp;q=36.015928310111,-78.928323937418</v>
      </c>
    </row>
    <row r="4229" spans="1:7" ht="15" x14ac:dyDescent="0.3">
      <c r="A4229">
        <v>43.013392106078904</v>
      </c>
      <c r="B4229">
        <v>-89.489915174542602</v>
      </c>
      <c r="C4229" t="s">
        <v>41</v>
      </c>
      <c r="D4229" t="s">
        <v>2717</v>
      </c>
      <c r="F4229" s="21"/>
      <c r="G4229" s="16" t="str">
        <f>HYPERLINK("http://maps.google.com/maps?f=q&amp;hl=en&amp;geocode=&amp;q=43.0133921060789,-89.4899151745426")</f>
        <v>http://maps.google.com/maps?f=q&amp;hl=en&amp;geocode=&amp;q=43.0133921060789,-89.4899151745426</v>
      </c>
    </row>
    <row r="4230" spans="1:7" ht="15" x14ac:dyDescent="0.3">
      <c r="A4230" t="s">
        <v>44</v>
      </c>
      <c r="B4230" t="s">
        <v>44</v>
      </c>
      <c r="C4230" t="s">
        <v>44</v>
      </c>
      <c r="D4230" t="s">
        <v>227</v>
      </c>
      <c r="F4230" s="21"/>
      <c r="G4230" s="16"/>
    </row>
    <row r="4231" spans="1:7" ht="15" x14ac:dyDescent="0.3">
      <c r="A4231">
        <v>-26.142440000000001</v>
      </c>
      <c r="B4231">
        <v>27.91825</v>
      </c>
      <c r="C4231" t="s">
        <v>41</v>
      </c>
      <c r="D4231" t="s">
        <v>2558</v>
      </c>
      <c r="F4231" s="21"/>
      <c r="G4231" s="16" t="str">
        <f>HYPERLINK("http://maps.google.com/maps?f=q&amp;hl=en&amp;geocode=&amp;q=-26.14244,27.91825")</f>
        <v>http://maps.google.com/maps?f=q&amp;hl=en&amp;geocode=&amp;q=-26.14244,27.91825</v>
      </c>
    </row>
    <row r="4232" spans="1:7" ht="15" x14ac:dyDescent="0.3">
      <c r="A4232">
        <v>36.906898498535199</v>
      </c>
      <c r="B4232">
        <v>7.7501702308654803</v>
      </c>
      <c r="C4232" t="s">
        <v>43</v>
      </c>
      <c r="D4232" t="s">
        <v>2718</v>
      </c>
      <c r="F4232" s="21"/>
      <c r="G4232" s="16" t="str">
        <f>HYPERLINK("http://maps.google.com/maps?f=q&amp;hl=en&amp;geocode=&amp;q=36.9068984985352,7.75017023086548")</f>
        <v>http://maps.google.com/maps?f=q&amp;hl=en&amp;geocode=&amp;q=36.9068984985352,7.75017023086548</v>
      </c>
    </row>
    <row r="4233" spans="1:7" ht="15" x14ac:dyDescent="0.3">
      <c r="A4233">
        <v>-32.927352905273402</v>
      </c>
      <c r="B4233">
        <v>151.70259094238301</v>
      </c>
      <c r="C4233" t="s">
        <v>43</v>
      </c>
      <c r="D4233" t="s">
        <v>2719</v>
      </c>
      <c r="F4233" s="21"/>
      <c r="G4233" s="16" t="str">
        <f>HYPERLINK("http://maps.google.com/maps?f=q&amp;hl=en&amp;geocode=&amp;q=-32.9273529052734,151.702590942383")</f>
        <v>http://maps.google.com/maps?f=q&amp;hl=en&amp;geocode=&amp;q=-32.9273529052734,151.702590942383</v>
      </c>
    </row>
    <row r="4234" spans="1:7" ht="15" x14ac:dyDescent="0.3">
      <c r="A4234">
        <v>46.120761871337898</v>
      </c>
      <c r="B4234">
        <v>-92.741371154785199</v>
      </c>
      <c r="C4234" t="s">
        <v>43</v>
      </c>
      <c r="D4234" t="s">
        <v>2720</v>
      </c>
      <c r="F4234" s="21"/>
      <c r="G4234" s="16" t="str">
        <f>HYPERLINK("http://maps.google.com/maps?f=q&amp;hl=en&amp;geocode=&amp;q=46.1207618713379,-92.7413711547852")</f>
        <v>http://maps.google.com/maps?f=q&amp;hl=en&amp;geocode=&amp;q=46.1207618713379,-92.7413711547852</v>
      </c>
    </row>
    <row r="4235" spans="1:7" ht="15" x14ac:dyDescent="0.3">
      <c r="A4235">
        <v>41.073617878881599</v>
      </c>
      <c r="B4235">
        <v>-81.248220167043002</v>
      </c>
      <c r="C4235" t="s">
        <v>41</v>
      </c>
      <c r="D4235" t="s">
        <v>404</v>
      </c>
      <c r="F4235" s="21"/>
      <c r="G4235" s="16" t="str">
        <f>HYPERLINK("http://maps.google.com/maps?f=q&amp;hl=en&amp;geocode=&amp;q=41.0736178788816,-81.248220167043")</f>
        <v>http://maps.google.com/maps?f=q&amp;hl=en&amp;geocode=&amp;q=41.0736178788816,-81.248220167043</v>
      </c>
    </row>
    <row r="4236" spans="1:7" ht="15" x14ac:dyDescent="0.3">
      <c r="A4236">
        <v>49.518180847167997</v>
      </c>
      <c r="B4236">
        <v>5.8978409767150897</v>
      </c>
      <c r="C4236" t="s">
        <v>41</v>
      </c>
      <c r="D4236" t="s">
        <v>2510</v>
      </c>
      <c r="F4236" s="21"/>
      <c r="G4236" s="16" t="str">
        <f>HYPERLINK("http://maps.google.com/maps?f=q&amp;hl=en&amp;geocode=&amp;q=49.518180847168,5.89784097671509")</f>
        <v>http://maps.google.com/maps?f=q&amp;hl=en&amp;geocode=&amp;q=49.518180847168,5.89784097671509</v>
      </c>
    </row>
    <row r="4237" spans="1:7" ht="15" x14ac:dyDescent="0.3">
      <c r="A4237">
        <v>49.518180847167997</v>
      </c>
      <c r="B4237">
        <v>5.8978409767150897</v>
      </c>
      <c r="C4237" t="s">
        <v>41</v>
      </c>
      <c r="D4237" t="s">
        <v>2510</v>
      </c>
      <c r="F4237" s="21"/>
      <c r="G4237" s="16" t="str">
        <f>HYPERLINK("http://maps.google.com/maps?f=q&amp;hl=en&amp;geocode=&amp;q=49.518180847168,5.89784097671509")</f>
        <v>http://maps.google.com/maps?f=q&amp;hl=en&amp;geocode=&amp;q=49.518180847168,5.89784097671509</v>
      </c>
    </row>
    <row r="4238" spans="1:7" ht="15" x14ac:dyDescent="0.3">
      <c r="A4238">
        <v>36.383634418760103</v>
      </c>
      <c r="B4238">
        <v>-78.635280298519305</v>
      </c>
      <c r="C4238" t="s">
        <v>41</v>
      </c>
      <c r="D4238" t="s">
        <v>51</v>
      </c>
      <c r="F4238" s="21"/>
      <c r="G4238" s="16" t="str">
        <f>HYPERLINK("http://maps.google.com/maps?f=q&amp;hl=en&amp;geocode=&amp;q=36.3836344187601,-78.6352802985193")</f>
        <v>http://maps.google.com/maps?f=q&amp;hl=en&amp;geocode=&amp;q=36.3836344187601,-78.6352802985193</v>
      </c>
    </row>
    <row r="4239" spans="1:7" ht="15" x14ac:dyDescent="0.3">
      <c r="A4239" t="s">
        <v>44</v>
      </c>
      <c r="B4239" t="s">
        <v>44</v>
      </c>
      <c r="C4239" t="s">
        <v>44</v>
      </c>
      <c r="D4239" t="s">
        <v>1048</v>
      </c>
      <c r="F4239" s="21"/>
      <c r="G4239" s="16"/>
    </row>
    <row r="4240" spans="1:7" ht="15" x14ac:dyDescent="0.3">
      <c r="A4240">
        <v>39.994990339615498</v>
      </c>
      <c r="B4240">
        <v>-75.105062366383095</v>
      </c>
      <c r="C4240" t="s">
        <v>41</v>
      </c>
      <c r="D4240" t="s">
        <v>2721</v>
      </c>
      <c r="F4240" s="21"/>
      <c r="G4240" s="16" t="str">
        <f>HYPERLINK("http://maps.google.com/maps?f=q&amp;hl=en&amp;geocode=&amp;q=39.9949903396155,-75.1050623663831")</f>
        <v>http://maps.google.com/maps?f=q&amp;hl=en&amp;geocode=&amp;q=39.9949903396155,-75.1050623663831</v>
      </c>
    </row>
    <row r="4241" spans="1:7" ht="15" x14ac:dyDescent="0.3">
      <c r="A4241">
        <v>33.727629999999998</v>
      </c>
      <c r="B4241">
        <v>-86.642099999999999</v>
      </c>
      <c r="C4241" t="s">
        <v>41</v>
      </c>
      <c r="D4241" t="s">
        <v>2722</v>
      </c>
      <c r="F4241" s="21"/>
      <c r="G4241" s="16" t="str">
        <f>HYPERLINK("http://maps.google.com/maps?f=q&amp;hl=en&amp;geocode=&amp;q=33.72763,-86.6421")</f>
        <v>http://maps.google.com/maps?f=q&amp;hl=en&amp;geocode=&amp;q=33.72763,-86.6421</v>
      </c>
    </row>
    <row r="4242" spans="1:7" ht="15" x14ac:dyDescent="0.3">
      <c r="A4242" t="s">
        <v>44</v>
      </c>
      <c r="B4242" t="s">
        <v>44</v>
      </c>
      <c r="C4242" t="s">
        <v>44</v>
      </c>
      <c r="D4242" t="s">
        <v>1017</v>
      </c>
      <c r="F4242" s="21"/>
      <c r="G4242" s="16"/>
    </row>
    <row r="4243" spans="1:7" ht="15" x14ac:dyDescent="0.3">
      <c r="A4243">
        <v>-27.554700851440401</v>
      </c>
      <c r="B4243">
        <v>153.09924316406301</v>
      </c>
      <c r="C4243" t="s">
        <v>43</v>
      </c>
      <c r="D4243" t="s">
        <v>2723</v>
      </c>
      <c r="F4243" s="21"/>
      <c r="G4243" s="16" t="str">
        <f>HYPERLINK("http://maps.google.com/maps?f=q&amp;hl=en&amp;geocode=&amp;q=-27.5547008514404,153.099243164063")</f>
        <v>http://maps.google.com/maps?f=q&amp;hl=en&amp;geocode=&amp;q=-27.5547008514404,153.099243164063</v>
      </c>
    </row>
    <row r="4244" spans="1:7" ht="15" x14ac:dyDescent="0.3">
      <c r="A4244" t="s">
        <v>44</v>
      </c>
      <c r="B4244" t="s">
        <v>44</v>
      </c>
      <c r="C4244" t="s">
        <v>44</v>
      </c>
      <c r="D4244" t="s">
        <v>101</v>
      </c>
      <c r="F4244" s="21"/>
      <c r="G4244" s="16"/>
    </row>
    <row r="4245" spans="1:7" ht="15" x14ac:dyDescent="0.3">
      <c r="A4245" t="s">
        <v>44</v>
      </c>
      <c r="B4245" t="s">
        <v>44</v>
      </c>
      <c r="C4245" t="s">
        <v>44</v>
      </c>
      <c r="D4245" t="s">
        <v>101</v>
      </c>
      <c r="F4245" s="21"/>
      <c r="G4245" s="16"/>
    </row>
    <row r="4246" spans="1:7" ht="15" x14ac:dyDescent="0.3">
      <c r="A4246">
        <v>39.981029999999997</v>
      </c>
      <c r="B4246">
        <v>-75.110590000000002</v>
      </c>
      <c r="C4246" t="s">
        <v>41</v>
      </c>
      <c r="D4246" t="s">
        <v>1309</v>
      </c>
      <c r="F4246" s="21"/>
      <c r="G4246" s="16" t="str">
        <f>HYPERLINK("http://maps.google.com/maps?f=q&amp;hl=en&amp;geocode=&amp;q=39.98103,-75.11059")</f>
        <v>http://maps.google.com/maps?f=q&amp;hl=en&amp;geocode=&amp;q=39.98103,-75.11059</v>
      </c>
    </row>
    <row r="4247" spans="1:7" ht="15" x14ac:dyDescent="0.3">
      <c r="A4247">
        <v>36.410994102443098</v>
      </c>
      <c r="B4247">
        <v>-102.540449969036</v>
      </c>
      <c r="C4247" t="s">
        <v>41</v>
      </c>
      <c r="D4247" t="s">
        <v>2179</v>
      </c>
      <c r="F4247" s="21"/>
      <c r="G4247" s="16" t="str">
        <f>HYPERLINK("http://maps.google.com/maps?f=q&amp;hl=en&amp;geocode=&amp;q=36.4109941024431,-102.540449969036")</f>
        <v>http://maps.google.com/maps?f=q&amp;hl=en&amp;geocode=&amp;q=36.4109941024431,-102.540449969036</v>
      </c>
    </row>
    <row r="4248" spans="1:7" ht="15" x14ac:dyDescent="0.3">
      <c r="A4248">
        <v>-28.342119216918899</v>
      </c>
      <c r="B4248">
        <v>152.00799560546901</v>
      </c>
      <c r="C4248" t="s">
        <v>43</v>
      </c>
      <c r="D4248" t="s">
        <v>131</v>
      </c>
      <c r="F4248" s="21"/>
      <c r="G4248" s="16" t="str">
        <f>HYPERLINK("http://maps.google.com/maps?f=q&amp;hl=en&amp;geocode=&amp;q=-28.3421192169189,152.007995605469")</f>
        <v>http://maps.google.com/maps?f=q&amp;hl=en&amp;geocode=&amp;q=-28.3421192169189,152.007995605469</v>
      </c>
    </row>
    <row r="4249" spans="1:7" ht="15" x14ac:dyDescent="0.3">
      <c r="A4249" t="s">
        <v>44</v>
      </c>
      <c r="B4249" t="s">
        <v>44</v>
      </c>
      <c r="C4249" t="s">
        <v>44</v>
      </c>
      <c r="D4249" t="s">
        <v>2724</v>
      </c>
      <c r="F4249" s="21"/>
      <c r="G4249" s="16"/>
    </row>
    <row r="4250" spans="1:7" ht="15" x14ac:dyDescent="0.3">
      <c r="F4250" s="21"/>
      <c r="G4250" s="16"/>
    </row>
    <row r="4251" spans="1:7" ht="15" x14ac:dyDescent="0.3">
      <c r="A4251">
        <v>-74.133003234863295</v>
      </c>
      <c r="B4251">
        <v>163.16700744628901</v>
      </c>
      <c r="C4251" t="s">
        <v>41</v>
      </c>
      <c r="D4251" t="s">
        <v>2725</v>
      </c>
      <c r="F4251" s="21"/>
      <c r="G4251" s="16" t="str">
        <f>HYPERLINK("http://maps.google.com/maps?f=q&amp;hl=en&amp;geocode=&amp;q=-74.1330032348633,163.167007446289")</f>
        <v>http://maps.google.com/maps?f=q&amp;hl=en&amp;geocode=&amp;q=-74.1330032348633,163.167007446289</v>
      </c>
    </row>
    <row r="4252" spans="1:7" ht="15" x14ac:dyDescent="0.3">
      <c r="A4252">
        <v>50.780136108398402</v>
      </c>
      <c r="B4252">
        <v>4.2288222312927202</v>
      </c>
      <c r="C4252" t="s">
        <v>43</v>
      </c>
      <c r="D4252" t="s">
        <v>2726</v>
      </c>
      <c r="F4252" s="21"/>
      <c r="G4252" s="16" t="str">
        <f>HYPERLINK("http://maps.google.com/maps?f=q&amp;hl=en&amp;geocode=&amp;q=50.7801361083984,4.22882223129272")</f>
        <v>http://maps.google.com/maps?f=q&amp;hl=en&amp;geocode=&amp;q=50.7801361083984,4.22882223129272</v>
      </c>
    </row>
    <row r="4253" spans="1:7" ht="15" x14ac:dyDescent="0.3">
      <c r="A4253">
        <v>52.6621284484863</v>
      </c>
      <c r="B4253">
        <v>-0.65426599979400601</v>
      </c>
      <c r="C4253" t="s">
        <v>41</v>
      </c>
      <c r="D4253" t="s">
        <v>2727</v>
      </c>
      <c r="F4253" s="21"/>
      <c r="G4253" s="16" t="str">
        <f>HYPERLINK("http://maps.google.com/maps?f=q&amp;hl=en&amp;geocode=&amp;q=52.6621284484863,-0.654265999794006")</f>
        <v>http://maps.google.com/maps?f=q&amp;hl=en&amp;geocode=&amp;q=52.6621284484863,-0.654265999794006</v>
      </c>
    </row>
    <row r="4254" spans="1:7" ht="15" x14ac:dyDescent="0.3">
      <c r="A4254">
        <v>47.791908264160199</v>
      </c>
      <c r="B4254">
        <v>-122.29367828369099</v>
      </c>
      <c r="C4254" t="s">
        <v>41</v>
      </c>
      <c r="D4254" t="s">
        <v>2728</v>
      </c>
      <c r="F4254" s="21"/>
      <c r="G4254" s="16" t="str">
        <f>HYPERLINK("http://maps.google.com/maps?f=q&amp;hl=en&amp;geocode=&amp;q=47.7919082641602,-122.293678283691")</f>
        <v>http://maps.google.com/maps?f=q&amp;hl=en&amp;geocode=&amp;q=47.7919082641602,-122.293678283691</v>
      </c>
    </row>
    <row r="4255" spans="1:7" ht="15" x14ac:dyDescent="0.3">
      <c r="A4255">
        <v>40.133940000000003</v>
      </c>
      <c r="B4255">
        <v>-79.899690000000007</v>
      </c>
      <c r="C4255" t="s">
        <v>43</v>
      </c>
      <c r="D4255" t="s">
        <v>2729</v>
      </c>
      <c r="F4255" s="21"/>
      <c r="G4255" s="16" t="str">
        <f>HYPERLINK("http://maps.google.com/maps?f=q&amp;hl=en&amp;geocode=&amp;q=40.13394,-79.89969")</f>
        <v>http://maps.google.com/maps?f=q&amp;hl=en&amp;geocode=&amp;q=40.13394,-79.89969</v>
      </c>
    </row>
    <row r="4256" spans="1:7" ht="15" x14ac:dyDescent="0.3">
      <c r="A4256">
        <v>37.387889862060497</v>
      </c>
      <c r="B4256">
        <v>-6.0019798278808603</v>
      </c>
      <c r="C4256" t="s">
        <v>43</v>
      </c>
      <c r="D4256" t="s">
        <v>2730</v>
      </c>
      <c r="F4256" s="21"/>
      <c r="G4256" s="16" t="str">
        <f>HYPERLINK("http://maps.google.com/maps?f=q&amp;hl=en&amp;geocode=&amp;q=37.3878898620605,-6.00197982788086")</f>
        <v>http://maps.google.com/maps?f=q&amp;hl=en&amp;geocode=&amp;q=37.3878898620605,-6.00197982788086</v>
      </c>
    </row>
    <row r="4257" spans="1:7" ht="15" x14ac:dyDescent="0.3">
      <c r="A4257">
        <v>40.883839999999999</v>
      </c>
      <c r="B4257">
        <v>-75.735839999999996</v>
      </c>
      <c r="C4257" t="s">
        <v>43</v>
      </c>
      <c r="D4257" t="s">
        <v>2731</v>
      </c>
      <c r="F4257" s="21"/>
      <c r="G4257" s="16" t="str">
        <f>HYPERLINK("http://maps.google.com/maps?f=q&amp;hl=en&amp;geocode=&amp;q=40.88384,-75.73584")</f>
        <v>http://maps.google.com/maps?f=q&amp;hl=en&amp;geocode=&amp;q=40.88384,-75.73584</v>
      </c>
    </row>
    <row r="4258" spans="1:7" ht="15" x14ac:dyDescent="0.3">
      <c r="A4258">
        <v>39.745288283391801</v>
      </c>
      <c r="B4258">
        <v>-84.637792528125701</v>
      </c>
      <c r="C4258" t="s">
        <v>41</v>
      </c>
      <c r="D4258" t="s">
        <v>2732</v>
      </c>
      <c r="F4258" s="21"/>
      <c r="G4258" s="16" t="str">
        <f>HYPERLINK("http://maps.google.com/maps?f=q&amp;hl=en&amp;geocode=&amp;q=39.7452882833918,-84.6377925281257")</f>
        <v>http://maps.google.com/maps?f=q&amp;hl=en&amp;geocode=&amp;q=39.7452882833918,-84.6377925281257</v>
      </c>
    </row>
    <row r="4259" spans="1:7" ht="15" x14ac:dyDescent="0.3">
      <c r="A4259">
        <v>40.016758861309803</v>
      </c>
      <c r="B4259">
        <v>-75.210418099833007</v>
      </c>
      <c r="C4259" t="s">
        <v>41</v>
      </c>
      <c r="D4259" t="s">
        <v>831</v>
      </c>
      <c r="F4259" s="21"/>
      <c r="G4259" s="16" t="str">
        <f>HYPERLINK("http://maps.google.com/maps?f=q&amp;hl=en&amp;geocode=&amp;q=40.0167588613098,-75.210418099833")</f>
        <v>http://maps.google.com/maps?f=q&amp;hl=en&amp;geocode=&amp;q=40.0167588613098,-75.210418099833</v>
      </c>
    </row>
    <row r="4260" spans="1:7" ht="15" x14ac:dyDescent="0.3">
      <c r="A4260">
        <v>50.218185424804702</v>
      </c>
      <c r="B4260">
        <v>5.3206357955932599</v>
      </c>
      <c r="C4260" t="s">
        <v>41</v>
      </c>
      <c r="D4260" t="s">
        <v>2733</v>
      </c>
      <c r="F4260" s="21"/>
      <c r="G4260" s="16" t="str">
        <f>HYPERLINK("http://maps.google.com/maps?f=q&amp;hl=en&amp;geocode=&amp;q=50.2181854248047,5.32063579559326")</f>
        <v>http://maps.google.com/maps?f=q&amp;hl=en&amp;geocode=&amp;q=50.2181854248047,5.32063579559326</v>
      </c>
    </row>
    <row r="4261" spans="1:7" ht="15" x14ac:dyDescent="0.3">
      <c r="A4261">
        <v>41.175344967177402</v>
      </c>
      <c r="B4261">
        <v>-81.427702389529301</v>
      </c>
      <c r="C4261" t="s">
        <v>41</v>
      </c>
      <c r="D4261" t="s">
        <v>2734</v>
      </c>
      <c r="F4261" s="21"/>
      <c r="G4261" s="16" t="str">
        <f>HYPERLINK("http://maps.google.com/maps?f=q&amp;hl=en&amp;geocode=&amp;q=41.1753449671774,-81.4277023895293")</f>
        <v>http://maps.google.com/maps?f=q&amp;hl=en&amp;geocode=&amp;q=41.1753449671774,-81.4277023895293</v>
      </c>
    </row>
    <row r="4262" spans="1:7" ht="15" x14ac:dyDescent="0.3">
      <c r="A4262">
        <v>35.6816074196432</v>
      </c>
      <c r="B4262">
        <v>-85.773458267373897</v>
      </c>
      <c r="C4262" t="s">
        <v>41</v>
      </c>
      <c r="D4262" t="s">
        <v>2735</v>
      </c>
      <c r="F4262" s="21"/>
      <c r="G4262" s="16" t="str">
        <f>HYPERLINK("http://maps.google.com/maps?f=q&amp;hl=en&amp;geocode=&amp;q=35.6816074196432,-85.7734582673739")</f>
        <v>http://maps.google.com/maps?f=q&amp;hl=en&amp;geocode=&amp;q=35.6816074196432,-85.7734582673739</v>
      </c>
    </row>
    <row r="4263" spans="1:7" ht="15" x14ac:dyDescent="0.3">
      <c r="A4263">
        <v>39.92163</v>
      </c>
      <c r="B4263">
        <v>-75.168109999999999</v>
      </c>
      <c r="C4263" t="s">
        <v>43</v>
      </c>
      <c r="D4263" t="s">
        <v>2736</v>
      </c>
      <c r="F4263" s="21"/>
      <c r="G4263" s="16" t="str">
        <f>HYPERLINK("http://maps.google.com/maps?f=q&amp;hl=en&amp;geocode=&amp;q=39.92163,-75.16811")</f>
        <v>http://maps.google.com/maps?f=q&amp;hl=en&amp;geocode=&amp;q=39.92163,-75.16811</v>
      </c>
    </row>
    <row r="4264" spans="1:7" ht="15" x14ac:dyDescent="0.3">
      <c r="A4264">
        <v>40.045029999999997</v>
      </c>
      <c r="B4264">
        <v>-75.125500000000002</v>
      </c>
      <c r="C4264" t="s">
        <v>41</v>
      </c>
      <c r="D4264" t="s">
        <v>2737</v>
      </c>
      <c r="F4264" s="21"/>
      <c r="G4264" s="16" t="str">
        <f>HYPERLINK("http://maps.google.com/maps?f=q&amp;hl=en&amp;geocode=&amp;q=40.04503,-75.1255")</f>
        <v>http://maps.google.com/maps?f=q&amp;hl=en&amp;geocode=&amp;q=40.04503,-75.1255</v>
      </c>
    </row>
    <row r="4265" spans="1:7" ht="15" x14ac:dyDescent="0.3">
      <c r="A4265">
        <v>47.753849029541001</v>
      </c>
      <c r="B4265">
        <v>27.864404678344702</v>
      </c>
      <c r="C4265" t="s">
        <v>43</v>
      </c>
      <c r="D4265" t="s">
        <v>2738</v>
      </c>
      <c r="F4265" s="21"/>
      <c r="G4265" s="16" t="str">
        <f>HYPERLINK("http://maps.google.com/maps?f=q&amp;hl=en&amp;geocode=&amp;q=47.753849029541,27.8644046783447")</f>
        <v>http://maps.google.com/maps?f=q&amp;hl=en&amp;geocode=&amp;q=47.753849029541,27.8644046783447</v>
      </c>
    </row>
    <row r="4266" spans="1:7" ht="15" x14ac:dyDescent="0.3">
      <c r="A4266">
        <v>47.753849029541001</v>
      </c>
      <c r="B4266">
        <v>27.864404678344702</v>
      </c>
      <c r="C4266" t="s">
        <v>43</v>
      </c>
      <c r="D4266" t="s">
        <v>2738</v>
      </c>
      <c r="F4266" s="21"/>
      <c r="G4266" s="16" t="str">
        <f>HYPERLINK("http://maps.google.com/maps?f=q&amp;hl=en&amp;geocode=&amp;q=47.753849029541,27.8644046783447")</f>
        <v>http://maps.google.com/maps?f=q&amp;hl=en&amp;geocode=&amp;q=47.753849029541,27.8644046783447</v>
      </c>
    </row>
    <row r="4267" spans="1:7" ht="15" x14ac:dyDescent="0.3">
      <c r="A4267" t="s">
        <v>44</v>
      </c>
      <c r="B4267" t="s">
        <v>44</v>
      </c>
      <c r="C4267" t="s">
        <v>44</v>
      </c>
      <c r="D4267" t="s">
        <v>993</v>
      </c>
      <c r="F4267" s="21"/>
      <c r="G4267" s="16"/>
    </row>
    <row r="4268" spans="1:7" ht="15" x14ac:dyDescent="0.3">
      <c r="A4268">
        <v>-34.036911010742202</v>
      </c>
      <c r="B4268">
        <v>138.67973327636699</v>
      </c>
      <c r="C4268" t="s">
        <v>41</v>
      </c>
      <c r="D4268" t="s">
        <v>2739</v>
      </c>
      <c r="F4268" s="21"/>
      <c r="G4268" s="16" t="str">
        <f>HYPERLINK("http://maps.google.com/maps?f=q&amp;hl=en&amp;geocode=&amp;q=-34.0369110107422,138.679733276367")</f>
        <v>http://maps.google.com/maps?f=q&amp;hl=en&amp;geocode=&amp;q=-34.0369110107422,138.679733276367</v>
      </c>
    </row>
    <row r="4269" spans="1:7" ht="15" x14ac:dyDescent="0.3">
      <c r="A4269" t="s">
        <v>44</v>
      </c>
      <c r="B4269" t="s">
        <v>44</v>
      </c>
      <c r="C4269" t="s">
        <v>44</v>
      </c>
      <c r="D4269" t="s">
        <v>993</v>
      </c>
      <c r="F4269" s="21"/>
      <c r="G4269" s="16"/>
    </row>
    <row r="4270" spans="1:7" ht="15" x14ac:dyDescent="0.3">
      <c r="A4270">
        <v>50.587699890136697</v>
      </c>
      <c r="B4270">
        <v>4.32674217224121</v>
      </c>
      <c r="C4270" t="s">
        <v>43</v>
      </c>
      <c r="D4270" t="s">
        <v>2740</v>
      </c>
      <c r="F4270" s="21"/>
      <c r="G4270" s="16" t="str">
        <f>HYPERLINK("http://maps.google.com/maps?f=q&amp;hl=en&amp;geocode=&amp;q=50.5876998901367,4.32674217224121")</f>
        <v>http://maps.google.com/maps?f=q&amp;hl=en&amp;geocode=&amp;q=50.5876998901367,4.32674217224121</v>
      </c>
    </row>
    <row r="4271" spans="1:7" ht="15" x14ac:dyDescent="0.3">
      <c r="A4271">
        <v>39.97251</v>
      </c>
      <c r="B4271">
        <v>-75.139510000000001</v>
      </c>
      <c r="C4271" t="s">
        <v>42</v>
      </c>
      <c r="D4271" t="s">
        <v>2741</v>
      </c>
      <c r="F4271" s="21"/>
      <c r="G4271" s="16" t="str">
        <f>HYPERLINK("http://maps.google.com/maps?f=q&amp;hl=en&amp;geocode=&amp;q=39.97251,-75.13951")</f>
        <v>http://maps.google.com/maps?f=q&amp;hl=en&amp;geocode=&amp;q=39.97251,-75.13951</v>
      </c>
    </row>
    <row r="4272" spans="1:7" ht="15" x14ac:dyDescent="0.3">
      <c r="A4272" t="s">
        <v>44</v>
      </c>
      <c r="B4272" t="s">
        <v>44</v>
      </c>
      <c r="C4272" t="s">
        <v>44</v>
      </c>
      <c r="D4272" t="s">
        <v>1622</v>
      </c>
      <c r="F4272" s="21"/>
      <c r="G4272" s="16"/>
    </row>
    <row r="4273" spans="1:7" ht="15" x14ac:dyDescent="0.3">
      <c r="A4273" t="s">
        <v>44</v>
      </c>
      <c r="B4273" t="s">
        <v>44</v>
      </c>
      <c r="C4273" t="s">
        <v>44</v>
      </c>
      <c r="D4273" t="s">
        <v>2742</v>
      </c>
      <c r="F4273" s="21"/>
      <c r="G4273" s="16"/>
    </row>
    <row r="4274" spans="1:7" ht="15" x14ac:dyDescent="0.3">
      <c r="A4274">
        <v>39.9984733837858</v>
      </c>
      <c r="B4274">
        <v>-75.128240561238698</v>
      </c>
      <c r="C4274" t="s">
        <v>41</v>
      </c>
      <c r="D4274" t="s">
        <v>2743</v>
      </c>
      <c r="F4274" s="21"/>
      <c r="G4274" s="16" t="str">
        <f>HYPERLINK("http://maps.google.com/maps?f=q&amp;hl=en&amp;geocode=&amp;q=39.9984733837858,-75.1282405612387")</f>
        <v>http://maps.google.com/maps?f=q&amp;hl=en&amp;geocode=&amp;q=39.9984733837858,-75.1282405612387</v>
      </c>
    </row>
    <row r="4275" spans="1:7" ht="15" x14ac:dyDescent="0.3">
      <c r="A4275">
        <v>41.314399999999999</v>
      </c>
      <c r="B4275">
        <v>-98.387609999999995</v>
      </c>
      <c r="C4275" t="s">
        <v>42</v>
      </c>
      <c r="D4275" t="s">
        <v>2744</v>
      </c>
      <c r="F4275" s="21"/>
      <c r="G4275" s="16" t="str">
        <f>HYPERLINK("http://maps.google.com/maps?f=q&amp;hl=en&amp;geocode=&amp;q=41.3144,-98.38761")</f>
        <v>http://maps.google.com/maps?f=q&amp;hl=en&amp;geocode=&amp;q=41.3144,-98.38761</v>
      </c>
    </row>
    <row r="4276" spans="1:7" ht="15" x14ac:dyDescent="0.3">
      <c r="A4276" t="s">
        <v>44</v>
      </c>
      <c r="B4276" t="s">
        <v>44</v>
      </c>
      <c r="C4276" t="s">
        <v>44</v>
      </c>
      <c r="D4276" t="s">
        <v>1004</v>
      </c>
      <c r="F4276" s="21"/>
      <c r="G4276" s="16"/>
    </row>
    <row r="4277" spans="1:7" ht="15" x14ac:dyDescent="0.3">
      <c r="A4277">
        <v>53.268131256103501</v>
      </c>
      <c r="B4277">
        <v>-1.6359000205993699</v>
      </c>
      <c r="C4277" t="s">
        <v>41</v>
      </c>
      <c r="D4277" t="s">
        <v>2745</v>
      </c>
      <c r="F4277" s="21"/>
      <c r="G4277" s="16" t="str">
        <f>HYPERLINK("http://maps.google.com/maps?f=q&amp;hl=en&amp;geocode=&amp;q=53.2681312561035,-1.63590002059937")</f>
        <v>http://maps.google.com/maps?f=q&amp;hl=en&amp;geocode=&amp;q=53.2681312561035,-1.63590002059937</v>
      </c>
    </row>
    <row r="4278" spans="1:7" ht="15" x14ac:dyDescent="0.3">
      <c r="A4278">
        <v>47.116134643554702</v>
      </c>
      <c r="B4278">
        <v>6.8440089225768999</v>
      </c>
      <c r="C4278" t="s">
        <v>43</v>
      </c>
      <c r="D4278" t="s">
        <v>2746</v>
      </c>
      <c r="F4278" s="21"/>
      <c r="G4278" s="16" t="str">
        <f>HYPERLINK("http://maps.google.com/maps?f=q&amp;hl=en&amp;geocode=&amp;q=47.1161346435547,6.8440089225769")</f>
        <v>http://maps.google.com/maps?f=q&amp;hl=en&amp;geocode=&amp;q=47.1161346435547,6.8440089225769</v>
      </c>
    </row>
    <row r="4279" spans="1:7" ht="15" x14ac:dyDescent="0.3">
      <c r="A4279">
        <v>-26.034427642822301</v>
      </c>
      <c r="B4279">
        <v>28.5431098937988</v>
      </c>
      <c r="C4279" t="s">
        <v>43</v>
      </c>
      <c r="D4279" t="s">
        <v>2747</v>
      </c>
      <c r="F4279" s="21"/>
      <c r="G4279" s="16" t="str">
        <f>HYPERLINK("http://maps.google.com/maps?f=q&amp;hl=en&amp;geocode=&amp;q=-26.0344276428223,28.5431098937988")</f>
        <v>http://maps.google.com/maps?f=q&amp;hl=en&amp;geocode=&amp;q=-26.0344276428223,28.5431098937988</v>
      </c>
    </row>
    <row r="4280" spans="1:7" ht="15" x14ac:dyDescent="0.3">
      <c r="A4280" t="s">
        <v>44</v>
      </c>
      <c r="B4280" t="s">
        <v>44</v>
      </c>
      <c r="C4280" t="s">
        <v>44</v>
      </c>
      <c r="D4280" t="s">
        <v>1243</v>
      </c>
      <c r="F4280" s="21"/>
      <c r="G4280" s="16"/>
    </row>
    <row r="4281" spans="1:7" ht="15" x14ac:dyDescent="0.3">
      <c r="A4281">
        <v>36.015928310111001</v>
      </c>
      <c r="B4281">
        <v>-78.928323937418</v>
      </c>
      <c r="C4281" t="s">
        <v>41</v>
      </c>
      <c r="D4281" t="s">
        <v>1288</v>
      </c>
      <c r="F4281" s="21"/>
      <c r="G4281" s="16" t="str">
        <f>HYPERLINK("http://maps.google.com/maps?f=q&amp;hl=en&amp;geocode=&amp;q=36.015928310111,-78.928323937418")</f>
        <v>http://maps.google.com/maps?f=q&amp;hl=en&amp;geocode=&amp;q=36.015928310111,-78.928323937418</v>
      </c>
    </row>
    <row r="4282" spans="1:7" ht="15" x14ac:dyDescent="0.3">
      <c r="A4282">
        <v>32.274881000000001</v>
      </c>
      <c r="B4282">
        <v>-92.713254000000006</v>
      </c>
      <c r="C4282" t="s">
        <v>41</v>
      </c>
      <c r="D4282" t="s">
        <v>2651</v>
      </c>
      <c r="F4282" s="21"/>
      <c r="G4282" s="16" t="str">
        <f>HYPERLINK("http://maps.google.com/maps?f=q&amp;hl=en&amp;geocode=&amp;q=32.274881,-92.713254")</f>
        <v>http://maps.google.com/maps?f=q&amp;hl=en&amp;geocode=&amp;q=32.274881,-92.713254</v>
      </c>
    </row>
    <row r="4283" spans="1:7" ht="15" x14ac:dyDescent="0.3">
      <c r="A4283">
        <v>40.86157</v>
      </c>
      <c r="B4283">
        <v>-111.88437</v>
      </c>
      <c r="C4283" t="s">
        <v>42</v>
      </c>
      <c r="D4283" t="s">
        <v>2478</v>
      </c>
      <c r="F4283" s="21"/>
      <c r="G4283" s="16" t="str">
        <f>HYPERLINK("http://maps.google.com/maps?f=q&amp;hl=en&amp;geocode=&amp;q=40.86157,-111.88437")</f>
        <v>http://maps.google.com/maps?f=q&amp;hl=en&amp;geocode=&amp;q=40.86157,-111.88437</v>
      </c>
    </row>
    <row r="4284" spans="1:7" ht="15" x14ac:dyDescent="0.3">
      <c r="A4284">
        <v>40.193464969506998</v>
      </c>
      <c r="B4284">
        <v>-110.04792045993</v>
      </c>
      <c r="C4284" t="s">
        <v>42</v>
      </c>
      <c r="D4284" t="s">
        <v>2748</v>
      </c>
      <c r="F4284" s="21"/>
      <c r="G4284" s="16" t="str">
        <f>HYPERLINK("http://maps.google.com/maps?f=q&amp;hl=en&amp;geocode=&amp;q=40.193464969507,-110.04792045993")</f>
        <v>http://maps.google.com/maps?f=q&amp;hl=en&amp;geocode=&amp;q=40.193464969507,-110.04792045993</v>
      </c>
    </row>
    <row r="4285" spans="1:7" ht="15" x14ac:dyDescent="0.3">
      <c r="A4285">
        <v>31.243220000000001</v>
      </c>
      <c r="B4285">
        <v>-103.06478</v>
      </c>
      <c r="C4285" t="s">
        <v>43</v>
      </c>
      <c r="D4285" t="s">
        <v>2749</v>
      </c>
      <c r="F4285" s="21"/>
      <c r="G4285" s="16" t="str">
        <f>HYPERLINK("http://maps.google.com/maps?f=q&amp;hl=en&amp;geocode=&amp;q=31.24322,-103.06478")</f>
        <v>http://maps.google.com/maps?f=q&amp;hl=en&amp;geocode=&amp;q=31.24322,-103.06478</v>
      </c>
    </row>
    <row r="4286" spans="1:7" ht="15" x14ac:dyDescent="0.3">
      <c r="A4286">
        <v>51.060994000000001</v>
      </c>
      <c r="B4286">
        <v>-114.12626280000001</v>
      </c>
      <c r="C4286" t="s">
        <v>41</v>
      </c>
      <c r="D4286" t="s">
        <v>2750</v>
      </c>
      <c r="F4286" s="21"/>
      <c r="G4286" s="16" t="str">
        <f>HYPERLINK("http://maps.google.com/maps?f=q&amp;hl=en&amp;geocode=&amp;q=51.060994,-114.1262628")</f>
        <v>http://maps.google.com/maps?f=q&amp;hl=en&amp;geocode=&amp;q=51.060994,-114.1262628</v>
      </c>
    </row>
    <row r="4287" spans="1:7" ht="15" x14ac:dyDescent="0.3">
      <c r="A4287">
        <v>31.243220000000001</v>
      </c>
      <c r="B4287">
        <v>-103.06478</v>
      </c>
      <c r="C4287" t="s">
        <v>43</v>
      </c>
      <c r="D4287" t="s">
        <v>2749</v>
      </c>
      <c r="F4287" s="21"/>
      <c r="G4287" s="16" t="str">
        <f>HYPERLINK("http://maps.google.com/maps?f=q&amp;hl=en&amp;geocode=&amp;q=31.24322,-103.06478")</f>
        <v>http://maps.google.com/maps?f=q&amp;hl=en&amp;geocode=&amp;q=31.24322,-103.06478</v>
      </c>
    </row>
    <row r="4288" spans="1:7" ht="15" x14ac:dyDescent="0.3">
      <c r="A4288">
        <v>39.996470000000002</v>
      </c>
      <c r="B4288">
        <v>-75.172560000000004</v>
      </c>
      <c r="C4288" t="s">
        <v>41</v>
      </c>
      <c r="D4288" t="s">
        <v>2751</v>
      </c>
      <c r="F4288" s="21"/>
      <c r="G4288" s="16" t="str">
        <f>HYPERLINK("http://maps.google.com/maps?f=q&amp;hl=en&amp;geocode=&amp;q=39.99647,-75.17256")</f>
        <v>http://maps.google.com/maps?f=q&amp;hl=en&amp;geocode=&amp;q=39.99647,-75.17256</v>
      </c>
    </row>
    <row r="4289" spans="1:7" ht="15" x14ac:dyDescent="0.3">
      <c r="A4289">
        <v>40.027859194144398</v>
      </c>
      <c r="B4289">
        <v>-75.176217199301206</v>
      </c>
      <c r="C4289" t="s">
        <v>41</v>
      </c>
      <c r="D4289" t="s">
        <v>2752</v>
      </c>
      <c r="F4289" s="21"/>
      <c r="G4289" s="16" t="str">
        <f>HYPERLINK("http://maps.google.com/maps?f=q&amp;hl=en&amp;geocode=&amp;q=40.0278591941444,-75.1762171993012")</f>
        <v>http://maps.google.com/maps?f=q&amp;hl=en&amp;geocode=&amp;q=40.0278591941444,-75.1762171993012</v>
      </c>
    </row>
    <row r="4290" spans="1:7" ht="15" x14ac:dyDescent="0.3">
      <c r="A4290">
        <v>40.634369999999997</v>
      </c>
      <c r="B4290">
        <v>-82.233559999999997</v>
      </c>
      <c r="C4290" t="s">
        <v>42</v>
      </c>
      <c r="D4290" t="s">
        <v>2753</v>
      </c>
      <c r="F4290" s="21"/>
      <c r="G4290" s="16" t="str">
        <f>HYPERLINK("http://maps.google.com/maps?f=q&amp;hl=en&amp;geocode=&amp;q=40.63437,-82.23356")</f>
        <v>http://maps.google.com/maps?f=q&amp;hl=en&amp;geocode=&amp;q=40.63437,-82.23356</v>
      </c>
    </row>
    <row r="4291" spans="1:7" ht="15" x14ac:dyDescent="0.3">
      <c r="A4291">
        <v>44.875728607177699</v>
      </c>
      <c r="B4291">
        <v>-98.517570495605497</v>
      </c>
      <c r="C4291" t="s">
        <v>43</v>
      </c>
      <c r="D4291" t="s">
        <v>2754</v>
      </c>
      <c r="F4291" s="21"/>
      <c r="G4291" s="16" t="str">
        <f>HYPERLINK("http://maps.google.com/maps?f=q&amp;hl=en&amp;geocode=&amp;q=44.8757286071777,-98.5175704956055")</f>
        <v>http://maps.google.com/maps?f=q&amp;hl=en&amp;geocode=&amp;q=44.8757286071777,-98.5175704956055</v>
      </c>
    </row>
    <row r="4292" spans="1:7" ht="15" x14ac:dyDescent="0.3">
      <c r="A4292">
        <v>40.098739234895</v>
      </c>
      <c r="B4292">
        <v>-75.030399858481204</v>
      </c>
      <c r="C4292" t="s">
        <v>41</v>
      </c>
      <c r="D4292" t="s">
        <v>309</v>
      </c>
      <c r="F4292" s="21"/>
      <c r="G4292" s="16" t="str">
        <f>HYPERLINK("http://maps.google.com/maps?f=q&amp;hl=en&amp;geocode=&amp;q=40.098739234895,-75.0303998584812")</f>
        <v>http://maps.google.com/maps?f=q&amp;hl=en&amp;geocode=&amp;q=40.098739234895,-75.0303998584812</v>
      </c>
    </row>
    <row r="4293" spans="1:7" ht="15" x14ac:dyDescent="0.3">
      <c r="A4293">
        <v>37.768398284912102</v>
      </c>
      <c r="B4293">
        <v>-120.848220825195</v>
      </c>
      <c r="C4293" t="s">
        <v>41</v>
      </c>
      <c r="D4293" t="s">
        <v>2755</v>
      </c>
      <c r="F4293" s="21"/>
      <c r="G4293" s="16" t="str">
        <f>HYPERLINK("http://maps.google.com/maps?f=q&amp;hl=en&amp;geocode=&amp;q=37.7683982849121,-120.848220825195")</f>
        <v>http://maps.google.com/maps?f=q&amp;hl=en&amp;geocode=&amp;q=37.7683982849121,-120.848220825195</v>
      </c>
    </row>
    <row r="4294" spans="1:7" ht="15" x14ac:dyDescent="0.3">
      <c r="F4294" s="21"/>
      <c r="G4294" s="16"/>
    </row>
    <row r="4295" spans="1:7" ht="15" x14ac:dyDescent="0.3">
      <c r="A4295">
        <v>40.024970000000003</v>
      </c>
      <c r="B4295">
        <v>-75.220510000000004</v>
      </c>
      <c r="C4295" t="s">
        <v>43</v>
      </c>
      <c r="D4295" t="s">
        <v>2756</v>
      </c>
      <c r="F4295" s="21"/>
      <c r="G4295" s="16" t="str">
        <f>HYPERLINK("http://maps.google.com/maps?f=q&amp;hl=en&amp;geocode=&amp;q=40.02497,-75.22051")</f>
        <v>http://maps.google.com/maps?f=q&amp;hl=en&amp;geocode=&amp;q=40.02497,-75.22051</v>
      </c>
    </row>
    <row r="4296" spans="1:7" ht="15" x14ac:dyDescent="0.3">
      <c r="A4296">
        <v>33.322605699211699</v>
      </c>
      <c r="B4296">
        <v>-82.3812682599129</v>
      </c>
      <c r="C4296" t="s">
        <v>41</v>
      </c>
      <c r="D4296" t="s">
        <v>2757</v>
      </c>
      <c r="F4296" s="21"/>
      <c r="G4296" s="16" t="str">
        <f>HYPERLINK("http://maps.google.com/maps?f=q&amp;hl=en&amp;geocode=&amp;q=33.3226056992117,-82.3812682599129")</f>
        <v>http://maps.google.com/maps?f=q&amp;hl=en&amp;geocode=&amp;q=33.3226056992117,-82.3812682599129</v>
      </c>
    </row>
    <row r="4297" spans="1:7" ht="15" x14ac:dyDescent="0.3">
      <c r="A4297">
        <v>38.643213000000003</v>
      </c>
      <c r="B4297">
        <v>-90.247169</v>
      </c>
      <c r="C4297" t="s">
        <v>41</v>
      </c>
      <c r="D4297" t="s">
        <v>2758</v>
      </c>
      <c r="F4297" s="21"/>
      <c r="G4297" s="16" t="str">
        <f>HYPERLINK("http://maps.google.com/maps?f=q&amp;hl=en&amp;geocode=&amp;q=38.643213,-90.247169")</f>
        <v>http://maps.google.com/maps?f=q&amp;hl=en&amp;geocode=&amp;q=38.643213,-90.247169</v>
      </c>
    </row>
    <row r="4298" spans="1:7" ht="15" x14ac:dyDescent="0.3">
      <c r="A4298">
        <v>40.132370000000002</v>
      </c>
      <c r="B4298">
        <v>-75.007909999999995</v>
      </c>
      <c r="C4298" t="s">
        <v>41</v>
      </c>
      <c r="D4298" t="s">
        <v>55</v>
      </c>
      <c r="F4298" s="21"/>
      <c r="G4298" s="16" t="str">
        <f>HYPERLINK("http://maps.google.com/maps?f=q&amp;hl=en&amp;geocode=&amp;q=40.13237,-75.00791")</f>
        <v>http://maps.google.com/maps?f=q&amp;hl=en&amp;geocode=&amp;q=40.13237,-75.00791</v>
      </c>
    </row>
    <row r="4299" spans="1:7" ht="15" x14ac:dyDescent="0.3">
      <c r="A4299">
        <v>29.140590667724599</v>
      </c>
      <c r="B4299">
        <v>-8.9533882141113299</v>
      </c>
      <c r="C4299" t="s">
        <v>41</v>
      </c>
      <c r="D4299" t="s">
        <v>2759</v>
      </c>
      <c r="F4299" s="21"/>
      <c r="G4299" s="16" t="str">
        <f>HYPERLINK("http://maps.google.com/maps?f=q&amp;hl=en&amp;geocode=&amp;q=29.1405906677246,-8.95338821411133")</f>
        <v>http://maps.google.com/maps?f=q&amp;hl=en&amp;geocode=&amp;q=29.1405906677246,-8.95338821411133</v>
      </c>
    </row>
    <row r="4300" spans="1:7" ht="15" x14ac:dyDescent="0.3">
      <c r="A4300" t="s">
        <v>44</v>
      </c>
      <c r="B4300" t="s">
        <v>44</v>
      </c>
      <c r="C4300" t="s">
        <v>44</v>
      </c>
      <c r="D4300" t="s">
        <v>2724</v>
      </c>
      <c r="F4300" s="21"/>
      <c r="G4300" s="16"/>
    </row>
    <row r="4301" spans="1:7" ht="15" x14ac:dyDescent="0.3">
      <c r="A4301">
        <v>-17.18412</v>
      </c>
      <c r="B4301">
        <v>145.54338000000001</v>
      </c>
      <c r="C4301" t="s">
        <v>41</v>
      </c>
      <c r="D4301" t="s">
        <v>2760</v>
      </c>
      <c r="F4301" s="21"/>
      <c r="G4301" s="16" t="str">
        <f>HYPERLINK("http://maps.google.com/maps?f=q&amp;hl=en&amp;geocode=&amp;q=-17.18412,145.54338")</f>
        <v>http://maps.google.com/maps?f=q&amp;hl=en&amp;geocode=&amp;q=-17.18412,145.54338</v>
      </c>
    </row>
    <row r="4302" spans="1:7" ht="15" x14ac:dyDescent="0.3">
      <c r="A4302" t="s">
        <v>44</v>
      </c>
      <c r="B4302" t="s">
        <v>44</v>
      </c>
      <c r="C4302" t="s">
        <v>44</v>
      </c>
      <c r="D4302" t="s">
        <v>2724</v>
      </c>
      <c r="F4302" s="21"/>
      <c r="G4302" s="16"/>
    </row>
    <row r="4303" spans="1:7" ht="15" x14ac:dyDescent="0.3">
      <c r="A4303">
        <v>40.035719999999998</v>
      </c>
      <c r="B4303">
        <v>-75.070629999999994</v>
      </c>
      <c r="C4303" t="s">
        <v>41</v>
      </c>
      <c r="D4303" t="s">
        <v>760</v>
      </c>
      <c r="F4303" s="21"/>
      <c r="G4303" s="16" t="str">
        <f>HYPERLINK("http://maps.google.com/maps?f=q&amp;hl=en&amp;geocode=&amp;q=40.03572,-75.07063")</f>
        <v>http://maps.google.com/maps?f=q&amp;hl=en&amp;geocode=&amp;q=40.03572,-75.07063</v>
      </c>
    </row>
    <row r="4304" spans="1:7" ht="15" x14ac:dyDescent="0.3">
      <c r="A4304">
        <v>40.001382677393103</v>
      </c>
      <c r="B4304">
        <v>-75.104162006072301</v>
      </c>
      <c r="C4304" t="s">
        <v>43</v>
      </c>
      <c r="D4304" t="s">
        <v>2761</v>
      </c>
      <c r="F4304" s="21"/>
      <c r="G4304" s="16" t="str">
        <f>HYPERLINK("http://maps.google.com/maps?f=q&amp;hl=en&amp;geocode=&amp;q=40.0013826773931,-75.1041620060723")</f>
        <v>http://maps.google.com/maps?f=q&amp;hl=en&amp;geocode=&amp;q=40.0013826773931,-75.1041620060723</v>
      </c>
    </row>
    <row r="4305" spans="1:7" ht="15" x14ac:dyDescent="0.3">
      <c r="A4305">
        <v>35.203240000000001</v>
      </c>
      <c r="B4305">
        <v>-78.060310000000001</v>
      </c>
      <c r="C4305" t="s">
        <v>42</v>
      </c>
      <c r="D4305" t="s">
        <v>2762</v>
      </c>
      <c r="F4305" s="21"/>
      <c r="G4305" s="16" t="str">
        <f>HYPERLINK("http://maps.google.com/maps?f=q&amp;hl=en&amp;geocode=&amp;q=35.20324,-78.06031")</f>
        <v>http://maps.google.com/maps?f=q&amp;hl=en&amp;geocode=&amp;q=35.20324,-78.06031</v>
      </c>
    </row>
    <row r="4306" spans="1:7" ht="15" x14ac:dyDescent="0.3">
      <c r="A4306">
        <v>46.177654266357401</v>
      </c>
      <c r="B4306">
        <v>6.1214799880981401</v>
      </c>
      <c r="C4306" t="s">
        <v>43</v>
      </c>
      <c r="D4306" t="s">
        <v>2763</v>
      </c>
      <c r="F4306" s="21"/>
      <c r="G4306" s="16" t="str">
        <f>HYPERLINK("http://maps.google.com/maps?f=q&amp;hl=en&amp;geocode=&amp;q=46.1776542663574,6.12147998809814")</f>
        <v>http://maps.google.com/maps?f=q&amp;hl=en&amp;geocode=&amp;q=46.1776542663574,6.12147998809814</v>
      </c>
    </row>
    <row r="4307" spans="1:7" ht="15" x14ac:dyDescent="0.3">
      <c r="A4307">
        <v>41.266249999999999</v>
      </c>
      <c r="B4307">
        <v>-81.42577</v>
      </c>
      <c r="C4307" t="s">
        <v>43</v>
      </c>
      <c r="D4307" t="s">
        <v>2764</v>
      </c>
      <c r="F4307" s="21"/>
      <c r="G4307" s="16" t="str">
        <f>HYPERLINK("http://maps.google.com/maps?f=q&amp;hl=en&amp;geocode=&amp;q=41.26625,-81.42577")</f>
        <v>http://maps.google.com/maps?f=q&amp;hl=en&amp;geocode=&amp;q=41.26625,-81.42577</v>
      </c>
    </row>
    <row r="4308" spans="1:7" ht="15" x14ac:dyDescent="0.3">
      <c r="A4308">
        <v>46.619251251220703</v>
      </c>
      <c r="B4308">
        <v>-63.1351509094238</v>
      </c>
      <c r="C4308" t="s">
        <v>41</v>
      </c>
      <c r="D4308" t="s">
        <v>468</v>
      </c>
      <c r="F4308" s="21"/>
      <c r="G4308" s="16" t="str">
        <f>HYPERLINK("http://maps.google.com/maps?f=q&amp;hl=en&amp;geocode=&amp;q=46.6192512512207,-63.1351509094238")</f>
        <v>http://maps.google.com/maps?f=q&amp;hl=en&amp;geocode=&amp;q=46.6192512512207,-63.1351509094238</v>
      </c>
    </row>
    <row r="4309" spans="1:7" ht="15" x14ac:dyDescent="0.3">
      <c r="A4309">
        <v>46.360934520906902</v>
      </c>
      <c r="B4309">
        <v>-120.42836528944601</v>
      </c>
      <c r="C4309" t="s">
        <v>41</v>
      </c>
      <c r="D4309" t="s">
        <v>2765</v>
      </c>
      <c r="F4309" s="21"/>
      <c r="G4309" s="16" t="str">
        <f>HYPERLINK("http://maps.google.com/maps?f=q&amp;hl=en&amp;geocode=&amp;q=46.3609345209069,-120.428365289446")</f>
        <v>http://maps.google.com/maps?f=q&amp;hl=en&amp;geocode=&amp;q=46.3609345209069,-120.428365289446</v>
      </c>
    </row>
    <row r="4310" spans="1:7" ht="15" x14ac:dyDescent="0.3">
      <c r="A4310">
        <v>39.969520568847699</v>
      </c>
      <c r="B4310">
        <v>-79.613929748535199</v>
      </c>
      <c r="C4310" t="s">
        <v>43</v>
      </c>
      <c r="D4310" t="s">
        <v>83</v>
      </c>
      <c r="F4310" s="21"/>
      <c r="G4310" s="16" t="str">
        <f>HYPERLINK("http://maps.google.com/maps?f=q&amp;hl=en&amp;geocode=&amp;q=39.9695205688477,-79.6139297485352")</f>
        <v>http://maps.google.com/maps?f=q&amp;hl=en&amp;geocode=&amp;q=39.9695205688477,-79.6139297485352</v>
      </c>
    </row>
    <row r="4311" spans="1:7" ht="15" x14ac:dyDescent="0.3">
      <c r="A4311">
        <v>35.481946811951502</v>
      </c>
      <c r="B4311">
        <v>-78.978412977007594</v>
      </c>
      <c r="C4311" t="s">
        <v>41</v>
      </c>
      <c r="D4311" t="s">
        <v>2766</v>
      </c>
      <c r="F4311" s="21"/>
      <c r="G4311" s="16" t="str">
        <f>HYPERLINK("http://maps.google.com/maps?f=q&amp;hl=en&amp;geocode=&amp;q=35.4819468119515,-78.9784129770076")</f>
        <v>http://maps.google.com/maps?f=q&amp;hl=en&amp;geocode=&amp;q=35.4819468119515,-78.9784129770076</v>
      </c>
    </row>
    <row r="4312" spans="1:7" ht="15" x14ac:dyDescent="0.3">
      <c r="A4312">
        <v>43.597040208468002</v>
      </c>
      <c r="B4312">
        <v>-84.120928452234807</v>
      </c>
      <c r="C4312" t="s">
        <v>41</v>
      </c>
      <c r="D4312" t="s">
        <v>2767</v>
      </c>
      <c r="F4312" s="21"/>
      <c r="G4312" s="16" t="str">
        <f>HYPERLINK("http://maps.google.com/maps?f=q&amp;hl=en&amp;geocode=&amp;q=43.597040208468,-84.1209284522348")</f>
        <v>http://maps.google.com/maps?f=q&amp;hl=en&amp;geocode=&amp;q=43.597040208468,-84.1209284522348</v>
      </c>
    </row>
    <row r="4313" spans="1:7" ht="15" x14ac:dyDescent="0.3">
      <c r="A4313">
        <v>39.927289999999999</v>
      </c>
      <c r="B4313">
        <v>-75.153999999999996</v>
      </c>
      <c r="C4313" t="s">
        <v>43</v>
      </c>
      <c r="D4313" t="s">
        <v>2768</v>
      </c>
      <c r="F4313" s="21"/>
      <c r="G4313" s="16" t="str">
        <f>HYPERLINK("http://maps.google.com/maps?f=q&amp;hl=en&amp;geocode=&amp;q=39.92729,-75.154")</f>
        <v>http://maps.google.com/maps?f=q&amp;hl=en&amp;geocode=&amp;q=39.92729,-75.154</v>
      </c>
    </row>
    <row r="4314" spans="1:7" ht="15" x14ac:dyDescent="0.3">
      <c r="A4314">
        <v>43.013394966800298</v>
      </c>
      <c r="B4314">
        <v>-89.488597564513299</v>
      </c>
      <c r="C4314" t="s">
        <v>41</v>
      </c>
      <c r="D4314" t="s">
        <v>1586</v>
      </c>
      <c r="F4314" s="21"/>
      <c r="G4314" s="16" t="str">
        <f>HYPERLINK("http://maps.google.com/maps?f=q&amp;hl=en&amp;geocode=&amp;q=43.0133949668003,-89.4885975645133")</f>
        <v>http://maps.google.com/maps?f=q&amp;hl=en&amp;geocode=&amp;q=43.0133949668003,-89.4885975645133</v>
      </c>
    </row>
    <row r="4315" spans="1:7" ht="15" x14ac:dyDescent="0.3">
      <c r="A4315">
        <v>43.013394966800298</v>
      </c>
      <c r="B4315">
        <v>-89.488597564513299</v>
      </c>
      <c r="C4315" t="s">
        <v>41</v>
      </c>
      <c r="D4315" t="s">
        <v>1586</v>
      </c>
      <c r="F4315" s="21"/>
      <c r="G4315" s="16" t="str">
        <f>HYPERLINK("http://maps.google.com/maps?f=q&amp;hl=en&amp;geocode=&amp;q=43.0133949668003,-89.4885975645133")</f>
        <v>http://maps.google.com/maps?f=q&amp;hl=en&amp;geocode=&amp;q=43.0133949668003,-89.4885975645133</v>
      </c>
    </row>
    <row r="4316" spans="1:7" ht="15" x14ac:dyDescent="0.3">
      <c r="A4316">
        <v>45.837741851806598</v>
      </c>
      <c r="B4316">
        <v>25.005935668945298</v>
      </c>
      <c r="C4316" t="s">
        <v>41</v>
      </c>
      <c r="D4316" t="s">
        <v>2769</v>
      </c>
      <c r="F4316" s="21"/>
      <c r="G4316" s="16" t="str">
        <f>HYPERLINK("http://maps.google.com/maps?f=q&amp;hl=en&amp;geocode=&amp;q=45.8377418518066,25.0059356689453")</f>
        <v>http://maps.google.com/maps?f=q&amp;hl=en&amp;geocode=&amp;q=45.8377418518066,25.0059356689453</v>
      </c>
    </row>
    <row r="4317" spans="1:7" ht="15" x14ac:dyDescent="0.3">
      <c r="A4317">
        <v>39.95655</v>
      </c>
      <c r="B4317">
        <v>-75.241889999999998</v>
      </c>
      <c r="C4317" t="s">
        <v>43</v>
      </c>
      <c r="D4317" t="s">
        <v>2770</v>
      </c>
      <c r="F4317" s="21"/>
      <c r="G4317" s="16" t="str">
        <f>HYPERLINK("http://maps.google.com/maps?f=q&amp;hl=en&amp;geocode=&amp;q=39.95655,-75.24189")</f>
        <v>http://maps.google.com/maps?f=q&amp;hl=en&amp;geocode=&amp;q=39.95655,-75.24189</v>
      </c>
    </row>
    <row r="4318" spans="1:7" ht="15" x14ac:dyDescent="0.3">
      <c r="A4318">
        <v>39.960369999999998</v>
      </c>
      <c r="B4318">
        <v>-75.195359999999994</v>
      </c>
      <c r="C4318" t="s">
        <v>42</v>
      </c>
      <c r="D4318" t="s">
        <v>2771</v>
      </c>
      <c r="F4318" s="21"/>
      <c r="G4318" s="16" t="str">
        <f>HYPERLINK("http://maps.google.com/maps?f=q&amp;hl=en&amp;geocode=&amp;q=39.96037,-75.19536")</f>
        <v>http://maps.google.com/maps?f=q&amp;hl=en&amp;geocode=&amp;q=39.96037,-75.19536</v>
      </c>
    </row>
    <row r="4319" spans="1:7" ht="15" x14ac:dyDescent="0.3">
      <c r="A4319">
        <v>39.973550000000003</v>
      </c>
      <c r="B4319">
        <v>-75.206779999999995</v>
      </c>
      <c r="C4319" t="s">
        <v>41</v>
      </c>
      <c r="D4319" t="s">
        <v>2772</v>
      </c>
      <c r="F4319" s="21"/>
      <c r="G4319" s="16" t="str">
        <f>HYPERLINK("http://maps.google.com/maps?f=q&amp;hl=en&amp;geocode=&amp;q=39.97355,-75.20678")</f>
        <v>http://maps.google.com/maps?f=q&amp;hl=en&amp;geocode=&amp;q=39.97355,-75.20678</v>
      </c>
    </row>
    <row r="4320" spans="1:7" ht="15" x14ac:dyDescent="0.3">
      <c r="A4320" t="s">
        <v>44</v>
      </c>
      <c r="B4320" t="s">
        <v>44</v>
      </c>
      <c r="C4320" t="s">
        <v>44</v>
      </c>
      <c r="D4320" t="s">
        <v>2773</v>
      </c>
      <c r="F4320" s="21"/>
      <c r="G4320" s="16"/>
    </row>
    <row r="4321" spans="1:7" ht="15" x14ac:dyDescent="0.3">
      <c r="A4321">
        <v>33.348396291278704</v>
      </c>
      <c r="B4321">
        <v>-111.863344341914</v>
      </c>
      <c r="C4321" t="s">
        <v>41</v>
      </c>
      <c r="D4321" t="s">
        <v>2774</v>
      </c>
      <c r="F4321" s="21"/>
      <c r="G4321" s="16" t="str">
        <f>HYPERLINK("http://maps.google.com/maps?f=q&amp;hl=en&amp;geocode=&amp;q=33.3483962912787,-111.863344341914")</f>
        <v>http://maps.google.com/maps?f=q&amp;hl=en&amp;geocode=&amp;q=33.3483962912787,-111.863344341914</v>
      </c>
    </row>
    <row r="4322" spans="1:7" ht="15" x14ac:dyDescent="0.3">
      <c r="A4322">
        <v>39.982250000000001</v>
      </c>
      <c r="B4322">
        <v>-75.112629999999996</v>
      </c>
      <c r="C4322" t="s">
        <v>41</v>
      </c>
      <c r="D4322" t="s">
        <v>2775</v>
      </c>
      <c r="F4322" s="21"/>
      <c r="G4322" s="16" t="str">
        <f>HYPERLINK("http://maps.google.com/maps?f=q&amp;hl=en&amp;geocode=&amp;q=39.98225,-75.11263")</f>
        <v>http://maps.google.com/maps?f=q&amp;hl=en&amp;geocode=&amp;q=39.98225,-75.11263</v>
      </c>
    </row>
    <row r="4323" spans="1:7" ht="15" x14ac:dyDescent="0.3">
      <c r="A4323">
        <v>50.780136108398402</v>
      </c>
      <c r="B4323">
        <v>4.2288222312927202</v>
      </c>
      <c r="C4323" t="s">
        <v>43</v>
      </c>
      <c r="D4323" t="s">
        <v>2776</v>
      </c>
      <c r="F4323" s="21"/>
      <c r="G4323" s="16" t="str">
        <f>HYPERLINK("http://maps.google.com/maps?f=q&amp;hl=en&amp;geocode=&amp;q=50.7801361083984,4.22882223129272")</f>
        <v>http://maps.google.com/maps?f=q&amp;hl=en&amp;geocode=&amp;q=50.7801361083984,4.22882223129272</v>
      </c>
    </row>
    <row r="4324" spans="1:7" ht="15" x14ac:dyDescent="0.3">
      <c r="A4324">
        <v>40.487969999999997</v>
      </c>
      <c r="B4324">
        <v>-78.012150000000005</v>
      </c>
      <c r="C4324" t="s">
        <v>43</v>
      </c>
      <c r="D4324" t="s">
        <v>2777</v>
      </c>
      <c r="F4324" s="21"/>
      <c r="G4324" s="16" t="str">
        <f>HYPERLINK("http://maps.google.com/maps?f=q&amp;hl=en&amp;geocode=&amp;q=40.48797,-78.01215")</f>
        <v>http://maps.google.com/maps?f=q&amp;hl=en&amp;geocode=&amp;q=40.48797,-78.01215</v>
      </c>
    </row>
    <row r="4325" spans="1:7" ht="15" x14ac:dyDescent="0.3">
      <c r="A4325">
        <v>48.194129941194397</v>
      </c>
      <c r="B4325">
        <v>-117.79101887250199</v>
      </c>
      <c r="C4325" t="s">
        <v>41</v>
      </c>
      <c r="D4325" t="s">
        <v>2778</v>
      </c>
      <c r="F4325" s="21"/>
      <c r="G4325" s="16" t="str">
        <f>HYPERLINK("http://maps.google.com/maps?f=q&amp;hl=en&amp;geocode=&amp;q=48.1941299411944,-117.791018872502")</f>
        <v>http://maps.google.com/maps?f=q&amp;hl=en&amp;geocode=&amp;q=48.1941299411944,-117.791018872502</v>
      </c>
    </row>
    <row r="4326" spans="1:7" ht="15" x14ac:dyDescent="0.3">
      <c r="A4326">
        <v>49.5880737304688</v>
      </c>
      <c r="B4326">
        <v>6.1461858749389604</v>
      </c>
      <c r="C4326" t="s">
        <v>41</v>
      </c>
      <c r="D4326" t="s">
        <v>2779</v>
      </c>
      <c r="F4326" s="21"/>
      <c r="G4326" s="16" t="str">
        <f>HYPERLINK("http://maps.google.com/maps?f=q&amp;hl=en&amp;geocode=&amp;q=49.5880737304688,6.14618587493896")</f>
        <v>http://maps.google.com/maps?f=q&amp;hl=en&amp;geocode=&amp;q=49.5880737304688,6.14618587493896</v>
      </c>
    </row>
    <row r="4327" spans="1:7" ht="15" x14ac:dyDescent="0.3">
      <c r="A4327">
        <v>39.684371948242202</v>
      </c>
      <c r="B4327">
        <v>21.8974094390869</v>
      </c>
      <c r="C4327" t="s">
        <v>41</v>
      </c>
      <c r="D4327" t="s">
        <v>809</v>
      </c>
      <c r="F4327" s="21"/>
      <c r="G4327" s="16" t="str">
        <f>HYPERLINK("http://maps.google.com/maps?f=q&amp;hl=en&amp;geocode=&amp;q=39.6843719482422,21.8974094390869")</f>
        <v>http://maps.google.com/maps?f=q&amp;hl=en&amp;geocode=&amp;q=39.6843719482422,21.8974094390869</v>
      </c>
    </row>
    <row r="4328" spans="1:7" ht="15" x14ac:dyDescent="0.3">
      <c r="A4328">
        <v>39.684371948242202</v>
      </c>
      <c r="B4328">
        <v>21.8974094390869</v>
      </c>
      <c r="C4328" t="s">
        <v>41</v>
      </c>
      <c r="D4328" t="s">
        <v>809</v>
      </c>
      <c r="F4328" s="21"/>
      <c r="G4328" s="16" t="str">
        <f>HYPERLINK("http://maps.google.com/maps?f=q&amp;hl=en&amp;geocode=&amp;q=39.6843719482422,21.8974094390869")</f>
        <v>http://maps.google.com/maps?f=q&amp;hl=en&amp;geocode=&amp;q=39.6843719482422,21.8974094390869</v>
      </c>
    </row>
    <row r="4329" spans="1:7" ht="15" x14ac:dyDescent="0.3">
      <c r="A4329">
        <v>41.807830000000003</v>
      </c>
      <c r="B4329">
        <v>-88.259159999999994</v>
      </c>
      <c r="C4329" t="s">
        <v>42</v>
      </c>
      <c r="D4329" t="s">
        <v>2706</v>
      </c>
      <c r="F4329" s="21"/>
      <c r="G4329" s="16" t="str">
        <f>HYPERLINK("http://maps.google.com/maps?f=q&amp;hl=en&amp;geocode=&amp;q=41.80783,-88.25916")</f>
        <v>http://maps.google.com/maps?f=q&amp;hl=en&amp;geocode=&amp;q=41.80783,-88.25916</v>
      </c>
    </row>
    <row r="4330" spans="1:7" ht="15" x14ac:dyDescent="0.3">
      <c r="A4330">
        <v>47.033481597900398</v>
      </c>
      <c r="B4330">
        <v>-109.64508056640599</v>
      </c>
      <c r="C4330" t="s">
        <v>41</v>
      </c>
      <c r="D4330" t="s">
        <v>2780</v>
      </c>
      <c r="F4330" s="21"/>
      <c r="G4330" s="16" t="str">
        <f>HYPERLINK("http://maps.google.com/maps?f=q&amp;hl=en&amp;geocode=&amp;q=47.0334815979004,-109.645080566406")</f>
        <v>http://maps.google.com/maps?f=q&amp;hl=en&amp;geocode=&amp;q=47.0334815979004,-109.645080566406</v>
      </c>
    </row>
    <row r="4331" spans="1:7" ht="15" x14ac:dyDescent="0.3">
      <c r="A4331">
        <v>41.411827087402301</v>
      </c>
      <c r="B4331">
        <v>-81.834869384765597</v>
      </c>
      <c r="C4331" t="s">
        <v>43</v>
      </c>
      <c r="D4331" t="s">
        <v>2781</v>
      </c>
      <c r="F4331" s="21"/>
      <c r="G4331" s="16" t="str">
        <f>HYPERLINK("http://maps.google.com/maps?f=q&amp;hl=en&amp;geocode=&amp;q=41.4118270874023,-81.8348693847656")</f>
        <v>http://maps.google.com/maps?f=q&amp;hl=en&amp;geocode=&amp;q=41.4118270874023,-81.8348693847656</v>
      </c>
    </row>
    <row r="4332" spans="1:7" ht="15" x14ac:dyDescent="0.3">
      <c r="A4332">
        <v>39.97701</v>
      </c>
      <c r="B4332">
        <v>-75.266869999999997</v>
      </c>
      <c r="C4332" t="s">
        <v>41</v>
      </c>
      <c r="D4332" t="s">
        <v>444</v>
      </c>
      <c r="F4332" s="21"/>
      <c r="G4332" s="16" t="str">
        <f>HYPERLINK("http://maps.google.com/maps?f=q&amp;hl=en&amp;geocode=&amp;q=39.97701,-75.26687")</f>
        <v>http://maps.google.com/maps?f=q&amp;hl=en&amp;geocode=&amp;q=39.97701,-75.26687</v>
      </c>
    </row>
    <row r="4333" spans="1:7" ht="15" x14ac:dyDescent="0.3">
      <c r="A4333">
        <v>34.067902708859997</v>
      </c>
      <c r="B4333">
        <v>-118.456681519569</v>
      </c>
      <c r="C4333" t="s">
        <v>41</v>
      </c>
      <c r="D4333" t="s">
        <v>2782</v>
      </c>
      <c r="F4333" s="21"/>
      <c r="G4333" s="16" t="str">
        <f>HYPERLINK("http://maps.google.com/maps?f=q&amp;hl=en&amp;geocode=&amp;q=34.06790270886,-118.456681519569")</f>
        <v>http://maps.google.com/maps?f=q&amp;hl=en&amp;geocode=&amp;q=34.06790270886,-118.456681519569</v>
      </c>
    </row>
    <row r="4334" spans="1:7" ht="15" x14ac:dyDescent="0.3">
      <c r="A4334">
        <v>35.960588927510003</v>
      </c>
      <c r="B4334">
        <v>-85.969662709929295</v>
      </c>
      <c r="C4334" t="s">
        <v>41</v>
      </c>
      <c r="D4334" t="s">
        <v>2783</v>
      </c>
      <c r="F4334" s="21"/>
      <c r="G4334" s="16" t="str">
        <f>HYPERLINK("http://maps.google.com/maps?f=q&amp;hl=en&amp;geocode=&amp;q=35.96058892751,-85.9696627099293")</f>
        <v>http://maps.google.com/maps?f=q&amp;hl=en&amp;geocode=&amp;q=35.96058892751,-85.9696627099293</v>
      </c>
    </row>
    <row r="4335" spans="1:7" ht="15" x14ac:dyDescent="0.3">
      <c r="A4335">
        <v>50.740764617919901</v>
      </c>
      <c r="B4335">
        <v>-1.8696773052215601</v>
      </c>
      <c r="C4335" t="s">
        <v>41</v>
      </c>
      <c r="D4335" t="s">
        <v>2784</v>
      </c>
      <c r="F4335" s="21"/>
      <c r="G4335" s="16" t="str">
        <f>HYPERLINK("http://maps.google.com/maps?f=q&amp;hl=en&amp;geocode=&amp;q=50.7407646179199,-1.86967730522156")</f>
        <v>http://maps.google.com/maps?f=q&amp;hl=en&amp;geocode=&amp;q=50.7407646179199,-1.86967730522156</v>
      </c>
    </row>
    <row r="4336" spans="1:7" ht="15" x14ac:dyDescent="0.3">
      <c r="A4336">
        <v>27.565180000000002</v>
      </c>
      <c r="B4336">
        <v>-99.448009999999996</v>
      </c>
      <c r="C4336" t="s">
        <v>42</v>
      </c>
      <c r="D4336" t="s">
        <v>2785</v>
      </c>
      <c r="F4336" s="21"/>
      <c r="G4336" s="16" t="str">
        <f>HYPERLINK("http://maps.google.com/maps?f=q&amp;hl=en&amp;geocode=&amp;q=27.56518,-99.44801")</f>
        <v>http://maps.google.com/maps?f=q&amp;hl=en&amp;geocode=&amp;q=27.56518,-99.44801</v>
      </c>
    </row>
    <row r="4337" spans="1:7" ht="15" x14ac:dyDescent="0.3">
      <c r="A4337" t="s">
        <v>44</v>
      </c>
      <c r="B4337" t="s">
        <v>44</v>
      </c>
      <c r="C4337" t="s">
        <v>44</v>
      </c>
      <c r="D4337" t="s">
        <v>1004</v>
      </c>
      <c r="F4337" s="21"/>
      <c r="G4337" s="16"/>
    </row>
    <row r="4338" spans="1:7" ht="15" x14ac:dyDescent="0.3">
      <c r="A4338">
        <v>40.06335</v>
      </c>
      <c r="B4338">
        <v>-75.057149999999993</v>
      </c>
      <c r="C4338" t="s">
        <v>43</v>
      </c>
      <c r="D4338" t="s">
        <v>2786</v>
      </c>
      <c r="F4338" s="21"/>
      <c r="G4338" s="16" t="str">
        <f>HYPERLINK("http://maps.google.com/maps?f=q&amp;hl=en&amp;geocode=&amp;q=40.06335,-75.05715")</f>
        <v>http://maps.google.com/maps?f=q&amp;hl=en&amp;geocode=&amp;q=40.06335,-75.05715</v>
      </c>
    </row>
    <row r="4339" spans="1:7" ht="15" x14ac:dyDescent="0.3">
      <c r="A4339">
        <v>39.986559999999997</v>
      </c>
      <c r="B4339">
        <v>-75.133070000000004</v>
      </c>
      <c r="C4339" t="s">
        <v>41</v>
      </c>
      <c r="D4339" t="s">
        <v>1647</v>
      </c>
      <c r="F4339" s="21"/>
      <c r="G4339" s="16" t="str">
        <f>HYPERLINK("http://maps.google.com/maps?f=q&amp;hl=en&amp;geocode=&amp;q=39.98656,-75.13307")</f>
        <v>http://maps.google.com/maps?f=q&amp;hl=en&amp;geocode=&amp;q=39.98656,-75.13307</v>
      </c>
    </row>
    <row r="4340" spans="1:7" ht="15" x14ac:dyDescent="0.3">
      <c r="A4340">
        <v>27.963167673281799</v>
      </c>
      <c r="B4340">
        <v>-82.482889052975807</v>
      </c>
      <c r="C4340" t="s">
        <v>41</v>
      </c>
      <c r="D4340" t="s">
        <v>2787</v>
      </c>
      <c r="F4340" s="21"/>
      <c r="G4340" s="16" t="str">
        <f>HYPERLINK("http://maps.google.com/maps?f=q&amp;hl=en&amp;geocode=&amp;q=27.9631676732818,-82.4828890529758")</f>
        <v>http://maps.google.com/maps?f=q&amp;hl=en&amp;geocode=&amp;q=27.9631676732818,-82.4828890529758</v>
      </c>
    </row>
    <row r="4341" spans="1:7" ht="15" x14ac:dyDescent="0.3">
      <c r="A4341" t="s">
        <v>44</v>
      </c>
      <c r="B4341" t="s">
        <v>44</v>
      </c>
      <c r="C4341" t="s">
        <v>44</v>
      </c>
      <c r="D4341" t="s">
        <v>75</v>
      </c>
      <c r="F4341" s="21"/>
      <c r="G4341" s="16"/>
    </row>
    <row r="4342" spans="1:7" ht="15" x14ac:dyDescent="0.3">
      <c r="A4342">
        <v>43.257278442382798</v>
      </c>
      <c r="B4342">
        <v>-88.138702392578097</v>
      </c>
      <c r="C4342" t="s">
        <v>41</v>
      </c>
      <c r="D4342" t="s">
        <v>2788</v>
      </c>
      <c r="F4342" s="21"/>
      <c r="G4342" s="16" t="str">
        <f>HYPERLINK("http://maps.google.com/maps?f=q&amp;hl=en&amp;geocode=&amp;q=43.2572784423828,-88.1387023925781")</f>
        <v>http://maps.google.com/maps?f=q&amp;hl=en&amp;geocode=&amp;q=43.2572784423828,-88.1387023925781</v>
      </c>
    </row>
    <row r="4343" spans="1:7" ht="15" x14ac:dyDescent="0.3">
      <c r="A4343">
        <v>39.929299999999998</v>
      </c>
      <c r="B4343">
        <v>-75.153540000000007</v>
      </c>
      <c r="C4343" t="s">
        <v>43</v>
      </c>
      <c r="D4343" t="s">
        <v>2789</v>
      </c>
      <c r="F4343" s="21"/>
      <c r="G4343" s="16" t="str">
        <f>HYPERLINK("http://maps.google.com/maps?f=q&amp;hl=en&amp;geocode=&amp;q=39.9293,-75.15354")</f>
        <v>http://maps.google.com/maps?f=q&amp;hl=en&amp;geocode=&amp;q=39.9293,-75.15354</v>
      </c>
    </row>
    <row r="4344" spans="1:7" ht="15" x14ac:dyDescent="0.3">
      <c r="A4344" t="s">
        <v>44</v>
      </c>
      <c r="B4344" t="s">
        <v>44</v>
      </c>
      <c r="C4344" t="s">
        <v>44</v>
      </c>
      <c r="D4344" t="s">
        <v>1243</v>
      </c>
      <c r="F4344" s="21"/>
      <c r="G4344" s="16"/>
    </row>
    <row r="4345" spans="1:7" ht="15" x14ac:dyDescent="0.3">
      <c r="A4345">
        <v>41.3295593954022</v>
      </c>
      <c r="B4345">
        <v>-75.962277071511707</v>
      </c>
      <c r="C4345" t="s">
        <v>41</v>
      </c>
      <c r="D4345" t="s">
        <v>2790</v>
      </c>
      <c r="F4345" s="21"/>
      <c r="G4345" s="16" t="str">
        <f>HYPERLINK("http://maps.google.com/maps?f=q&amp;hl=en&amp;geocode=&amp;q=41.3295593954022,-75.9622770715117")</f>
        <v>http://maps.google.com/maps?f=q&amp;hl=en&amp;geocode=&amp;q=41.3295593954022,-75.9622770715117</v>
      </c>
    </row>
    <row r="4346" spans="1:7" ht="15" x14ac:dyDescent="0.3">
      <c r="A4346">
        <v>43.042704341587402</v>
      </c>
      <c r="B4346">
        <v>-83.660222658687601</v>
      </c>
      <c r="C4346" t="s">
        <v>41</v>
      </c>
      <c r="D4346" t="s">
        <v>2683</v>
      </c>
      <c r="F4346" s="21"/>
      <c r="G4346" s="16" t="str">
        <f>HYPERLINK("http://maps.google.com/maps?f=q&amp;hl=en&amp;geocode=&amp;q=43.0427043415874,-83.6602226586876")</f>
        <v>http://maps.google.com/maps?f=q&amp;hl=en&amp;geocode=&amp;q=43.0427043415874,-83.6602226586876</v>
      </c>
    </row>
    <row r="4347" spans="1:7" ht="15" x14ac:dyDescent="0.3">
      <c r="A4347">
        <v>41.206065913830599</v>
      </c>
      <c r="B4347">
        <v>-76.920310663997498</v>
      </c>
      <c r="C4347" t="s">
        <v>41</v>
      </c>
      <c r="D4347" t="s">
        <v>2377</v>
      </c>
      <c r="F4347" s="21"/>
      <c r="G4347" s="16" t="str">
        <f>HYPERLINK("http://maps.google.com/maps?f=q&amp;hl=en&amp;geocode=&amp;q=41.2060659138306,-76.9203106639975")</f>
        <v>http://maps.google.com/maps?f=q&amp;hl=en&amp;geocode=&amp;q=41.2060659138306,-76.9203106639975</v>
      </c>
    </row>
    <row r="4348" spans="1:7" ht="15" x14ac:dyDescent="0.3">
      <c r="A4348">
        <v>40.039380000000001</v>
      </c>
      <c r="B4348">
        <v>-75.128820000000005</v>
      </c>
      <c r="C4348" t="s">
        <v>41</v>
      </c>
      <c r="D4348" t="s">
        <v>2791</v>
      </c>
      <c r="F4348" s="21"/>
      <c r="G4348" s="16" t="str">
        <f>HYPERLINK("http://maps.google.com/maps?f=q&amp;hl=en&amp;geocode=&amp;q=40.03938,-75.12882")</f>
        <v>http://maps.google.com/maps?f=q&amp;hl=en&amp;geocode=&amp;q=40.03938,-75.12882</v>
      </c>
    </row>
    <row r="4349" spans="1:7" ht="15" x14ac:dyDescent="0.3">
      <c r="A4349">
        <v>39.917209999999997</v>
      </c>
      <c r="B4349">
        <v>-75.237440000000007</v>
      </c>
      <c r="C4349" t="s">
        <v>43</v>
      </c>
      <c r="D4349" t="s">
        <v>2792</v>
      </c>
      <c r="F4349" s="21"/>
      <c r="G4349" s="16" t="str">
        <f>HYPERLINK("http://maps.google.com/maps?f=q&amp;hl=en&amp;geocode=&amp;q=39.91721,-75.23744")</f>
        <v>http://maps.google.com/maps?f=q&amp;hl=en&amp;geocode=&amp;q=39.91721,-75.23744</v>
      </c>
    </row>
    <row r="4350" spans="1:7" ht="15" x14ac:dyDescent="0.3">
      <c r="A4350">
        <v>41.545448303222699</v>
      </c>
      <c r="B4350">
        <v>-76.742660522460895</v>
      </c>
      <c r="C4350" t="s">
        <v>43</v>
      </c>
      <c r="D4350" t="s">
        <v>2627</v>
      </c>
      <c r="F4350" s="21"/>
      <c r="G4350" s="16" t="str">
        <f>HYPERLINK("http://maps.google.com/maps?f=q&amp;hl=en&amp;geocode=&amp;q=41.5454483032227,-76.7426605224609")</f>
        <v>http://maps.google.com/maps?f=q&amp;hl=en&amp;geocode=&amp;q=41.5454483032227,-76.7426605224609</v>
      </c>
    </row>
    <row r="4351" spans="1:7" ht="15" x14ac:dyDescent="0.3">
      <c r="A4351" t="s">
        <v>44</v>
      </c>
      <c r="B4351" t="s">
        <v>44</v>
      </c>
      <c r="C4351" t="s">
        <v>44</v>
      </c>
      <c r="D4351" t="s">
        <v>2793</v>
      </c>
      <c r="F4351" s="21"/>
      <c r="G4351" s="16"/>
    </row>
    <row r="4352" spans="1:7" ht="15" x14ac:dyDescent="0.3">
      <c r="A4352">
        <v>41.286486203728003</v>
      </c>
      <c r="B4352">
        <v>-111.98577196798</v>
      </c>
      <c r="C4352" t="s">
        <v>41</v>
      </c>
      <c r="D4352" t="s">
        <v>2794</v>
      </c>
      <c r="F4352" s="21"/>
      <c r="G4352" s="16" t="str">
        <f>HYPERLINK("http://maps.google.com/maps?f=q&amp;hl=en&amp;geocode=&amp;q=41.286486203728,-111.98577196798")</f>
        <v>http://maps.google.com/maps?f=q&amp;hl=en&amp;geocode=&amp;q=41.286486203728,-111.98577196798</v>
      </c>
    </row>
    <row r="4353" spans="1:7" ht="15" x14ac:dyDescent="0.3">
      <c r="A4353">
        <v>55.459780000000002</v>
      </c>
      <c r="B4353">
        <v>11.20115</v>
      </c>
      <c r="C4353" t="s">
        <v>41</v>
      </c>
      <c r="D4353" t="s">
        <v>757</v>
      </c>
      <c r="F4353" s="21"/>
      <c r="G4353" s="16" t="str">
        <f>HYPERLINK("http://maps.google.com/maps?f=q&amp;hl=en&amp;geocode=&amp;q=55.45978,11.20115")</f>
        <v>http://maps.google.com/maps?f=q&amp;hl=en&amp;geocode=&amp;q=55.45978,11.20115</v>
      </c>
    </row>
    <row r="4354" spans="1:7" ht="15" x14ac:dyDescent="0.3">
      <c r="A4354">
        <v>54.298728942871101</v>
      </c>
      <c r="B4354">
        <v>9.7888298034668004</v>
      </c>
      <c r="C4354" t="s">
        <v>43</v>
      </c>
      <c r="D4354" t="s">
        <v>2795</v>
      </c>
      <c r="F4354" s="21"/>
      <c r="G4354" s="16" t="str">
        <f>HYPERLINK("http://maps.google.com/maps?f=q&amp;hl=en&amp;geocode=&amp;q=54.2987289428711,9.7888298034668")</f>
        <v>http://maps.google.com/maps?f=q&amp;hl=en&amp;geocode=&amp;q=54.2987289428711,9.7888298034668</v>
      </c>
    </row>
    <row r="4355" spans="1:7" ht="15" x14ac:dyDescent="0.3">
      <c r="A4355">
        <v>-27.690320968627901</v>
      </c>
      <c r="B4355">
        <v>125.13433837890599</v>
      </c>
      <c r="C4355" t="s">
        <v>43</v>
      </c>
      <c r="D4355" t="s">
        <v>2796</v>
      </c>
      <c r="F4355" s="21"/>
      <c r="G4355" s="16" t="str">
        <f>HYPERLINK("http://maps.google.com/maps?f=q&amp;hl=en&amp;geocode=&amp;q=-27.6903209686279,125.134338378906")</f>
        <v>http://maps.google.com/maps?f=q&amp;hl=en&amp;geocode=&amp;q=-27.6903209686279,125.134338378906</v>
      </c>
    </row>
    <row r="4356" spans="1:7" ht="15" x14ac:dyDescent="0.3">
      <c r="F4356" s="21"/>
      <c r="G4356" s="16"/>
    </row>
    <row r="4357" spans="1:7" ht="15" x14ac:dyDescent="0.3">
      <c r="A4357">
        <v>39.996954737656701</v>
      </c>
      <c r="B4357">
        <v>-75.117221959843704</v>
      </c>
      <c r="C4357" t="s">
        <v>41</v>
      </c>
      <c r="D4357" t="s">
        <v>521</v>
      </c>
      <c r="F4357" s="21"/>
      <c r="G4357" s="16" t="str">
        <f>HYPERLINK("http://maps.google.com/maps?f=q&amp;hl=en&amp;geocode=&amp;q=39.9969547376567,-75.1172219598437")</f>
        <v>http://maps.google.com/maps?f=q&amp;hl=en&amp;geocode=&amp;q=39.9969547376567,-75.1172219598437</v>
      </c>
    </row>
    <row r="4358" spans="1:7" ht="15" x14ac:dyDescent="0.3">
      <c r="A4358">
        <v>40.027999999999999</v>
      </c>
      <c r="B4358">
        <v>-75.132339999999999</v>
      </c>
      <c r="C4358" t="s">
        <v>42</v>
      </c>
      <c r="D4358" t="s">
        <v>1087</v>
      </c>
      <c r="F4358" s="21"/>
      <c r="G4358" s="16" t="str">
        <f>HYPERLINK("http://maps.google.com/maps?f=q&amp;hl=en&amp;geocode=&amp;q=40.028,-75.13234")</f>
        <v>http://maps.google.com/maps?f=q&amp;hl=en&amp;geocode=&amp;q=40.028,-75.13234</v>
      </c>
    </row>
    <row r="4359" spans="1:7" ht="15" x14ac:dyDescent="0.3">
      <c r="A4359">
        <v>30.013470000000002</v>
      </c>
      <c r="B4359">
        <v>-90.176649999999995</v>
      </c>
      <c r="C4359" t="s">
        <v>41</v>
      </c>
      <c r="D4359" t="s">
        <v>390</v>
      </c>
      <c r="F4359" s="21"/>
      <c r="G4359" s="16" t="str">
        <f>HYPERLINK("http://maps.google.com/maps?f=q&amp;hl=en&amp;geocode=&amp;q=30.01347,-90.17665")</f>
        <v>http://maps.google.com/maps?f=q&amp;hl=en&amp;geocode=&amp;q=30.01347,-90.17665</v>
      </c>
    </row>
    <row r="4360" spans="1:7" ht="15" x14ac:dyDescent="0.3">
      <c r="A4360">
        <v>39.931262055490201</v>
      </c>
      <c r="B4360">
        <v>-75.146797104283195</v>
      </c>
      <c r="C4360" t="s">
        <v>41</v>
      </c>
      <c r="D4360" t="s">
        <v>2797</v>
      </c>
      <c r="F4360" s="21"/>
      <c r="G4360" s="16" t="str">
        <f>HYPERLINK("http://maps.google.com/maps?f=q&amp;hl=en&amp;geocode=&amp;q=39.9312620554902,-75.1467971042832")</f>
        <v>http://maps.google.com/maps?f=q&amp;hl=en&amp;geocode=&amp;q=39.9312620554902,-75.1467971042832</v>
      </c>
    </row>
    <row r="4361" spans="1:7" ht="15" x14ac:dyDescent="0.3">
      <c r="F4361" s="21"/>
      <c r="G4361" s="16"/>
    </row>
    <row r="4362" spans="1:7" ht="15" x14ac:dyDescent="0.3">
      <c r="F4362" s="21"/>
      <c r="G4362" s="16"/>
    </row>
    <row r="4363" spans="1:7" ht="15" x14ac:dyDescent="0.3">
      <c r="A4363">
        <v>38.199172171257302</v>
      </c>
      <c r="B4363">
        <v>-105.461361893156</v>
      </c>
      <c r="C4363" t="s">
        <v>41</v>
      </c>
      <c r="D4363" t="s">
        <v>2798</v>
      </c>
      <c r="F4363" s="21"/>
      <c r="G4363" s="16" t="str">
        <f>HYPERLINK("http://maps.google.com/maps?f=q&amp;hl=en&amp;geocode=&amp;q=38.1991721712573,-105.461361893156")</f>
        <v>http://maps.google.com/maps?f=q&amp;hl=en&amp;geocode=&amp;q=38.1991721712573,-105.461361893156</v>
      </c>
    </row>
    <row r="4364" spans="1:7" ht="15" x14ac:dyDescent="0.3">
      <c r="A4364">
        <v>39.951549999999997</v>
      </c>
      <c r="B4364">
        <v>-75.239009999999993</v>
      </c>
      <c r="C4364" t="s">
        <v>41</v>
      </c>
      <c r="D4364" t="s">
        <v>2799</v>
      </c>
      <c r="F4364" s="21"/>
      <c r="G4364" s="16" t="str">
        <f>HYPERLINK("http://maps.google.com/maps?f=q&amp;hl=en&amp;geocode=&amp;q=39.95155,-75.23901")</f>
        <v>http://maps.google.com/maps?f=q&amp;hl=en&amp;geocode=&amp;q=39.95155,-75.23901</v>
      </c>
    </row>
    <row r="4365" spans="1:7" ht="15" x14ac:dyDescent="0.3">
      <c r="A4365">
        <v>39.951459999999997</v>
      </c>
      <c r="B4365">
        <v>-75.240600000000001</v>
      </c>
      <c r="C4365" t="s">
        <v>41</v>
      </c>
      <c r="D4365" t="s">
        <v>2800</v>
      </c>
      <c r="F4365" s="21"/>
      <c r="G4365" s="16" t="str">
        <f>HYPERLINK("http://maps.google.com/maps?f=q&amp;hl=en&amp;geocode=&amp;q=39.95146,-75.2406")</f>
        <v>http://maps.google.com/maps?f=q&amp;hl=en&amp;geocode=&amp;q=39.95146,-75.2406</v>
      </c>
    </row>
    <row r="4366" spans="1:7" ht="15" x14ac:dyDescent="0.3">
      <c r="A4366" t="s">
        <v>44</v>
      </c>
      <c r="B4366" t="s">
        <v>44</v>
      </c>
      <c r="C4366" t="s">
        <v>44</v>
      </c>
      <c r="D4366" t="s">
        <v>2270</v>
      </c>
      <c r="F4366" s="21"/>
      <c r="G4366" s="16"/>
    </row>
    <row r="4367" spans="1:7" ht="15" x14ac:dyDescent="0.3">
      <c r="A4367">
        <v>40.037979125976598</v>
      </c>
      <c r="B4367">
        <v>-75.223060607910199</v>
      </c>
      <c r="C4367" t="s">
        <v>41</v>
      </c>
      <c r="D4367" t="s">
        <v>2505</v>
      </c>
      <c r="F4367" s="21"/>
      <c r="G4367" s="16" t="str">
        <f>HYPERLINK("http://maps.google.com/maps?f=q&amp;hl=en&amp;geocode=&amp;q=40.0379791259766,-75.2230606079102")</f>
        <v>http://maps.google.com/maps?f=q&amp;hl=en&amp;geocode=&amp;q=40.0379791259766,-75.2230606079102</v>
      </c>
    </row>
    <row r="4368" spans="1:7" ht="15" x14ac:dyDescent="0.3">
      <c r="A4368">
        <v>36.263401031494098</v>
      </c>
      <c r="B4368">
        <v>-90.292747497558594</v>
      </c>
      <c r="C4368" t="s">
        <v>43</v>
      </c>
      <c r="D4368" t="s">
        <v>2801</v>
      </c>
      <c r="F4368" s="21"/>
      <c r="G4368" s="16" t="str">
        <f>HYPERLINK("http://maps.google.com/maps?f=q&amp;hl=en&amp;geocode=&amp;q=36.2634010314941,-90.2927474975586")</f>
        <v>http://maps.google.com/maps?f=q&amp;hl=en&amp;geocode=&amp;q=36.2634010314941,-90.2927474975586</v>
      </c>
    </row>
    <row r="4369" spans="1:7" ht="15" x14ac:dyDescent="0.3">
      <c r="A4369">
        <v>39.95655</v>
      </c>
      <c r="B4369">
        <v>-75.241889999999998</v>
      </c>
      <c r="C4369" t="s">
        <v>43</v>
      </c>
      <c r="D4369" t="s">
        <v>2770</v>
      </c>
      <c r="F4369" s="21"/>
      <c r="G4369" s="16" t="str">
        <f>HYPERLINK("http://maps.google.com/maps?f=q&amp;hl=en&amp;geocode=&amp;q=39.95655,-75.24189")</f>
        <v>http://maps.google.com/maps?f=q&amp;hl=en&amp;geocode=&amp;q=39.95655,-75.24189</v>
      </c>
    </row>
    <row r="4370" spans="1:7" ht="15" x14ac:dyDescent="0.3">
      <c r="A4370">
        <v>27.516309738159201</v>
      </c>
      <c r="B4370">
        <v>-82.572959899902301</v>
      </c>
      <c r="C4370" t="s">
        <v>43</v>
      </c>
      <c r="D4370" t="s">
        <v>2802</v>
      </c>
      <c r="F4370" s="21"/>
      <c r="G4370" s="16" t="str">
        <f>HYPERLINK("http://maps.google.com/maps?f=q&amp;hl=en&amp;geocode=&amp;q=27.5163097381592,-82.5729598999023")</f>
        <v>http://maps.google.com/maps?f=q&amp;hl=en&amp;geocode=&amp;q=27.5163097381592,-82.5729598999023</v>
      </c>
    </row>
    <row r="4371" spans="1:7" ht="15" x14ac:dyDescent="0.3">
      <c r="A4371" t="s">
        <v>44</v>
      </c>
      <c r="B4371" t="s">
        <v>44</v>
      </c>
      <c r="C4371" t="s">
        <v>44</v>
      </c>
      <c r="D4371" t="s">
        <v>2803</v>
      </c>
      <c r="F4371" s="21"/>
      <c r="G4371" s="16"/>
    </row>
    <row r="4372" spans="1:7" ht="15" x14ac:dyDescent="0.3">
      <c r="A4372">
        <v>39.95655</v>
      </c>
      <c r="B4372">
        <v>-75.241889999999998</v>
      </c>
      <c r="C4372" t="s">
        <v>43</v>
      </c>
      <c r="D4372" t="s">
        <v>2770</v>
      </c>
      <c r="F4372" s="21"/>
      <c r="G4372" s="16" t="str">
        <f>HYPERLINK("http://maps.google.com/maps?f=q&amp;hl=en&amp;geocode=&amp;q=39.95655,-75.24189")</f>
        <v>http://maps.google.com/maps?f=q&amp;hl=en&amp;geocode=&amp;q=39.95655,-75.24189</v>
      </c>
    </row>
    <row r="4373" spans="1:7" ht="15" x14ac:dyDescent="0.3">
      <c r="A4373">
        <v>39.995069999999998</v>
      </c>
      <c r="B4373">
        <v>-75.353660000000005</v>
      </c>
      <c r="C4373" t="s">
        <v>42</v>
      </c>
      <c r="D4373" t="s">
        <v>2804</v>
      </c>
      <c r="F4373" s="21"/>
      <c r="G4373" s="16" t="str">
        <f>HYPERLINK("http://maps.google.com/maps?f=q&amp;hl=en&amp;geocode=&amp;q=39.99507,-75.35366")</f>
        <v>http://maps.google.com/maps?f=q&amp;hl=en&amp;geocode=&amp;q=39.99507,-75.35366</v>
      </c>
    </row>
    <row r="4374" spans="1:7" ht="15" x14ac:dyDescent="0.3">
      <c r="A4374">
        <v>39.961759999999998</v>
      </c>
      <c r="B4374">
        <v>-75.188220000000001</v>
      </c>
      <c r="C4374" t="s">
        <v>43</v>
      </c>
      <c r="D4374" t="s">
        <v>2805</v>
      </c>
      <c r="F4374" s="21"/>
      <c r="G4374" s="16" t="str">
        <f>HYPERLINK("http://maps.google.com/maps?f=q&amp;hl=en&amp;geocode=&amp;q=39.96176,-75.18822")</f>
        <v>http://maps.google.com/maps?f=q&amp;hl=en&amp;geocode=&amp;q=39.96176,-75.18822</v>
      </c>
    </row>
    <row r="4375" spans="1:7" ht="15" x14ac:dyDescent="0.3">
      <c r="A4375">
        <v>42.373890000000003</v>
      </c>
      <c r="B4375">
        <v>-87.8626</v>
      </c>
      <c r="C4375" t="s">
        <v>41</v>
      </c>
      <c r="D4375" t="s">
        <v>2806</v>
      </c>
      <c r="F4375" s="21"/>
      <c r="G4375" s="16" t="str">
        <f>HYPERLINK("http://maps.google.com/maps?f=q&amp;hl=en&amp;geocode=&amp;q=42.37389,-87.8626")</f>
        <v>http://maps.google.com/maps?f=q&amp;hl=en&amp;geocode=&amp;q=42.37389,-87.8626</v>
      </c>
    </row>
    <row r="4376" spans="1:7" ht="15" x14ac:dyDescent="0.3">
      <c r="A4376">
        <v>34.202649999999998</v>
      </c>
      <c r="B4376">
        <v>-88.721620000000001</v>
      </c>
      <c r="C4376" t="s">
        <v>42</v>
      </c>
      <c r="D4376" t="s">
        <v>2807</v>
      </c>
      <c r="F4376" s="21"/>
      <c r="G4376" s="16" t="str">
        <f>HYPERLINK("http://maps.google.com/maps?f=q&amp;hl=en&amp;geocode=&amp;q=34.20265,-88.72162")</f>
        <v>http://maps.google.com/maps?f=q&amp;hl=en&amp;geocode=&amp;q=34.20265,-88.72162</v>
      </c>
    </row>
    <row r="4377" spans="1:7" ht="15" x14ac:dyDescent="0.3">
      <c r="A4377">
        <v>30.4877605438232</v>
      </c>
      <c r="B4377">
        <v>-87.708351135253906</v>
      </c>
      <c r="C4377" t="s">
        <v>41</v>
      </c>
      <c r="D4377" t="s">
        <v>2808</v>
      </c>
      <c r="F4377" s="21"/>
      <c r="G4377" s="16" t="str">
        <f>HYPERLINK("http://maps.google.com/maps?f=q&amp;hl=en&amp;geocode=&amp;q=30.4877605438232,-87.7083511352539")</f>
        <v>http://maps.google.com/maps?f=q&amp;hl=en&amp;geocode=&amp;q=30.4877605438232,-87.7083511352539</v>
      </c>
    </row>
    <row r="4378" spans="1:7" ht="15" x14ac:dyDescent="0.3">
      <c r="A4378">
        <v>42.470289999999999</v>
      </c>
      <c r="B4378">
        <v>-83.077780000000004</v>
      </c>
      <c r="C4378" t="s">
        <v>42</v>
      </c>
      <c r="D4378" t="s">
        <v>130</v>
      </c>
      <c r="F4378" s="21"/>
      <c r="G4378" s="16" t="str">
        <f>HYPERLINK("http://maps.google.com/maps?f=q&amp;hl=en&amp;geocode=&amp;q=42.47029,-83.07778")</f>
        <v>http://maps.google.com/maps?f=q&amp;hl=en&amp;geocode=&amp;q=42.47029,-83.07778</v>
      </c>
    </row>
    <row r="4379" spans="1:7" ht="15" x14ac:dyDescent="0.3">
      <c r="A4379">
        <v>35.260944978971096</v>
      </c>
      <c r="B4379">
        <v>-114.012870210853</v>
      </c>
      <c r="C4379" t="s">
        <v>41</v>
      </c>
      <c r="D4379" t="s">
        <v>1213</v>
      </c>
      <c r="F4379" s="21"/>
      <c r="G4379" s="16" t="str">
        <f>HYPERLINK("http://maps.google.com/maps?f=q&amp;hl=en&amp;geocode=&amp;q=35.2609449789711,-114.012870210853")</f>
        <v>http://maps.google.com/maps?f=q&amp;hl=en&amp;geocode=&amp;q=35.2609449789711,-114.012870210853</v>
      </c>
    </row>
    <row r="4380" spans="1:7" ht="15" x14ac:dyDescent="0.3">
      <c r="A4380">
        <v>39.040599822997997</v>
      </c>
      <c r="B4380">
        <v>-120.63067626953099</v>
      </c>
      <c r="C4380" t="s">
        <v>43</v>
      </c>
      <c r="D4380" t="s">
        <v>2809</v>
      </c>
      <c r="F4380" s="21"/>
      <c r="G4380" s="16" t="str">
        <f>HYPERLINK("http://maps.google.com/maps?f=q&amp;hl=en&amp;geocode=&amp;q=39.040599822998,-120.630676269531")</f>
        <v>http://maps.google.com/maps?f=q&amp;hl=en&amp;geocode=&amp;q=39.040599822998,-120.630676269531</v>
      </c>
    </row>
    <row r="4381" spans="1:7" ht="15" x14ac:dyDescent="0.3">
      <c r="A4381">
        <v>51.402931213378899</v>
      </c>
      <c r="B4381">
        <v>-0.26279401779174799</v>
      </c>
      <c r="C4381" t="s">
        <v>41</v>
      </c>
      <c r="D4381" t="s">
        <v>2810</v>
      </c>
      <c r="F4381" s="21"/>
      <c r="G4381" s="16" t="str">
        <f>HYPERLINK("http://maps.google.com/maps?f=q&amp;hl=en&amp;geocode=&amp;q=51.4029312133789,-0.262794017791748")</f>
        <v>http://maps.google.com/maps?f=q&amp;hl=en&amp;geocode=&amp;q=51.4029312133789,-0.262794017791748</v>
      </c>
    </row>
    <row r="4382" spans="1:7" ht="15" x14ac:dyDescent="0.3">
      <c r="A4382">
        <v>32.797261016420499</v>
      </c>
      <c r="B4382">
        <v>-79.949101759846897</v>
      </c>
      <c r="C4382" t="s">
        <v>41</v>
      </c>
      <c r="D4382" t="s">
        <v>2811</v>
      </c>
      <c r="F4382" s="21"/>
      <c r="G4382" s="16" t="str">
        <f>HYPERLINK("http://maps.google.com/maps?f=q&amp;hl=en&amp;geocode=&amp;q=32.7972610164205,-79.9491017598469")</f>
        <v>http://maps.google.com/maps?f=q&amp;hl=en&amp;geocode=&amp;q=32.7972610164205,-79.9491017598469</v>
      </c>
    </row>
    <row r="4383" spans="1:7" ht="15" x14ac:dyDescent="0.3">
      <c r="A4383">
        <v>34.130764031592797</v>
      </c>
      <c r="B4383">
        <v>-116.337567275425</v>
      </c>
      <c r="C4383" t="s">
        <v>41</v>
      </c>
      <c r="D4383" t="s">
        <v>2812</v>
      </c>
      <c r="F4383" s="21"/>
      <c r="G4383" s="16" t="str">
        <f>HYPERLINK("http://maps.google.com/maps?f=q&amp;hl=en&amp;geocode=&amp;q=34.1307640315928,-116.337567275425")</f>
        <v>http://maps.google.com/maps?f=q&amp;hl=en&amp;geocode=&amp;q=34.1307640315928,-116.337567275425</v>
      </c>
    </row>
    <row r="4384" spans="1:7" ht="15" x14ac:dyDescent="0.3">
      <c r="A4384" t="s">
        <v>44</v>
      </c>
      <c r="B4384" t="s">
        <v>44</v>
      </c>
      <c r="C4384" t="s">
        <v>44</v>
      </c>
      <c r="D4384" t="s">
        <v>2813</v>
      </c>
      <c r="F4384" s="21"/>
      <c r="G4384" s="16"/>
    </row>
    <row r="4385" spans="1:7" ht="15" x14ac:dyDescent="0.3">
      <c r="A4385">
        <v>-33.892009999999999</v>
      </c>
      <c r="B4385">
        <v>137.62852000000001</v>
      </c>
      <c r="C4385" t="s">
        <v>41</v>
      </c>
      <c r="D4385" t="s">
        <v>2814</v>
      </c>
      <c r="F4385" s="21"/>
      <c r="G4385" s="16" t="str">
        <f>HYPERLINK("http://maps.google.com/maps?f=q&amp;hl=en&amp;geocode=&amp;q=-33.89201,137.62852")</f>
        <v>http://maps.google.com/maps?f=q&amp;hl=en&amp;geocode=&amp;q=-33.89201,137.62852</v>
      </c>
    </row>
    <row r="4386" spans="1:7" ht="15" x14ac:dyDescent="0.3">
      <c r="A4386">
        <v>35.428350000000002</v>
      </c>
      <c r="B4386">
        <v>-97.134460000000004</v>
      </c>
      <c r="C4386" t="s">
        <v>42</v>
      </c>
      <c r="D4386" t="s">
        <v>276</v>
      </c>
      <c r="F4386" s="21"/>
      <c r="G4386" s="16" t="str">
        <f>HYPERLINK("http://maps.google.com/maps?f=q&amp;hl=en&amp;geocode=&amp;q=35.42835,-97.13446")</f>
        <v>http://maps.google.com/maps?f=q&amp;hl=en&amp;geocode=&amp;q=35.42835,-97.13446</v>
      </c>
    </row>
    <row r="4387" spans="1:7" ht="15" x14ac:dyDescent="0.3">
      <c r="A4387">
        <v>35.428350000000002</v>
      </c>
      <c r="B4387">
        <v>-97.134460000000004</v>
      </c>
      <c r="C4387" t="s">
        <v>42</v>
      </c>
      <c r="D4387" t="s">
        <v>276</v>
      </c>
      <c r="F4387" s="21"/>
      <c r="G4387" s="16" t="str">
        <f>HYPERLINK("http://maps.google.com/maps?f=q&amp;hl=en&amp;geocode=&amp;q=35.42835,-97.13446")</f>
        <v>http://maps.google.com/maps?f=q&amp;hl=en&amp;geocode=&amp;q=35.42835,-97.13446</v>
      </c>
    </row>
    <row r="4388" spans="1:7" ht="15" x14ac:dyDescent="0.3">
      <c r="A4388">
        <v>51.403045654296903</v>
      </c>
      <c r="B4388">
        <v>-0.262797862291336</v>
      </c>
      <c r="C4388" t="s">
        <v>41</v>
      </c>
      <c r="D4388" t="s">
        <v>2815</v>
      </c>
      <c r="F4388" s="21"/>
      <c r="G4388" s="16" t="str">
        <f>HYPERLINK("http://maps.google.com/maps?f=q&amp;hl=en&amp;geocode=&amp;q=51.4030456542969,-0.262797862291336")</f>
        <v>http://maps.google.com/maps?f=q&amp;hl=en&amp;geocode=&amp;q=51.4030456542969,-0.262797862291336</v>
      </c>
    </row>
    <row r="4389" spans="1:7" ht="15" x14ac:dyDescent="0.3">
      <c r="A4389">
        <v>41.973191181973199</v>
      </c>
      <c r="B4389">
        <v>-104.670857270827</v>
      </c>
      <c r="C4389" t="s">
        <v>41</v>
      </c>
      <c r="D4389" t="s">
        <v>2816</v>
      </c>
      <c r="F4389" s="21"/>
      <c r="G4389" s="16" t="str">
        <f>HYPERLINK("http://maps.google.com/maps?f=q&amp;hl=en&amp;geocode=&amp;q=41.9731911819732,-104.670857270827")</f>
        <v>http://maps.google.com/maps?f=q&amp;hl=en&amp;geocode=&amp;q=41.9731911819732,-104.670857270827</v>
      </c>
    </row>
    <row r="4390" spans="1:7" ht="15" x14ac:dyDescent="0.3">
      <c r="A4390">
        <v>49.569370269775398</v>
      </c>
      <c r="B4390">
        <v>6.1529240608215297</v>
      </c>
      <c r="C4390" t="s">
        <v>41</v>
      </c>
      <c r="D4390" t="s">
        <v>2817</v>
      </c>
      <c r="F4390" s="21"/>
      <c r="G4390" s="16" t="str">
        <f>HYPERLINK("http://maps.google.com/maps?f=q&amp;hl=en&amp;geocode=&amp;q=49.5693702697754,6.15292406082153")</f>
        <v>http://maps.google.com/maps?f=q&amp;hl=en&amp;geocode=&amp;q=49.5693702697754,6.15292406082153</v>
      </c>
    </row>
    <row r="4391" spans="1:7" ht="15" x14ac:dyDescent="0.3">
      <c r="A4391">
        <v>39.040599822997997</v>
      </c>
      <c r="B4391">
        <v>-120.63067626953099</v>
      </c>
      <c r="C4391" t="s">
        <v>43</v>
      </c>
      <c r="D4391" t="s">
        <v>2809</v>
      </c>
      <c r="F4391" s="21"/>
      <c r="G4391" s="16" t="str">
        <f>HYPERLINK("http://maps.google.com/maps?f=q&amp;hl=en&amp;geocode=&amp;q=39.040599822998,-120.630676269531")</f>
        <v>http://maps.google.com/maps?f=q&amp;hl=en&amp;geocode=&amp;q=39.040599822998,-120.630676269531</v>
      </c>
    </row>
    <row r="4392" spans="1:7" ht="15" x14ac:dyDescent="0.3">
      <c r="A4392">
        <v>40.132432999999999</v>
      </c>
      <c r="B4392">
        <v>-75.450119999999998</v>
      </c>
      <c r="C4392" t="s">
        <v>41</v>
      </c>
      <c r="D4392" t="s">
        <v>2818</v>
      </c>
      <c r="F4392" s="21"/>
      <c r="G4392" s="16" t="str">
        <f>HYPERLINK("http://maps.google.com/maps?f=q&amp;hl=en&amp;geocode=&amp;q=40.132433,-75.45012")</f>
        <v>http://maps.google.com/maps?f=q&amp;hl=en&amp;geocode=&amp;q=40.132433,-75.45012</v>
      </c>
    </row>
    <row r="4393" spans="1:7" ht="15" x14ac:dyDescent="0.3">
      <c r="A4393">
        <v>40.132432999999999</v>
      </c>
      <c r="B4393">
        <v>-75.450119999999998</v>
      </c>
      <c r="C4393" t="s">
        <v>41</v>
      </c>
      <c r="D4393" t="s">
        <v>2818</v>
      </c>
      <c r="F4393" s="21"/>
      <c r="G4393" s="16" t="str">
        <f>HYPERLINK("http://maps.google.com/maps?f=q&amp;hl=en&amp;geocode=&amp;q=40.132433,-75.45012")</f>
        <v>http://maps.google.com/maps?f=q&amp;hl=en&amp;geocode=&amp;q=40.132433,-75.45012</v>
      </c>
    </row>
    <row r="4394" spans="1:7" ht="15" x14ac:dyDescent="0.3">
      <c r="A4394">
        <v>40.460018157958999</v>
      </c>
      <c r="B4394">
        <v>-78.591552734375</v>
      </c>
      <c r="C4394" t="s">
        <v>43</v>
      </c>
      <c r="D4394" t="s">
        <v>1067</v>
      </c>
      <c r="F4394" s="21"/>
      <c r="G4394" s="16" t="str">
        <f>HYPERLINK("http://maps.google.com/maps?f=q&amp;hl=en&amp;geocode=&amp;q=40.460018157959,-78.591552734375")</f>
        <v>http://maps.google.com/maps?f=q&amp;hl=en&amp;geocode=&amp;q=40.460018157959,-78.591552734375</v>
      </c>
    </row>
    <row r="4395" spans="1:7" ht="15" x14ac:dyDescent="0.3">
      <c r="A4395">
        <v>45.837741851806598</v>
      </c>
      <c r="B4395">
        <v>25.005935668945298</v>
      </c>
      <c r="C4395" t="s">
        <v>41</v>
      </c>
      <c r="D4395" t="s">
        <v>2819</v>
      </c>
      <c r="F4395" s="21"/>
      <c r="G4395" s="16" t="str">
        <f>HYPERLINK("http://maps.google.com/maps?f=q&amp;hl=en&amp;geocode=&amp;q=45.8377418518066,25.0059356689453")</f>
        <v>http://maps.google.com/maps?f=q&amp;hl=en&amp;geocode=&amp;q=45.8377418518066,25.0059356689453</v>
      </c>
    </row>
    <row r="4396" spans="1:7" ht="15" x14ac:dyDescent="0.3">
      <c r="A4396">
        <v>40.008600000000001</v>
      </c>
      <c r="B4396">
        <v>-75.099540000000005</v>
      </c>
      <c r="C4396" t="s">
        <v>41</v>
      </c>
      <c r="D4396" t="s">
        <v>2820</v>
      </c>
      <c r="F4396" s="21"/>
      <c r="G4396" s="16" t="str">
        <f>HYPERLINK("http://maps.google.com/maps?f=q&amp;hl=en&amp;geocode=&amp;q=40.0086,-75.09954")</f>
        <v>http://maps.google.com/maps?f=q&amp;hl=en&amp;geocode=&amp;q=40.0086,-75.09954</v>
      </c>
    </row>
    <row r="4397" spans="1:7" ht="15" x14ac:dyDescent="0.3">
      <c r="A4397">
        <v>40.008600000000001</v>
      </c>
      <c r="B4397">
        <v>-75.099540000000005</v>
      </c>
      <c r="C4397" t="s">
        <v>41</v>
      </c>
      <c r="D4397" t="s">
        <v>2820</v>
      </c>
      <c r="F4397" s="21"/>
      <c r="G4397" s="16" t="str">
        <f>HYPERLINK("http://maps.google.com/maps?f=q&amp;hl=en&amp;geocode=&amp;q=40.0086,-75.09954")</f>
        <v>http://maps.google.com/maps?f=q&amp;hl=en&amp;geocode=&amp;q=40.0086,-75.09954</v>
      </c>
    </row>
    <row r="4398" spans="1:7" ht="15" x14ac:dyDescent="0.3">
      <c r="A4398">
        <v>35.604377697010101</v>
      </c>
      <c r="B4398">
        <v>-86.747571565915294</v>
      </c>
      <c r="C4398" t="s">
        <v>41</v>
      </c>
      <c r="D4398" t="s">
        <v>2821</v>
      </c>
      <c r="F4398" s="21"/>
      <c r="G4398" s="16" t="str">
        <f>HYPERLINK("http://maps.google.com/maps?f=q&amp;hl=en&amp;geocode=&amp;q=35.6043776970101,-86.7475715659153")</f>
        <v>http://maps.google.com/maps?f=q&amp;hl=en&amp;geocode=&amp;q=35.6043776970101,-86.7475715659153</v>
      </c>
    </row>
    <row r="4399" spans="1:7" ht="15" x14ac:dyDescent="0.3">
      <c r="A4399">
        <v>39.969520568847699</v>
      </c>
      <c r="B4399">
        <v>-79.613929748535199</v>
      </c>
      <c r="C4399" t="s">
        <v>43</v>
      </c>
      <c r="D4399" t="s">
        <v>2822</v>
      </c>
      <c r="F4399" s="21"/>
      <c r="G4399" s="16" t="str">
        <f>HYPERLINK("http://maps.google.com/maps?f=q&amp;hl=en&amp;geocode=&amp;q=39.9695205688477,-79.6139297485352")</f>
        <v>http://maps.google.com/maps?f=q&amp;hl=en&amp;geocode=&amp;q=39.9695205688477,-79.6139297485352</v>
      </c>
    </row>
    <row r="4400" spans="1:7" ht="15" x14ac:dyDescent="0.3">
      <c r="A4400">
        <v>33.9038276672363</v>
      </c>
      <c r="B4400">
        <v>-80.893760681152301</v>
      </c>
      <c r="C4400" t="s">
        <v>41</v>
      </c>
      <c r="D4400" t="s">
        <v>2823</v>
      </c>
      <c r="F4400" s="21"/>
      <c r="G4400" s="16" t="str">
        <f>HYPERLINK("http://maps.google.com/maps?f=q&amp;hl=en&amp;geocode=&amp;q=33.9038276672363,-80.8937606811523")</f>
        <v>http://maps.google.com/maps?f=q&amp;hl=en&amp;geocode=&amp;q=33.9038276672363,-80.8937606811523</v>
      </c>
    </row>
    <row r="4401" spans="1:7" ht="15" x14ac:dyDescent="0.3">
      <c r="A4401">
        <v>39.965036790043797</v>
      </c>
      <c r="B4401">
        <v>-75.234225861874407</v>
      </c>
      <c r="C4401" t="s">
        <v>41</v>
      </c>
      <c r="D4401" t="s">
        <v>2594</v>
      </c>
      <c r="F4401" s="21"/>
      <c r="G4401" s="16" t="str">
        <f>HYPERLINK("http://maps.google.com/maps?f=q&amp;hl=en&amp;geocode=&amp;q=39.9650367900438,-75.2342258618744")</f>
        <v>http://maps.google.com/maps?f=q&amp;hl=en&amp;geocode=&amp;q=39.9650367900438,-75.2342258618744</v>
      </c>
    </row>
    <row r="4402" spans="1:7" ht="15" x14ac:dyDescent="0.3">
      <c r="A4402">
        <v>32.751467346487701</v>
      </c>
      <c r="B4402">
        <v>-84.451076285067501</v>
      </c>
      <c r="C4402" t="s">
        <v>41</v>
      </c>
      <c r="D4402" t="s">
        <v>2824</v>
      </c>
      <c r="F4402" s="21"/>
      <c r="G4402" s="16" t="str">
        <f>HYPERLINK("http://maps.google.com/maps?f=q&amp;hl=en&amp;geocode=&amp;q=32.7514673464877,-84.4510762850675")</f>
        <v>http://maps.google.com/maps?f=q&amp;hl=en&amp;geocode=&amp;q=32.7514673464877,-84.4510762850675</v>
      </c>
    </row>
    <row r="4403" spans="1:7" ht="15" x14ac:dyDescent="0.3">
      <c r="A4403">
        <v>39.944999694824197</v>
      </c>
      <c r="B4403">
        <v>-74.0780029296875</v>
      </c>
      <c r="C4403" t="s">
        <v>43</v>
      </c>
      <c r="D4403" t="s">
        <v>2825</v>
      </c>
      <c r="F4403" s="21"/>
      <c r="G4403" s="16" t="str">
        <f>HYPERLINK("http://maps.google.com/maps?f=q&amp;hl=en&amp;geocode=&amp;q=39.9449996948242,-74.0780029296875")</f>
        <v>http://maps.google.com/maps?f=q&amp;hl=en&amp;geocode=&amp;q=39.9449996948242,-74.0780029296875</v>
      </c>
    </row>
    <row r="4404" spans="1:7" ht="15" x14ac:dyDescent="0.3">
      <c r="A4404">
        <v>36.385362880786403</v>
      </c>
      <c r="B4404">
        <v>-78.626081207609204</v>
      </c>
      <c r="C4404" t="s">
        <v>41</v>
      </c>
      <c r="D4404" t="s">
        <v>308</v>
      </c>
      <c r="F4404" s="21"/>
      <c r="G4404" s="16" t="str">
        <f>HYPERLINK("http://maps.google.com/maps?f=q&amp;hl=en&amp;geocode=&amp;q=36.3853628807864,-78.6260812076092")</f>
        <v>http://maps.google.com/maps?f=q&amp;hl=en&amp;geocode=&amp;q=36.3853628807864,-78.6260812076092</v>
      </c>
    </row>
    <row r="4405" spans="1:7" ht="15" x14ac:dyDescent="0.3">
      <c r="A4405">
        <v>40.936635378851598</v>
      </c>
      <c r="B4405">
        <v>-74.301128888353503</v>
      </c>
      <c r="C4405" t="s">
        <v>41</v>
      </c>
      <c r="D4405" t="s">
        <v>2826</v>
      </c>
      <c r="F4405" s="21"/>
      <c r="G4405" s="16" t="str">
        <f>HYPERLINK("http://maps.google.com/maps?f=q&amp;hl=en&amp;geocode=&amp;q=40.9366353788516,-74.3011288883535")</f>
        <v>http://maps.google.com/maps?f=q&amp;hl=en&amp;geocode=&amp;q=40.9366353788516,-74.3011288883535</v>
      </c>
    </row>
    <row r="4406" spans="1:7" ht="15" x14ac:dyDescent="0.3">
      <c r="A4406">
        <v>52.6822319030762</v>
      </c>
      <c r="B4406">
        <v>0.13165999948978399</v>
      </c>
      <c r="C4406" t="s">
        <v>41</v>
      </c>
      <c r="D4406" t="s">
        <v>1331</v>
      </c>
      <c r="F4406" s="21"/>
      <c r="G4406" s="16" t="str">
        <f>HYPERLINK("http://maps.google.com/maps?f=q&amp;hl=en&amp;geocode=&amp;q=52.6822319030762,0.131659999489784")</f>
        <v>http://maps.google.com/maps?f=q&amp;hl=en&amp;geocode=&amp;q=52.6822319030762,0.131659999489784</v>
      </c>
    </row>
    <row r="4407" spans="1:7" ht="15" x14ac:dyDescent="0.3">
      <c r="A4407">
        <v>39.940959999999997</v>
      </c>
      <c r="B4407">
        <v>-75.177859999999995</v>
      </c>
      <c r="C4407" t="s">
        <v>42</v>
      </c>
      <c r="D4407" t="s">
        <v>2827</v>
      </c>
      <c r="F4407" s="21"/>
      <c r="G4407" s="16" t="str">
        <f>HYPERLINK("http://maps.google.com/maps?f=q&amp;hl=en&amp;geocode=&amp;q=39.94096,-75.17786")</f>
        <v>http://maps.google.com/maps?f=q&amp;hl=en&amp;geocode=&amp;q=39.94096,-75.17786</v>
      </c>
    </row>
    <row r="4408" spans="1:7" ht="15" x14ac:dyDescent="0.3">
      <c r="A4408">
        <v>33.565701992062401</v>
      </c>
      <c r="B4408">
        <v>-82.109405719265496</v>
      </c>
      <c r="C4408" t="s">
        <v>41</v>
      </c>
      <c r="D4408" t="s">
        <v>1613</v>
      </c>
      <c r="F4408" s="21"/>
      <c r="G4408" s="16" t="str">
        <f>HYPERLINK("http://maps.google.com/maps?f=q&amp;hl=en&amp;geocode=&amp;q=33.5657019920624,-82.1094057192655")</f>
        <v>http://maps.google.com/maps?f=q&amp;hl=en&amp;geocode=&amp;q=33.5657019920624,-82.1094057192655</v>
      </c>
    </row>
    <row r="4409" spans="1:7" ht="15" x14ac:dyDescent="0.3">
      <c r="A4409" t="s">
        <v>44</v>
      </c>
      <c r="B4409" t="s">
        <v>44</v>
      </c>
      <c r="C4409" t="s">
        <v>44</v>
      </c>
      <c r="D4409" t="s">
        <v>2828</v>
      </c>
      <c r="F4409" s="21"/>
      <c r="G4409" s="16"/>
    </row>
    <row r="4410" spans="1:7" ht="15" x14ac:dyDescent="0.3">
      <c r="A4410">
        <v>39.9247782977939</v>
      </c>
      <c r="B4410">
        <v>-75.239523014696999</v>
      </c>
      <c r="C4410" t="s">
        <v>41</v>
      </c>
      <c r="D4410" t="s">
        <v>2829</v>
      </c>
      <c r="F4410" s="21"/>
      <c r="G4410" s="16" t="str">
        <f>HYPERLINK("http://maps.google.com/maps?f=q&amp;hl=en&amp;geocode=&amp;q=39.9247782977939,-75.239523014697")</f>
        <v>http://maps.google.com/maps?f=q&amp;hl=en&amp;geocode=&amp;q=39.9247782977939,-75.239523014697</v>
      </c>
    </row>
    <row r="4411" spans="1:7" ht="15" x14ac:dyDescent="0.3">
      <c r="A4411">
        <v>34.859180450439503</v>
      </c>
      <c r="B4411">
        <v>-116.88890838623</v>
      </c>
      <c r="C4411" t="s">
        <v>43</v>
      </c>
      <c r="D4411" t="s">
        <v>2830</v>
      </c>
      <c r="F4411" s="21"/>
      <c r="G4411" s="16" t="str">
        <f>HYPERLINK("http://maps.google.com/maps?f=q&amp;hl=en&amp;geocode=&amp;q=34.8591804504395,-116.88890838623")</f>
        <v>http://maps.google.com/maps?f=q&amp;hl=en&amp;geocode=&amp;q=34.8591804504395,-116.88890838623</v>
      </c>
    </row>
    <row r="4412" spans="1:7" ht="15" x14ac:dyDescent="0.3">
      <c r="A4412">
        <v>33.674864966525398</v>
      </c>
      <c r="B4412">
        <v>-90.953794800068593</v>
      </c>
      <c r="C4412" t="s">
        <v>41</v>
      </c>
      <c r="D4412" t="s">
        <v>2831</v>
      </c>
      <c r="F4412" s="21"/>
      <c r="G4412" s="16" t="str">
        <f>HYPERLINK("http://maps.google.com/maps?f=q&amp;hl=en&amp;geocode=&amp;q=33.6748649665254,-90.9537948000686")</f>
        <v>http://maps.google.com/maps?f=q&amp;hl=en&amp;geocode=&amp;q=33.6748649665254,-90.9537948000686</v>
      </c>
    </row>
    <row r="4413" spans="1:7" ht="15" x14ac:dyDescent="0.3">
      <c r="A4413">
        <v>42.420688629150398</v>
      </c>
      <c r="B4413">
        <v>-78.491127014160199</v>
      </c>
      <c r="C4413" t="s">
        <v>41</v>
      </c>
      <c r="D4413" t="s">
        <v>2832</v>
      </c>
      <c r="F4413" s="21"/>
      <c r="G4413" s="16" t="str">
        <f>HYPERLINK("http://maps.google.com/maps?f=q&amp;hl=en&amp;geocode=&amp;q=42.4206886291504,-78.4911270141602")</f>
        <v>http://maps.google.com/maps?f=q&amp;hl=en&amp;geocode=&amp;q=42.4206886291504,-78.4911270141602</v>
      </c>
    </row>
    <row r="4414" spans="1:7" ht="15" x14ac:dyDescent="0.3">
      <c r="A4414">
        <v>40.460018157958999</v>
      </c>
      <c r="B4414">
        <v>-78.591552734375</v>
      </c>
      <c r="C4414" t="s">
        <v>43</v>
      </c>
      <c r="D4414" t="s">
        <v>1505</v>
      </c>
      <c r="F4414" s="21"/>
      <c r="G4414" s="16" t="str">
        <f>HYPERLINK("http://maps.google.com/maps?f=q&amp;hl=en&amp;geocode=&amp;q=40.460018157959,-78.591552734375")</f>
        <v>http://maps.google.com/maps?f=q&amp;hl=en&amp;geocode=&amp;q=40.460018157959,-78.591552734375</v>
      </c>
    </row>
    <row r="4415" spans="1:7" ht="15" x14ac:dyDescent="0.3">
      <c r="A4415">
        <v>55.887496948242202</v>
      </c>
      <c r="B4415">
        <v>11.6570587158203</v>
      </c>
      <c r="C4415" t="s">
        <v>41</v>
      </c>
      <c r="D4415" t="s">
        <v>2833</v>
      </c>
      <c r="F4415" s="21"/>
      <c r="G4415" s="16" t="str">
        <f>HYPERLINK("http://maps.google.com/maps?f=q&amp;hl=en&amp;geocode=&amp;q=55.8874969482422,11.6570587158203")</f>
        <v>http://maps.google.com/maps?f=q&amp;hl=en&amp;geocode=&amp;q=55.8874969482422,11.6570587158203</v>
      </c>
    </row>
    <row r="4416" spans="1:7" ht="15" x14ac:dyDescent="0.3">
      <c r="A4416">
        <v>32.096462127478702</v>
      </c>
      <c r="B4416">
        <v>-90.292811471197396</v>
      </c>
      <c r="C4416" t="s">
        <v>41</v>
      </c>
      <c r="D4416" t="s">
        <v>2834</v>
      </c>
      <c r="F4416" s="21"/>
      <c r="G4416" s="16" t="str">
        <f>HYPERLINK("http://maps.google.com/maps?f=q&amp;hl=en&amp;geocode=&amp;q=32.0964621274787,-90.2928114711974")</f>
        <v>http://maps.google.com/maps?f=q&amp;hl=en&amp;geocode=&amp;q=32.0964621274787,-90.2928114711974</v>
      </c>
    </row>
    <row r="4417" spans="1:7" ht="15" x14ac:dyDescent="0.3">
      <c r="A4417">
        <v>40.044460000000001</v>
      </c>
      <c r="B4417">
        <v>-75.115189999999998</v>
      </c>
      <c r="C4417" t="s">
        <v>41</v>
      </c>
      <c r="D4417" t="s">
        <v>2835</v>
      </c>
      <c r="F4417" s="21"/>
      <c r="G4417" s="16" t="str">
        <f>HYPERLINK("http://maps.google.com/maps?f=q&amp;hl=en&amp;geocode=&amp;q=40.04446,-75.11519")</f>
        <v>http://maps.google.com/maps?f=q&amp;hl=en&amp;geocode=&amp;q=40.04446,-75.11519</v>
      </c>
    </row>
    <row r="4418" spans="1:7" ht="15" x14ac:dyDescent="0.3">
      <c r="A4418">
        <v>40.038255504820697</v>
      </c>
      <c r="B4418">
        <v>-75.0678350924169</v>
      </c>
      <c r="C4418" t="s">
        <v>41</v>
      </c>
      <c r="D4418" t="s">
        <v>2644</v>
      </c>
      <c r="F4418" s="21"/>
      <c r="G4418" s="16" t="str">
        <f>HYPERLINK("http://maps.google.com/maps?f=q&amp;hl=en&amp;geocode=&amp;q=40.0382555048207,-75.0678350924169")</f>
        <v>http://maps.google.com/maps?f=q&amp;hl=en&amp;geocode=&amp;q=40.0382555048207,-75.0678350924169</v>
      </c>
    </row>
    <row r="4419" spans="1:7" ht="15" x14ac:dyDescent="0.3">
      <c r="A4419">
        <v>41.686759948730497</v>
      </c>
      <c r="B4419">
        <v>-85.975669860839801</v>
      </c>
      <c r="C4419" t="s">
        <v>41</v>
      </c>
      <c r="D4419" t="s">
        <v>2836</v>
      </c>
      <c r="F4419" s="21"/>
      <c r="G4419" s="16" t="str">
        <f>HYPERLINK("http://maps.google.com/maps?f=q&amp;hl=en&amp;geocode=&amp;q=41.6867599487305,-85.9756698608398")</f>
        <v>http://maps.google.com/maps?f=q&amp;hl=en&amp;geocode=&amp;q=41.6867599487305,-85.9756698608398</v>
      </c>
    </row>
    <row r="4420" spans="1:7" ht="15" x14ac:dyDescent="0.3">
      <c r="A4420">
        <v>43.217749521088599</v>
      </c>
      <c r="B4420">
        <v>-75.464896439752593</v>
      </c>
      <c r="C4420" t="s">
        <v>41</v>
      </c>
      <c r="D4420" t="s">
        <v>2837</v>
      </c>
      <c r="F4420" s="21"/>
      <c r="G4420" s="16" t="str">
        <f>HYPERLINK("http://maps.google.com/maps?f=q&amp;hl=en&amp;geocode=&amp;q=43.2177495210886,-75.4648964397526")</f>
        <v>http://maps.google.com/maps?f=q&amp;hl=en&amp;geocode=&amp;q=43.2177495210886,-75.4648964397526</v>
      </c>
    </row>
    <row r="4421" spans="1:7" ht="15" x14ac:dyDescent="0.3">
      <c r="A4421">
        <v>38.766411589082097</v>
      </c>
      <c r="B4421">
        <v>-90.591846957956406</v>
      </c>
      <c r="C4421" t="s">
        <v>43</v>
      </c>
      <c r="D4421" t="s">
        <v>401</v>
      </c>
      <c r="F4421" s="21"/>
      <c r="G4421" s="16" t="str">
        <f>HYPERLINK("http://maps.google.com/maps?f=q&amp;hl=en&amp;geocode=&amp;q=38.7664115890821,-90.5918469579564")</f>
        <v>http://maps.google.com/maps?f=q&amp;hl=en&amp;geocode=&amp;q=38.7664115890821,-90.5918469579564</v>
      </c>
    </row>
    <row r="4422" spans="1:7" ht="15" x14ac:dyDescent="0.3">
      <c r="A4422">
        <v>41.33531</v>
      </c>
      <c r="B4422">
        <v>-89.185829999999996</v>
      </c>
      <c r="C4422" t="s">
        <v>43</v>
      </c>
      <c r="D4422" t="s">
        <v>2838</v>
      </c>
      <c r="F4422" s="21"/>
      <c r="G4422" s="16" t="str">
        <f>HYPERLINK("http://maps.google.com/maps?f=q&amp;hl=en&amp;geocode=&amp;q=41.33531,-89.18583")</f>
        <v>http://maps.google.com/maps?f=q&amp;hl=en&amp;geocode=&amp;q=41.33531,-89.18583</v>
      </c>
    </row>
    <row r="4423" spans="1:7" ht="15" x14ac:dyDescent="0.3">
      <c r="A4423">
        <v>40.025080000000003</v>
      </c>
      <c r="B4423">
        <v>-75.049760000000006</v>
      </c>
      <c r="C4423" t="s">
        <v>41</v>
      </c>
      <c r="D4423" t="s">
        <v>2839</v>
      </c>
      <c r="F4423" s="21"/>
      <c r="G4423" s="16" t="str">
        <f>HYPERLINK("http://maps.google.com/maps?f=q&amp;hl=en&amp;geocode=&amp;q=40.02508,-75.04976")</f>
        <v>http://maps.google.com/maps?f=q&amp;hl=en&amp;geocode=&amp;q=40.02508,-75.04976</v>
      </c>
    </row>
    <row r="4424" spans="1:7" ht="15" x14ac:dyDescent="0.3">
      <c r="A4424">
        <v>40.025080000000003</v>
      </c>
      <c r="B4424">
        <v>-75.049760000000006</v>
      </c>
      <c r="C4424" t="s">
        <v>41</v>
      </c>
      <c r="D4424" t="s">
        <v>2839</v>
      </c>
      <c r="F4424" s="21"/>
      <c r="G4424" s="16" t="str">
        <f>HYPERLINK("http://maps.google.com/maps?f=q&amp;hl=en&amp;geocode=&amp;q=40.02508,-75.04976")</f>
        <v>http://maps.google.com/maps?f=q&amp;hl=en&amp;geocode=&amp;q=40.02508,-75.04976</v>
      </c>
    </row>
    <row r="4425" spans="1:7" ht="15" x14ac:dyDescent="0.3">
      <c r="A4425">
        <v>39.973567327313297</v>
      </c>
      <c r="B4425">
        <v>-75.219969653493905</v>
      </c>
      <c r="C4425" t="s">
        <v>41</v>
      </c>
      <c r="D4425" t="s">
        <v>2840</v>
      </c>
      <c r="F4425" s="21"/>
      <c r="G4425" s="16" t="str">
        <f>HYPERLINK("http://maps.google.com/maps?f=q&amp;hl=en&amp;geocode=&amp;q=39.9735673273133,-75.2199696534939")</f>
        <v>http://maps.google.com/maps?f=q&amp;hl=en&amp;geocode=&amp;q=39.9735673273133,-75.2199696534939</v>
      </c>
    </row>
    <row r="4426" spans="1:7" ht="15" x14ac:dyDescent="0.3">
      <c r="A4426" t="s">
        <v>44</v>
      </c>
      <c r="B4426" t="s">
        <v>44</v>
      </c>
      <c r="C4426" t="s">
        <v>44</v>
      </c>
      <c r="D4426" t="s">
        <v>2841</v>
      </c>
      <c r="F4426" s="21"/>
      <c r="G4426" s="16"/>
    </row>
    <row r="4427" spans="1:7" ht="15" x14ac:dyDescent="0.3">
      <c r="A4427">
        <v>42.4435</v>
      </c>
      <c r="B4427">
        <v>-85.700490000000002</v>
      </c>
      <c r="C4427" t="s">
        <v>42</v>
      </c>
      <c r="D4427" t="s">
        <v>2397</v>
      </c>
      <c r="F4427" s="21"/>
      <c r="G4427" s="16" t="str">
        <f>HYPERLINK("http://maps.google.com/maps?f=q&amp;hl=en&amp;geocode=&amp;q=42.4435,-85.70049")</f>
        <v>http://maps.google.com/maps?f=q&amp;hl=en&amp;geocode=&amp;q=42.4435,-85.70049</v>
      </c>
    </row>
    <row r="4428" spans="1:7" ht="15" x14ac:dyDescent="0.3">
      <c r="A4428">
        <v>34.788004903641799</v>
      </c>
      <c r="B4428">
        <v>-92.283993318780603</v>
      </c>
      <c r="C4428" t="s">
        <v>41</v>
      </c>
      <c r="D4428" t="s">
        <v>2842</v>
      </c>
      <c r="F4428" s="21"/>
      <c r="G4428" s="16" t="str">
        <f>HYPERLINK("http://maps.google.com/maps?f=q&amp;hl=en&amp;geocode=&amp;q=34.7880049036418,-92.2839933187806")</f>
        <v>http://maps.google.com/maps?f=q&amp;hl=en&amp;geocode=&amp;q=34.7880049036418,-92.2839933187806</v>
      </c>
    </row>
    <row r="4429" spans="1:7" ht="15" x14ac:dyDescent="0.3">
      <c r="A4429">
        <v>37.241072477694097</v>
      </c>
      <c r="B4429">
        <v>-79.998654977856503</v>
      </c>
      <c r="C4429" t="s">
        <v>41</v>
      </c>
      <c r="D4429" t="s">
        <v>372</v>
      </c>
      <c r="F4429" s="21"/>
      <c r="G4429" s="16" t="str">
        <f>HYPERLINK("http://maps.google.com/maps?f=q&amp;hl=en&amp;geocode=&amp;q=37.2410724776941,-79.9986549778565")</f>
        <v>http://maps.google.com/maps?f=q&amp;hl=en&amp;geocode=&amp;q=37.2410724776941,-79.9986549778565</v>
      </c>
    </row>
    <row r="4430" spans="1:7" ht="15" x14ac:dyDescent="0.3">
      <c r="A4430">
        <v>40.839390000000002</v>
      </c>
      <c r="B4430">
        <v>-73.843639999999994</v>
      </c>
      <c r="C4430" t="s">
        <v>43</v>
      </c>
      <c r="D4430" t="s">
        <v>2843</v>
      </c>
      <c r="F4430" s="21"/>
      <c r="G4430" s="16" t="str">
        <f>HYPERLINK("http://maps.google.com/maps?f=q&amp;hl=en&amp;geocode=&amp;q=40.83939,-73.84364")</f>
        <v>http://maps.google.com/maps?f=q&amp;hl=en&amp;geocode=&amp;q=40.83939,-73.84364</v>
      </c>
    </row>
    <row r="4431" spans="1:7" ht="15" x14ac:dyDescent="0.3">
      <c r="A4431">
        <v>42.470289999999999</v>
      </c>
      <c r="B4431">
        <v>-83.077780000000004</v>
      </c>
      <c r="C4431" t="s">
        <v>42</v>
      </c>
      <c r="D4431" t="s">
        <v>130</v>
      </c>
      <c r="F4431" s="21"/>
      <c r="G4431" s="16" t="str">
        <f>HYPERLINK("http://maps.google.com/maps?f=q&amp;hl=en&amp;geocode=&amp;q=42.47029,-83.07778")</f>
        <v>http://maps.google.com/maps?f=q&amp;hl=en&amp;geocode=&amp;q=42.47029,-83.07778</v>
      </c>
    </row>
    <row r="4432" spans="1:7" ht="15" x14ac:dyDescent="0.3">
      <c r="A4432">
        <v>26.628741502289301</v>
      </c>
      <c r="B4432">
        <v>-80.113355605914606</v>
      </c>
      <c r="C4432" t="s">
        <v>41</v>
      </c>
      <c r="D4432" t="s">
        <v>2844</v>
      </c>
      <c r="F4432" s="21"/>
      <c r="G4432" s="16" t="str">
        <f>HYPERLINK("http://maps.google.com/maps?f=q&amp;hl=en&amp;geocode=&amp;q=26.6287415022893,-80.1133556059146")</f>
        <v>http://maps.google.com/maps?f=q&amp;hl=en&amp;geocode=&amp;q=26.6287415022893,-80.1133556059146</v>
      </c>
    </row>
    <row r="4433" spans="1:7" ht="15" x14ac:dyDescent="0.3">
      <c r="A4433">
        <v>39.973567327313297</v>
      </c>
      <c r="B4433">
        <v>-75.219969653493905</v>
      </c>
      <c r="C4433" t="s">
        <v>41</v>
      </c>
      <c r="D4433" t="s">
        <v>2840</v>
      </c>
      <c r="F4433" s="21"/>
      <c r="G4433" s="16" t="str">
        <f>HYPERLINK("http://maps.google.com/maps?f=q&amp;hl=en&amp;geocode=&amp;q=39.9735673273133,-75.2199696534939")</f>
        <v>http://maps.google.com/maps?f=q&amp;hl=en&amp;geocode=&amp;q=39.9735673273133,-75.2199696534939</v>
      </c>
    </row>
    <row r="4434" spans="1:7" ht="15" x14ac:dyDescent="0.3">
      <c r="A4434">
        <v>38.734319357657199</v>
      </c>
      <c r="B4434">
        <v>-76.902201061556099</v>
      </c>
      <c r="C4434" t="s">
        <v>41</v>
      </c>
      <c r="D4434" t="s">
        <v>2845</v>
      </c>
      <c r="F4434" s="21"/>
      <c r="G4434" s="16" t="str">
        <f>HYPERLINK("http://maps.google.com/maps?f=q&amp;hl=en&amp;geocode=&amp;q=38.7343193576572,-76.9022010615561")</f>
        <v>http://maps.google.com/maps?f=q&amp;hl=en&amp;geocode=&amp;q=38.7343193576572,-76.9022010615561</v>
      </c>
    </row>
    <row r="4435" spans="1:7" ht="15" x14ac:dyDescent="0.3">
      <c r="A4435">
        <v>33.258006256218302</v>
      </c>
      <c r="B4435">
        <v>-97.208486168443599</v>
      </c>
      <c r="C4435" t="s">
        <v>43</v>
      </c>
      <c r="D4435" t="s">
        <v>2846</v>
      </c>
      <c r="F4435" s="21"/>
      <c r="G4435" s="16" t="str">
        <f>HYPERLINK("http://maps.google.com/maps?f=q&amp;hl=en&amp;geocode=&amp;q=33.2580062562183,-97.2084861684436")</f>
        <v>http://maps.google.com/maps?f=q&amp;hl=en&amp;geocode=&amp;q=33.2580062562183,-97.2084861684436</v>
      </c>
    </row>
    <row r="4436" spans="1:7" ht="15" x14ac:dyDescent="0.3">
      <c r="A4436">
        <v>50.397903442382798</v>
      </c>
      <c r="B4436">
        <v>4.5238752365112296</v>
      </c>
      <c r="C4436" t="s">
        <v>43</v>
      </c>
      <c r="D4436" t="s">
        <v>2847</v>
      </c>
      <c r="F4436" s="21"/>
      <c r="G4436" s="16" t="str">
        <f>HYPERLINK("http://maps.google.com/maps?f=q&amp;hl=en&amp;geocode=&amp;q=50.3979034423828,4.52387523651123")</f>
        <v>http://maps.google.com/maps?f=q&amp;hl=en&amp;geocode=&amp;q=50.3979034423828,4.52387523651123</v>
      </c>
    </row>
    <row r="4437" spans="1:7" ht="15" x14ac:dyDescent="0.3">
      <c r="A4437">
        <v>35.146077670372797</v>
      </c>
      <c r="B4437">
        <v>-118.02294769027201</v>
      </c>
      <c r="C4437" t="s">
        <v>41</v>
      </c>
      <c r="D4437" t="s">
        <v>2848</v>
      </c>
      <c r="F4437" s="21"/>
      <c r="G4437" s="16" t="str">
        <f>HYPERLINK("http://maps.google.com/maps?f=q&amp;hl=en&amp;geocode=&amp;q=35.1460776703728,-118.022947690272")</f>
        <v>http://maps.google.com/maps?f=q&amp;hl=en&amp;geocode=&amp;q=35.1460776703728,-118.022947690272</v>
      </c>
    </row>
    <row r="4438" spans="1:7" ht="15" x14ac:dyDescent="0.3">
      <c r="A4438">
        <v>40.043092157613003</v>
      </c>
      <c r="B4438">
        <v>-75.081831148769098</v>
      </c>
      <c r="C4438" t="s">
        <v>41</v>
      </c>
      <c r="D4438" t="s">
        <v>2293</v>
      </c>
      <c r="F4438" s="21"/>
      <c r="G4438" s="16" t="str">
        <f>HYPERLINK("http://maps.google.com/maps?f=q&amp;hl=en&amp;geocode=&amp;q=40.043092157613,-75.0818311487691")</f>
        <v>http://maps.google.com/maps?f=q&amp;hl=en&amp;geocode=&amp;q=40.043092157613,-75.0818311487691</v>
      </c>
    </row>
    <row r="4439" spans="1:7" ht="15" x14ac:dyDescent="0.3">
      <c r="A4439">
        <v>33.565701992062401</v>
      </c>
      <c r="B4439">
        <v>-82.109405719265496</v>
      </c>
      <c r="C4439" t="s">
        <v>41</v>
      </c>
      <c r="D4439" t="s">
        <v>1613</v>
      </c>
      <c r="F4439" s="21"/>
      <c r="G4439" s="16" t="str">
        <f>HYPERLINK("http://maps.google.com/maps?f=q&amp;hl=en&amp;geocode=&amp;q=33.5657019920624,-82.1094057192655")</f>
        <v>http://maps.google.com/maps?f=q&amp;hl=en&amp;geocode=&amp;q=33.5657019920624,-82.1094057192655</v>
      </c>
    </row>
    <row r="4440" spans="1:7" ht="15" x14ac:dyDescent="0.3">
      <c r="A4440">
        <v>-26.142440000000001</v>
      </c>
      <c r="B4440">
        <v>27.91825</v>
      </c>
      <c r="C4440" t="s">
        <v>41</v>
      </c>
      <c r="D4440" t="s">
        <v>2558</v>
      </c>
      <c r="F4440" s="21"/>
      <c r="G4440" s="16" t="str">
        <f>HYPERLINK("http://maps.google.com/maps?f=q&amp;hl=en&amp;geocode=&amp;q=-26.14244,27.91825")</f>
        <v>http://maps.google.com/maps?f=q&amp;hl=en&amp;geocode=&amp;q=-26.14244,27.91825</v>
      </c>
    </row>
    <row r="4441" spans="1:7" ht="15" x14ac:dyDescent="0.3">
      <c r="A4441">
        <v>41.535719139777498</v>
      </c>
      <c r="B4441">
        <v>-83.853860071447798</v>
      </c>
      <c r="C4441" t="s">
        <v>41</v>
      </c>
      <c r="D4441" t="s">
        <v>2849</v>
      </c>
      <c r="F4441" s="21"/>
      <c r="G4441" s="16" t="str">
        <f>HYPERLINK("http://maps.google.com/maps?f=q&amp;hl=en&amp;geocode=&amp;q=41.5357191397775,-83.8538600714478")</f>
        <v>http://maps.google.com/maps?f=q&amp;hl=en&amp;geocode=&amp;q=41.5357191397775,-83.8538600714478</v>
      </c>
    </row>
    <row r="4442" spans="1:7" ht="15" x14ac:dyDescent="0.3">
      <c r="A4442">
        <v>33.565701992062401</v>
      </c>
      <c r="B4442">
        <v>-82.109405719265496</v>
      </c>
      <c r="C4442" t="s">
        <v>41</v>
      </c>
      <c r="D4442" t="s">
        <v>1613</v>
      </c>
      <c r="F4442" s="21"/>
      <c r="G4442" s="16" t="str">
        <f>HYPERLINK("http://maps.google.com/maps?f=q&amp;hl=en&amp;geocode=&amp;q=33.5657019920624,-82.1094057192655")</f>
        <v>http://maps.google.com/maps?f=q&amp;hl=en&amp;geocode=&amp;q=33.5657019920624,-82.1094057192655</v>
      </c>
    </row>
    <row r="4443" spans="1:7" ht="15" x14ac:dyDescent="0.3">
      <c r="A4443">
        <v>33.565701992062401</v>
      </c>
      <c r="B4443">
        <v>-82.109405719265496</v>
      </c>
      <c r="C4443" t="s">
        <v>41</v>
      </c>
      <c r="D4443" t="s">
        <v>1613</v>
      </c>
      <c r="F4443" s="21"/>
      <c r="G4443" s="16" t="str">
        <f>HYPERLINK("http://maps.google.com/maps?f=q&amp;hl=en&amp;geocode=&amp;q=33.5657019920624,-82.1094057192655")</f>
        <v>http://maps.google.com/maps?f=q&amp;hl=en&amp;geocode=&amp;q=33.5657019920624,-82.1094057192655</v>
      </c>
    </row>
    <row r="4444" spans="1:7" ht="15" x14ac:dyDescent="0.3">
      <c r="A4444">
        <v>33.565701992062401</v>
      </c>
      <c r="B4444">
        <v>-82.109405719265496</v>
      </c>
      <c r="C4444" t="s">
        <v>41</v>
      </c>
      <c r="D4444" t="s">
        <v>1613</v>
      </c>
      <c r="F4444" s="21"/>
      <c r="G4444" s="16" t="str">
        <f>HYPERLINK("http://maps.google.com/maps?f=q&amp;hl=en&amp;geocode=&amp;q=33.5657019920624,-82.1094057192655")</f>
        <v>http://maps.google.com/maps?f=q&amp;hl=en&amp;geocode=&amp;q=33.5657019920624,-82.1094057192655</v>
      </c>
    </row>
    <row r="4445" spans="1:7" ht="15" x14ac:dyDescent="0.3">
      <c r="A4445">
        <v>33.565701992062401</v>
      </c>
      <c r="B4445">
        <v>-82.109405719265496</v>
      </c>
      <c r="C4445" t="s">
        <v>41</v>
      </c>
      <c r="D4445" t="s">
        <v>1613</v>
      </c>
      <c r="F4445" s="21"/>
      <c r="G4445" s="16" t="str">
        <f>HYPERLINK("http://maps.google.com/maps?f=q&amp;hl=en&amp;geocode=&amp;q=33.5657019920624,-82.1094057192655")</f>
        <v>http://maps.google.com/maps?f=q&amp;hl=en&amp;geocode=&amp;q=33.5657019920624,-82.1094057192655</v>
      </c>
    </row>
    <row r="4446" spans="1:7" ht="15" x14ac:dyDescent="0.3">
      <c r="A4446">
        <v>33.565701992062401</v>
      </c>
      <c r="B4446">
        <v>-82.109405719265496</v>
      </c>
      <c r="C4446" t="s">
        <v>41</v>
      </c>
      <c r="D4446" t="s">
        <v>1613</v>
      </c>
      <c r="F4446" s="21"/>
      <c r="G4446" s="16" t="str">
        <f>HYPERLINK("http://maps.google.com/maps?f=q&amp;hl=en&amp;geocode=&amp;q=33.5657019920624,-82.1094057192655")</f>
        <v>http://maps.google.com/maps?f=q&amp;hl=en&amp;geocode=&amp;q=33.5657019920624,-82.1094057192655</v>
      </c>
    </row>
    <row r="4447" spans="1:7" ht="15" x14ac:dyDescent="0.3">
      <c r="A4447">
        <v>33.302106452308699</v>
      </c>
      <c r="B4447">
        <v>-80.795138983383197</v>
      </c>
      <c r="C4447" t="s">
        <v>41</v>
      </c>
      <c r="D4447" t="s">
        <v>2850</v>
      </c>
      <c r="F4447" s="21"/>
      <c r="G4447" s="16" t="str">
        <f>HYPERLINK("http://maps.google.com/maps?f=q&amp;hl=en&amp;geocode=&amp;q=33.3021064523087,-80.7951389833832")</f>
        <v>http://maps.google.com/maps?f=q&amp;hl=en&amp;geocode=&amp;q=33.3021064523087,-80.7951389833832</v>
      </c>
    </row>
    <row r="4448" spans="1:7" ht="15" x14ac:dyDescent="0.3">
      <c r="A4448" t="s">
        <v>44</v>
      </c>
      <c r="B4448" t="s">
        <v>44</v>
      </c>
      <c r="C4448" t="s">
        <v>44</v>
      </c>
      <c r="D4448" t="s">
        <v>235</v>
      </c>
      <c r="F4448" s="21"/>
      <c r="G4448" s="16"/>
    </row>
    <row r="4449" spans="1:7" ht="15" x14ac:dyDescent="0.3">
      <c r="A4449" t="s">
        <v>44</v>
      </c>
      <c r="B4449" t="s">
        <v>44</v>
      </c>
      <c r="C4449" t="s">
        <v>44</v>
      </c>
      <c r="D4449" t="s">
        <v>2828</v>
      </c>
      <c r="F4449" s="21"/>
      <c r="G4449" s="16"/>
    </row>
    <row r="4450" spans="1:7" ht="15" x14ac:dyDescent="0.3">
      <c r="A4450">
        <v>33.565701992062401</v>
      </c>
      <c r="B4450">
        <v>-82.109405719265496</v>
      </c>
      <c r="C4450" t="s">
        <v>41</v>
      </c>
      <c r="D4450" t="s">
        <v>1613</v>
      </c>
      <c r="F4450" s="21"/>
      <c r="G4450" s="16" t="str">
        <f>HYPERLINK("http://maps.google.com/maps?f=q&amp;hl=en&amp;geocode=&amp;q=33.5657019920624,-82.1094057192655")</f>
        <v>http://maps.google.com/maps?f=q&amp;hl=en&amp;geocode=&amp;q=33.5657019920624,-82.1094057192655</v>
      </c>
    </row>
    <row r="4451" spans="1:7" ht="15" x14ac:dyDescent="0.3">
      <c r="A4451" t="s">
        <v>44</v>
      </c>
      <c r="B4451" t="s">
        <v>44</v>
      </c>
      <c r="C4451" t="s">
        <v>44</v>
      </c>
      <c r="D4451" t="s">
        <v>2851</v>
      </c>
      <c r="F4451" s="21"/>
      <c r="G4451" s="16"/>
    </row>
    <row r="4452" spans="1:7" ht="15" x14ac:dyDescent="0.3">
      <c r="A4452">
        <v>44.551789999999997</v>
      </c>
      <c r="B4452">
        <v>-69.609859999999998</v>
      </c>
      <c r="C4452" t="s">
        <v>42</v>
      </c>
      <c r="D4452" t="s">
        <v>2852</v>
      </c>
      <c r="F4452" s="21"/>
      <c r="G4452" s="16" t="str">
        <f>HYPERLINK("http://maps.google.com/maps?f=q&amp;hl=en&amp;geocode=&amp;q=44.55179,-69.60986")</f>
        <v>http://maps.google.com/maps?f=q&amp;hl=en&amp;geocode=&amp;q=44.55179,-69.60986</v>
      </c>
    </row>
    <row r="4453" spans="1:7" ht="15" x14ac:dyDescent="0.3">
      <c r="A4453">
        <v>34.123361009263299</v>
      </c>
      <c r="B4453">
        <v>-117.605559279402</v>
      </c>
      <c r="C4453" t="s">
        <v>41</v>
      </c>
      <c r="D4453" t="s">
        <v>2853</v>
      </c>
      <c r="F4453" s="21"/>
      <c r="G4453" s="16" t="str">
        <f>HYPERLINK("http://maps.google.com/maps?f=q&amp;hl=en&amp;geocode=&amp;q=34.1233610092633,-117.605559279402")</f>
        <v>http://maps.google.com/maps?f=q&amp;hl=en&amp;geocode=&amp;q=34.1233610092633,-117.605559279402</v>
      </c>
    </row>
    <row r="4454" spans="1:7" ht="15" x14ac:dyDescent="0.3">
      <c r="A4454" t="s">
        <v>44</v>
      </c>
      <c r="B4454" t="s">
        <v>44</v>
      </c>
      <c r="C4454" t="s">
        <v>44</v>
      </c>
      <c r="D4454" t="s">
        <v>2828</v>
      </c>
      <c r="F4454" s="21"/>
      <c r="G4454" s="16"/>
    </row>
    <row r="4455" spans="1:7" ht="15" x14ac:dyDescent="0.3">
      <c r="A4455">
        <v>33.565701992062401</v>
      </c>
      <c r="B4455">
        <v>-82.109405719265496</v>
      </c>
      <c r="C4455" t="s">
        <v>41</v>
      </c>
      <c r="D4455" t="s">
        <v>1613</v>
      </c>
      <c r="F4455" s="21"/>
      <c r="G4455" s="16" t="str">
        <f>HYPERLINK("http://maps.google.com/maps?f=q&amp;hl=en&amp;geocode=&amp;q=33.5657019920624,-82.1094057192655")</f>
        <v>http://maps.google.com/maps?f=q&amp;hl=en&amp;geocode=&amp;q=33.5657019920624,-82.1094057192655</v>
      </c>
    </row>
    <row r="4456" spans="1:7" ht="15" x14ac:dyDescent="0.3">
      <c r="A4456">
        <v>33.565701992062401</v>
      </c>
      <c r="B4456">
        <v>-82.109405719265496</v>
      </c>
      <c r="C4456" t="s">
        <v>41</v>
      </c>
      <c r="D4456" t="s">
        <v>1613</v>
      </c>
      <c r="F4456" s="21"/>
      <c r="G4456" s="16" t="str">
        <f>HYPERLINK("http://maps.google.com/maps?f=q&amp;hl=en&amp;geocode=&amp;q=33.5657019920624,-82.1094057192655")</f>
        <v>http://maps.google.com/maps?f=q&amp;hl=en&amp;geocode=&amp;q=33.5657019920624,-82.1094057192655</v>
      </c>
    </row>
    <row r="4457" spans="1:7" ht="15" x14ac:dyDescent="0.3">
      <c r="A4457">
        <v>53.0112113952637</v>
      </c>
      <c r="B4457">
        <v>12.1616401672363</v>
      </c>
      <c r="C4457" t="s">
        <v>41</v>
      </c>
      <c r="D4457" t="s">
        <v>2854</v>
      </c>
      <c r="F4457" s="21"/>
      <c r="G4457" s="16" t="str">
        <f>HYPERLINK("http://maps.google.com/maps?f=q&amp;hl=en&amp;geocode=&amp;q=53.0112113952637,12.1616401672363")</f>
        <v>http://maps.google.com/maps?f=q&amp;hl=en&amp;geocode=&amp;q=53.0112113952637,12.1616401672363</v>
      </c>
    </row>
    <row r="4458" spans="1:7" ht="15" x14ac:dyDescent="0.3">
      <c r="A4458">
        <v>43.559775596990796</v>
      </c>
      <c r="B4458">
        <v>-116.855376288784</v>
      </c>
      <c r="C4458" t="s">
        <v>41</v>
      </c>
      <c r="D4458" t="s">
        <v>2855</v>
      </c>
      <c r="F4458" s="21"/>
      <c r="G4458" s="16" t="str">
        <f>HYPERLINK("http://maps.google.com/maps?f=q&amp;hl=en&amp;geocode=&amp;q=43.5597755969908,-116.855376288784")</f>
        <v>http://maps.google.com/maps?f=q&amp;hl=en&amp;geocode=&amp;q=43.5597755969908,-116.855376288784</v>
      </c>
    </row>
    <row r="4459" spans="1:7" ht="15" x14ac:dyDescent="0.3">
      <c r="F4459" s="21"/>
      <c r="G4459" s="16"/>
    </row>
    <row r="4460" spans="1:7" ht="15" x14ac:dyDescent="0.3">
      <c r="A4460" t="s">
        <v>44</v>
      </c>
      <c r="B4460" t="s">
        <v>44</v>
      </c>
      <c r="C4460" t="s">
        <v>44</v>
      </c>
      <c r="D4460" t="s">
        <v>2828</v>
      </c>
      <c r="F4460" s="21"/>
      <c r="G4460" s="16"/>
    </row>
    <row r="4461" spans="1:7" ht="15" x14ac:dyDescent="0.3">
      <c r="A4461">
        <v>33.565701992062401</v>
      </c>
      <c r="B4461">
        <v>-82.109405719265496</v>
      </c>
      <c r="C4461" t="s">
        <v>41</v>
      </c>
      <c r="D4461" t="s">
        <v>1613</v>
      </c>
      <c r="F4461" s="21"/>
      <c r="G4461" s="16" t="str">
        <f>HYPERLINK("http://maps.google.com/maps?f=q&amp;hl=en&amp;geocode=&amp;q=33.5657019920624,-82.1094057192655")</f>
        <v>http://maps.google.com/maps?f=q&amp;hl=en&amp;geocode=&amp;q=33.5657019920624,-82.1094057192655</v>
      </c>
    </row>
    <row r="4462" spans="1:7" ht="15" x14ac:dyDescent="0.3">
      <c r="A4462">
        <v>33.565701992062401</v>
      </c>
      <c r="B4462">
        <v>-82.109405719265496</v>
      </c>
      <c r="C4462" t="s">
        <v>41</v>
      </c>
      <c r="D4462" t="s">
        <v>1613</v>
      </c>
      <c r="F4462" s="21"/>
      <c r="G4462" s="16" t="str">
        <f>HYPERLINK("http://maps.google.com/maps?f=q&amp;hl=en&amp;geocode=&amp;q=33.5657019920624,-82.1094057192655")</f>
        <v>http://maps.google.com/maps?f=q&amp;hl=en&amp;geocode=&amp;q=33.5657019920624,-82.1094057192655</v>
      </c>
    </row>
    <row r="4463" spans="1:7" ht="15" x14ac:dyDescent="0.3">
      <c r="A4463">
        <v>33.565701992062401</v>
      </c>
      <c r="B4463">
        <v>-82.109405719265496</v>
      </c>
      <c r="C4463" t="s">
        <v>41</v>
      </c>
      <c r="D4463" t="s">
        <v>1613</v>
      </c>
      <c r="F4463" s="21"/>
      <c r="G4463" s="16" t="str">
        <f>HYPERLINK("http://maps.google.com/maps?f=q&amp;hl=en&amp;geocode=&amp;q=33.5657019920624,-82.1094057192655")</f>
        <v>http://maps.google.com/maps?f=q&amp;hl=en&amp;geocode=&amp;q=33.5657019920624,-82.1094057192655</v>
      </c>
    </row>
    <row r="4464" spans="1:7" ht="15" x14ac:dyDescent="0.3">
      <c r="A4464">
        <v>33.565701992062401</v>
      </c>
      <c r="B4464">
        <v>-82.109405719265496</v>
      </c>
      <c r="C4464" t="s">
        <v>41</v>
      </c>
      <c r="D4464" t="s">
        <v>1613</v>
      </c>
      <c r="F4464" s="21"/>
      <c r="G4464" s="16" t="str">
        <f>HYPERLINK("http://maps.google.com/maps?f=q&amp;hl=en&amp;geocode=&amp;q=33.5657019920624,-82.1094057192655")</f>
        <v>http://maps.google.com/maps?f=q&amp;hl=en&amp;geocode=&amp;q=33.5657019920624,-82.1094057192655</v>
      </c>
    </row>
    <row r="4465" spans="1:7" ht="15" x14ac:dyDescent="0.3">
      <c r="A4465">
        <v>27.613869999999999</v>
      </c>
      <c r="B4465">
        <v>-81.409710000000004</v>
      </c>
      <c r="C4465" t="s">
        <v>43</v>
      </c>
      <c r="D4465" t="s">
        <v>2856</v>
      </c>
      <c r="F4465" s="21"/>
      <c r="G4465" s="16" t="str">
        <f>HYPERLINK("http://maps.google.com/maps?f=q&amp;hl=en&amp;geocode=&amp;q=27.61387,-81.40971")</f>
        <v>http://maps.google.com/maps?f=q&amp;hl=en&amp;geocode=&amp;q=27.61387,-81.40971</v>
      </c>
    </row>
    <row r="4466" spans="1:7" ht="15" x14ac:dyDescent="0.3">
      <c r="A4466">
        <v>42.549280000000003</v>
      </c>
      <c r="B4466">
        <v>-114.53552000000001</v>
      </c>
      <c r="C4466" t="s">
        <v>43</v>
      </c>
      <c r="D4466" t="s">
        <v>295</v>
      </c>
      <c r="F4466" s="21"/>
      <c r="G4466" s="16" t="str">
        <f>HYPERLINK("http://maps.google.com/maps?f=q&amp;hl=en&amp;geocode=&amp;q=42.54928,-114.53552")</f>
        <v>http://maps.google.com/maps?f=q&amp;hl=en&amp;geocode=&amp;q=42.54928,-114.53552</v>
      </c>
    </row>
    <row r="4467" spans="1:7" ht="15" x14ac:dyDescent="0.3">
      <c r="A4467">
        <v>-33.299518585205099</v>
      </c>
      <c r="B4467">
        <v>149.01606750488301</v>
      </c>
      <c r="C4467" t="s">
        <v>43</v>
      </c>
      <c r="D4467" t="s">
        <v>2857</v>
      </c>
      <c r="F4467" s="21"/>
      <c r="G4467" s="16" t="str">
        <f>HYPERLINK("http://maps.google.com/maps?f=q&amp;hl=en&amp;geocode=&amp;q=-33.2995185852051,149.016067504883")</f>
        <v>http://maps.google.com/maps?f=q&amp;hl=en&amp;geocode=&amp;q=-33.2995185852051,149.016067504883</v>
      </c>
    </row>
    <row r="4468" spans="1:7" ht="15" x14ac:dyDescent="0.3">
      <c r="A4468" t="s">
        <v>44</v>
      </c>
      <c r="B4468" t="s">
        <v>44</v>
      </c>
      <c r="C4468" t="s">
        <v>44</v>
      </c>
      <c r="D4468" t="s">
        <v>2858</v>
      </c>
      <c r="F4468" s="21"/>
      <c r="G4468" s="16"/>
    </row>
    <row r="4469" spans="1:7" ht="15" x14ac:dyDescent="0.3">
      <c r="A4469" t="s">
        <v>44</v>
      </c>
      <c r="B4469" t="s">
        <v>44</v>
      </c>
      <c r="C4469" t="s">
        <v>44</v>
      </c>
      <c r="D4469" t="s">
        <v>2859</v>
      </c>
      <c r="F4469" s="21"/>
      <c r="G4469" s="16"/>
    </row>
    <row r="4470" spans="1:7" ht="15" x14ac:dyDescent="0.3">
      <c r="A4470">
        <v>31.194691514151099</v>
      </c>
      <c r="B4470">
        <v>-98.739737525647797</v>
      </c>
      <c r="C4470" t="s">
        <v>41</v>
      </c>
      <c r="D4470" t="s">
        <v>2860</v>
      </c>
      <c r="F4470" s="21"/>
      <c r="G4470" s="16" t="str">
        <f>HYPERLINK("http://maps.google.com/maps?f=q&amp;hl=en&amp;geocode=&amp;q=31.1946915141511,-98.7397375256478")</f>
        <v>http://maps.google.com/maps?f=q&amp;hl=en&amp;geocode=&amp;q=31.1946915141511,-98.7397375256478</v>
      </c>
    </row>
    <row r="4471" spans="1:7" ht="15" x14ac:dyDescent="0.3">
      <c r="A4471">
        <v>39.555210000000002</v>
      </c>
      <c r="B4471">
        <v>-76.094220000000007</v>
      </c>
      <c r="C4471" t="s">
        <v>43</v>
      </c>
      <c r="D4471" t="s">
        <v>2861</v>
      </c>
      <c r="F4471" s="21"/>
      <c r="G4471" s="16" t="str">
        <f>HYPERLINK("http://maps.google.com/maps?f=q&amp;hl=en&amp;geocode=&amp;q=39.55521,-76.09422")</f>
        <v>http://maps.google.com/maps?f=q&amp;hl=en&amp;geocode=&amp;q=39.55521,-76.09422</v>
      </c>
    </row>
    <row r="4472" spans="1:7" ht="15" x14ac:dyDescent="0.3">
      <c r="A4472">
        <v>30.299074998091601</v>
      </c>
      <c r="B4472">
        <v>-85.532838087110093</v>
      </c>
      <c r="C4472" t="s">
        <v>41</v>
      </c>
      <c r="D4472" t="s">
        <v>432</v>
      </c>
      <c r="F4472" s="21"/>
      <c r="G4472" s="16" t="str">
        <f>HYPERLINK("http://maps.google.com/maps?f=q&amp;hl=en&amp;geocode=&amp;q=30.2990749980916,-85.5328380871101")</f>
        <v>http://maps.google.com/maps?f=q&amp;hl=en&amp;geocode=&amp;q=30.2990749980916,-85.5328380871101</v>
      </c>
    </row>
    <row r="4473" spans="1:7" ht="15" x14ac:dyDescent="0.3">
      <c r="A4473" t="s">
        <v>44</v>
      </c>
      <c r="B4473" t="s">
        <v>44</v>
      </c>
      <c r="C4473" t="s">
        <v>44</v>
      </c>
      <c r="D4473" t="s">
        <v>2862</v>
      </c>
      <c r="F4473" s="21"/>
      <c r="G4473" s="16"/>
    </row>
    <row r="4474" spans="1:7" ht="15" x14ac:dyDescent="0.3">
      <c r="A4474">
        <v>40.872205088132802</v>
      </c>
      <c r="B4474">
        <v>-96.993730210691197</v>
      </c>
      <c r="C4474" t="s">
        <v>41</v>
      </c>
      <c r="D4474" t="s">
        <v>2863</v>
      </c>
      <c r="F4474" s="21"/>
      <c r="G4474" s="16" t="str">
        <f>HYPERLINK("http://maps.google.com/maps?f=q&amp;hl=en&amp;geocode=&amp;q=40.8722050881328,-96.9937302106912")</f>
        <v>http://maps.google.com/maps?f=q&amp;hl=en&amp;geocode=&amp;q=40.8722050881328,-96.9937302106912</v>
      </c>
    </row>
    <row r="4475" spans="1:7" ht="15" x14ac:dyDescent="0.3">
      <c r="A4475">
        <v>43.26088</v>
      </c>
      <c r="B4475">
        <v>-112.14492</v>
      </c>
      <c r="C4475" t="s">
        <v>42</v>
      </c>
      <c r="D4475" t="s">
        <v>305</v>
      </c>
      <c r="F4475" s="21"/>
      <c r="G4475" s="16" t="str">
        <f>HYPERLINK("http://maps.google.com/maps?f=q&amp;hl=en&amp;geocode=&amp;q=43.26088,-112.14492")</f>
        <v>http://maps.google.com/maps?f=q&amp;hl=en&amp;geocode=&amp;q=43.26088,-112.14492</v>
      </c>
    </row>
    <row r="4476" spans="1:7" ht="15" x14ac:dyDescent="0.3">
      <c r="A4476">
        <v>50.068752288818402</v>
      </c>
      <c r="B4476">
        <v>-85.828125</v>
      </c>
      <c r="C4476" t="s">
        <v>41</v>
      </c>
      <c r="D4476" t="s">
        <v>1383</v>
      </c>
      <c r="F4476" s="21"/>
      <c r="G4476" s="16" t="str">
        <f>HYPERLINK("http://maps.google.com/maps?f=q&amp;hl=en&amp;geocode=&amp;q=50.0687522888184,-85.828125")</f>
        <v>http://maps.google.com/maps?f=q&amp;hl=en&amp;geocode=&amp;q=50.0687522888184,-85.828125</v>
      </c>
    </row>
    <row r="4477" spans="1:7" ht="15" x14ac:dyDescent="0.3">
      <c r="A4477">
        <v>50.407670000000003</v>
      </c>
      <c r="B4477">
        <v>3.7755999999999998</v>
      </c>
      <c r="C4477" t="s">
        <v>43</v>
      </c>
      <c r="D4477" t="s">
        <v>2864</v>
      </c>
      <c r="F4477" s="21"/>
      <c r="G4477" s="16" t="str">
        <f>HYPERLINK("http://maps.google.com/maps?f=q&amp;hl=en&amp;geocode=&amp;q=50.40767,3.7756")</f>
        <v>http://maps.google.com/maps?f=q&amp;hl=en&amp;geocode=&amp;q=50.40767,3.7756</v>
      </c>
    </row>
    <row r="4478" spans="1:7" ht="15" x14ac:dyDescent="0.3">
      <c r="A4478">
        <v>45.634151458740199</v>
      </c>
      <c r="B4478">
        <v>-84.782386779785199</v>
      </c>
      <c r="C4478" t="s">
        <v>43</v>
      </c>
      <c r="D4478" t="s">
        <v>1380</v>
      </c>
      <c r="F4478" s="21"/>
      <c r="G4478" s="16" t="str">
        <f>HYPERLINK("http://maps.google.com/maps?f=q&amp;hl=en&amp;geocode=&amp;q=45.6341514587402,-84.7823867797852")</f>
        <v>http://maps.google.com/maps?f=q&amp;hl=en&amp;geocode=&amp;q=45.6341514587402,-84.7823867797852</v>
      </c>
    </row>
    <row r="4479" spans="1:7" ht="15" x14ac:dyDescent="0.3">
      <c r="A4479">
        <v>-34.859650000000002</v>
      </c>
      <c r="B4479">
        <v>138.50916000000001</v>
      </c>
      <c r="C4479" t="s">
        <v>41</v>
      </c>
      <c r="D4479" t="s">
        <v>1424</v>
      </c>
      <c r="F4479" s="21"/>
      <c r="G4479" s="16" t="str">
        <f>HYPERLINK("http://maps.google.com/maps?f=q&amp;hl=en&amp;geocode=&amp;q=-34.85965,138.50916")</f>
        <v>http://maps.google.com/maps?f=q&amp;hl=en&amp;geocode=&amp;q=-34.85965,138.50916</v>
      </c>
    </row>
    <row r="4480" spans="1:7" ht="15" x14ac:dyDescent="0.3">
      <c r="A4480">
        <v>-26.034427642822301</v>
      </c>
      <c r="B4480">
        <v>28.5431098937988</v>
      </c>
      <c r="C4480" t="s">
        <v>43</v>
      </c>
      <c r="D4480" t="s">
        <v>115</v>
      </c>
      <c r="F4480" s="21"/>
      <c r="G4480" s="16" t="str">
        <f>HYPERLINK("http://maps.google.com/maps?f=q&amp;hl=en&amp;geocode=&amp;q=-26.0344276428223,28.5431098937988")</f>
        <v>http://maps.google.com/maps?f=q&amp;hl=en&amp;geocode=&amp;q=-26.0344276428223,28.5431098937988</v>
      </c>
    </row>
    <row r="4481" spans="1:7" ht="15" x14ac:dyDescent="0.3">
      <c r="A4481">
        <v>40.310944422465397</v>
      </c>
      <c r="B4481">
        <v>-78.323633480156602</v>
      </c>
      <c r="C4481" t="s">
        <v>41</v>
      </c>
      <c r="D4481" t="s">
        <v>2865</v>
      </c>
      <c r="F4481" s="21"/>
      <c r="G4481" s="16" t="str">
        <f>HYPERLINK("http://maps.google.com/maps?f=q&amp;hl=en&amp;geocode=&amp;q=40.3109444224654,-78.3236334801566")</f>
        <v>http://maps.google.com/maps?f=q&amp;hl=en&amp;geocode=&amp;q=40.3109444224654,-78.3236334801566</v>
      </c>
    </row>
    <row r="4482" spans="1:7" ht="15" x14ac:dyDescent="0.3">
      <c r="A4482">
        <v>48.220100402832003</v>
      </c>
      <c r="B4482">
        <v>16.025609970092798</v>
      </c>
      <c r="C4482" t="s">
        <v>41</v>
      </c>
      <c r="D4482" t="s">
        <v>2866</v>
      </c>
      <c r="F4482" s="21"/>
      <c r="G4482" s="16" t="str">
        <f>HYPERLINK("http://maps.google.com/maps?f=q&amp;hl=en&amp;geocode=&amp;q=48.220100402832,16.0256099700928")</f>
        <v>http://maps.google.com/maps?f=q&amp;hl=en&amp;geocode=&amp;q=48.220100402832,16.0256099700928</v>
      </c>
    </row>
    <row r="4483" spans="1:7" ht="15" x14ac:dyDescent="0.3">
      <c r="A4483" t="s">
        <v>44</v>
      </c>
      <c r="B4483" t="s">
        <v>44</v>
      </c>
      <c r="C4483" t="s">
        <v>44</v>
      </c>
      <c r="D4483" t="s">
        <v>2136</v>
      </c>
      <c r="F4483" s="21"/>
      <c r="G4483" s="16"/>
    </row>
    <row r="4484" spans="1:7" ht="15" x14ac:dyDescent="0.3">
      <c r="A4484">
        <v>42.470289999999999</v>
      </c>
      <c r="B4484">
        <v>-83.077780000000004</v>
      </c>
      <c r="C4484" t="s">
        <v>42</v>
      </c>
      <c r="D4484" t="s">
        <v>130</v>
      </c>
      <c r="F4484" s="21"/>
      <c r="G4484" s="16" t="str">
        <f>HYPERLINK("http://maps.google.com/maps?f=q&amp;hl=en&amp;geocode=&amp;q=42.47029,-83.07778")</f>
        <v>http://maps.google.com/maps?f=q&amp;hl=en&amp;geocode=&amp;q=42.47029,-83.07778</v>
      </c>
    </row>
    <row r="4485" spans="1:7" ht="15" x14ac:dyDescent="0.3">
      <c r="A4485">
        <v>39.945374025159701</v>
      </c>
      <c r="B4485">
        <v>-75.227391876025393</v>
      </c>
      <c r="C4485" t="s">
        <v>41</v>
      </c>
      <c r="D4485" t="s">
        <v>2867</v>
      </c>
      <c r="F4485" s="21"/>
      <c r="G4485" s="16" t="str">
        <f>HYPERLINK("http://maps.google.com/maps?f=q&amp;hl=en&amp;geocode=&amp;q=39.9453740251597,-75.2273918760254")</f>
        <v>http://maps.google.com/maps?f=q&amp;hl=en&amp;geocode=&amp;q=39.9453740251597,-75.2273918760254</v>
      </c>
    </row>
    <row r="4486" spans="1:7" ht="15" x14ac:dyDescent="0.3">
      <c r="A4486">
        <v>35.965989015210802</v>
      </c>
      <c r="B4486">
        <v>-94.232247053401494</v>
      </c>
      <c r="C4486" t="s">
        <v>41</v>
      </c>
      <c r="D4486" t="s">
        <v>2543</v>
      </c>
      <c r="F4486" s="21"/>
      <c r="G4486" s="16" t="str">
        <f>HYPERLINK("http://maps.google.com/maps?f=q&amp;hl=en&amp;geocode=&amp;q=35.9659890152108,-94.2322470534015")</f>
        <v>http://maps.google.com/maps?f=q&amp;hl=en&amp;geocode=&amp;q=35.9659890152108,-94.2322470534015</v>
      </c>
    </row>
    <row r="4487" spans="1:7" ht="15" x14ac:dyDescent="0.3">
      <c r="A4487">
        <v>42.901659488987498</v>
      </c>
      <c r="B4487">
        <v>-85.798384577020798</v>
      </c>
      <c r="C4487" t="s">
        <v>41</v>
      </c>
      <c r="D4487" t="s">
        <v>982</v>
      </c>
      <c r="F4487" s="21"/>
      <c r="G4487" s="16" t="str">
        <f>HYPERLINK("http://maps.google.com/maps?f=q&amp;hl=en&amp;geocode=&amp;q=42.9016594889875,-85.7983845770208")</f>
        <v>http://maps.google.com/maps?f=q&amp;hl=en&amp;geocode=&amp;q=42.9016594889875,-85.7983845770208</v>
      </c>
    </row>
    <row r="4488" spans="1:7" ht="15" x14ac:dyDescent="0.3">
      <c r="A4488">
        <v>32.7937818226495</v>
      </c>
      <c r="B4488">
        <v>-88.397276651640198</v>
      </c>
      <c r="C4488" t="s">
        <v>41</v>
      </c>
      <c r="D4488" t="s">
        <v>2868</v>
      </c>
      <c r="F4488" s="21"/>
      <c r="G4488" s="16" t="str">
        <f>HYPERLINK("http://maps.google.com/maps?f=q&amp;hl=en&amp;geocode=&amp;q=32.7937818226495,-88.3972766516402")</f>
        <v>http://maps.google.com/maps?f=q&amp;hl=en&amp;geocode=&amp;q=32.7937818226495,-88.3972766516402</v>
      </c>
    </row>
    <row r="4489" spans="1:7" ht="15" x14ac:dyDescent="0.3">
      <c r="A4489">
        <v>39.976695999999997</v>
      </c>
      <c r="B4489">
        <v>-75.127547000000007</v>
      </c>
      <c r="C4489" t="s">
        <v>41</v>
      </c>
      <c r="D4489" t="s">
        <v>2869</v>
      </c>
      <c r="F4489" s="21"/>
      <c r="G4489" s="16" t="str">
        <f>HYPERLINK("http://maps.google.com/maps?f=q&amp;hl=en&amp;geocode=&amp;q=39.976696,-75.127547")</f>
        <v>http://maps.google.com/maps?f=q&amp;hl=en&amp;geocode=&amp;q=39.976696,-75.127547</v>
      </c>
    </row>
    <row r="4490" spans="1:7" ht="15" x14ac:dyDescent="0.3">
      <c r="A4490">
        <v>31.05574</v>
      </c>
      <c r="B4490">
        <v>-97.697119999999998</v>
      </c>
      <c r="C4490" t="s">
        <v>41</v>
      </c>
      <c r="D4490" t="s">
        <v>2870</v>
      </c>
      <c r="F4490" s="21"/>
      <c r="G4490" s="16" t="str">
        <f>HYPERLINK("http://maps.google.com/maps?f=q&amp;hl=en&amp;geocode=&amp;q=31.05574,-97.69712")</f>
        <v>http://maps.google.com/maps?f=q&amp;hl=en&amp;geocode=&amp;q=31.05574,-97.69712</v>
      </c>
    </row>
    <row r="4491" spans="1:7" ht="15" x14ac:dyDescent="0.3">
      <c r="A4491">
        <v>37.672438122499798</v>
      </c>
      <c r="B4491">
        <v>-76.426643214228207</v>
      </c>
      <c r="C4491" t="s">
        <v>41</v>
      </c>
      <c r="D4491" t="s">
        <v>2871</v>
      </c>
      <c r="F4491" s="21"/>
      <c r="G4491" s="16" t="str">
        <f>HYPERLINK("http://maps.google.com/maps?f=q&amp;hl=en&amp;geocode=&amp;q=37.6724381224998,-76.4266432142282")</f>
        <v>http://maps.google.com/maps?f=q&amp;hl=en&amp;geocode=&amp;q=37.6724381224998,-76.4266432142282</v>
      </c>
    </row>
    <row r="4492" spans="1:7" ht="15" x14ac:dyDescent="0.3">
      <c r="A4492">
        <v>40.031840000000003</v>
      </c>
      <c r="B4492">
        <v>-75.055750000000003</v>
      </c>
      <c r="C4492" t="s">
        <v>41</v>
      </c>
      <c r="D4492" t="s">
        <v>2872</v>
      </c>
      <c r="F4492" s="21"/>
      <c r="G4492" s="16" t="str">
        <f>HYPERLINK("http://maps.google.com/maps?f=q&amp;hl=en&amp;geocode=&amp;q=40.03184,-75.05575")</f>
        <v>http://maps.google.com/maps?f=q&amp;hl=en&amp;geocode=&amp;q=40.03184,-75.05575</v>
      </c>
    </row>
    <row r="4493" spans="1:7" ht="15" x14ac:dyDescent="0.3">
      <c r="A4493">
        <v>35.965989015210802</v>
      </c>
      <c r="B4493">
        <v>-94.232247053401494</v>
      </c>
      <c r="C4493" t="s">
        <v>41</v>
      </c>
      <c r="D4493" t="s">
        <v>2543</v>
      </c>
      <c r="F4493" s="21"/>
      <c r="G4493" s="16" t="str">
        <f>HYPERLINK("http://maps.google.com/maps?f=q&amp;hl=en&amp;geocode=&amp;q=35.9659890152108,-94.2322470534015")</f>
        <v>http://maps.google.com/maps?f=q&amp;hl=en&amp;geocode=&amp;q=35.9659890152108,-94.2322470534015</v>
      </c>
    </row>
    <row r="4494" spans="1:7" ht="15" x14ac:dyDescent="0.3">
      <c r="A4494">
        <v>35.965989015210802</v>
      </c>
      <c r="B4494">
        <v>-94.232247053401494</v>
      </c>
      <c r="C4494" t="s">
        <v>41</v>
      </c>
      <c r="D4494" t="s">
        <v>2543</v>
      </c>
      <c r="F4494" s="21"/>
      <c r="G4494" s="16" t="str">
        <f>HYPERLINK("http://maps.google.com/maps?f=q&amp;hl=en&amp;geocode=&amp;q=35.9659890152108,-94.2322470534015")</f>
        <v>http://maps.google.com/maps?f=q&amp;hl=en&amp;geocode=&amp;q=35.9659890152108,-94.2322470534015</v>
      </c>
    </row>
    <row r="4495" spans="1:7" ht="15" x14ac:dyDescent="0.3">
      <c r="A4495">
        <v>32.081724653044098</v>
      </c>
      <c r="B4495">
        <v>-83.800871612628001</v>
      </c>
      <c r="C4495" t="s">
        <v>41</v>
      </c>
      <c r="D4495" t="s">
        <v>2873</v>
      </c>
      <c r="F4495" s="21"/>
      <c r="G4495" s="16" t="str">
        <f>HYPERLINK("http://maps.google.com/maps?f=q&amp;hl=en&amp;geocode=&amp;q=32.0817246530441,-83.800871612628")</f>
        <v>http://maps.google.com/maps?f=q&amp;hl=en&amp;geocode=&amp;q=32.0817246530441,-83.800871612628</v>
      </c>
    </row>
    <row r="4496" spans="1:7" ht="15" x14ac:dyDescent="0.3">
      <c r="A4496">
        <v>42.659824371337898</v>
      </c>
      <c r="B4496">
        <v>23.607048034668001</v>
      </c>
      <c r="C4496" t="s">
        <v>43</v>
      </c>
      <c r="D4496" t="s">
        <v>2874</v>
      </c>
      <c r="F4496" s="21"/>
      <c r="G4496" s="16" t="str">
        <f>HYPERLINK("http://maps.google.com/maps?f=q&amp;hl=en&amp;geocode=&amp;q=42.6598243713379,23.607048034668")</f>
        <v>http://maps.google.com/maps?f=q&amp;hl=en&amp;geocode=&amp;q=42.6598243713379,23.607048034668</v>
      </c>
    </row>
    <row r="4497" spans="1:7" ht="15" x14ac:dyDescent="0.3">
      <c r="A4497" t="s">
        <v>44</v>
      </c>
      <c r="B4497" t="s">
        <v>44</v>
      </c>
      <c r="C4497" t="s">
        <v>44</v>
      </c>
      <c r="D4497" t="s">
        <v>2875</v>
      </c>
      <c r="F4497" s="21"/>
      <c r="G4497" s="16"/>
    </row>
    <row r="4498" spans="1:7" ht="15" x14ac:dyDescent="0.3">
      <c r="A4498">
        <v>37.651084421146301</v>
      </c>
      <c r="B4498">
        <v>-97.492516788765101</v>
      </c>
      <c r="C4498" t="s">
        <v>41</v>
      </c>
      <c r="D4498" t="s">
        <v>1516</v>
      </c>
      <c r="F4498" s="21"/>
      <c r="G4498" s="16" t="str">
        <f>HYPERLINK("http://maps.google.com/maps?f=q&amp;hl=en&amp;geocode=&amp;q=37.6510844211463,-97.4925167887651")</f>
        <v>http://maps.google.com/maps?f=q&amp;hl=en&amp;geocode=&amp;q=37.6510844211463,-97.4925167887651</v>
      </c>
    </row>
    <row r="4499" spans="1:7" ht="15" x14ac:dyDescent="0.3">
      <c r="A4499">
        <v>39.925080000000001</v>
      </c>
      <c r="B4499">
        <v>-75.152850000000001</v>
      </c>
      <c r="C4499" t="s">
        <v>43</v>
      </c>
      <c r="D4499" t="s">
        <v>2876</v>
      </c>
      <c r="F4499" s="21"/>
      <c r="G4499" s="16" t="str">
        <f>HYPERLINK("http://maps.google.com/maps?f=q&amp;hl=en&amp;geocode=&amp;q=39.92508,-75.15285")</f>
        <v>http://maps.google.com/maps?f=q&amp;hl=en&amp;geocode=&amp;q=39.92508,-75.15285</v>
      </c>
    </row>
    <row r="4500" spans="1:7" ht="15" x14ac:dyDescent="0.3">
      <c r="A4500">
        <v>42.659824371337898</v>
      </c>
      <c r="B4500">
        <v>23.607048034668001</v>
      </c>
      <c r="C4500" t="s">
        <v>43</v>
      </c>
      <c r="D4500" t="s">
        <v>2874</v>
      </c>
      <c r="F4500" s="21"/>
      <c r="G4500" s="16" t="str">
        <f>HYPERLINK("http://maps.google.com/maps?f=q&amp;hl=en&amp;geocode=&amp;q=42.6598243713379,23.607048034668")</f>
        <v>http://maps.google.com/maps?f=q&amp;hl=en&amp;geocode=&amp;q=42.6598243713379,23.607048034668</v>
      </c>
    </row>
    <row r="4501" spans="1:7" ht="15" x14ac:dyDescent="0.3">
      <c r="A4501">
        <v>42.659824371337898</v>
      </c>
      <c r="B4501">
        <v>23.607048034668001</v>
      </c>
      <c r="C4501" t="s">
        <v>43</v>
      </c>
      <c r="D4501" t="s">
        <v>2874</v>
      </c>
      <c r="F4501" s="21"/>
      <c r="G4501" s="16" t="str">
        <f>HYPERLINK("http://maps.google.com/maps?f=q&amp;hl=en&amp;geocode=&amp;q=42.6598243713379,23.607048034668")</f>
        <v>http://maps.google.com/maps?f=q&amp;hl=en&amp;geocode=&amp;q=42.6598243713379,23.607048034668</v>
      </c>
    </row>
    <row r="4502" spans="1:7" ht="15" x14ac:dyDescent="0.3">
      <c r="A4502">
        <v>31.883710000000001</v>
      </c>
      <c r="B4502">
        <v>-102.49551</v>
      </c>
      <c r="C4502" t="s">
        <v>41</v>
      </c>
      <c r="D4502" t="s">
        <v>119</v>
      </c>
      <c r="F4502" s="21"/>
      <c r="G4502" s="16" t="str">
        <f>HYPERLINK("http://maps.google.com/maps?f=q&amp;hl=en&amp;geocode=&amp;q=31.88371,-102.49551")</f>
        <v>http://maps.google.com/maps?f=q&amp;hl=en&amp;geocode=&amp;q=31.88371,-102.49551</v>
      </c>
    </row>
    <row r="4503" spans="1:7" ht="15" x14ac:dyDescent="0.3">
      <c r="A4503">
        <v>39.136638858653498</v>
      </c>
      <c r="B4503">
        <v>-76.486475355245702</v>
      </c>
      <c r="C4503" t="s">
        <v>41</v>
      </c>
      <c r="D4503" t="s">
        <v>2301</v>
      </c>
      <c r="F4503" s="21"/>
      <c r="G4503" s="16" t="str">
        <f>HYPERLINK("http://maps.google.com/maps?f=q&amp;hl=en&amp;geocode=&amp;q=39.1366388586535,-76.4864753552457")</f>
        <v>http://maps.google.com/maps?f=q&amp;hl=en&amp;geocode=&amp;q=39.1366388586535,-76.4864753552457</v>
      </c>
    </row>
    <row r="4504" spans="1:7" ht="15" x14ac:dyDescent="0.3">
      <c r="A4504">
        <v>28.59911</v>
      </c>
      <c r="B4504">
        <v>-81.676720000000003</v>
      </c>
      <c r="C4504" t="s">
        <v>43</v>
      </c>
      <c r="D4504" t="s">
        <v>1979</v>
      </c>
      <c r="F4504" s="21"/>
      <c r="G4504" s="16" t="str">
        <f>HYPERLINK("http://maps.google.com/maps?f=q&amp;hl=en&amp;geocode=&amp;q=28.59911,-81.67672")</f>
        <v>http://maps.google.com/maps?f=q&amp;hl=en&amp;geocode=&amp;q=28.59911,-81.67672</v>
      </c>
    </row>
    <row r="4505" spans="1:7" ht="15" x14ac:dyDescent="0.3">
      <c r="A4505">
        <v>34.146140000000003</v>
      </c>
      <c r="B4505">
        <v>-79.943659999999994</v>
      </c>
      <c r="C4505" t="s">
        <v>43</v>
      </c>
      <c r="D4505" t="s">
        <v>2877</v>
      </c>
      <c r="F4505" s="21"/>
      <c r="G4505" s="16" t="str">
        <f>HYPERLINK("http://maps.google.com/maps?f=q&amp;hl=en&amp;geocode=&amp;q=34.14614,-79.94366")</f>
        <v>http://maps.google.com/maps?f=q&amp;hl=en&amp;geocode=&amp;q=34.14614,-79.94366</v>
      </c>
    </row>
    <row r="4506" spans="1:7" ht="15" x14ac:dyDescent="0.3">
      <c r="A4506">
        <v>32.975583999999998</v>
      </c>
      <c r="B4506">
        <v>-82.818496999999994</v>
      </c>
      <c r="C4506" t="s">
        <v>41</v>
      </c>
      <c r="D4506" t="s">
        <v>2878</v>
      </c>
      <c r="F4506" s="21"/>
      <c r="G4506" s="16" t="str">
        <f>HYPERLINK("http://maps.google.com/maps?f=q&amp;hl=en&amp;geocode=&amp;q=32.975584,-82.818497")</f>
        <v>http://maps.google.com/maps?f=q&amp;hl=en&amp;geocode=&amp;q=32.975584,-82.818497</v>
      </c>
    </row>
    <row r="4507" spans="1:7" ht="15" x14ac:dyDescent="0.3">
      <c r="A4507">
        <v>51.406185150146499</v>
      </c>
      <c r="B4507">
        <v>5.2386980056762704</v>
      </c>
      <c r="C4507" t="s">
        <v>43</v>
      </c>
      <c r="D4507" t="s">
        <v>1423</v>
      </c>
      <c r="F4507" s="21"/>
      <c r="G4507" s="16" t="str">
        <f>HYPERLINK("http://maps.google.com/maps?f=q&amp;hl=en&amp;geocode=&amp;q=51.4061851501465,5.23869800567627")</f>
        <v>http://maps.google.com/maps?f=q&amp;hl=en&amp;geocode=&amp;q=51.4061851501465,5.23869800567627</v>
      </c>
    </row>
    <row r="4508" spans="1:7" ht="15" x14ac:dyDescent="0.3">
      <c r="A4508">
        <v>37.753728409038899</v>
      </c>
      <c r="B4508">
        <v>-87.140040578237404</v>
      </c>
      <c r="C4508" t="s">
        <v>43</v>
      </c>
      <c r="D4508" t="s">
        <v>2879</v>
      </c>
      <c r="F4508" s="21"/>
      <c r="G4508" s="16" t="str">
        <f>HYPERLINK("http://maps.google.com/maps?f=q&amp;hl=en&amp;geocode=&amp;q=37.7537284090389,-87.1400405782374")</f>
        <v>http://maps.google.com/maps?f=q&amp;hl=en&amp;geocode=&amp;q=37.7537284090389,-87.1400405782374</v>
      </c>
    </row>
    <row r="4509" spans="1:7" ht="15" x14ac:dyDescent="0.3">
      <c r="A4509">
        <v>36.521894427975703</v>
      </c>
      <c r="B4509">
        <v>-76.832654382344799</v>
      </c>
      <c r="C4509" t="s">
        <v>41</v>
      </c>
      <c r="D4509" t="s">
        <v>2880</v>
      </c>
      <c r="F4509" s="21"/>
      <c r="G4509" s="16" t="str">
        <f>HYPERLINK("http://maps.google.com/maps?f=q&amp;hl=en&amp;geocode=&amp;q=36.5218944279757,-76.8326543823448")</f>
        <v>http://maps.google.com/maps?f=q&amp;hl=en&amp;geocode=&amp;q=36.5218944279757,-76.8326543823448</v>
      </c>
    </row>
    <row r="4510" spans="1:7" ht="15" x14ac:dyDescent="0.3">
      <c r="A4510">
        <v>42.257888388647302</v>
      </c>
      <c r="B4510">
        <v>-83.231355333456094</v>
      </c>
      <c r="C4510" t="s">
        <v>41</v>
      </c>
      <c r="D4510" t="s">
        <v>2881</v>
      </c>
      <c r="F4510" s="21"/>
      <c r="G4510" s="16" t="str">
        <f>HYPERLINK("http://maps.google.com/maps?f=q&amp;hl=en&amp;geocode=&amp;q=42.2578883886473,-83.2313553334561")</f>
        <v>http://maps.google.com/maps?f=q&amp;hl=en&amp;geocode=&amp;q=42.2578883886473,-83.2313553334561</v>
      </c>
    </row>
    <row r="4511" spans="1:7" ht="15" x14ac:dyDescent="0.3">
      <c r="A4511">
        <v>52.487190246582003</v>
      </c>
      <c r="B4511">
        <v>0.679989993572235</v>
      </c>
      <c r="C4511" t="s">
        <v>41</v>
      </c>
      <c r="D4511" t="s">
        <v>2882</v>
      </c>
      <c r="F4511" s="21"/>
      <c r="G4511" s="16" t="str">
        <f>HYPERLINK("http://maps.google.com/maps?f=q&amp;hl=en&amp;geocode=&amp;q=52.487190246582,0.679989993572235")</f>
        <v>http://maps.google.com/maps?f=q&amp;hl=en&amp;geocode=&amp;q=52.487190246582,0.679989993572235</v>
      </c>
    </row>
    <row r="4512" spans="1:7" ht="15" x14ac:dyDescent="0.3">
      <c r="A4512">
        <v>39.989109999999997</v>
      </c>
      <c r="B4512">
        <v>-75.139499999999998</v>
      </c>
      <c r="C4512" t="s">
        <v>41</v>
      </c>
      <c r="D4512" t="s">
        <v>2038</v>
      </c>
      <c r="F4512" s="21"/>
      <c r="G4512" s="16" t="str">
        <f>HYPERLINK("http://maps.google.com/maps?f=q&amp;hl=en&amp;geocode=&amp;q=39.98911,-75.1395")</f>
        <v>http://maps.google.com/maps?f=q&amp;hl=en&amp;geocode=&amp;q=39.98911,-75.1395</v>
      </c>
    </row>
    <row r="4513" spans="1:7" ht="15" x14ac:dyDescent="0.3">
      <c r="A4513">
        <v>41.545448303222699</v>
      </c>
      <c r="B4513">
        <v>-76.742660522460895</v>
      </c>
      <c r="C4513" t="s">
        <v>43</v>
      </c>
      <c r="D4513" t="s">
        <v>1196</v>
      </c>
      <c r="F4513" s="21"/>
      <c r="G4513" s="16" t="str">
        <f>HYPERLINK("http://maps.google.com/maps?f=q&amp;hl=en&amp;geocode=&amp;q=41.5454483032227,-76.7426605224609")</f>
        <v>http://maps.google.com/maps?f=q&amp;hl=en&amp;geocode=&amp;q=41.5454483032227,-76.7426605224609</v>
      </c>
    </row>
    <row r="4514" spans="1:7" ht="15" x14ac:dyDescent="0.3">
      <c r="A4514">
        <v>42.999576568603501</v>
      </c>
      <c r="B4514">
        <v>-107.551513671875</v>
      </c>
      <c r="C4514" t="s">
        <v>41</v>
      </c>
      <c r="D4514" t="s">
        <v>2245</v>
      </c>
      <c r="F4514" s="21"/>
      <c r="G4514" s="16" t="str">
        <f>HYPERLINK("http://maps.google.com/maps?f=q&amp;hl=en&amp;geocode=&amp;q=42.9995765686035,-107.551513671875")</f>
        <v>http://maps.google.com/maps?f=q&amp;hl=en&amp;geocode=&amp;q=42.9995765686035,-107.551513671875</v>
      </c>
    </row>
    <row r="4515" spans="1:7" ht="15" x14ac:dyDescent="0.3">
      <c r="A4515">
        <v>42.999576568603501</v>
      </c>
      <c r="B4515">
        <v>-107.551513671875</v>
      </c>
      <c r="C4515" t="s">
        <v>41</v>
      </c>
      <c r="D4515" t="s">
        <v>2245</v>
      </c>
      <c r="F4515" s="21"/>
      <c r="G4515" s="16" t="str">
        <f>HYPERLINK("http://maps.google.com/maps?f=q&amp;hl=en&amp;geocode=&amp;q=42.9995765686035,-107.551513671875")</f>
        <v>http://maps.google.com/maps?f=q&amp;hl=en&amp;geocode=&amp;q=42.9995765686035,-107.551513671875</v>
      </c>
    </row>
    <row r="4516" spans="1:7" ht="15" x14ac:dyDescent="0.3">
      <c r="A4516">
        <v>42.999576568603501</v>
      </c>
      <c r="B4516">
        <v>-107.551513671875</v>
      </c>
      <c r="C4516" t="s">
        <v>41</v>
      </c>
      <c r="D4516" t="s">
        <v>2245</v>
      </c>
      <c r="F4516" s="21"/>
      <c r="G4516" s="16" t="str">
        <f>HYPERLINK("http://maps.google.com/maps?f=q&amp;hl=en&amp;geocode=&amp;q=42.9995765686035,-107.551513671875")</f>
        <v>http://maps.google.com/maps?f=q&amp;hl=en&amp;geocode=&amp;q=42.9995765686035,-107.551513671875</v>
      </c>
    </row>
    <row r="4517" spans="1:7" ht="15" x14ac:dyDescent="0.3">
      <c r="A4517">
        <v>40.036200000000001</v>
      </c>
      <c r="B4517">
        <v>-75.128619999999998</v>
      </c>
      <c r="C4517" t="s">
        <v>43</v>
      </c>
      <c r="D4517" t="s">
        <v>2883</v>
      </c>
      <c r="F4517" s="21"/>
      <c r="G4517" s="16" t="str">
        <f>HYPERLINK("http://maps.google.com/maps?f=q&amp;hl=en&amp;geocode=&amp;q=40.0362,-75.12862")</f>
        <v>http://maps.google.com/maps?f=q&amp;hl=en&amp;geocode=&amp;q=40.0362,-75.12862</v>
      </c>
    </row>
    <row r="4518" spans="1:7" ht="15" x14ac:dyDescent="0.3">
      <c r="A4518">
        <v>40.036200000000001</v>
      </c>
      <c r="B4518">
        <v>-75.128619999999998</v>
      </c>
      <c r="C4518" t="s">
        <v>43</v>
      </c>
      <c r="D4518" t="s">
        <v>2883</v>
      </c>
      <c r="F4518" s="21"/>
      <c r="G4518" s="16" t="str">
        <f>HYPERLINK("http://maps.google.com/maps?f=q&amp;hl=en&amp;geocode=&amp;q=40.0362,-75.12862")</f>
        <v>http://maps.google.com/maps?f=q&amp;hl=en&amp;geocode=&amp;q=40.0362,-75.12862</v>
      </c>
    </row>
    <row r="4519" spans="1:7" ht="15" x14ac:dyDescent="0.3">
      <c r="A4519">
        <v>48.024501800537102</v>
      </c>
      <c r="B4519">
        <v>3.6702299118042001</v>
      </c>
      <c r="C4519" t="s">
        <v>41</v>
      </c>
      <c r="D4519" t="s">
        <v>2884</v>
      </c>
      <c r="F4519" s="21"/>
      <c r="G4519" s="16" t="str">
        <f>HYPERLINK("http://maps.google.com/maps?f=q&amp;hl=en&amp;geocode=&amp;q=48.0245018005371,3.6702299118042")</f>
        <v>http://maps.google.com/maps?f=q&amp;hl=en&amp;geocode=&amp;q=48.0245018005371,3.6702299118042</v>
      </c>
    </row>
    <row r="4520" spans="1:7" ht="15" x14ac:dyDescent="0.3">
      <c r="A4520" t="s">
        <v>44</v>
      </c>
      <c r="B4520" t="s">
        <v>44</v>
      </c>
      <c r="C4520" t="s">
        <v>44</v>
      </c>
      <c r="D4520" t="s">
        <v>2885</v>
      </c>
      <c r="F4520" s="21"/>
      <c r="G4520" s="16"/>
    </row>
    <row r="4521" spans="1:7" ht="15" x14ac:dyDescent="0.3">
      <c r="A4521" t="s">
        <v>44</v>
      </c>
      <c r="B4521" t="s">
        <v>44</v>
      </c>
      <c r="C4521" t="s">
        <v>44</v>
      </c>
      <c r="D4521" t="s">
        <v>2886</v>
      </c>
      <c r="F4521" s="21"/>
      <c r="G4521" s="16"/>
    </row>
    <row r="4522" spans="1:7" ht="15" x14ac:dyDescent="0.3">
      <c r="A4522">
        <v>39.773628234863303</v>
      </c>
      <c r="B4522">
        <v>-87.206352233886705</v>
      </c>
      <c r="C4522" t="s">
        <v>41</v>
      </c>
      <c r="D4522" t="s">
        <v>76</v>
      </c>
      <c r="F4522" s="21"/>
      <c r="G4522" s="16" t="str">
        <f>HYPERLINK("http://maps.google.com/maps?f=q&amp;hl=en&amp;geocode=&amp;q=39.7736282348633,-87.2063522338867")</f>
        <v>http://maps.google.com/maps?f=q&amp;hl=en&amp;geocode=&amp;q=39.7736282348633,-87.2063522338867</v>
      </c>
    </row>
    <row r="4523" spans="1:7" ht="15" x14ac:dyDescent="0.3">
      <c r="A4523">
        <v>29.038811943742601</v>
      </c>
      <c r="B4523">
        <v>-80.988777132456704</v>
      </c>
      <c r="C4523" t="s">
        <v>42</v>
      </c>
      <c r="D4523" t="s">
        <v>2887</v>
      </c>
      <c r="F4523" s="21"/>
      <c r="G4523" s="16" t="str">
        <f>HYPERLINK("http://maps.google.com/maps?f=q&amp;hl=en&amp;geocode=&amp;q=29.0388119437426,-80.9887771324567")</f>
        <v>http://maps.google.com/maps?f=q&amp;hl=en&amp;geocode=&amp;q=29.0388119437426,-80.9887771324567</v>
      </c>
    </row>
    <row r="4524" spans="1:7" ht="15" x14ac:dyDescent="0.3">
      <c r="A4524">
        <v>39.773628234863303</v>
      </c>
      <c r="B4524">
        <v>-87.206352233886705</v>
      </c>
      <c r="C4524" t="s">
        <v>41</v>
      </c>
      <c r="D4524" t="s">
        <v>76</v>
      </c>
      <c r="F4524" s="21"/>
      <c r="G4524" s="16" t="str">
        <f>HYPERLINK("http://maps.google.com/maps?f=q&amp;hl=en&amp;geocode=&amp;q=39.7736282348633,-87.2063522338867")</f>
        <v>http://maps.google.com/maps?f=q&amp;hl=en&amp;geocode=&amp;q=39.7736282348633,-87.2063522338867</v>
      </c>
    </row>
    <row r="4525" spans="1:7" ht="15" x14ac:dyDescent="0.3">
      <c r="A4525">
        <v>34.995820000000002</v>
      </c>
      <c r="B4525">
        <v>-81.136610000000005</v>
      </c>
      <c r="C4525" t="s">
        <v>41</v>
      </c>
      <c r="D4525" t="s">
        <v>2888</v>
      </c>
      <c r="F4525" s="21"/>
      <c r="G4525" s="16" t="str">
        <f>HYPERLINK("http://maps.google.com/maps?f=q&amp;hl=en&amp;geocode=&amp;q=34.99582,-81.13661")</f>
        <v>http://maps.google.com/maps?f=q&amp;hl=en&amp;geocode=&amp;q=34.99582,-81.13661</v>
      </c>
    </row>
    <row r="4526" spans="1:7" ht="15" x14ac:dyDescent="0.3">
      <c r="A4526" t="s">
        <v>44</v>
      </c>
      <c r="B4526" t="s">
        <v>44</v>
      </c>
      <c r="C4526" t="s">
        <v>44</v>
      </c>
      <c r="D4526" t="s">
        <v>2885</v>
      </c>
      <c r="F4526" s="21"/>
      <c r="G4526" s="16"/>
    </row>
    <row r="4527" spans="1:7" ht="15" x14ac:dyDescent="0.3">
      <c r="A4527" t="s">
        <v>44</v>
      </c>
      <c r="B4527" t="s">
        <v>44</v>
      </c>
      <c r="C4527" t="s">
        <v>44</v>
      </c>
      <c r="D4527" t="s">
        <v>2889</v>
      </c>
      <c r="F4527" s="21"/>
      <c r="G4527" s="16"/>
    </row>
    <row r="4528" spans="1:7" ht="15" x14ac:dyDescent="0.3">
      <c r="A4528" t="s">
        <v>44</v>
      </c>
      <c r="B4528" t="s">
        <v>44</v>
      </c>
      <c r="C4528" t="s">
        <v>44</v>
      </c>
      <c r="D4528" t="s">
        <v>2889</v>
      </c>
      <c r="F4528" s="21"/>
      <c r="G4528" s="16"/>
    </row>
    <row r="4529" spans="1:7" ht="15" x14ac:dyDescent="0.3">
      <c r="A4529" t="s">
        <v>44</v>
      </c>
      <c r="B4529" t="s">
        <v>44</v>
      </c>
      <c r="C4529" t="s">
        <v>44</v>
      </c>
      <c r="D4529" t="s">
        <v>2890</v>
      </c>
      <c r="F4529" s="21"/>
      <c r="G4529" s="16"/>
    </row>
    <row r="4530" spans="1:7" ht="15" x14ac:dyDescent="0.3">
      <c r="A4530">
        <v>40.230857</v>
      </c>
      <c r="B4530">
        <v>-78.822078000000005</v>
      </c>
      <c r="C4530" t="s">
        <v>41</v>
      </c>
      <c r="D4530" t="s">
        <v>2241</v>
      </c>
      <c r="F4530" s="21"/>
      <c r="G4530" s="16" t="str">
        <f>HYPERLINK("http://maps.google.com/maps?f=q&amp;hl=en&amp;geocode=&amp;q=40.230857,-78.822078")</f>
        <v>http://maps.google.com/maps?f=q&amp;hl=en&amp;geocode=&amp;q=40.230857,-78.822078</v>
      </c>
    </row>
    <row r="4531" spans="1:7" ht="15" x14ac:dyDescent="0.3">
      <c r="A4531">
        <v>53.196468353271499</v>
      </c>
      <c r="B4531">
        <v>-2.8804199695587198</v>
      </c>
      <c r="C4531" t="s">
        <v>43</v>
      </c>
      <c r="D4531" t="s">
        <v>2891</v>
      </c>
      <c r="F4531" s="21"/>
      <c r="G4531" s="16" t="str">
        <f>HYPERLINK("http://maps.google.com/maps?f=q&amp;hl=en&amp;geocode=&amp;q=53.1964683532715,-2.88041996955872")</f>
        <v>http://maps.google.com/maps?f=q&amp;hl=en&amp;geocode=&amp;q=53.1964683532715,-2.88041996955872</v>
      </c>
    </row>
    <row r="4532" spans="1:7" ht="15" x14ac:dyDescent="0.3">
      <c r="A4532">
        <v>13.3421745300293</v>
      </c>
      <c r="B4532">
        <v>121.187538146973</v>
      </c>
      <c r="C4532" t="s">
        <v>43</v>
      </c>
      <c r="D4532" t="s">
        <v>2892</v>
      </c>
      <c r="F4532" s="21"/>
      <c r="G4532" s="16" t="str">
        <f>HYPERLINK("http://maps.google.com/maps?f=q&amp;hl=en&amp;geocode=&amp;q=13.3421745300293,121.187538146973")</f>
        <v>http://maps.google.com/maps?f=q&amp;hl=en&amp;geocode=&amp;q=13.3421745300293,121.187538146973</v>
      </c>
    </row>
    <row r="4533" spans="1:7" ht="15" x14ac:dyDescent="0.3">
      <c r="A4533" t="s">
        <v>44</v>
      </c>
      <c r="B4533" t="s">
        <v>44</v>
      </c>
      <c r="C4533" t="s">
        <v>44</v>
      </c>
      <c r="D4533" t="s">
        <v>2893</v>
      </c>
      <c r="F4533" s="21"/>
      <c r="G4533" s="16"/>
    </row>
    <row r="4534" spans="1:7" ht="15" x14ac:dyDescent="0.3">
      <c r="A4534">
        <v>39.938281372608799</v>
      </c>
      <c r="B4534">
        <v>-75.151017221848207</v>
      </c>
      <c r="C4534" t="s">
        <v>41</v>
      </c>
      <c r="D4534" t="s">
        <v>2213</v>
      </c>
      <c r="F4534" s="21"/>
      <c r="G4534" s="16" t="str">
        <f>HYPERLINK("http://maps.google.com/maps?f=q&amp;hl=en&amp;geocode=&amp;q=39.9382813726088,-75.1510172218482")</f>
        <v>http://maps.google.com/maps?f=q&amp;hl=en&amp;geocode=&amp;q=39.9382813726088,-75.1510172218482</v>
      </c>
    </row>
    <row r="4535" spans="1:7" ht="15" x14ac:dyDescent="0.3">
      <c r="A4535">
        <v>48.214225769042997</v>
      </c>
      <c r="B4535">
        <v>16.485546112060501</v>
      </c>
      <c r="C4535" t="s">
        <v>43</v>
      </c>
      <c r="D4535" t="s">
        <v>2894</v>
      </c>
      <c r="F4535" s="21"/>
      <c r="G4535" s="16" t="str">
        <f>HYPERLINK("http://maps.google.com/maps?f=q&amp;hl=en&amp;geocode=&amp;q=48.214225769043,16.4855461120605")</f>
        <v>http://maps.google.com/maps?f=q&amp;hl=en&amp;geocode=&amp;q=48.214225769043,16.4855461120605</v>
      </c>
    </row>
    <row r="4536" spans="1:7" ht="15" x14ac:dyDescent="0.3">
      <c r="A4536">
        <v>36.084150000000001</v>
      </c>
      <c r="B4536">
        <v>-86.632599999999996</v>
      </c>
      <c r="C4536" t="s">
        <v>41</v>
      </c>
      <c r="D4536" t="s">
        <v>2895</v>
      </c>
      <c r="F4536" s="21"/>
      <c r="G4536" s="16" t="str">
        <f>HYPERLINK("http://maps.google.com/maps?f=q&amp;hl=en&amp;geocode=&amp;q=36.08415,-86.6326")</f>
        <v>http://maps.google.com/maps?f=q&amp;hl=en&amp;geocode=&amp;q=36.08415,-86.6326</v>
      </c>
    </row>
    <row r="4537" spans="1:7" ht="15" x14ac:dyDescent="0.3">
      <c r="A4537">
        <v>52.6621284484863</v>
      </c>
      <c r="B4537">
        <v>-0.65426599979400601</v>
      </c>
      <c r="C4537" t="s">
        <v>41</v>
      </c>
      <c r="D4537" t="s">
        <v>2896</v>
      </c>
      <c r="F4537" s="21"/>
      <c r="G4537" s="16" t="str">
        <f>HYPERLINK("http://maps.google.com/maps?f=q&amp;hl=en&amp;geocode=&amp;q=52.6621284484863,-0.654265999794006")</f>
        <v>http://maps.google.com/maps?f=q&amp;hl=en&amp;geocode=&amp;q=52.6621284484863,-0.654265999794006</v>
      </c>
    </row>
    <row r="4538" spans="1:7" ht="15" x14ac:dyDescent="0.3">
      <c r="A4538">
        <v>35.428350000000002</v>
      </c>
      <c r="B4538">
        <v>-97.134460000000004</v>
      </c>
      <c r="C4538" t="s">
        <v>42</v>
      </c>
      <c r="D4538" t="s">
        <v>412</v>
      </c>
      <c r="F4538" s="21"/>
      <c r="G4538" s="16" t="str">
        <f>HYPERLINK("http://maps.google.com/maps?f=q&amp;hl=en&amp;geocode=&amp;q=35.42835,-97.13446")</f>
        <v>http://maps.google.com/maps?f=q&amp;hl=en&amp;geocode=&amp;q=35.42835,-97.13446</v>
      </c>
    </row>
    <row r="4539" spans="1:7" ht="15" x14ac:dyDescent="0.3">
      <c r="A4539">
        <v>40.991210000000002</v>
      </c>
      <c r="B4539">
        <v>-74.047300000000007</v>
      </c>
      <c r="C4539" t="s">
        <v>41</v>
      </c>
      <c r="D4539" t="s">
        <v>2897</v>
      </c>
      <c r="F4539" s="21"/>
      <c r="G4539" s="16" t="str">
        <f>HYPERLINK("http://maps.google.com/maps?f=q&amp;hl=en&amp;geocode=&amp;q=40.99121,-74.0473")</f>
        <v>http://maps.google.com/maps?f=q&amp;hl=en&amp;geocode=&amp;q=40.99121,-74.0473</v>
      </c>
    </row>
    <row r="4540" spans="1:7" ht="15" x14ac:dyDescent="0.3">
      <c r="F4540" s="21"/>
      <c r="G4540" s="16"/>
    </row>
    <row r="4541" spans="1:7" ht="15" x14ac:dyDescent="0.3">
      <c r="A4541">
        <v>46.490539900000002</v>
      </c>
      <c r="B4541">
        <v>-80.944194300000007</v>
      </c>
      <c r="C4541" t="s">
        <v>41</v>
      </c>
      <c r="D4541" t="s">
        <v>2898</v>
      </c>
      <c r="F4541" s="21"/>
      <c r="G4541" s="16" t="str">
        <f>HYPERLINK("http://maps.google.com/maps?f=q&amp;hl=en&amp;geocode=&amp;q=46.4905399,-80.9441943")</f>
        <v>http://maps.google.com/maps?f=q&amp;hl=en&amp;geocode=&amp;q=46.4905399,-80.9441943</v>
      </c>
    </row>
    <row r="4542" spans="1:7" ht="15" x14ac:dyDescent="0.3">
      <c r="A4542">
        <v>36.411072431575697</v>
      </c>
      <c r="B4542">
        <v>-102.53833303256</v>
      </c>
      <c r="C4542" t="s">
        <v>41</v>
      </c>
      <c r="D4542" t="s">
        <v>2899</v>
      </c>
      <c r="F4542" s="21"/>
      <c r="G4542" s="16" t="str">
        <f>HYPERLINK("http://maps.google.com/maps?f=q&amp;hl=en&amp;geocode=&amp;q=36.4110724315757,-102.53833303256")</f>
        <v>http://maps.google.com/maps?f=q&amp;hl=en&amp;geocode=&amp;q=36.4110724315757,-102.53833303256</v>
      </c>
    </row>
    <row r="4543" spans="1:7" ht="15" x14ac:dyDescent="0.3">
      <c r="A4543">
        <v>-39.039390563964801</v>
      </c>
      <c r="B4543">
        <v>177.80462646484401</v>
      </c>
      <c r="C4543" t="s">
        <v>41</v>
      </c>
      <c r="D4543" t="s">
        <v>2900</v>
      </c>
      <c r="F4543" s="21"/>
      <c r="G4543" s="16" t="str">
        <f>HYPERLINK("http://maps.google.com/maps?f=q&amp;hl=en&amp;geocode=&amp;q=-39.0393905639648,177.804626464844")</f>
        <v>http://maps.google.com/maps?f=q&amp;hl=en&amp;geocode=&amp;q=-39.0393905639648,177.804626464844</v>
      </c>
    </row>
    <row r="4544" spans="1:7" ht="15" x14ac:dyDescent="0.3">
      <c r="A4544">
        <v>49.509845733642599</v>
      </c>
      <c r="B4544">
        <v>5.9923381805419904</v>
      </c>
      <c r="C4544" t="s">
        <v>41</v>
      </c>
      <c r="D4544" t="s">
        <v>2901</v>
      </c>
      <c r="F4544" s="21"/>
      <c r="G4544" s="16" t="str">
        <f>HYPERLINK("http://maps.google.com/maps?f=q&amp;hl=en&amp;geocode=&amp;q=49.5098457336426,5.99233818054199")</f>
        <v>http://maps.google.com/maps?f=q&amp;hl=en&amp;geocode=&amp;q=49.5098457336426,5.99233818054199</v>
      </c>
    </row>
    <row r="4545" spans="1:7" ht="15" x14ac:dyDescent="0.3">
      <c r="A4545">
        <v>39.894179999999999</v>
      </c>
      <c r="B4545">
        <v>-88.965879999999999</v>
      </c>
      <c r="C4545" t="s">
        <v>42</v>
      </c>
      <c r="D4545" t="s">
        <v>2902</v>
      </c>
      <c r="F4545" s="21"/>
      <c r="G4545" s="16" t="str">
        <f>HYPERLINK("http://maps.google.com/maps?f=q&amp;hl=en&amp;geocode=&amp;q=39.89418,-88.96588")</f>
        <v>http://maps.google.com/maps?f=q&amp;hl=en&amp;geocode=&amp;q=39.89418,-88.96588</v>
      </c>
    </row>
    <row r="4546" spans="1:7" ht="15" x14ac:dyDescent="0.3">
      <c r="A4546">
        <v>40.015603904082397</v>
      </c>
      <c r="B4546">
        <v>-75.138978973303296</v>
      </c>
      <c r="C4546" t="s">
        <v>43</v>
      </c>
      <c r="D4546" t="s">
        <v>2903</v>
      </c>
      <c r="F4546" s="21"/>
      <c r="G4546" s="16" t="str">
        <f>HYPERLINK("http://maps.google.com/maps?f=q&amp;hl=en&amp;geocode=&amp;q=40.0156039040824,-75.1389789733033")</f>
        <v>http://maps.google.com/maps?f=q&amp;hl=en&amp;geocode=&amp;q=40.0156039040824,-75.1389789733033</v>
      </c>
    </row>
    <row r="4547" spans="1:7" ht="15" x14ac:dyDescent="0.3">
      <c r="A4547">
        <v>35.371636874220798</v>
      </c>
      <c r="B4547">
        <v>-96.893227595732796</v>
      </c>
      <c r="C4547" t="s">
        <v>41</v>
      </c>
      <c r="D4547" t="s">
        <v>2904</v>
      </c>
      <c r="F4547" s="21"/>
      <c r="G4547" s="16" t="str">
        <f>HYPERLINK("http://maps.google.com/maps?f=q&amp;hl=en&amp;geocode=&amp;q=35.3716368742208,-96.8932275957328")</f>
        <v>http://maps.google.com/maps?f=q&amp;hl=en&amp;geocode=&amp;q=35.3716368742208,-96.8932275957328</v>
      </c>
    </row>
    <row r="4548" spans="1:7" ht="15" x14ac:dyDescent="0.3">
      <c r="A4548">
        <v>39.955100000000002</v>
      </c>
      <c r="B4548">
        <v>-75.219840000000005</v>
      </c>
      <c r="C4548" t="s">
        <v>43</v>
      </c>
      <c r="D4548" t="s">
        <v>2905</v>
      </c>
      <c r="F4548" s="21"/>
      <c r="G4548" s="16" t="str">
        <f>HYPERLINK("http://maps.google.com/maps?f=q&amp;hl=en&amp;geocode=&amp;q=39.9551,-75.21984")</f>
        <v>http://maps.google.com/maps?f=q&amp;hl=en&amp;geocode=&amp;q=39.9551,-75.21984</v>
      </c>
    </row>
    <row r="4549" spans="1:7" ht="15" x14ac:dyDescent="0.3">
      <c r="A4549">
        <v>39.975490000000001</v>
      </c>
      <c r="B4549">
        <v>-75.264080000000007</v>
      </c>
      <c r="C4549" t="s">
        <v>41</v>
      </c>
      <c r="D4549" t="s">
        <v>212</v>
      </c>
      <c r="F4549" s="21"/>
      <c r="G4549" s="16" t="str">
        <f>HYPERLINK("http://maps.google.com/maps?f=q&amp;hl=en&amp;geocode=&amp;q=39.97549,-75.26408")</f>
        <v>http://maps.google.com/maps?f=q&amp;hl=en&amp;geocode=&amp;q=39.97549,-75.26408</v>
      </c>
    </row>
    <row r="4550" spans="1:7" ht="15" x14ac:dyDescent="0.3">
      <c r="A4550">
        <v>34.0941318621759</v>
      </c>
      <c r="B4550">
        <v>-117.372461835069</v>
      </c>
      <c r="C4550" t="s">
        <v>43</v>
      </c>
      <c r="D4550" t="s">
        <v>2906</v>
      </c>
      <c r="F4550" s="21"/>
      <c r="G4550" s="16" t="str">
        <f>HYPERLINK("http://maps.google.com/maps?f=q&amp;hl=en&amp;geocode=&amp;q=34.0941318621759,-117.372461835069")</f>
        <v>http://maps.google.com/maps?f=q&amp;hl=en&amp;geocode=&amp;q=34.0941318621759,-117.372461835069</v>
      </c>
    </row>
    <row r="4551" spans="1:7" ht="15" x14ac:dyDescent="0.3">
      <c r="A4551" t="s">
        <v>44</v>
      </c>
      <c r="B4551" t="s">
        <v>44</v>
      </c>
      <c r="C4551" t="s">
        <v>44</v>
      </c>
      <c r="D4551" t="s">
        <v>2907</v>
      </c>
      <c r="F4551" s="21"/>
      <c r="G4551" s="16"/>
    </row>
    <row r="4552" spans="1:7" ht="15" x14ac:dyDescent="0.3">
      <c r="A4552">
        <v>40.707684</v>
      </c>
      <c r="B4552">
        <v>-73.900034000000005</v>
      </c>
      <c r="C4552" t="s">
        <v>41</v>
      </c>
      <c r="D4552" t="s">
        <v>2908</v>
      </c>
      <c r="F4552" s="21"/>
      <c r="G4552" s="16" t="str">
        <f>HYPERLINK("http://maps.google.com/maps?f=q&amp;hl=en&amp;geocode=&amp;q=40.707684,-73.900034")</f>
        <v>http://maps.google.com/maps?f=q&amp;hl=en&amp;geocode=&amp;q=40.707684,-73.900034</v>
      </c>
    </row>
    <row r="4553" spans="1:7" ht="15" x14ac:dyDescent="0.3">
      <c r="A4553">
        <v>32.629790282195202</v>
      </c>
      <c r="B4553">
        <v>-83.712648041600502</v>
      </c>
      <c r="C4553" t="s">
        <v>41</v>
      </c>
      <c r="D4553" t="s">
        <v>2909</v>
      </c>
      <c r="F4553" s="21"/>
      <c r="G4553" s="16" t="str">
        <f>HYPERLINK("http://maps.google.com/maps?f=q&amp;hl=en&amp;geocode=&amp;q=32.6297902821952,-83.7126480416005")</f>
        <v>http://maps.google.com/maps?f=q&amp;hl=en&amp;geocode=&amp;q=32.6297902821952,-83.7126480416005</v>
      </c>
    </row>
    <row r="4554" spans="1:7" ht="15" x14ac:dyDescent="0.3">
      <c r="A4554">
        <v>35.965989015210802</v>
      </c>
      <c r="B4554">
        <v>-94.232247053401494</v>
      </c>
      <c r="C4554" t="s">
        <v>41</v>
      </c>
      <c r="D4554" t="s">
        <v>2543</v>
      </c>
      <c r="F4554" s="21"/>
      <c r="G4554" s="16" t="str">
        <f>HYPERLINK("http://maps.google.com/maps?f=q&amp;hl=en&amp;geocode=&amp;q=35.9659890152108,-94.2322470534015")</f>
        <v>http://maps.google.com/maps?f=q&amp;hl=en&amp;geocode=&amp;q=35.9659890152108,-94.2322470534015</v>
      </c>
    </row>
    <row r="4555" spans="1:7" ht="15" x14ac:dyDescent="0.3">
      <c r="A4555">
        <v>19.282154083251999</v>
      </c>
      <c r="B4555">
        <v>-99.246757507324205</v>
      </c>
      <c r="C4555" t="s">
        <v>43</v>
      </c>
      <c r="D4555" t="s">
        <v>2910</v>
      </c>
      <c r="F4555" s="21"/>
      <c r="G4555" s="16" t="str">
        <f>HYPERLINK("http://maps.google.com/maps?f=q&amp;hl=en&amp;geocode=&amp;q=19.282154083252,-99.2467575073242")</f>
        <v>http://maps.google.com/maps?f=q&amp;hl=en&amp;geocode=&amp;q=19.282154083252,-99.2467575073242</v>
      </c>
    </row>
    <row r="4556" spans="1:7" ht="15" x14ac:dyDescent="0.3">
      <c r="A4556" t="s">
        <v>44</v>
      </c>
      <c r="B4556" t="s">
        <v>44</v>
      </c>
      <c r="C4556" t="s">
        <v>44</v>
      </c>
      <c r="D4556" t="s">
        <v>2911</v>
      </c>
      <c r="F4556" s="21"/>
      <c r="G4556" s="16"/>
    </row>
    <row r="4557" spans="1:7" ht="15" x14ac:dyDescent="0.3">
      <c r="A4557">
        <v>-35.394449999999999</v>
      </c>
      <c r="B4557">
        <v>138.46156999999999</v>
      </c>
      <c r="C4557" t="s">
        <v>41</v>
      </c>
      <c r="D4557" t="s">
        <v>2912</v>
      </c>
      <c r="F4557" s="21"/>
      <c r="G4557" s="16" t="str">
        <f>HYPERLINK("http://maps.google.com/maps?f=q&amp;hl=en&amp;geocode=&amp;q=-35.39445,138.46157")</f>
        <v>http://maps.google.com/maps?f=q&amp;hl=en&amp;geocode=&amp;q=-35.39445,138.46157</v>
      </c>
    </row>
    <row r="4558" spans="1:7" ht="15" x14ac:dyDescent="0.3">
      <c r="A4558">
        <v>-35.394449999999999</v>
      </c>
      <c r="B4558">
        <v>138.46156999999999</v>
      </c>
      <c r="C4558" t="s">
        <v>41</v>
      </c>
      <c r="D4558" t="s">
        <v>2913</v>
      </c>
      <c r="F4558" s="21"/>
      <c r="G4558" s="16" t="str">
        <f>HYPERLINK("http://maps.google.com/maps?f=q&amp;hl=en&amp;geocode=&amp;q=-35.39445,138.46157")</f>
        <v>http://maps.google.com/maps?f=q&amp;hl=en&amp;geocode=&amp;q=-35.39445,138.46157</v>
      </c>
    </row>
    <row r="4559" spans="1:7" ht="15" x14ac:dyDescent="0.3">
      <c r="A4559" t="s">
        <v>44</v>
      </c>
      <c r="B4559" t="s">
        <v>44</v>
      </c>
      <c r="C4559" t="s">
        <v>44</v>
      </c>
      <c r="D4559" t="s">
        <v>1004</v>
      </c>
      <c r="F4559" s="21"/>
      <c r="G4559" s="16"/>
    </row>
    <row r="4560" spans="1:7" ht="15" x14ac:dyDescent="0.3">
      <c r="A4560">
        <v>43.21848</v>
      </c>
      <c r="B4560">
        <v>-77.814710000000005</v>
      </c>
      <c r="C4560" t="s">
        <v>41</v>
      </c>
      <c r="D4560" t="s">
        <v>1173</v>
      </c>
      <c r="F4560" s="21"/>
      <c r="G4560" s="16" t="str">
        <f>HYPERLINK("http://maps.google.com/maps?f=q&amp;hl=en&amp;geocode=&amp;q=43.21848,-77.81471")</f>
        <v>http://maps.google.com/maps?f=q&amp;hl=en&amp;geocode=&amp;q=43.21848,-77.81471</v>
      </c>
    </row>
    <row r="4561" spans="1:7" ht="15" x14ac:dyDescent="0.3">
      <c r="A4561">
        <v>33.810540000000003</v>
      </c>
      <c r="B4561">
        <v>-118.03908</v>
      </c>
      <c r="C4561" t="s">
        <v>42</v>
      </c>
      <c r="D4561" t="s">
        <v>2914</v>
      </c>
      <c r="F4561" s="21"/>
      <c r="G4561" s="16" t="str">
        <f>HYPERLINK("http://maps.google.com/maps?f=q&amp;hl=en&amp;geocode=&amp;q=33.81054,-118.03908")</f>
        <v>http://maps.google.com/maps?f=q&amp;hl=en&amp;geocode=&amp;q=33.81054,-118.03908</v>
      </c>
    </row>
    <row r="4562" spans="1:7" ht="15" x14ac:dyDescent="0.3">
      <c r="A4562">
        <v>-35.704339500000003</v>
      </c>
      <c r="B4562">
        <v>147.3323303</v>
      </c>
      <c r="C4562" t="s">
        <v>41</v>
      </c>
      <c r="D4562" t="s">
        <v>2915</v>
      </c>
      <c r="F4562" s="21"/>
      <c r="G4562" s="16" t="str">
        <f>HYPERLINK("http://maps.google.com/maps?f=q&amp;hl=en&amp;geocode=&amp;q=-35.7043395,147.3323303")</f>
        <v>http://maps.google.com/maps?f=q&amp;hl=en&amp;geocode=&amp;q=-35.7043395,147.3323303</v>
      </c>
    </row>
    <row r="4563" spans="1:7" ht="15" x14ac:dyDescent="0.3">
      <c r="A4563">
        <v>36.80688</v>
      </c>
      <c r="B4563">
        <v>-76.415170000000003</v>
      </c>
      <c r="C4563" t="s">
        <v>41</v>
      </c>
      <c r="D4563" t="s">
        <v>1302</v>
      </c>
      <c r="F4563" s="21"/>
      <c r="G4563" s="16" t="str">
        <f>HYPERLINK("http://maps.google.com/maps?f=q&amp;hl=en&amp;geocode=&amp;q=36.80688,-76.41517")</f>
        <v>http://maps.google.com/maps?f=q&amp;hl=en&amp;geocode=&amp;q=36.80688,-76.41517</v>
      </c>
    </row>
    <row r="4564" spans="1:7" ht="15" x14ac:dyDescent="0.3">
      <c r="A4564">
        <v>36.80688</v>
      </c>
      <c r="B4564">
        <v>-76.415170000000003</v>
      </c>
      <c r="C4564" t="s">
        <v>41</v>
      </c>
      <c r="D4564" t="s">
        <v>1302</v>
      </c>
      <c r="F4564" s="21"/>
      <c r="G4564" s="16" t="str">
        <f>HYPERLINK("http://maps.google.com/maps?f=q&amp;hl=en&amp;geocode=&amp;q=36.80688,-76.41517")</f>
        <v>http://maps.google.com/maps?f=q&amp;hl=en&amp;geocode=&amp;q=36.80688,-76.41517</v>
      </c>
    </row>
    <row r="4565" spans="1:7" ht="15" x14ac:dyDescent="0.3">
      <c r="A4565">
        <v>36.80688</v>
      </c>
      <c r="B4565">
        <v>-76.415170000000003</v>
      </c>
      <c r="C4565" t="s">
        <v>41</v>
      </c>
      <c r="D4565" t="s">
        <v>1302</v>
      </c>
      <c r="F4565" s="21"/>
      <c r="G4565" s="16" t="str">
        <f>HYPERLINK("http://maps.google.com/maps?f=q&amp;hl=en&amp;geocode=&amp;q=36.80688,-76.41517")</f>
        <v>http://maps.google.com/maps?f=q&amp;hl=en&amp;geocode=&amp;q=36.80688,-76.41517</v>
      </c>
    </row>
    <row r="4566" spans="1:7" ht="15" x14ac:dyDescent="0.3">
      <c r="A4566">
        <v>36.80688</v>
      </c>
      <c r="B4566">
        <v>-76.415170000000003</v>
      </c>
      <c r="C4566" t="s">
        <v>41</v>
      </c>
      <c r="D4566" t="s">
        <v>1302</v>
      </c>
      <c r="F4566" s="21"/>
      <c r="G4566" s="16" t="str">
        <f>HYPERLINK("http://maps.google.com/maps?f=q&amp;hl=en&amp;geocode=&amp;q=36.80688,-76.41517")</f>
        <v>http://maps.google.com/maps?f=q&amp;hl=en&amp;geocode=&amp;q=36.80688,-76.41517</v>
      </c>
    </row>
    <row r="4567" spans="1:7" ht="15" x14ac:dyDescent="0.3">
      <c r="A4567">
        <v>40.506158375702398</v>
      </c>
      <c r="B4567">
        <v>-84.489305790343295</v>
      </c>
      <c r="C4567" t="s">
        <v>41</v>
      </c>
      <c r="D4567" t="s">
        <v>2916</v>
      </c>
      <c r="F4567" s="21"/>
      <c r="G4567" s="16" t="str">
        <f>HYPERLINK("http://maps.google.com/maps?f=q&amp;hl=en&amp;geocode=&amp;q=40.5061583757024,-84.4893057903433")</f>
        <v>http://maps.google.com/maps?f=q&amp;hl=en&amp;geocode=&amp;q=40.5061583757024,-84.4893057903433</v>
      </c>
    </row>
    <row r="4568" spans="1:7" ht="15" x14ac:dyDescent="0.3">
      <c r="A4568">
        <v>40.544280000000001</v>
      </c>
      <c r="B4568">
        <v>-111.87203</v>
      </c>
      <c r="C4568" t="s">
        <v>42</v>
      </c>
      <c r="D4568" t="s">
        <v>2917</v>
      </c>
      <c r="F4568" s="21"/>
      <c r="G4568" s="16" t="str">
        <f>HYPERLINK("http://maps.google.com/maps?f=q&amp;hl=en&amp;geocode=&amp;q=40.54428,-111.87203")</f>
        <v>http://maps.google.com/maps?f=q&amp;hl=en&amp;geocode=&amp;q=40.54428,-111.87203</v>
      </c>
    </row>
    <row r="4569" spans="1:7" ht="15" x14ac:dyDescent="0.3">
      <c r="A4569">
        <v>38.103029999999997</v>
      </c>
      <c r="B4569">
        <v>-84.881200000000007</v>
      </c>
      <c r="C4569" t="s">
        <v>42</v>
      </c>
      <c r="D4569" t="s">
        <v>2918</v>
      </c>
      <c r="F4569" s="21"/>
      <c r="G4569" s="16" t="str">
        <f>HYPERLINK("http://maps.google.com/maps?f=q&amp;hl=en&amp;geocode=&amp;q=38.10303,-84.8812")</f>
        <v>http://maps.google.com/maps?f=q&amp;hl=en&amp;geocode=&amp;q=38.10303,-84.8812</v>
      </c>
    </row>
    <row r="4570" spans="1:7" ht="15" x14ac:dyDescent="0.3">
      <c r="A4570">
        <v>40.018949999999997</v>
      </c>
      <c r="B4570">
        <v>-75.203630000000004</v>
      </c>
      <c r="C4570" t="s">
        <v>43</v>
      </c>
      <c r="D4570" t="s">
        <v>2919</v>
      </c>
      <c r="F4570" s="21"/>
      <c r="G4570" s="16" t="str">
        <f>HYPERLINK("http://maps.google.com/maps?f=q&amp;hl=en&amp;geocode=&amp;q=40.01895,-75.20363")</f>
        <v>http://maps.google.com/maps?f=q&amp;hl=en&amp;geocode=&amp;q=40.01895,-75.20363</v>
      </c>
    </row>
    <row r="4571" spans="1:7" ht="15" x14ac:dyDescent="0.3">
      <c r="A4571">
        <v>49.518180847167997</v>
      </c>
      <c r="B4571">
        <v>5.8978409767150897</v>
      </c>
      <c r="C4571" t="s">
        <v>41</v>
      </c>
      <c r="D4571" t="s">
        <v>2510</v>
      </c>
      <c r="F4571" s="21"/>
      <c r="G4571" s="16" t="str">
        <f>HYPERLINK("http://maps.google.com/maps?f=q&amp;hl=en&amp;geocode=&amp;q=49.518180847168,5.89784097671509")</f>
        <v>http://maps.google.com/maps?f=q&amp;hl=en&amp;geocode=&amp;q=49.518180847168,5.89784097671509</v>
      </c>
    </row>
    <row r="4572" spans="1:7" ht="15" x14ac:dyDescent="0.3">
      <c r="A4572">
        <v>49.518180847167997</v>
      </c>
      <c r="B4572">
        <v>5.8978409767150897</v>
      </c>
      <c r="C4572" t="s">
        <v>41</v>
      </c>
      <c r="D4572" t="s">
        <v>2510</v>
      </c>
      <c r="F4572" s="21"/>
      <c r="G4572" s="16" t="str">
        <f>HYPERLINK("http://maps.google.com/maps?f=q&amp;hl=en&amp;geocode=&amp;q=49.518180847168,5.89784097671509")</f>
        <v>http://maps.google.com/maps?f=q&amp;hl=en&amp;geocode=&amp;q=49.518180847168,5.89784097671509</v>
      </c>
    </row>
    <row r="4573" spans="1:7" ht="15" x14ac:dyDescent="0.3">
      <c r="A4573">
        <v>49.518180847167997</v>
      </c>
      <c r="B4573">
        <v>5.8978409767150897</v>
      </c>
      <c r="C4573" t="s">
        <v>41</v>
      </c>
      <c r="D4573" t="s">
        <v>2510</v>
      </c>
      <c r="F4573" s="21"/>
      <c r="G4573" s="16" t="str">
        <f>HYPERLINK("http://maps.google.com/maps?f=q&amp;hl=en&amp;geocode=&amp;q=49.518180847168,5.89784097671509")</f>
        <v>http://maps.google.com/maps?f=q&amp;hl=en&amp;geocode=&amp;q=49.518180847168,5.89784097671509</v>
      </c>
    </row>
    <row r="4574" spans="1:7" ht="15" x14ac:dyDescent="0.3">
      <c r="A4574">
        <v>46.877621451446302</v>
      </c>
      <c r="B4574">
        <v>-123.302737599602</v>
      </c>
      <c r="C4574" t="s">
        <v>41</v>
      </c>
      <c r="D4574" t="s">
        <v>2920</v>
      </c>
      <c r="F4574" s="21"/>
      <c r="G4574" s="16" t="str">
        <f>HYPERLINK("http://maps.google.com/maps?f=q&amp;hl=en&amp;geocode=&amp;q=46.8776214514463,-123.302737599602")</f>
        <v>http://maps.google.com/maps?f=q&amp;hl=en&amp;geocode=&amp;q=46.8776214514463,-123.302737599602</v>
      </c>
    </row>
    <row r="4575" spans="1:7" ht="15" x14ac:dyDescent="0.3">
      <c r="A4575">
        <v>27.969684999990601</v>
      </c>
      <c r="B4575">
        <v>-82.4828209128639</v>
      </c>
      <c r="C4575" t="s">
        <v>41</v>
      </c>
      <c r="D4575" t="s">
        <v>2921</v>
      </c>
      <c r="F4575" s="21"/>
      <c r="G4575" s="16" t="str">
        <f>HYPERLINK("http://maps.google.com/maps?f=q&amp;hl=en&amp;geocode=&amp;q=27.9696849999906,-82.4828209128639")</f>
        <v>http://maps.google.com/maps?f=q&amp;hl=en&amp;geocode=&amp;q=27.9696849999906,-82.4828209128639</v>
      </c>
    </row>
    <row r="4576" spans="1:7" ht="15" x14ac:dyDescent="0.3">
      <c r="A4576">
        <v>33.241487914134403</v>
      </c>
      <c r="B4576">
        <v>-97.204151011977501</v>
      </c>
      <c r="C4576" t="s">
        <v>43</v>
      </c>
      <c r="D4576" t="s">
        <v>2922</v>
      </c>
      <c r="F4576" s="21"/>
      <c r="G4576" s="16" t="str">
        <f>HYPERLINK("http://maps.google.com/maps?f=q&amp;hl=en&amp;geocode=&amp;q=33.2414879141344,-97.2041510119775")</f>
        <v>http://maps.google.com/maps?f=q&amp;hl=en&amp;geocode=&amp;q=33.2414879141344,-97.2041510119775</v>
      </c>
    </row>
    <row r="4577" spans="1:7" ht="15" x14ac:dyDescent="0.3">
      <c r="A4577">
        <v>33.241487914134403</v>
      </c>
      <c r="B4577">
        <v>-97.204151011977501</v>
      </c>
      <c r="C4577" t="s">
        <v>43</v>
      </c>
      <c r="D4577" t="s">
        <v>2922</v>
      </c>
      <c r="F4577" s="21"/>
      <c r="G4577" s="16" t="str">
        <f>HYPERLINK("http://maps.google.com/maps?f=q&amp;hl=en&amp;geocode=&amp;q=33.2414879141344,-97.2041510119775")</f>
        <v>http://maps.google.com/maps?f=q&amp;hl=en&amp;geocode=&amp;q=33.2414879141344,-97.2041510119775</v>
      </c>
    </row>
    <row r="4578" spans="1:7" ht="15" x14ac:dyDescent="0.3">
      <c r="A4578">
        <v>39.987549999999999</v>
      </c>
      <c r="B4578">
        <v>-75.140810000000002</v>
      </c>
      <c r="C4578" t="s">
        <v>41</v>
      </c>
      <c r="D4578" t="s">
        <v>2185</v>
      </c>
      <c r="F4578" s="21"/>
      <c r="G4578" s="16" t="str">
        <f>HYPERLINK("http://maps.google.com/maps?f=q&amp;hl=en&amp;geocode=&amp;q=39.98755,-75.14081")</f>
        <v>http://maps.google.com/maps?f=q&amp;hl=en&amp;geocode=&amp;q=39.98755,-75.14081</v>
      </c>
    </row>
    <row r="4579" spans="1:7" ht="15" x14ac:dyDescent="0.3">
      <c r="A4579">
        <v>39.987549999999999</v>
      </c>
      <c r="B4579">
        <v>-75.140810000000002</v>
      </c>
      <c r="C4579" t="s">
        <v>41</v>
      </c>
      <c r="D4579" t="s">
        <v>2185</v>
      </c>
      <c r="F4579" s="21"/>
      <c r="G4579" s="16" t="str">
        <f>HYPERLINK("http://maps.google.com/maps?f=q&amp;hl=en&amp;geocode=&amp;q=39.98755,-75.14081")</f>
        <v>http://maps.google.com/maps?f=q&amp;hl=en&amp;geocode=&amp;q=39.98755,-75.14081</v>
      </c>
    </row>
    <row r="4580" spans="1:7" ht="15" x14ac:dyDescent="0.3">
      <c r="A4580">
        <v>39.987549999999999</v>
      </c>
      <c r="B4580">
        <v>-75.140810000000002</v>
      </c>
      <c r="C4580" t="s">
        <v>41</v>
      </c>
      <c r="D4580" t="s">
        <v>2185</v>
      </c>
      <c r="F4580" s="21"/>
      <c r="G4580" s="16" t="str">
        <f>HYPERLINK("http://maps.google.com/maps?f=q&amp;hl=en&amp;geocode=&amp;q=39.98755,-75.14081")</f>
        <v>http://maps.google.com/maps?f=q&amp;hl=en&amp;geocode=&amp;q=39.98755,-75.14081</v>
      </c>
    </row>
    <row r="4581" spans="1:7" ht="15" x14ac:dyDescent="0.3">
      <c r="A4581">
        <v>39.987549999999999</v>
      </c>
      <c r="B4581">
        <v>-75.140810000000002</v>
      </c>
      <c r="C4581" t="s">
        <v>41</v>
      </c>
      <c r="D4581" t="s">
        <v>2185</v>
      </c>
      <c r="F4581" s="21"/>
      <c r="G4581" s="16" t="str">
        <f>HYPERLINK("http://maps.google.com/maps?f=q&amp;hl=en&amp;geocode=&amp;q=39.98755,-75.14081")</f>
        <v>http://maps.google.com/maps?f=q&amp;hl=en&amp;geocode=&amp;q=39.98755,-75.14081</v>
      </c>
    </row>
    <row r="4582" spans="1:7" ht="15" x14ac:dyDescent="0.3">
      <c r="A4582">
        <v>39.987549999999999</v>
      </c>
      <c r="B4582">
        <v>-75.140810000000002</v>
      </c>
      <c r="C4582" t="s">
        <v>41</v>
      </c>
      <c r="D4582" t="s">
        <v>2185</v>
      </c>
      <c r="F4582" s="21"/>
      <c r="G4582" s="16" t="str">
        <f>HYPERLINK("http://maps.google.com/maps?f=q&amp;hl=en&amp;geocode=&amp;q=39.98755,-75.14081")</f>
        <v>http://maps.google.com/maps?f=q&amp;hl=en&amp;geocode=&amp;q=39.98755,-75.14081</v>
      </c>
    </row>
    <row r="4583" spans="1:7" ht="15" x14ac:dyDescent="0.3">
      <c r="A4583">
        <v>39.987549999999999</v>
      </c>
      <c r="B4583">
        <v>-75.140810000000002</v>
      </c>
      <c r="C4583" t="s">
        <v>41</v>
      </c>
      <c r="D4583" t="s">
        <v>2185</v>
      </c>
      <c r="F4583" s="21"/>
      <c r="G4583" s="16" t="str">
        <f>HYPERLINK("http://maps.google.com/maps?f=q&amp;hl=en&amp;geocode=&amp;q=39.98755,-75.14081")</f>
        <v>http://maps.google.com/maps?f=q&amp;hl=en&amp;geocode=&amp;q=39.98755,-75.14081</v>
      </c>
    </row>
    <row r="4584" spans="1:7" ht="15" x14ac:dyDescent="0.3">
      <c r="A4584">
        <v>39.987549999999999</v>
      </c>
      <c r="B4584">
        <v>-75.140810000000002</v>
      </c>
      <c r="C4584" t="s">
        <v>41</v>
      </c>
      <c r="D4584" t="s">
        <v>2185</v>
      </c>
      <c r="F4584" s="21"/>
      <c r="G4584" s="16" t="str">
        <f>HYPERLINK("http://maps.google.com/maps?f=q&amp;hl=en&amp;geocode=&amp;q=39.98755,-75.14081")</f>
        <v>http://maps.google.com/maps?f=q&amp;hl=en&amp;geocode=&amp;q=39.98755,-75.14081</v>
      </c>
    </row>
    <row r="4585" spans="1:7" ht="15" x14ac:dyDescent="0.3">
      <c r="A4585">
        <v>39.982441718012801</v>
      </c>
      <c r="B4585">
        <v>-75.111803875102794</v>
      </c>
      <c r="C4585" t="s">
        <v>41</v>
      </c>
      <c r="D4585" t="s">
        <v>2545</v>
      </c>
      <c r="F4585" s="21"/>
      <c r="G4585" s="16" t="str">
        <f>HYPERLINK("http://maps.google.com/maps?f=q&amp;hl=en&amp;geocode=&amp;q=39.9824417180128,-75.1118038751028")</f>
        <v>http://maps.google.com/maps?f=q&amp;hl=en&amp;geocode=&amp;q=39.9824417180128,-75.1118038751028</v>
      </c>
    </row>
    <row r="4586" spans="1:7" ht="15" x14ac:dyDescent="0.3">
      <c r="A4586">
        <v>39.982441718012801</v>
      </c>
      <c r="B4586">
        <v>-75.111803875102794</v>
      </c>
      <c r="C4586" t="s">
        <v>41</v>
      </c>
      <c r="D4586" t="s">
        <v>2545</v>
      </c>
      <c r="F4586" s="21"/>
      <c r="G4586" s="16" t="str">
        <f>HYPERLINK("http://maps.google.com/maps?f=q&amp;hl=en&amp;geocode=&amp;q=39.9824417180128,-75.1118038751028")</f>
        <v>http://maps.google.com/maps?f=q&amp;hl=en&amp;geocode=&amp;q=39.9824417180128,-75.1118038751028</v>
      </c>
    </row>
    <row r="4587" spans="1:7" ht="15" x14ac:dyDescent="0.3">
      <c r="A4587">
        <v>39.982441718012801</v>
      </c>
      <c r="B4587">
        <v>-75.111803875102794</v>
      </c>
      <c r="C4587" t="s">
        <v>41</v>
      </c>
      <c r="D4587" t="s">
        <v>2545</v>
      </c>
      <c r="F4587" s="21"/>
      <c r="G4587" s="16" t="str">
        <f>HYPERLINK("http://maps.google.com/maps?f=q&amp;hl=en&amp;geocode=&amp;q=39.9824417180128,-75.1118038751028")</f>
        <v>http://maps.google.com/maps?f=q&amp;hl=en&amp;geocode=&amp;q=39.9824417180128,-75.1118038751028</v>
      </c>
    </row>
    <row r="4588" spans="1:7" ht="15" x14ac:dyDescent="0.3">
      <c r="A4588">
        <v>39.982441718012801</v>
      </c>
      <c r="B4588">
        <v>-75.111803875102794</v>
      </c>
      <c r="C4588" t="s">
        <v>41</v>
      </c>
      <c r="D4588" t="s">
        <v>2545</v>
      </c>
      <c r="F4588" s="21"/>
      <c r="G4588" s="16" t="str">
        <f>HYPERLINK("http://maps.google.com/maps?f=q&amp;hl=en&amp;geocode=&amp;q=39.9824417180128,-75.1118038751028")</f>
        <v>http://maps.google.com/maps?f=q&amp;hl=en&amp;geocode=&amp;q=39.9824417180128,-75.1118038751028</v>
      </c>
    </row>
    <row r="4589" spans="1:7" ht="15" x14ac:dyDescent="0.3">
      <c r="A4589">
        <v>39.773628234863303</v>
      </c>
      <c r="B4589">
        <v>-87.206352233886705</v>
      </c>
      <c r="C4589" t="s">
        <v>41</v>
      </c>
      <c r="D4589" t="s">
        <v>76</v>
      </c>
      <c r="F4589" s="21"/>
      <c r="G4589" s="16" t="str">
        <f>HYPERLINK("http://maps.google.com/maps?f=q&amp;hl=en&amp;geocode=&amp;q=39.7736282348633,-87.2063522338867")</f>
        <v>http://maps.google.com/maps?f=q&amp;hl=en&amp;geocode=&amp;q=39.7736282348633,-87.2063522338867</v>
      </c>
    </row>
    <row r="4590" spans="1:7" ht="15" x14ac:dyDescent="0.3">
      <c r="A4590">
        <v>39.773628234863303</v>
      </c>
      <c r="B4590">
        <v>-87.206352233886705</v>
      </c>
      <c r="C4590" t="s">
        <v>41</v>
      </c>
      <c r="D4590" t="s">
        <v>76</v>
      </c>
      <c r="F4590" s="21"/>
      <c r="G4590" s="16" t="str">
        <f>HYPERLINK("http://maps.google.com/maps?f=q&amp;hl=en&amp;geocode=&amp;q=39.7736282348633,-87.2063522338867")</f>
        <v>http://maps.google.com/maps?f=q&amp;hl=en&amp;geocode=&amp;q=39.7736282348633,-87.2063522338867</v>
      </c>
    </row>
    <row r="4591" spans="1:7" ht="15" x14ac:dyDescent="0.3">
      <c r="A4591">
        <v>39.773628234863303</v>
      </c>
      <c r="B4591">
        <v>-87.206352233886705</v>
      </c>
      <c r="C4591" t="s">
        <v>41</v>
      </c>
      <c r="D4591" t="s">
        <v>76</v>
      </c>
      <c r="F4591" s="21"/>
      <c r="G4591" s="16" t="str">
        <f>HYPERLINK("http://maps.google.com/maps?f=q&amp;hl=en&amp;geocode=&amp;q=39.7736282348633,-87.2063522338867")</f>
        <v>http://maps.google.com/maps?f=q&amp;hl=en&amp;geocode=&amp;q=39.7736282348633,-87.2063522338867</v>
      </c>
    </row>
    <row r="4592" spans="1:7" ht="15" x14ac:dyDescent="0.3">
      <c r="A4592">
        <v>39.773628234863303</v>
      </c>
      <c r="B4592">
        <v>-87.206352233886705</v>
      </c>
      <c r="C4592" t="s">
        <v>41</v>
      </c>
      <c r="D4592" t="s">
        <v>76</v>
      </c>
      <c r="F4592" s="21"/>
      <c r="G4592" s="16" t="str">
        <f>HYPERLINK("http://maps.google.com/maps?f=q&amp;hl=en&amp;geocode=&amp;q=39.7736282348633,-87.2063522338867")</f>
        <v>http://maps.google.com/maps?f=q&amp;hl=en&amp;geocode=&amp;q=39.7736282348633,-87.2063522338867</v>
      </c>
    </row>
    <row r="4593" spans="1:7" ht="15" x14ac:dyDescent="0.3">
      <c r="A4593">
        <v>39.773628234863303</v>
      </c>
      <c r="B4593">
        <v>-87.206352233886705</v>
      </c>
      <c r="C4593" t="s">
        <v>41</v>
      </c>
      <c r="D4593" t="s">
        <v>76</v>
      </c>
      <c r="F4593" s="21"/>
      <c r="G4593" s="16" t="str">
        <f>HYPERLINK("http://maps.google.com/maps?f=q&amp;hl=en&amp;geocode=&amp;q=39.7736282348633,-87.2063522338867")</f>
        <v>http://maps.google.com/maps?f=q&amp;hl=en&amp;geocode=&amp;q=39.7736282348633,-87.2063522338867</v>
      </c>
    </row>
    <row r="4594" spans="1:7" ht="15" x14ac:dyDescent="0.3">
      <c r="A4594">
        <v>39.979145982734501</v>
      </c>
      <c r="B4594">
        <v>-75.330140080704297</v>
      </c>
      <c r="C4594" t="s">
        <v>41</v>
      </c>
      <c r="D4594" t="s">
        <v>2923</v>
      </c>
      <c r="F4594" s="21"/>
      <c r="G4594" s="16" t="str">
        <f>HYPERLINK("http://maps.google.com/maps?f=q&amp;hl=en&amp;geocode=&amp;q=39.9791459827345,-75.3301400807043")</f>
        <v>http://maps.google.com/maps?f=q&amp;hl=en&amp;geocode=&amp;q=39.9791459827345,-75.3301400807043</v>
      </c>
    </row>
    <row r="4595" spans="1:7" ht="15" x14ac:dyDescent="0.3">
      <c r="A4595">
        <v>46.466749622867198</v>
      </c>
      <c r="B4595">
        <v>-91.749819844398203</v>
      </c>
      <c r="C4595" t="s">
        <v>41</v>
      </c>
      <c r="D4595" t="s">
        <v>2924</v>
      </c>
      <c r="F4595" s="21"/>
      <c r="G4595" s="16" t="str">
        <f>HYPERLINK("http://maps.google.com/maps?f=q&amp;hl=en&amp;geocode=&amp;q=46.4667496228672,-91.7498198443982")</f>
        <v>http://maps.google.com/maps?f=q&amp;hl=en&amp;geocode=&amp;q=46.4667496228672,-91.7498198443982</v>
      </c>
    </row>
    <row r="4596" spans="1:7" ht="15" x14ac:dyDescent="0.3">
      <c r="A4596">
        <v>39.773628234863303</v>
      </c>
      <c r="B4596">
        <v>-87.206352233886705</v>
      </c>
      <c r="C4596" t="s">
        <v>41</v>
      </c>
      <c r="D4596" t="s">
        <v>76</v>
      </c>
      <c r="F4596" s="21"/>
      <c r="G4596" s="16" t="str">
        <f>HYPERLINK("http://maps.google.com/maps?f=q&amp;hl=en&amp;geocode=&amp;q=39.7736282348633,-87.2063522338867")</f>
        <v>http://maps.google.com/maps?f=q&amp;hl=en&amp;geocode=&amp;q=39.7736282348633,-87.2063522338867</v>
      </c>
    </row>
    <row r="4597" spans="1:7" ht="15" x14ac:dyDescent="0.3">
      <c r="A4597">
        <v>38.725276947021499</v>
      </c>
      <c r="B4597">
        <v>-77.047775268554702</v>
      </c>
      <c r="C4597" t="s">
        <v>41</v>
      </c>
      <c r="D4597" t="s">
        <v>2925</v>
      </c>
      <c r="F4597" s="21"/>
      <c r="G4597" s="16" t="str">
        <f>HYPERLINK("http://maps.google.com/maps?f=q&amp;hl=en&amp;geocode=&amp;q=38.7252769470215,-77.0477752685547")</f>
        <v>http://maps.google.com/maps?f=q&amp;hl=en&amp;geocode=&amp;q=38.7252769470215,-77.0477752685547</v>
      </c>
    </row>
    <row r="4598" spans="1:7" ht="15" x14ac:dyDescent="0.3">
      <c r="A4598">
        <v>42.832415529968998</v>
      </c>
      <c r="B4598">
        <v>-77.381095667409696</v>
      </c>
      <c r="C4598" t="s">
        <v>41</v>
      </c>
      <c r="D4598" t="s">
        <v>221</v>
      </c>
      <c r="F4598" s="21"/>
      <c r="G4598" s="16" t="str">
        <f>HYPERLINK("http://maps.google.com/maps?f=q&amp;hl=en&amp;geocode=&amp;q=42.832415529969,-77.3810956674097")</f>
        <v>http://maps.google.com/maps?f=q&amp;hl=en&amp;geocode=&amp;q=42.832415529969,-77.3810956674097</v>
      </c>
    </row>
    <row r="4599" spans="1:7" ht="15" x14ac:dyDescent="0.3">
      <c r="A4599">
        <v>38.678428649902301</v>
      </c>
      <c r="B4599">
        <v>-121.77311706543</v>
      </c>
      <c r="C4599" t="s">
        <v>43</v>
      </c>
      <c r="D4599" t="s">
        <v>2926</v>
      </c>
      <c r="F4599" s="21"/>
      <c r="G4599" s="16" t="str">
        <f>HYPERLINK("http://maps.google.com/maps?f=q&amp;hl=en&amp;geocode=&amp;q=38.6784286499023,-121.77311706543")</f>
        <v>http://maps.google.com/maps?f=q&amp;hl=en&amp;geocode=&amp;q=38.6784286499023,-121.77311706543</v>
      </c>
    </row>
    <row r="4600" spans="1:7" ht="15" x14ac:dyDescent="0.3">
      <c r="A4600" t="s">
        <v>44</v>
      </c>
      <c r="B4600" t="s">
        <v>44</v>
      </c>
      <c r="C4600" t="s">
        <v>44</v>
      </c>
      <c r="D4600" t="s">
        <v>75</v>
      </c>
      <c r="F4600" s="21"/>
      <c r="G4600" s="16"/>
    </row>
    <row r="4601" spans="1:7" ht="15" x14ac:dyDescent="0.3">
      <c r="A4601">
        <v>33.497459999999997</v>
      </c>
      <c r="B4601">
        <v>-88.409490000000005</v>
      </c>
      <c r="C4601" t="s">
        <v>43</v>
      </c>
      <c r="D4601" t="s">
        <v>2927</v>
      </c>
      <c r="F4601" s="21"/>
      <c r="G4601" s="16" t="str">
        <f>HYPERLINK("http://maps.google.com/maps?f=q&amp;hl=en&amp;geocode=&amp;q=33.49746,-88.40949")</f>
        <v>http://maps.google.com/maps?f=q&amp;hl=en&amp;geocode=&amp;q=33.49746,-88.40949</v>
      </c>
    </row>
    <row r="4602" spans="1:7" ht="15" x14ac:dyDescent="0.3">
      <c r="A4602">
        <v>38.003207298581302</v>
      </c>
      <c r="B4602">
        <v>-90.622166655108899</v>
      </c>
      <c r="C4602" t="s">
        <v>41</v>
      </c>
      <c r="D4602" t="s">
        <v>2928</v>
      </c>
      <c r="F4602" s="21"/>
      <c r="G4602" s="16" t="str">
        <f>HYPERLINK("http://maps.google.com/maps?f=q&amp;hl=en&amp;geocode=&amp;q=38.0032072985813,-90.6221666551089")</f>
        <v>http://maps.google.com/maps?f=q&amp;hl=en&amp;geocode=&amp;q=38.0032072985813,-90.6221666551089</v>
      </c>
    </row>
    <row r="4603" spans="1:7" ht="15" x14ac:dyDescent="0.3">
      <c r="A4603">
        <v>33.285741979703602</v>
      </c>
      <c r="B4603">
        <v>-80.800810679928105</v>
      </c>
      <c r="C4603" t="s">
        <v>41</v>
      </c>
      <c r="D4603" t="s">
        <v>2929</v>
      </c>
      <c r="F4603" s="21"/>
      <c r="G4603" s="16" t="str">
        <f>HYPERLINK("http://maps.google.com/maps?f=q&amp;hl=en&amp;geocode=&amp;q=33.2857419797036,-80.8008106799281")</f>
        <v>http://maps.google.com/maps?f=q&amp;hl=en&amp;geocode=&amp;q=33.2857419797036,-80.8008106799281</v>
      </c>
    </row>
    <row r="4604" spans="1:7" ht="15" x14ac:dyDescent="0.3">
      <c r="A4604">
        <v>29.6877602995926</v>
      </c>
      <c r="B4604">
        <v>-95.355172676799398</v>
      </c>
      <c r="C4604" t="s">
        <v>41</v>
      </c>
      <c r="D4604" t="s">
        <v>2930</v>
      </c>
      <c r="F4604" s="21"/>
      <c r="G4604" s="16" t="str">
        <f>HYPERLINK("http://maps.google.com/maps?f=q&amp;hl=en&amp;geocode=&amp;q=29.6877602995926,-95.3551726767994")</f>
        <v>http://maps.google.com/maps?f=q&amp;hl=en&amp;geocode=&amp;q=29.6877602995926,-95.3551726767994</v>
      </c>
    </row>
    <row r="4605" spans="1:7" ht="15" x14ac:dyDescent="0.3">
      <c r="A4605">
        <v>42.331539154052699</v>
      </c>
      <c r="B4605">
        <v>-77.196914672851605</v>
      </c>
      <c r="C4605" t="s">
        <v>43</v>
      </c>
      <c r="D4605" t="s">
        <v>2931</v>
      </c>
      <c r="F4605" s="21"/>
      <c r="G4605" s="16" t="str">
        <f>HYPERLINK("http://maps.google.com/maps?f=q&amp;hl=en&amp;geocode=&amp;q=42.3315391540527,-77.1969146728516")</f>
        <v>http://maps.google.com/maps?f=q&amp;hl=en&amp;geocode=&amp;q=42.3315391540527,-77.1969146728516</v>
      </c>
    </row>
    <row r="4606" spans="1:7" ht="15" x14ac:dyDescent="0.3">
      <c r="A4606">
        <v>42.083179473877003</v>
      </c>
      <c r="B4606">
        <v>-71.017242431640597</v>
      </c>
      <c r="C4606" t="s">
        <v>41</v>
      </c>
      <c r="D4606" t="s">
        <v>2932</v>
      </c>
      <c r="F4606" s="21"/>
      <c r="G4606" s="16" t="str">
        <f>HYPERLINK("http://maps.google.com/maps?f=q&amp;hl=en&amp;geocode=&amp;q=42.083179473877,-71.0172424316406")</f>
        <v>http://maps.google.com/maps?f=q&amp;hl=en&amp;geocode=&amp;q=42.083179473877,-71.0172424316406</v>
      </c>
    </row>
    <row r="4607" spans="1:7" ht="15" x14ac:dyDescent="0.3">
      <c r="A4607">
        <v>-34.928493499755902</v>
      </c>
      <c r="B4607">
        <v>138.60073852539099</v>
      </c>
      <c r="C4607" t="s">
        <v>41</v>
      </c>
      <c r="D4607" t="s">
        <v>2933</v>
      </c>
      <c r="F4607" s="21"/>
      <c r="G4607" s="16" t="str">
        <f>HYPERLINK("http://maps.google.com/maps?f=q&amp;hl=en&amp;geocode=&amp;q=-34.9284934997559,138.600738525391")</f>
        <v>http://maps.google.com/maps?f=q&amp;hl=en&amp;geocode=&amp;q=-34.9284934997559,138.600738525391</v>
      </c>
    </row>
    <row r="4608" spans="1:7" ht="15" x14ac:dyDescent="0.3">
      <c r="A4608">
        <v>-34.928493499755902</v>
      </c>
      <c r="B4608">
        <v>138.60073852539099</v>
      </c>
      <c r="C4608" t="s">
        <v>41</v>
      </c>
      <c r="D4608" t="s">
        <v>2933</v>
      </c>
      <c r="F4608" s="21"/>
      <c r="G4608" s="16" t="str">
        <f>HYPERLINK("http://maps.google.com/maps?f=q&amp;hl=en&amp;geocode=&amp;q=-34.9284934997559,138.600738525391")</f>
        <v>http://maps.google.com/maps?f=q&amp;hl=en&amp;geocode=&amp;q=-34.9284934997559,138.600738525391</v>
      </c>
    </row>
    <row r="4609" spans="1:7" ht="15" x14ac:dyDescent="0.3">
      <c r="A4609">
        <v>-34.928493499755902</v>
      </c>
      <c r="B4609">
        <v>138.60073852539099</v>
      </c>
      <c r="C4609" t="s">
        <v>41</v>
      </c>
      <c r="D4609" t="s">
        <v>2933</v>
      </c>
      <c r="F4609" s="21"/>
      <c r="G4609" s="16" t="str">
        <f>HYPERLINK("http://maps.google.com/maps?f=q&amp;hl=en&amp;geocode=&amp;q=-34.9284934997559,138.600738525391")</f>
        <v>http://maps.google.com/maps?f=q&amp;hl=en&amp;geocode=&amp;q=-34.9284934997559,138.600738525391</v>
      </c>
    </row>
    <row r="4610" spans="1:7" ht="15" x14ac:dyDescent="0.3">
      <c r="A4610">
        <v>-34.928493499755902</v>
      </c>
      <c r="B4610">
        <v>138.60073852539099</v>
      </c>
      <c r="C4610" t="s">
        <v>41</v>
      </c>
      <c r="D4610" t="s">
        <v>2933</v>
      </c>
      <c r="F4610" s="21"/>
      <c r="G4610" s="16" t="str">
        <f>HYPERLINK("http://maps.google.com/maps?f=q&amp;hl=en&amp;geocode=&amp;q=-34.9284934997559,138.600738525391")</f>
        <v>http://maps.google.com/maps?f=q&amp;hl=en&amp;geocode=&amp;q=-34.9284934997559,138.600738525391</v>
      </c>
    </row>
    <row r="4611" spans="1:7" ht="15" x14ac:dyDescent="0.3">
      <c r="A4611">
        <v>-34.928493499755902</v>
      </c>
      <c r="B4611">
        <v>138.60073852539099</v>
      </c>
      <c r="C4611" t="s">
        <v>41</v>
      </c>
      <c r="D4611" t="s">
        <v>2933</v>
      </c>
      <c r="F4611" s="21"/>
      <c r="G4611" s="16" t="str">
        <f>HYPERLINK("http://maps.google.com/maps?f=q&amp;hl=en&amp;geocode=&amp;q=-34.9284934997559,138.600738525391")</f>
        <v>http://maps.google.com/maps?f=q&amp;hl=en&amp;geocode=&amp;q=-34.9284934997559,138.600738525391</v>
      </c>
    </row>
    <row r="4612" spans="1:7" ht="15" x14ac:dyDescent="0.3">
      <c r="A4612">
        <v>-34.928493499755902</v>
      </c>
      <c r="B4612">
        <v>138.60073852539099</v>
      </c>
      <c r="C4612" t="s">
        <v>41</v>
      </c>
      <c r="D4612" t="s">
        <v>2933</v>
      </c>
      <c r="F4612" s="21"/>
      <c r="G4612" s="16" t="str">
        <f>HYPERLINK("http://maps.google.com/maps?f=q&amp;hl=en&amp;geocode=&amp;q=-34.9284934997559,138.600738525391")</f>
        <v>http://maps.google.com/maps?f=q&amp;hl=en&amp;geocode=&amp;q=-34.9284934997559,138.600738525391</v>
      </c>
    </row>
    <row r="4613" spans="1:7" ht="15" x14ac:dyDescent="0.3">
      <c r="A4613">
        <v>37.193010000000001</v>
      </c>
      <c r="B4613">
        <v>-79.925550000000001</v>
      </c>
      <c r="C4613" t="s">
        <v>43</v>
      </c>
      <c r="D4613" t="s">
        <v>2934</v>
      </c>
      <c r="F4613" s="21"/>
      <c r="G4613" s="16" t="str">
        <f>HYPERLINK("http://maps.google.com/maps?f=q&amp;hl=en&amp;geocode=&amp;q=37.19301,-79.92555")</f>
        <v>http://maps.google.com/maps?f=q&amp;hl=en&amp;geocode=&amp;q=37.19301,-79.92555</v>
      </c>
    </row>
    <row r="4614" spans="1:7" ht="15" x14ac:dyDescent="0.3">
      <c r="A4614">
        <v>36.937579105392103</v>
      </c>
      <c r="B4614">
        <v>-76.262951272217194</v>
      </c>
      <c r="C4614" t="s">
        <v>41</v>
      </c>
      <c r="D4614" t="s">
        <v>670</v>
      </c>
      <c r="F4614" s="21"/>
      <c r="G4614" s="16" t="str">
        <f>HYPERLINK("http://maps.google.com/maps?f=q&amp;hl=en&amp;geocode=&amp;q=36.9375791053921,-76.2629512722172")</f>
        <v>http://maps.google.com/maps?f=q&amp;hl=en&amp;geocode=&amp;q=36.9375791053921,-76.2629512722172</v>
      </c>
    </row>
    <row r="4615" spans="1:7" ht="15" x14ac:dyDescent="0.3">
      <c r="A4615">
        <v>32.842916532454304</v>
      </c>
      <c r="B4615">
        <v>-109.825929507613</v>
      </c>
      <c r="C4615" t="s">
        <v>41</v>
      </c>
      <c r="D4615" t="s">
        <v>2935</v>
      </c>
      <c r="F4615" s="21"/>
      <c r="G4615" s="16" t="str">
        <f>HYPERLINK("http://maps.google.com/maps?f=q&amp;hl=en&amp;geocode=&amp;q=32.8429165324543,-109.825929507613")</f>
        <v>http://maps.google.com/maps?f=q&amp;hl=en&amp;geocode=&amp;q=32.8429165324543,-109.825929507613</v>
      </c>
    </row>
    <row r="4616" spans="1:7" ht="15" x14ac:dyDescent="0.3">
      <c r="A4616" t="s">
        <v>44</v>
      </c>
      <c r="B4616" t="s">
        <v>44</v>
      </c>
      <c r="C4616" t="s">
        <v>44</v>
      </c>
      <c r="D4616" t="s">
        <v>2936</v>
      </c>
      <c r="F4616" s="21"/>
      <c r="G4616" s="16"/>
    </row>
    <row r="4617" spans="1:7" ht="15" x14ac:dyDescent="0.3">
      <c r="A4617">
        <v>46.177654266357401</v>
      </c>
      <c r="B4617">
        <v>6.1214799880981401</v>
      </c>
      <c r="C4617" t="s">
        <v>43</v>
      </c>
      <c r="D4617" t="s">
        <v>2763</v>
      </c>
      <c r="F4617" s="21"/>
      <c r="G4617" s="16" t="str">
        <f>HYPERLINK("http://maps.google.com/maps?f=q&amp;hl=en&amp;geocode=&amp;q=46.1776542663574,6.12147998809814")</f>
        <v>http://maps.google.com/maps?f=q&amp;hl=en&amp;geocode=&amp;q=46.1776542663574,6.12147998809814</v>
      </c>
    </row>
    <row r="4618" spans="1:7" ht="15" x14ac:dyDescent="0.3">
      <c r="F4618" s="21"/>
      <c r="G4618" s="16"/>
    </row>
    <row r="4619" spans="1:7" ht="15" x14ac:dyDescent="0.3">
      <c r="A4619">
        <v>40.038255504820697</v>
      </c>
      <c r="B4619">
        <v>-75.0678350924169</v>
      </c>
      <c r="C4619" t="s">
        <v>41</v>
      </c>
      <c r="D4619" t="s">
        <v>2644</v>
      </c>
      <c r="F4619" s="21"/>
      <c r="G4619" s="16" t="str">
        <f>HYPERLINK("http://maps.google.com/maps?f=q&amp;hl=en&amp;geocode=&amp;q=40.0382555048207,-75.0678350924169")</f>
        <v>http://maps.google.com/maps?f=q&amp;hl=en&amp;geocode=&amp;q=40.0382555048207,-75.0678350924169</v>
      </c>
    </row>
    <row r="4620" spans="1:7" ht="15" x14ac:dyDescent="0.3">
      <c r="A4620">
        <v>40.01773</v>
      </c>
      <c r="B4620">
        <v>-75.210719999999995</v>
      </c>
      <c r="C4620" t="s">
        <v>41</v>
      </c>
      <c r="D4620" t="s">
        <v>2937</v>
      </c>
      <c r="F4620" s="21"/>
      <c r="G4620" s="16" t="str">
        <f>HYPERLINK("http://maps.google.com/maps?f=q&amp;hl=en&amp;geocode=&amp;q=40.01773,-75.21072")</f>
        <v>http://maps.google.com/maps?f=q&amp;hl=en&amp;geocode=&amp;q=40.01773,-75.21072</v>
      </c>
    </row>
    <row r="4621" spans="1:7" ht="15" x14ac:dyDescent="0.3">
      <c r="A4621">
        <v>29.697649999999999</v>
      </c>
      <c r="B4621">
        <v>-95.35727</v>
      </c>
      <c r="C4621" t="s">
        <v>41</v>
      </c>
      <c r="D4621" t="s">
        <v>2938</v>
      </c>
      <c r="F4621" s="21"/>
      <c r="G4621" s="16" t="str">
        <f>HYPERLINK("http://maps.google.com/maps?f=q&amp;hl=en&amp;geocode=&amp;q=29.69765,-95.35727")</f>
        <v>http://maps.google.com/maps?f=q&amp;hl=en&amp;geocode=&amp;q=29.69765,-95.35727</v>
      </c>
    </row>
    <row r="4622" spans="1:7" ht="15" x14ac:dyDescent="0.3">
      <c r="A4622">
        <v>42.316619165799302</v>
      </c>
      <c r="B4622">
        <v>-76.819056252727194</v>
      </c>
      <c r="C4622" t="s">
        <v>41</v>
      </c>
      <c r="D4622" t="s">
        <v>2939</v>
      </c>
      <c r="F4622" s="21"/>
      <c r="G4622" s="16" t="str">
        <f>HYPERLINK("http://maps.google.com/maps?f=q&amp;hl=en&amp;geocode=&amp;q=42.3166191657993,-76.8190562527272")</f>
        <v>http://maps.google.com/maps?f=q&amp;hl=en&amp;geocode=&amp;q=42.3166191657993,-76.8190562527272</v>
      </c>
    </row>
    <row r="4623" spans="1:7" ht="15" x14ac:dyDescent="0.3">
      <c r="A4623">
        <v>39.009328502878397</v>
      </c>
      <c r="B4623">
        <v>-92.755257755952996</v>
      </c>
      <c r="C4623" t="s">
        <v>41</v>
      </c>
      <c r="D4623" t="s">
        <v>2940</v>
      </c>
      <c r="F4623" s="21"/>
      <c r="G4623" s="16" t="str">
        <f>HYPERLINK("http://maps.google.com/maps?f=q&amp;hl=en&amp;geocode=&amp;q=39.0093285028784,-92.755257755953")</f>
        <v>http://maps.google.com/maps?f=q&amp;hl=en&amp;geocode=&amp;q=39.0093285028784,-92.755257755953</v>
      </c>
    </row>
    <row r="4624" spans="1:7" ht="15" x14ac:dyDescent="0.3">
      <c r="A4624">
        <v>36.8899679131084</v>
      </c>
      <c r="B4624">
        <v>-80.965262938324202</v>
      </c>
      <c r="C4624" t="s">
        <v>41</v>
      </c>
      <c r="D4624" t="s">
        <v>2941</v>
      </c>
      <c r="F4624" s="21"/>
      <c r="G4624" s="16" t="str">
        <f>HYPERLINK("http://maps.google.com/maps?f=q&amp;hl=en&amp;geocode=&amp;q=36.8899679131084,-80.9652629383242")</f>
        <v>http://maps.google.com/maps?f=q&amp;hl=en&amp;geocode=&amp;q=36.8899679131084,-80.9652629383242</v>
      </c>
    </row>
    <row r="4625" spans="1:7" ht="15" x14ac:dyDescent="0.3">
      <c r="A4625">
        <v>36.480968227593202</v>
      </c>
      <c r="B4625">
        <v>-94.343048757447704</v>
      </c>
      <c r="C4625" t="s">
        <v>41</v>
      </c>
      <c r="D4625" t="s">
        <v>2942</v>
      </c>
      <c r="F4625" s="21"/>
      <c r="G4625" s="16" t="str">
        <f>HYPERLINK("http://maps.google.com/maps?f=q&amp;hl=en&amp;geocode=&amp;q=36.4809682275932,-94.3430487574477")</f>
        <v>http://maps.google.com/maps?f=q&amp;hl=en&amp;geocode=&amp;q=36.4809682275932,-94.3430487574477</v>
      </c>
    </row>
    <row r="4626" spans="1:7" ht="15" x14ac:dyDescent="0.3">
      <c r="A4626">
        <v>40.743740009218101</v>
      </c>
      <c r="B4626">
        <v>-111.85732947868</v>
      </c>
      <c r="C4626" t="s">
        <v>41</v>
      </c>
      <c r="D4626" t="s">
        <v>1041</v>
      </c>
      <c r="F4626" s="21"/>
      <c r="G4626" s="16" t="str">
        <f>HYPERLINK("http://maps.google.com/maps?f=q&amp;hl=en&amp;geocode=&amp;q=40.7437400092181,-111.85732947868")</f>
        <v>http://maps.google.com/maps?f=q&amp;hl=en&amp;geocode=&amp;q=40.7437400092181,-111.85732947868</v>
      </c>
    </row>
    <row r="4627" spans="1:7" ht="15" x14ac:dyDescent="0.3">
      <c r="A4627">
        <v>35.113931944200203</v>
      </c>
      <c r="B4627">
        <v>-90.025220344861395</v>
      </c>
      <c r="C4627" t="s">
        <v>41</v>
      </c>
      <c r="D4627" t="s">
        <v>2943</v>
      </c>
      <c r="F4627" s="21"/>
      <c r="G4627" s="16" t="str">
        <f>HYPERLINK("http://maps.google.com/maps?f=q&amp;hl=en&amp;geocode=&amp;q=35.1139319442002,-90.0252203448614")</f>
        <v>http://maps.google.com/maps?f=q&amp;hl=en&amp;geocode=&amp;q=35.1139319442002,-90.0252203448614</v>
      </c>
    </row>
    <row r="4628" spans="1:7" ht="15" x14ac:dyDescent="0.3">
      <c r="A4628">
        <v>40.043667744318597</v>
      </c>
      <c r="B4628">
        <v>-75.067613701435505</v>
      </c>
      <c r="C4628" t="s">
        <v>41</v>
      </c>
      <c r="D4628" t="s">
        <v>1530</v>
      </c>
      <c r="F4628" s="21"/>
      <c r="G4628" s="16" t="str">
        <f>HYPERLINK("http://maps.google.com/maps?f=q&amp;hl=en&amp;geocode=&amp;q=40.0436677443186,-75.0676137014355")</f>
        <v>http://maps.google.com/maps?f=q&amp;hl=en&amp;geocode=&amp;q=40.0436677443186,-75.0676137014355</v>
      </c>
    </row>
    <row r="4629" spans="1:7" ht="15" x14ac:dyDescent="0.3">
      <c r="A4629">
        <v>39.955559999999998</v>
      </c>
      <c r="B4629">
        <v>-75.223780000000005</v>
      </c>
      <c r="C4629" t="s">
        <v>43</v>
      </c>
      <c r="D4629" t="s">
        <v>2944</v>
      </c>
      <c r="F4629" s="21"/>
      <c r="G4629" s="16" t="str">
        <f>HYPERLINK("http://maps.google.com/maps?f=q&amp;hl=en&amp;geocode=&amp;q=39.95556,-75.22378")</f>
        <v>http://maps.google.com/maps?f=q&amp;hl=en&amp;geocode=&amp;q=39.95556,-75.22378</v>
      </c>
    </row>
    <row r="4630" spans="1:7" ht="15" x14ac:dyDescent="0.3">
      <c r="A4630">
        <v>39.922400000000003</v>
      </c>
      <c r="B4630">
        <v>-75.083200000000005</v>
      </c>
      <c r="C4630" t="s">
        <v>42</v>
      </c>
      <c r="D4630" t="s">
        <v>2945</v>
      </c>
      <c r="F4630" s="21"/>
      <c r="G4630" s="16" t="str">
        <f>HYPERLINK("http://maps.google.com/maps?f=q&amp;hl=en&amp;geocode=&amp;q=39.9224,-75.0832")</f>
        <v>http://maps.google.com/maps?f=q&amp;hl=en&amp;geocode=&amp;q=39.9224,-75.0832</v>
      </c>
    </row>
    <row r="4631" spans="1:7" ht="15" x14ac:dyDescent="0.3">
      <c r="A4631">
        <v>45.043041229247997</v>
      </c>
      <c r="B4631">
        <v>42.075386047363303</v>
      </c>
      <c r="C4631" t="s">
        <v>43</v>
      </c>
      <c r="D4631" t="s">
        <v>2946</v>
      </c>
      <c r="F4631" s="21"/>
      <c r="G4631" s="16" t="str">
        <f>HYPERLINK("http://maps.google.com/maps?f=q&amp;hl=en&amp;geocode=&amp;q=45.043041229248,42.0753860473633")</f>
        <v>http://maps.google.com/maps?f=q&amp;hl=en&amp;geocode=&amp;q=45.043041229248,42.0753860473633</v>
      </c>
    </row>
    <row r="4632" spans="1:7" ht="15" x14ac:dyDescent="0.3">
      <c r="A4632">
        <v>42.8018</v>
      </c>
      <c r="B4632">
        <v>-73.188019999999995</v>
      </c>
      <c r="C4632" t="s">
        <v>42</v>
      </c>
      <c r="D4632" t="s">
        <v>2947</v>
      </c>
      <c r="F4632" s="21"/>
      <c r="G4632" s="16" t="str">
        <f>HYPERLINK("http://maps.google.com/maps?f=q&amp;hl=en&amp;geocode=&amp;q=42.8018,-73.18802")</f>
        <v>http://maps.google.com/maps?f=q&amp;hl=en&amp;geocode=&amp;q=42.8018,-73.18802</v>
      </c>
    </row>
    <row r="4633" spans="1:7" ht="15" x14ac:dyDescent="0.3">
      <c r="A4633">
        <v>36.042897307840803</v>
      </c>
      <c r="B4633">
        <v>-83.821545413198706</v>
      </c>
      <c r="C4633" t="s">
        <v>41</v>
      </c>
      <c r="D4633" t="s">
        <v>2948</v>
      </c>
      <c r="F4633" s="21"/>
      <c r="G4633" s="16" t="str">
        <f>HYPERLINK("http://maps.google.com/maps?f=q&amp;hl=en&amp;geocode=&amp;q=36.0428973078408,-83.8215454131987")</f>
        <v>http://maps.google.com/maps?f=q&amp;hl=en&amp;geocode=&amp;q=36.0428973078408,-83.8215454131987</v>
      </c>
    </row>
    <row r="4634" spans="1:7" ht="15" x14ac:dyDescent="0.3">
      <c r="A4634">
        <v>39.684371948242202</v>
      </c>
      <c r="B4634">
        <v>21.8974094390869</v>
      </c>
      <c r="C4634" t="s">
        <v>41</v>
      </c>
      <c r="D4634" t="s">
        <v>2949</v>
      </c>
      <c r="F4634" s="21"/>
      <c r="G4634" s="16" t="str">
        <f>HYPERLINK("http://maps.google.com/maps?f=q&amp;hl=en&amp;geocode=&amp;q=39.6843719482422,21.8974094390869")</f>
        <v>http://maps.google.com/maps?f=q&amp;hl=en&amp;geocode=&amp;q=39.6843719482422,21.8974094390869</v>
      </c>
    </row>
    <row r="4635" spans="1:7" ht="15" x14ac:dyDescent="0.3">
      <c r="A4635">
        <v>52.543731689453097</v>
      </c>
      <c r="B4635">
        <v>-8.3495998382568395</v>
      </c>
      <c r="C4635" t="s">
        <v>43</v>
      </c>
      <c r="D4635" t="s">
        <v>2950</v>
      </c>
      <c r="F4635" s="21"/>
      <c r="G4635" s="16" t="str">
        <f>HYPERLINK("http://maps.google.com/maps?f=q&amp;hl=en&amp;geocode=&amp;q=52.5437316894531,-8.34959983825684")</f>
        <v>http://maps.google.com/maps?f=q&amp;hl=en&amp;geocode=&amp;q=52.5437316894531,-8.34959983825684</v>
      </c>
    </row>
    <row r="4636" spans="1:7" ht="15" x14ac:dyDescent="0.3">
      <c r="A4636">
        <v>42.999576568603501</v>
      </c>
      <c r="B4636">
        <v>-107.551513671875</v>
      </c>
      <c r="C4636" t="s">
        <v>41</v>
      </c>
      <c r="D4636" t="s">
        <v>2951</v>
      </c>
      <c r="F4636" s="21"/>
      <c r="G4636" s="16" t="str">
        <f>HYPERLINK("http://maps.google.com/maps?f=q&amp;hl=en&amp;geocode=&amp;q=42.9995765686035,-107.551513671875")</f>
        <v>http://maps.google.com/maps?f=q&amp;hl=en&amp;geocode=&amp;q=42.9995765686035,-107.551513671875</v>
      </c>
    </row>
    <row r="4637" spans="1:7" ht="15" x14ac:dyDescent="0.3">
      <c r="A4637">
        <v>41.554490000000001</v>
      </c>
      <c r="B4637">
        <v>-74.190979999999996</v>
      </c>
      <c r="C4637" t="s">
        <v>41</v>
      </c>
      <c r="D4637" t="s">
        <v>2952</v>
      </c>
      <c r="F4637" s="21"/>
      <c r="G4637" s="16" t="str">
        <f>HYPERLINK("http://maps.google.com/maps?f=q&amp;hl=en&amp;geocode=&amp;q=41.55449,-74.19098")</f>
        <v>http://maps.google.com/maps?f=q&amp;hl=en&amp;geocode=&amp;q=41.55449,-74.19098</v>
      </c>
    </row>
    <row r="4638" spans="1:7" ht="15" x14ac:dyDescent="0.3">
      <c r="A4638" t="s">
        <v>44</v>
      </c>
      <c r="B4638" t="s">
        <v>44</v>
      </c>
      <c r="C4638" t="s">
        <v>44</v>
      </c>
      <c r="D4638" t="s">
        <v>2953</v>
      </c>
      <c r="F4638" s="21"/>
      <c r="G4638" s="16"/>
    </row>
    <row r="4639" spans="1:7" ht="15" x14ac:dyDescent="0.3">
      <c r="A4639">
        <v>40.531013953261301</v>
      </c>
      <c r="B4639">
        <v>-76.394096503674405</v>
      </c>
      <c r="C4639" t="s">
        <v>41</v>
      </c>
      <c r="D4639" t="s">
        <v>2954</v>
      </c>
      <c r="F4639" s="21"/>
      <c r="G4639" s="16" t="str">
        <f>HYPERLINK("http://maps.google.com/maps?f=q&amp;hl=en&amp;geocode=&amp;q=40.5310139532613,-76.3940965036744")</f>
        <v>http://maps.google.com/maps?f=q&amp;hl=en&amp;geocode=&amp;q=40.5310139532613,-76.3940965036744</v>
      </c>
    </row>
    <row r="4640" spans="1:7" ht="15" x14ac:dyDescent="0.3">
      <c r="A4640">
        <v>60.399234771728501</v>
      </c>
      <c r="B4640">
        <v>5.32202196121216</v>
      </c>
      <c r="C4640" t="s">
        <v>43</v>
      </c>
      <c r="D4640" t="s">
        <v>2955</v>
      </c>
      <c r="F4640" s="21"/>
      <c r="G4640" s="16" t="str">
        <f>HYPERLINK("http://maps.google.com/maps?f=q&amp;hl=en&amp;geocode=&amp;q=60.3992347717285,5.32202196121216")</f>
        <v>http://maps.google.com/maps?f=q&amp;hl=en&amp;geocode=&amp;q=60.3992347717285,5.32202196121216</v>
      </c>
    </row>
    <row r="4641" spans="1:7" ht="15" x14ac:dyDescent="0.3">
      <c r="A4641" t="s">
        <v>44</v>
      </c>
      <c r="B4641" t="s">
        <v>44</v>
      </c>
      <c r="C4641" t="s">
        <v>44</v>
      </c>
      <c r="D4641" t="s">
        <v>2956</v>
      </c>
      <c r="F4641" s="21"/>
      <c r="G4641" s="16"/>
    </row>
    <row r="4642" spans="1:7" ht="15" x14ac:dyDescent="0.3">
      <c r="A4642">
        <v>35.385492909968697</v>
      </c>
      <c r="B4642">
        <v>-78.581692293386297</v>
      </c>
      <c r="C4642" t="s">
        <v>41</v>
      </c>
      <c r="D4642" t="s">
        <v>2957</v>
      </c>
      <c r="F4642" s="21"/>
      <c r="G4642" s="16" t="str">
        <f>HYPERLINK("http://maps.google.com/maps?f=q&amp;hl=en&amp;geocode=&amp;q=35.3854929099687,-78.5816922933863")</f>
        <v>http://maps.google.com/maps?f=q&amp;hl=en&amp;geocode=&amp;q=35.3854929099687,-78.5816922933863</v>
      </c>
    </row>
    <row r="4643" spans="1:7" ht="15" x14ac:dyDescent="0.3">
      <c r="A4643">
        <v>36.580077932587301</v>
      </c>
      <c r="B4643">
        <v>-76.107553997900993</v>
      </c>
      <c r="C4643" t="s">
        <v>43</v>
      </c>
      <c r="D4643" t="s">
        <v>2030</v>
      </c>
      <c r="F4643" s="21"/>
      <c r="G4643" s="16" t="str">
        <f>HYPERLINK("http://maps.google.com/maps?f=q&amp;hl=en&amp;geocode=&amp;q=36.5800779325873,-76.107553997901")</f>
        <v>http://maps.google.com/maps?f=q&amp;hl=en&amp;geocode=&amp;q=36.5800779325873,-76.107553997901</v>
      </c>
    </row>
    <row r="4644" spans="1:7" ht="15" x14ac:dyDescent="0.3">
      <c r="A4644">
        <v>39.830480000000001</v>
      </c>
      <c r="B4644">
        <v>-83.989450000000005</v>
      </c>
      <c r="C4644" t="s">
        <v>41</v>
      </c>
      <c r="D4644" t="s">
        <v>2958</v>
      </c>
      <c r="F4644" s="21"/>
      <c r="G4644" s="16" t="str">
        <f>HYPERLINK("http://maps.google.com/maps?f=q&amp;hl=en&amp;geocode=&amp;q=39.83048,-83.98945")</f>
        <v>http://maps.google.com/maps?f=q&amp;hl=en&amp;geocode=&amp;q=39.83048,-83.98945</v>
      </c>
    </row>
    <row r="4645" spans="1:7" ht="15" x14ac:dyDescent="0.3">
      <c r="A4645">
        <v>40.056800000000003</v>
      </c>
      <c r="B4645">
        <v>-78.220240000000004</v>
      </c>
      <c r="C4645" t="s">
        <v>42</v>
      </c>
      <c r="D4645" t="s">
        <v>2959</v>
      </c>
      <c r="F4645" s="21"/>
      <c r="G4645" s="16" t="str">
        <f>HYPERLINK("http://maps.google.com/maps?f=q&amp;hl=en&amp;geocode=&amp;q=40.0568,-78.22024")</f>
        <v>http://maps.google.com/maps?f=q&amp;hl=en&amp;geocode=&amp;q=40.0568,-78.22024</v>
      </c>
    </row>
    <row r="4646" spans="1:7" ht="15" x14ac:dyDescent="0.3">
      <c r="A4646">
        <v>42.460670471191399</v>
      </c>
      <c r="B4646">
        <v>-83.131210327148395</v>
      </c>
      <c r="C4646" t="s">
        <v>43</v>
      </c>
      <c r="D4646" t="s">
        <v>2960</v>
      </c>
      <c r="F4646" s="21"/>
      <c r="G4646" s="16" t="str">
        <f>HYPERLINK("http://maps.google.com/maps?f=q&amp;hl=en&amp;geocode=&amp;q=42.4606704711914,-83.1312103271484")</f>
        <v>http://maps.google.com/maps?f=q&amp;hl=en&amp;geocode=&amp;q=42.4606704711914,-83.1312103271484</v>
      </c>
    </row>
    <row r="4647" spans="1:7" ht="15" x14ac:dyDescent="0.3">
      <c r="A4647">
        <v>40.005633262006398</v>
      </c>
      <c r="B4647">
        <v>-83.061130266683406</v>
      </c>
      <c r="C4647" t="s">
        <v>41</v>
      </c>
      <c r="D4647" t="s">
        <v>2139</v>
      </c>
      <c r="F4647" s="21"/>
      <c r="G4647" s="16" t="str">
        <f>HYPERLINK("http://maps.google.com/maps?f=q&amp;hl=en&amp;geocode=&amp;q=40.0056332620064,-83.0611302666834")</f>
        <v>http://maps.google.com/maps?f=q&amp;hl=en&amp;geocode=&amp;q=40.0056332620064,-83.0611302666834</v>
      </c>
    </row>
    <row r="4648" spans="1:7" ht="15" x14ac:dyDescent="0.3">
      <c r="A4648">
        <v>40.090989999999998</v>
      </c>
      <c r="B4648">
        <v>-75.034360000000007</v>
      </c>
      <c r="C4648" t="s">
        <v>41</v>
      </c>
      <c r="D4648" t="s">
        <v>2961</v>
      </c>
      <c r="F4648" s="21"/>
      <c r="G4648" s="16" t="str">
        <f>HYPERLINK("http://maps.google.com/maps?f=q&amp;hl=en&amp;geocode=&amp;q=40.09099,-75.03436")</f>
        <v>http://maps.google.com/maps?f=q&amp;hl=en&amp;geocode=&amp;q=40.09099,-75.03436</v>
      </c>
    </row>
    <row r="4649" spans="1:7" ht="15" x14ac:dyDescent="0.3">
      <c r="A4649">
        <v>39.98798</v>
      </c>
      <c r="B4649">
        <v>-75.107820000000004</v>
      </c>
      <c r="C4649" t="s">
        <v>41</v>
      </c>
      <c r="D4649" t="s">
        <v>1932</v>
      </c>
      <c r="F4649" s="21"/>
      <c r="G4649" s="16" t="str">
        <f>HYPERLINK("http://maps.google.com/maps?f=q&amp;hl=en&amp;geocode=&amp;q=39.98798,-75.10782")</f>
        <v>http://maps.google.com/maps?f=q&amp;hl=en&amp;geocode=&amp;q=39.98798,-75.10782</v>
      </c>
    </row>
    <row r="4650" spans="1:7" ht="15" x14ac:dyDescent="0.3">
      <c r="A4650" t="s">
        <v>44</v>
      </c>
      <c r="B4650" t="s">
        <v>44</v>
      </c>
      <c r="C4650" t="s">
        <v>44</v>
      </c>
      <c r="D4650" t="s">
        <v>2962</v>
      </c>
      <c r="F4650" s="21"/>
      <c r="G4650" s="16"/>
    </row>
    <row r="4651" spans="1:7" ht="15" x14ac:dyDescent="0.3">
      <c r="A4651">
        <v>39.865760511763199</v>
      </c>
      <c r="B4651">
        <v>-75.523339050829904</v>
      </c>
      <c r="C4651" t="s">
        <v>41</v>
      </c>
      <c r="D4651" t="s">
        <v>1969</v>
      </c>
      <c r="F4651" s="21"/>
      <c r="G4651" s="16" t="str">
        <f>HYPERLINK("http://maps.google.com/maps?f=q&amp;hl=en&amp;geocode=&amp;q=39.8657605117632,-75.5233390508299")</f>
        <v>http://maps.google.com/maps?f=q&amp;hl=en&amp;geocode=&amp;q=39.8657605117632,-75.5233390508299</v>
      </c>
    </row>
    <row r="4652" spans="1:7" ht="15" x14ac:dyDescent="0.3">
      <c r="A4652">
        <v>38.960749999999997</v>
      </c>
      <c r="B4652">
        <v>-89.317729999999997</v>
      </c>
      <c r="C4652" t="s">
        <v>42</v>
      </c>
      <c r="D4652" t="s">
        <v>2963</v>
      </c>
      <c r="F4652" s="21"/>
      <c r="G4652" s="16" t="str">
        <f>HYPERLINK("http://maps.google.com/maps?f=q&amp;hl=en&amp;geocode=&amp;q=38.96075,-89.31773")</f>
        <v>http://maps.google.com/maps?f=q&amp;hl=en&amp;geocode=&amp;q=38.96075,-89.31773</v>
      </c>
    </row>
    <row r="4653" spans="1:7" ht="15" x14ac:dyDescent="0.3">
      <c r="A4653">
        <v>39.9754</v>
      </c>
      <c r="B4653">
        <v>-75.265529999999998</v>
      </c>
      <c r="C4653" t="s">
        <v>41</v>
      </c>
      <c r="D4653" t="s">
        <v>2964</v>
      </c>
      <c r="F4653" s="21"/>
      <c r="G4653" s="16" t="str">
        <f>HYPERLINK("http://maps.google.com/maps?f=q&amp;hl=en&amp;geocode=&amp;q=39.9754,-75.26553")</f>
        <v>http://maps.google.com/maps?f=q&amp;hl=en&amp;geocode=&amp;q=39.9754,-75.26553</v>
      </c>
    </row>
    <row r="4654" spans="1:7" ht="15" x14ac:dyDescent="0.3">
      <c r="A4654">
        <v>40.7987230492365</v>
      </c>
      <c r="B4654">
        <v>-111.942829644404</v>
      </c>
      <c r="C4654" t="s">
        <v>42</v>
      </c>
      <c r="D4654" t="s">
        <v>2965</v>
      </c>
      <c r="F4654" s="21"/>
      <c r="G4654" s="16" t="str">
        <f>HYPERLINK("http://maps.google.com/maps?f=q&amp;hl=en&amp;geocode=&amp;q=40.7987230492365,-111.942829644404")</f>
        <v>http://maps.google.com/maps?f=q&amp;hl=en&amp;geocode=&amp;q=40.7987230492365,-111.942829644404</v>
      </c>
    </row>
    <row r="4655" spans="1:7" ht="15" x14ac:dyDescent="0.3">
      <c r="A4655">
        <v>35.260640000000002</v>
      </c>
      <c r="B4655">
        <v>-114.01322</v>
      </c>
      <c r="C4655" t="s">
        <v>41</v>
      </c>
      <c r="D4655" t="s">
        <v>2966</v>
      </c>
      <c r="F4655" s="21"/>
      <c r="G4655" s="16" t="str">
        <f>HYPERLINK("http://maps.google.com/maps?f=q&amp;hl=en&amp;geocode=&amp;q=35.26064,-114.01322")</f>
        <v>http://maps.google.com/maps?f=q&amp;hl=en&amp;geocode=&amp;q=35.26064,-114.01322</v>
      </c>
    </row>
    <row r="4656" spans="1:7" ht="15" x14ac:dyDescent="0.3">
      <c r="A4656">
        <v>39.518709999999999</v>
      </c>
      <c r="B4656">
        <v>-119.48025</v>
      </c>
      <c r="C4656" t="s">
        <v>42</v>
      </c>
      <c r="D4656" t="s">
        <v>2967</v>
      </c>
      <c r="F4656" s="21"/>
      <c r="G4656" s="16" t="str">
        <f>HYPERLINK("http://maps.google.com/maps?f=q&amp;hl=en&amp;geocode=&amp;q=39.51871,-119.48025")</f>
        <v>http://maps.google.com/maps?f=q&amp;hl=en&amp;geocode=&amp;q=39.51871,-119.48025</v>
      </c>
    </row>
    <row r="4657" spans="1:7" ht="15" x14ac:dyDescent="0.3">
      <c r="A4657">
        <v>40.035719999999998</v>
      </c>
      <c r="B4657">
        <v>-75.070629999999994</v>
      </c>
      <c r="C4657" t="s">
        <v>41</v>
      </c>
      <c r="D4657" t="s">
        <v>760</v>
      </c>
      <c r="F4657" s="21"/>
      <c r="G4657" s="16" t="str">
        <f>HYPERLINK("http://maps.google.com/maps?f=q&amp;hl=en&amp;geocode=&amp;q=40.03572,-75.07063")</f>
        <v>http://maps.google.com/maps?f=q&amp;hl=en&amp;geocode=&amp;q=40.03572,-75.07063</v>
      </c>
    </row>
    <row r="4658" spans="1:7" ht="15" x14ac:dyDescent="0.3">
      <c r="A4658">
        <v>49.518180847167997</v>
      </c>
      <c r="B4658">
        <v>5.8978409767150897</v>
      </c>
      <c r="C4658" t="s">
        <v>41</v>
      </c>
      <c r="D4658" t="s">
        <v>2510</v>
      </c>
      <c r="F4658" s="21"/>
      <c r="G4658" s="16" t="str">
        <f>HYPERLINK("http://maps.google.com/maps?f=q&amp;hl=en&amp;geocode=&amp;q=49.518180847168,5.89784097671509")</f>
        <v>http://maps.google.com/maps?f=q&amp;hl=en&amp;geocode=&amp;q=49.518180847168,5.89784097671509</v>
      </c>
    </row>
    <row r="4659" spans="1:7" ht="15" x14ac:dyDescent="0.3">
      <c r="A4659">
        <v>40.395938873291001</v>
      </c>
      <c r="B4659">
        <v>-77.027488708496094</v>
      </c>
      <c r="C4659" t="s">
        <v>41</v>
      </c>
      <c r="D4659" t="s">
        <v>2968</v>
      </c>
      <c r="F4659" s="21"/>
      <c r="G4659" s="16" t="str">
        <f>HYPERLINK("http://maps.google.com/maps?f=q&amp;hl=en&amp;geocode=&amp;q=40.395938873291,-77.0274887084961")</f>
        <v>http://maps.google.com/maps?f=q&amp;hl=en&amp;geocode=&amp;q=40.395938873291,-77.0274887084961</v>
      </c>
    </row>
    <row r="4660" spans="1:7" ht="15" x14ac:dyDescent="0.3">
      <c r="A4660">
        <v>37.132553100585902</v>
      </c>
      <c r="B4660">
        <v>-8.4525938034057599</v>
      </c>
      <c r="C4660" t="s">
        <v>43</v>
      </c>
      <c r="D4660" t="s">
        <v>1799</v>
      </c>
      <c r="F4660" s="21"/>
      <c r="G4660" s="16" t="str">
        <f>HYPERLINK("http://maps.google.com/maps?f=q&amp;hl=en&amp;geocode=&amp;q=37.1325531005859,-8.45259380340576")</f>
        <v>http://maps.google.com/maps?f=q&amp;hl=en&amp;geocode=&amp;q=37.1325531005859,-8.45259380340576</v>
      </c>
    </row>
    <row r="4661" spans="1:7" ht="15" x14ac:dyDescent="0.3">
      <c r="A4661">
        <v>37.194240570068402</v>
      </c>
      <c r="B4661">
        <v>-8.5855684280395508</v>
      </c>
      <c r="C4661" t="s">
        <v>41</v>
      </c>
      <c r="D4661" t="s">
        <v>344</v>
      </c>
      <c r="F4661" s="21"/>
      <c r="G4661" s="16" t="str">
        <f>HYPERLINK("http://maps.google.com/maps?f=q&amp;hl=en&amp;geocode=&amp;q=37.1942405700684,-8.58556842803955")</f>
        <v>http://maps.google.com/maps?f=q&amp;hl=en&amp;geocode=&amp;q=37.1942405700684,-8.58556842803955</v>
      </c>
    </row>
    <row r="4662" spans="1:7" ht="15" x14ac:dyDescent="0.3">
      <c r="A4662">
        <v>37.132553100585902</v>
      </c>
      <c r="B4662">
        <v>-8.4525938034057599</v>
      </c>
      <c r="C4662" t="s">
        <v>43</v>
      </c>
      <c r="D4662" t="s">
        <v>1799</v>
      </c>
      <c r="F4662" s="21"/>
      <c r="G4662" s="16" t="str">
        <f>HYPERLINK("http://maps.google.com/maps?f=q&amp;hl=en&amp;geocode=&amp;q=37.1325531005859,-8.45259380340576")</f>
        <v>http://maps.google.com/maps?f=q&amp;hl=en&amp;geocode=&amp;q=37.1325531005859,-8.45259380340576</v>
      </c>
    </row>
    <row r="4663" spans="1:7" ht="15" x14ac:dyDescent="0.3">
      <c r="A4663">
        <v>41.903089999999999</v>
      </c>
      <c r="B4663">
        <v>-111.40125999999999</v>
      </c>
      <c r="C4663" t="s">
        <v>42</v>
      </c>
      <c r="D4663" t="s">
        <v>2969</v>
      </c>
      <c r="F4663" s="21"/>
      <c r="G4663" s="16" t="str">
        <f>HYPERLINK("http://maps.google.com/maps?f=q&amp;hl=en&amp;geocode=&amp;q=41.90309,-111.40126")</f>
        <v>http://maps.google.com/maps?f=q&amp;hl=en&amp;geocode=&amp;q=41.90309,-111.40126</v>
      </c>
    </row>
    <row r="4664" spans="1:7" ht="15" x14ac:dyDescent="0.3">
      <c r="A4664">
        <v>39.994019999999999</v>
      </c>
      <c r="B4664">
        <v>-75.174599999999998</v>
      </c>
      <c r="C4664" t="s">
        <v>43</v>
      </c>
      <c r="D4664" t="s">
        <v>2970</v>
      </c>
      <c r="F4664" s="21"/>
      <c r="G4664" s="16" t="str">
        <f>HYPERLINK("http://maps.google.com/maps?f=q&amp;hl=en&amp;geocode=&amp;q=39.99402,-75.1746")</f>
        <v>http://maps.google.com/maps?f=q&amp;hl=en&amp;geocode=&amp;q=39.99402,-75.1746</v>
      </c>
    </row>
    <row r="4665" spans="1:7" ht="15" x14ac:dyDescent="0.3">
      <c r="A4665">
        <v>48.916301727294901</v>
      </c>
      <c r="B4665">
        <v>-1.18790996074677</v>
      </c>
      <c r="C4665" t="s">
        <v>43</v>
      </c>
      <c r="D4665" t="s">
        <v>2971</v>
      </c>
      <c r="F4665" s="21"/>
      <c r="G4665" s="16" t="str">
        <f>HYPERLINK("http://maps.google.com/maps?f=q&amp;hl=en&amp;geocode=&amp;q=48.9163017272949,-1.18790996074677")</f>
        <v>http://maps.google.com/maps?f=q&amp;hl=en&amp;geocode=&amp;q=48.9163017272949,-1.18790996074677</v>
      </c>
    </row>
    <row r="4666" spans="1:7" ht="15" x14ac:dyDescent="0.3">
      <c r="A4666">
        <v>36.431559353763703</v>
      </c>
      <c r="B4666">
        <v>-94.256164427410994</v>
      </c>
      <c r="C4666" t="s">
        <v>41</v>
      </c>
      <c r="D4666" t="s">
        <v>2972</v>
      </c>
      <c r="F4666" s="21"/>
      <c r="G4666" s="16" t="str">
        <f>HYPERLINK("http://maps.google.com/maps?f=q&amp;hl=en&amp;geocode=&amp;q=36.4315593537637,-94.256164427411")</f>
        <v>http://maps.google.com/maps?f=q&amp;hl=en&amp;geocode=&amp;q=36.4315593537637,-94.256164427411</v>
      </c>
    </row>
    <row r="4667" spans="1:7" ht="15" x14ac:dyDescent="0.3">
      <c r="A4667">
        <v>39.99389</v>
      </c>
      <c r="B4667">
        <v>-75.096800000000002</v>
      </c>
      <c r="C4667" t="s">
        <v>41</v>
      </c>
      <c r="D4667" t="s">
        <v>2246</v>
      </c>
      <c r="F4667" s="21"/>
      <c r="G4667" s="16" t="str">
        <f>HYPERLINK("http://maps.google.com/maps?f=q&amp;hl=en&amp;geocode=&amp;q=39.99389,-75.0968")</f>
        <v>http://maps.google.com/maps?f=q&amp;hl=en&amp;geocode=&amp;q=39.99389,-75.0968</v>
      </c>
    </row>
    <row r="4668" spans="1:7" ht="15" x14ac:dyDescent="0.3">
      <c r="A4668">
        <v>39.989719999999998</v>
      </c>
      <c r="B4668">
        <v>-75.102149999999995</v>
      </c>
      <c r="C4668" t="s">
        <v>41</v>
      </c>
      <c r="D4668" t="s">
        <v>2973</v>
      </c>
      <c r="F4668" s="21"/>
      <c r="G4668" s="16" t="str">
        <f>HYPERLINK("http://maps.google.com/maps?f=q&amp;hl=en&amp;geocode=&amp;q=39.98972,-75.10215")</f>
        <v>http://maps.google.com/maps?f=q&amp;hl=en&amp;geocode=&amp;q=39.98972,-75.10215</v>
      </c>
    </row>
    <row r="4669" spans="1:7" ht="15" x14ac:dyDescent="0.3">
      <c r="A4669">
        <v>39.930729999999997</v>
      </c>
      <c r="B4669">
        <v>-75.163409999999999</v>
      </c>
      <c r="C4669" t="s">
        <v>41</v>
      </c>
      <c r="D4669" t="s">
        <v>2974</v>
      </c>
      <c r="F4669" s="21"/>
      <c r="G4669" s="16" t="str">
        <f>HYPERLINK("http://maps.google.com/maps?f=q&amp;hl=en&amp;geocode=&amp;q=39.93073,-75.16341")</f>
        <v>http://maps.google.com/maps?f=q&amp;hl=en&amp;geocode=&amp;q=39.93073,-75.16341</v>
      </c>
    </row>
    <row r="4670" spans="1:7" ht="15" x14ac:dyDescent="0.3">
      <c r="A4670">
        <v>32.081724653044098</v>
      </c>
      <c r="B4670">
        <v>-83.800871612628001</v>
      </c>
      <c r="C4670" t="s">
        <v>41</v>
      </c>
      <c r="D4670" t="s">
        <v>2873</v>
      </c>
      <c r="F4670" s="21"/>
      <c r="G4670" s="16" t="str">
        <f>HYPERLINK("http://maps.google.com/maps?f=q&amp;hl=en&amp;geocode=&amp;q=32.0817246530441,-83.800871612628")</f>
        <v>http://maps.google.com/maps?f=q&amp;hl=en&amp;geocode=&amp;q=32.0817246530441,-83.800871612628</v>
      </c>
    </row>
    <row r="4671" spans="1:7" ht="15" x14ac:dyDescent="0.3">
      <c r="A4671">
        <v>35.168388366699197</v>
      </c>
      <c r="B4671">
        <v>-81.450119018554702</v>
      </c>
      <c r="C4671" t="s">
        <v>43</v>
      </c>
      <c r="D4671" t="s">
        <v>2975</v>
      </c>
      <c r="F4671" s="21"/>
      <c r="G4671" s="16" t="str">
        <f>HYPERLINK("http://maps.google.com/maps?f=q&amp;hl=en&amp;geocode=&amp;q=35.1683883666992,-81.4501190185547")</f>
        <v>http://maps.google.com/maps?f=q&amp;hl=en&amp;geocode=&amp;q=35.1683883666992,-81.4501190185547</v>
      </c>
    </row>
    <row r="4672" spans="1:7" ht="15" x14ac:dyDescent="0.3">
      <c r="A4672">
        <v>32.619056989154998</v>
      </c>
      <c r="B4672">
        <v>-97.405003586412505</v>
      </c>
      <c r="C4672" t="s">
        <v>43</v>
      </c>
      <c r="D4672" t="s">
        <v>2976</v>
      </c>
      <c r="F4672" s="21"/>
      <c r="G4672" s="16" t="str">
        <f>HYPERLINK("http://maps.google.com/maps?f=q&amp;hl=en&amp;geocode=&amp;q=32.619056989155,-97.4050035864125")</f>
        <v>http://maps.google.com/maps?f=q&amp;hl=en&amp;geocode=&amp;q=32.619056989155,-97.4050035864125</v>
      </c>
    </row>
    <row r="4673" spans="1:7" ht="15" x14ac:dyDescent="0.3">
      <c r="A4673" t="s">
        <v>44</v>
      </c>
      <c r="B4673" t="s">
        <v>44</v>
      </c>
      <c r="C4673" t="s">
        <v>44</v>
      </c>
      <c r="D4673" t="s">
        <v>101</v>
      </c>
      <c r="F4673" s="21"/>
      <c r="G4673" s="16"/>
    </row>
    <row r="4674" spans="1:7" ht="15" x14ac:dyDescent="0.3">
      <c r="A4674">
        <v>40.024738311767599</v>
      </c>
      <c r="B4674">
        <v>-75.213882446289105</v>
      </c>
      <c r="C4674" t="s">
        <v>43</v>
      </c>
      <c r="D4674" t="s">
        <v>2977</v>
      </c>
      <c r="F4674" s="21"/>
      <c r="G4674" s="16" t="str">
        <f>HYPERLINK("http://maps.google.com/maps?f=q&amp;hl=en&amp;geocode=&amp;q=40.0247383117676,-75.2138824462891")</f>
        <v>http://maps.google.com/maps?f=q&amp;hl=en&amp;geocode=&amp;q=40.0247383117676,-75.2138824462891</v>
      </c>
    </row>
    <row r="4675" spans="1:7" ht="15" x14ac:dyDescent="0.3">
      <c r="A4675">
        <v>40.460018157958999</v>
      </c>
      <c r="B4675">
        <v>-78.591552734375</v>
      </c>
      <c r="C4675" t="s">
        <v>43</v>
      </c>
      <c r="D4675" t="s">
        <v>2978</v>
      </c>
      <c r="F4675" s="21"/>
      <c r="G4675" s="16" t="str">
        <f>HYPERLINK("http://maps.google.com/maps?f=q&amp;hl=en&amp;geocode=&amp;q=40.460018157959,-78.591552734375")</f>
        <v>http://maps.google.com/maps?f=q&amp;hl=en&amp;geocode=&amp;q=40.460018157959,-78.591552734375</v>
      </c>
    </row>
    <row r="4676" spans="1:7" ht="15" x14ac:dyDescent="0.3">
      <c r="A4676">
        <v>40.082481384277301</v>
      </c>
      <c r="B4676">
        <v>-75.031707763671903</v>
      </c>
      <c r="C4676" t="s">
        <v>41</v>
      </c>
      <c r="D4676" t="s">
        <v>2979</v>
      </c>
      <c r="F4676" s="21"/>
      <c r="G4676" s="16" t="str">
        <f>HYPERLINK("http://maps.google.com/maps?f=q&amp;hl=en&amp;geocode=&amp;q=40.0824813842773,-75.0317077636719")</f>
        <v>http://maps.google.com/maps?f=q&amp;hl=en&amp;geocode=&amp;q=40.0824813842773,-75.0317077636719</v>
      </c>
    </row>
    <row r="4677" spans="1:7" ht="15" x14ac:dyDescent="0.3">
      <c r="A4677">
        <v>-34.828319549560497</v>
      </c>
      <c r="B4677">
        <v>138.761642456055</v>
      </c>
      <c r="C4677" t="s">
        <v>41</v>
      </c>
      <c r="D4677" t="s">
        <v>2268</v>
      </c>
      <c r="F4677" s="21"/>
      <c r="G4677" s="16" t="str">
        <f>HYPERLINK("http://maps.google.com/maps?f=q&amp;hl=en&amp;geocode=&amp;q=-34.8283195495605,138.761642456055")</f>
        <v>http://maps.google.com/maps?f=q&amp;hl=en&amp;geocode=&amp;q=-34.8283195495605,138.761642456055</v>
      </c>
    </row>
    <row r="4678" spans="1:7" ht="15" x14ac:dyDescent="0.3">
      <c r="A4678">
        <v>40.251259423695799</v>
      </c>
      <c r="B4678">
        <v>-103.628740047853</v>
      </c>
      <c r="C4678" t="s">
        <v>41</v>
      </c>
      <c r="D4678" t="s">
        <v>2980</v>
      </c>
      <c r="F4678" s="21"/>
      <c r="G4678" s="16" t="str">
        <f>HYPERLINK("http://maps.google.com/maps?f=q&amp;hl=en&amp;geocode=&amp;q=40.2512594236958,-103.628740047853")</f>
        <v>http://maps.google.com/maps?f=q&amp;hl=en&amp;geocode=&amp;q=40.2512594236958,-103.628740047853</v>
      </c>
    </row>
    <row r="4679" spans="1:7" ht="15" x14ac:dyDescent="0.3">
      <c r="A4679">
        <v>30.013597252129799</v>
      </c>
      <c r="B4679">
        <v>-90.178112333309699</v>
      </c>
      <c r="C4679" t="s">
        <v>41</v>
      </c>
      <c r="D4679" t="s">
        <v>176</v>
      </c>
      <c r="F4679" s="21"/>
      <c r="G4679" s="16" t="str">
        <f>HYPERLINK("http://maps.google.com/maps?f=q&amp;hl=en&amp;geocode=&amp;q=30.0135972521298,-90.1781123333097")</f>
        <v>http://maps.google.com/maps?f=q&amp;hl=en&amp;geocode=&amp;q=30.0135972521298,-90.1781123333097</v>
      </c>
    </row>
    <row r="4680" spans="1:7" ht="15" x14ac:dyDescent="0.3">
      <c r="A4680">
        <v>32.721138732358</v>
      </c>
      <c r="B4680">
        <v>-80.351219591805503</v>
      </c>
      <c r="C4680" t="s">
        <v>41</v>
      </c>
      <c r="D4680" t="s">
        <v>2981</v>
      </c>
      <c r="F4680" s="21"/>
      <c r="G4680" s="16" t="str">
        <f>HYPERLINK("http://maps.google.com/maps?f=q&amp;hl=en&amp;geocode=&amp;q=32.721138732358,-80.3512195918055")</f>
        <v>http://maps.google.com/maps?f=q&amp;hl=en&amp;geocode=&amp;q=32.721138732358,-80.3512195918055</v>
      </c>
    </row>
    <row r="4681" spans="1:7" ht="15" x14ac:dyDescent="0.3">
      <c r="A4681" t="s">
        <v>44</v>
      </c>
      <c r="B4681" t="s">
        <v>44</v>
      </c>
      <c r="C4681" t="s">
        <v>44</v>
      </c>
      <c r="D4681" t="s">
        <v>101</v>
      </c>
      <c r="F4681" s="21"/>
      <c r="G4681" s="16"/>
    </row>
    <row r="4682" spans="1:7" ht="15" x14ac:dyDescent="0.3">
      <c r="A4682">
        <v>39.829478073425101</v>
      </c>
      <c r="B4682">
        <v>-83.092246244814106</v>
      </c>
      <c r="C4682" t="s">
        <v>41</v>
      </c>
      <c r="D4682" t="s">
        <v>2982</v>
      </c>
      <c r="F4682" s="21"/>
      <c r="G4682" s="16" t="str">
        <f>HYPERLINK("http://maps.google.com/maps?f=q&amp;hl=en&amp;geocode=&amp;q=39.8294780734251,-83.0922462448141")</f>
        <v>http://maps.google.com/maps?f=q&amp;hl=en&amp;geocode=&amp;q=39.8294780734251,-83.0922462448141</v>
      </c>
    </row>
    <row r="4683" spans="1:7" ht="15" x14ac:dyDescent="0.3">
      <c r="A4683">
        <v>40.460018157958999</v>
      </c>
      <c r="B4683">
        <v>-78.591552734375</v>
      </c>
      <c r="C4683" t="s">
        <v>43</v>
      </c>
      <c r="D4683" t="s">
        <v>2983</v>
      </c>
      <c r="F4683" s="21"/>
      <c r="G4683" s="16" t="str">
        <f>HYPERLINK("http://maps.google.com/maps?f=q&amp;hl=en&amp;geocode=&amp;q=40.460018157959,-78.591552734375")</f>
        <v>http://maps.google.com/maps?f=q&amp;hl=en&amp;geocode=&amp;q=40.460018157959,-78.591552734375</v>
      </c>
    </row>
    <row r="4684" spans="1:7" ht="15" x14ac:dyDescent="0.3">
      <c r="A4684">
        <v>36.0927371944451</v>
      </c>
      <c r="B4684">
        <v>-76.742037718967495</v>
      </c>
      <c r="C4684" t="s">
        <v>41</v>
      </c>
      <c r="D4684" t="s">
        <v>2984</v>
      </c>
      <c r="F4684" s="21"/>
      <c r="G4684" s="16" t="str">
        <f>HYPERLINK("http://maps.google.com/maps?f=q&amp;hl=en&amp;geocode=&amp;q=36.0927371944451,-76.7420377189675")</f>
        <v>http://maps.google.com/maps?f=q&amp;hl=en&amp;geocode=&amp;q=36.0927371944451,-76.7420377189675</v>
      </c>
    </row>
    <row r="4685" spans="1:7" ht="15" x14ac:dyDescent="0.3">
      <c r="A4685">
        <v>40.042020000000001</v>
      </c>
      <c r="B4685">
        <v>-75.080160000000006</v>
      </c>
      <c r="C4685" t="s">
        <v>41</v>
      </c>
      <c r="D4685" t="s">
        <v>1506</v>
      </c>
      <c r="F4685" s="21"/>
      <c r="G4685" s="16" t="str">
        <f>HYPERLINK("http://maps.google.com/maps?f=q&amp;hl=en&amp;geocode=&amp;q=40.04202,-75.08016")</f>
        <v>http://maps.google.com/maps?f=q&amp;hl=en&amp;geocode=&amp;q=40.04202,-75.08016</v>
      </c>
    </row>
    <row r="4686" spans="1:7" ht="15" x14ac:dyDescent="0.3">
      <c r="A4686" t="s">
        <v>44</v>
      </c>
      <c r="B4686" t="s">
        <v>44</v>
      </c>
      <c r="C4686" t="s">
        <v>44</v>
      </c>
      <c r="D4686" t="s">
        <v>2136</v>
      </c>
      <c r="F4686" s="21"/>
      <c r="G4686" s="16"/>
    </row>
    <row r="4687" spans="1:7" ht="15" x14ac:dyDescent="0.3">
      <c r="F4687" s="21"/>
      <c r="G4687" s="16"/>
    </row>
    <row r="4688" spans="1:7" ht="15" x14ac:dyDescent="0.3">
      <c r="A4688">
        <v>42.999576568603501</v>
      </c>
      <c r="B4688">
        <v>-107.551513671875</v>
      </c>
      <c r="C4688" t="s">
        <v>41</v>
      </c>
      <c r="D4688" t="s">
        <v>1394</v>
      </c>
      <c r="F4688" s="21"/>
      <c r="G4688" s="16" t="str">
        <f>HYPERLINK("http://maps.google.com/maps?f=q&amp;hl=en&amp;geocode=&amp;q=42.9995765686035,-107.551513671875")</f>
        <v>http://maps.google.com/maps?f=q&amp;hl=en&amp;geocode=&amp;q=42.9995765686035,-107.551513671875</v>
      </c>
    </row>
    <row r="4689" spans="1:7" ht="15" x14ac:dyDescent="0.3">
      <c r="A4689">
        <v>39.966819999999998</v>
      </c>
      <c r="B4689">
        <v>-75.241770000000002</v>
      </c>
      <c r="C4689" t="s">
        <v>43</v>
      </c>
      <c r="D4689" t="s">
        <v>2985</v>
      </c>
      <c r="F4689" s="21"/>
      <c r="G4689" s="16" t="str">
        <f>HYPERLINK("http://maps.google.com/maps?f=q&amp;hl=en&amp;geocode=&amp;q=39.96682,-75.24177")</f>
        <v>http://maps.google.com/maps?f=q&amp;hl=en&amp;geocode=&amp;q=39.96682,-75.24177</v>
      </c>
    </row>
    <row r="4690" spans="1:7" ht="15" x14ac:dyDescent="0.3">
      <c r="A4690">
        <v>-36.884181976318402</v>
      </c>
      <c r="B4690">
        <v>147.82412719726599</v>
      </c>
      <c r="C4690" t="s">
        <v>43</v>
      </c>
      <c r="D4690" t="s">
        <v>2699</v>
      </c>
      <c r="F4690" s="21"/>
      <c r="G4690" s="16" t="str">
        <f>HYPERLINK("http://maps.google.com/maps?f=q&amp;hl=en&amp;geocode=&amp;q=-36.8841819763184,147.824127197266")</f>
        <v>http://maps.google.com/maps?f=q&amp;hl=en&amp;geocode=&amp;q=-36.8841819763184,147.824127197266</v>
      </c>
    </row>
    <row r="4691" spans="1:7" ht="15" x14ac:dyDescent="0.3">
      <c r="A4691">
        <v>-11.8669996261597</v>
      </c>
      <c r="B4691">
        <v>43.382999420166001</v>
      </c>
      <c r="C4691" t="s">
        <v>43</v>
      </c>
      <c r="D4691" t="s">
        <v>2986</v>
      </c>
      <c r="F4691" s="21"/>
      <c r="G4691" s="16" t="str">
        <f>HYPERLINK("http://maps.google.com/maps?f=q&amp;hl=en&amp;geocode=&amp;q=-11.8669996261597,43.382999420166")</f>
        <v>http://maps.google.com/maps?f=q&amp;hl=en&amp;geocode=&amp;q=-11.8669996261597,43.382999420166</v>
      </c>
    </row>
    <row r="4692" spans="1:7" ht="15" x14ac:dyDescent="0.3">
      <c r="A4692">
        <v>-36.884181976318402</v>
      </c>
      <c r="B4692">
        <v>147.82412719726599</v>
      </c>
      <c r="C4692" t="s">
        <v>43</v>
      </c>
      <c r="D4692" t="s">
        <v>2699</v>
      </c>
      <c r="F4692" s="21"/>
      <c r="G4692" s="16" t="str">
        <f>HYPERLINK("http://maps.google.com/maps?f=q&amp;hl=en&amp;geocode=&amp;q=-36.8841819763184,147.824127197266")</f>
        <v>http://maps.google.com/maps?f=q&amp;hl=en&amp;geocode=&amp;q=-36.8841819763184,147.824127197266</v>
      </c>
    </row>
    <row r="4693" spans="1:7" ht="15" x14ac:dyDescent="0.3">
      <c r="A4693">
        <v>37.207431793212898</v>
      </c>
      <c r="B4693">
        <v>-76.763236999511705</v>
      </c>
      <c r="C4693" t="s">
        <v>41</v>
      </c>
      <c r="D4693" t="s">
        <v>2987</v>
      </c>
      <c r="F4693" s="21"/>
      <c r="G4693" s="16" t="str">
        <f>HYPERLINK("http://maps.google.com/maps?f=q&amp;hl=en&amp;geocode=&amp;q=37.2074317932129,-76.7632369995117")</f>
        <v>http://maps.google.com/maps?f=q&amp;hl=en&amp;geocode=&amp;q=37.2074317932129,-76.7632369995117</v>
      </c>
    </row>
    <row r="4694" spans="1:7" ht="15" x14ac:dyDescent="0.3">
      <c r="A4694">
        <v>45.648637156338999</v>
      </c>
      <c r="B4694">
        <v>-84.501926895489802</v>
      </c>
      <c r="C4694" t="s">
        <v>41</v>
      </c>
      <c r="D4694" t="s">
        <v>2988</v>
      </c>
      <c r="F4694" s="21"/>
      <c r="G4694" s="16" t="str">
        <f>HYPERLINK("http://maps.google.com/maps?f=q&amp;hl=en&amp;geocode=&amp;q=45.648637156339,-84.5019268954898")</f>
        <v>http://maps.google.com/maps?f=q&amp;hl=en&amp;geocode=&amp;q=45.648637156339,-84.5019268954898</v>
      </c>
    </row>
    <row r="4695" spans="1:7" ht="15" x14ac:dyDescent="0.3">
      <c r="A4695">
        <v>39.977229999999999</v>
      </c>
      <c r="B4695">
        <v>-75.245090000000005</v>
      </c>
      <c r="C4695" t="s">
        <v>41</v>
      </c>
      <c r="D4695" t="s">
        <v>489</v>
      </c>
      <c r="F4695" s="21"/>
      <c r="G4695" s="16" t="str">
        <f>HYPERLINK("http://maps.google.com/maps?f=q&amp;hl=en&amp;geocode=&amp;q=39.97723,-75.24509")</f>
        <v>http://maps.google.com/maps?f=q&amp;hl=en&amp;geocode=&amp;q=39.97723,-75.24509</v>
      </c>
    </row>
    <row r="4696" spans="1:7" ht="15" x14ac:dyDescent="0.3">
      <c r="A4696">
        <v>-36.884181976318402</v>
      </c>
      <c r="B4696">
        <v>147.82412719726599</v>
      </c>
      <c r="C4696" t="s">
        <v>43</v>
      </c>
      <c r="D4696" t="s">
        <v>2699</v>
      </c>
      <c r="F4696" s="21"/>
      <c r="G4696" s="16" t="str">
        <f>HYPERLINK("http://maps.google.com/maps?f=q&amp;hl=en&amp;geocode=&amp;q=-36.8841819763184,147.824127197266")</f>
        <v>http://maps.google.com/maps?f=q&amp;hl=en&amp;geocode=&amp;q=-36.8841819763184,147.824127197266</v>
      </c>
    </row>
    <row r="4697" spans="1:7" ht="15" x14ac:dyDescent="0.3">
      <c r="A4697">
        <v>-36.884181976318402</v>
      </c>
      <c r="B4697">
        <v>147.82412719726599</v>
      </c>
      <c r="C4697" t="s">
        <v>43</v>
      </c>
      <c r="D4697" t="s">
        <v>2699</v>
      </c>
      <c r="F4697" s="21"/>
      <c r="G4697" s="16" t="str">
        <f>HYPERLINK("http://maps.google.com/maps?f=q&amp;hl=en&amp;geocode=&amp;q=-36.8841819763184,147.824127197266")</f>
        <v>http://maps.google.com/maps?f=q&amp;hl=en&amp;geocode=&amp;q=-36.8841819763184,147.824127197266</v>
      </c>
    </row>
    <row r="4698" spans="1:7" ht="15" x14ac:dyDescent="0.3">
      <c r="A4698">
        <v>38.59055</v>
      </c>
      <c r="B4698">
        <v>-90.304410000000004</v>
      </c>
      <c r="C4698" t="s">
        <v>41</v>
      </c>
      <c r="D4698" t="s">
        <v>2989</v>
      </c>
      <c r="F4698" s="21"/>
      <c r="G4698" s="16" t="str">
        <f>HYPERLINK("http://maps.google.com/maps?f=q&amp;hl=en&amp;geocode=&amp;q=38.59055,-90.30441")</f>
        <v>http://maps.google.com/maps?f=q&amp;hl=en&amp;geocode=&amp;q=38.59055,-90.30441</v>
      </c>
    </row>
    <row r="4699" spans="1:7" ht="15" x14ac:dyDescent="0.3">
      <c r="A4699">
        <v>30.685099999999998</v>
      </c>
      <c r="B4699">
        <v>-88.143730000000005</v>
      </c>
      <c r="C4699" t="s">
        <v>41</v>
      </c>
      <c r="D4699" t="s">
        <v>2018</v>
      </c>
      <c r="F4699" s="21"/>
      <c r="G4699" s="16" t="str">
        <f>HYPERLINK("http://maps.google.com/maps?f=q&amp;hl=en&amp;geocode=&amp;q=30.6851,-88.14373")</f>
        <v>http://maps.google.com/maps?f=q&amp;hl=en&amp;geocode=&amp;q=30.6851,-88.14373</v>
      </c>
    </row>
    <row r="4700" spans="1:7" ht="15" x14ac:dyDescent="0.3">
      <c r="A4700">
        <v>35.923921549531698</v>
      </c>
      <c r="B4700">
        <v>-86.926344817852794</v>
      </c>
      <c r="C4700" t="s">
        <v>41</v>
      </c>
      <c r="D4700" t="s">
        <v>2379</v>
      </c>
      <c r="F4700" s="21"/>
      <c r="G4700" s="16" t="str">
        <f>HYPERLINK("http://maps.google.com/maps?f=q&amp;hl=en&amp;geocode=&amp;q=35.9239215495317,-86.9263448178528")</f>
        <v>http://maps.google.com/maps?f=q&amp;hl=en&amp;geocode=&amp;q=35.9239215495317,-86.9263448178528</v>
      </c>
    </row>
    <row r="4701" spans="1:7" ht="15" x14ac:dyDescent="0.3">
      <c r="A4701">
        <v>50.780136108398402</v>
      </c>
      <c r="B4701">
        <v>4.2288222312927202</v>
      </c>
      <c r="C4701" t="s">
        <v>43</v>
      </c>
      <c r="D4701" t="s">
        <v>2990</v>
      </c>
      <c r="F4701" s="21"/>
      <c r="G4701" s="16" t="str">
        <f>HYPERLINK("http://maps.google.com/maps?f=q&amp;hl=en&amp;geocode=&amp;q=50.7801361083984,4.22882223129272")</f>
        <v>http://maps.google.com/maps?f=q&amp;hl=en&amp;geocode=&amp;q=50.7801361083984,4.22882223129272</v>
      </c>
    </row>
    <row r="4702" spans="1:7" ht="15" x14ac:dyDescent="0.3">
      <c r="A4702" t="s">
        <v>44</v>
      </c>
      <c r="B4702" t="s">
        <v>44</v>
      </c>
      <c r="C4702" t="s">
        <v>44</v>
      </c>
      <c r="D4702" t="s">
        <v>2991</v>
      </c>
      <c r="F4702" s="21"/>
      <c r="G4702" s="16"/>
    </row>
    <row r="4703" spans="1:7" ht="15" x14ac:dyDescent="0.3">
      <c r="A4703">
        <v>40.006929999999997</v>
      </c>
      <c r="B4703">
        <v>-75.107900000000001</v>
      </c>
      <c r="C4703" t="s">
        <v>41</v>
      </c>
      <c r="D4703" t="s">
        <v>1488</v>
      </c>
      <c r="F4703" s="21"/>
      <c r="G4703" s="16" t="str">
        <f>HYPERLINK("http://maps.google.com/maps?f=q&amp;hl=en&amp;geocode=&amp;q=40.00693,-75.1079")</f>
        <v>http://maps.google.com/maps?f=q&amp;hl=en&amp;geocode=&amp;q=40.00693,-75.1079</v>
      </c>
    </row>
    <row r="4704" spans="1:7" ht="15" x14ac:dyDescent="0.3">
      <c r="A4704">
        <v>37.795243536075297</v>
      </c>
      <c r="B4704">
        <v>-122.19966585935499</v>
      </c>
      <c r="C4704" t="s">
        <v>41</v>
      </c>
      <c r="D4704" t="s">
        <v>2992</v>
      </c>
      <c r="F4704" s="21"/>
      <c r="G4704" s="16" t="str">
        <f>HYPERLINK("http://maps.google.com/maps?f=q&amp;hl=en&amp;geocode=&amp;q=37.7952435360753,-122.199665859355")</f>
        <v>http://maps.google.com/maps?f=q&amp;hl=en&amp;geocode=&amp;q=37.7952435360753,-122.199665859355</v>
      </c>
    </row>
    <row r="4705" spans="1:7" ht="15" x14ac:dyDescent="0.3">
      <c r="A4705">
        <v>40.027406602417798</v>
      </c>
      <c r="B4705">
        <v>-75.082999153502001</v>
      </c>
      <c r="C4705" t="s">
        <v>41</v>
      </c>
      <c r="D4705" t="s">
        <v>2993</v>
      </c>
      <c r="F4705" s="21"/>
      <c r="G4705" s="16" t="str">
        <f>HYPERLINK("http://maps.google.com/maps?f=q&amp;hl=en&amp;geocode=&amp;q=40.0274066024178,-75.082999153502")</f>
        <v>http://maps.google.com/maps?f=q&amp;hl=en&amp;geocode=&amp;q=40.0274066024178,-75.082999153502</v>
      </c>
    </row>
    <row r="4706" spans="1:7" ht="15" x14ac:dyDescent="0.3">
      <c r="A4706">
        <v>51.403045654296903</v>
      </c>
      <c r="B4706">
        <v>-0.262797862291336</v>
      </c>
      <c r="C4706" t="s">
        <v>41</v>
      </c>
      <c r="D4706" t="s">
        <v>2815</v>
      </c>
      <c r="F4706" s="21"/>
      <c r="G4706" s="16" t="str">
        <f>HYPERLINK("http://maps.google.com/maps?f=q&amp;hl=en&amp;geocode=&amp;q=51.4030456542969,-0.262797862291336")</f>
        <v>http://maps.google.com/maps?f=q&amp;hl=en&amp;geocode=&amp;q=51.4030456542969,-0.262797862291336</v>
      </c>
    </row>
    <row r="4707" spans="1:7" ht="15" x14ac:dyDescent="0.3">
      <c r="A4707">
        <v>38.929088558830202</v>
      </c>
      <c r="B4707">
        <v>-77.137490206252195</v>
      </c>
      <c r="C4707" t="s">
        <v>41</v>
      </c>
      <c r="D4707" t="s">
        <v>2994</v>
      </c>
      <c r="F4707" s="21"/>
      <c r="G4707" s="16" t="str">
        <f>HYPERLINK("http://maps.google.com/maps?f=q&amp;hl=en&amp;geocode=&amp;q=38.9290885588302,-77.1374902062522")</f>
        <v>http://maps.google.com/maps?f=q&amp;hl=en&amp;geocode=&amp;q=38.9290885588302,-77.1374902062522</v>
      </c>
    </row>
    <row r="4708" spans="1:7" ht="15" x14ac:dyDescent="0.3">
      <c r="A4708">
        <v>29.6948247475312</v>
      </c>
      <c r="B4708">
        <v>-95.352270013052305</v>
      </c>
      <c r="C4708" t="s">
        <v>41</v>
      </c>
      <c r="D4708" t="s">
        <v>2995</v>
      </c>
      <c r="F4708" s="21"/>
      <c r="G4708" s="16" t="str">
        <f>HYPERLINK("http://maps.google.com/maps?f=q&amp;hl=en&amp;geocode=&amp;q=29.6948247475312,-95.3522700130523")</f>
        <v>http://maps.google.com/maps?f=q&amp;hl=en&amp;geocode=&amp;q=29.6948247475312,-95.3522700130523</v>
      </c>
    </row>
    <row r="4709" spans="1:7" ht="15" x14ac:dyDescent="0.3">
      <c r="A4709">
        <v>45.077999114990199</v>
      </c>
      <c r="B4709">
        <v>7.6489338874816903</v>
      </c>
      <c r="C4709" t="s">
        <v>41</v>
      </c>
      <c r="D4709" t="s">
        <v>2996</v>
      </c>
      <c r="F4709" s="21"/>
      <c r="G4709" s="16" t="str">
        <f>HYPERLINK("http://maps.google.com/maps?f=q&amp;hl=en&amp;geocode=&amp;q=45.0779991149902,7.64893388748169")</f>
        <v>http://maps.google.com/maps?f=q&amp;hl=en&amp;geocode=&amp;q=45.0779991149902,7.64893388748169</v>
      </c>
    </row>
    <row r="4710" spans="1:7" ht="15" x14ac:dyDescent="0.3">
      <c r="A4710">
        <v>40.126319317074099</v>
      </c>
      <c r="B4710">
        <v>-86.477936107795102</v>
      </c>
      <c r="C4710" t="s">
        <v>42</v>
      </c>
      <c r="D4710" t="s">
        <v>2441</v>
      </c>
      <c r="F4710" s="21"/>
      <c r="G4710" s="16" t="str">
        <f>HYPERLINK("http://maps.google.com/maps?f=q&amp;hl=en&amp;geocode=&amp;q=40.1263193170741,-86.4779361077951")</f>
        <v>http://maps.google.com/maps?f=q&amp;hl=en&amp;geocode=&amp;q=40.1263193170741,-86.4779361077951</v>
      </c>
    </row>
    <row r="4711" spans="1:7" ht="15" x14ac:dyDescent="0.3">
      <c r="A4711">
        <v>34.085949999999997</v>
      </c>
      <c r="B4711">
        <v>-118.29674</v>
      </c>
      <c r="C4711" t="s">
        <v>41</v>
      </c>
      <c r="D4711" t="s">
        <v>2997</v>
      </c>
      <c r="F4711" s="21"/>
      <c r="G4711" s="16" t="str">
        <f>HYPERLINK("http://maps.google.com/maps?f=q&amp;hl=en&amp;geocode=&amp;q=34.08595,-118.29674")</f>
        <v>http://maps.google.com/maps?f=q&amp;hl=en&amp;geocode=&amp;q=34.08595,-118.29674</v>
      </c>
    </row>
    <row r="4712" spans="1:7" ht="15" x14ac:dyDescent="0.3">
      <c r="A4712">
        <v>34.085949999999997</v>
      </c>
      <c r="B4712">
        <v>-118.29674</v>
      </c>
      <c r="C4712" t="s">
        <v>41</v>
      </c>
      <c r="D4712" t="s">
        <v>2997</v>
      </c>
      <c r="F4712" s="21"/>
      <c r="G4712" s="16" t="str">
        <f>HYPERLINK("http://maps.google.com/maps?f=q&amp;hl=en&amp;geocode=&amp;q=34.08595,-118.29674")</f>
        <v>http://maps.google.com/maps?f=q&amp;hl=en&amp;geocode=&amp;q=34.08595,-118.29674</v>
      </c>
    </row>
    <row r="4713" spans="1:7" ht="15" x14ac:dyDescent="0.3">
      <c r="A4713">
        <v>29.94772</v>
      </c>
      <c r="B4713">
        <v>-93.937799999999996</v>
      </c>
      <c r="C4713" t="s">
        <v>41</v>
      </c>
      <c r="D4713" t="s">
        <v>772</v>
      </c>
      <c r="F4713" s="21"/>
      <c r="G4713" s="16" t="str">
        <f>HYPERLINK("http://maps.google.com/maps?f=q&amp;hl=en&amp;geocode=&amp;q=29.94772,-93.9378")</f>
        <v>http://maps.google.com/maps?f=q&amp;hl=en&amp;geocode=&amp;q=29.94772,-93.9378</v>
      </c>
    </row>
    <row r="4714" spans="1:7" ht="15" x14ac:dyDescent="0.3">
      <c r="A4714">
        <v>34.085949999999997</v>
      </c>
      <c r="B4714">
        <v>-118.29674</v>
      </c>
      <c r="C4714" t="s">
        <v>41</v>
      </c>
      <c r="D4714" t="s">
        <v>2997</v>
      </c>
      <c r="F4714" s="21"/>
      <c r="G4714" s="16" t="str">
        <f>HYPERLINK("http://maps.google.com/maps?f=q&amp;hl=en&amp;geocode=&amp;q=34.08595,-118.29674")</f>
        <v>http://maps.google.com/maps?f=q&amp;hl=en&amp;geocode=&amp;q=34.08595,-118.29674</v>
      </c>
    </row>
    <row r="4715" spans="1:7" ht="15" x14ac:dyDescent="0.3">
      <c r="A4715">
        <v>41.5089111328125</v>
      </c>
      <c r="B4715">
        <v>-87.073318481445298</v>
      </c>
      <c r="C4715" t="s">
        <v>43</v>
      </c>
      <c r="D4715" t="s">
        <v>2998</v>
      </c>
      <c r="F4715" s="21"/>
      <c r="G4715" s="16" t="str">
        <f>HYPERLINK("http://maps.google.com/maps?f=q&amp;hl=en&amp;geocode=&amp;q=41.5089111328125,-87.0733184814453")</f>
        <v>http://maps.google.com/maps?f=q&amp;hl=en&amp;geocode=&amp;q=41.5089111328125,-87.0733184814453</v>
      </c>
    </row>
    <row r="4716" spans="1:7" ht="15" x14ac:dyDescent="0.3">
      <c r="A4716">
        <v>41.545448303222699</v>
      </c>
      <c r="B4716">
        <v>-76.742660522460895</v>
      </c>
      <c r="C4716" t="s">
        <v>43</v>
      </c>
      <c r="D4716" t="s">
        <v>1196</v>
      </c>
      <c r="F4716" s="21"/>
      <c r="G4716" s="16" t="str">
        <f>HYPERLINK("http://maps.google.com/maps?f=q&amp;hl=en&amp;geocode=&amp;q=41.5454483032227,-76.7426605224609")</f>
        <v>http://maps.google.com/maps?f=q&amp;hl=en&amp;geocode=&amp;q=41.5454483032227,-76.7426605224609</v>
      </c>
    </row>
    <row r="4717" spans="1:7" ht="15" x14ac:dyDescent="0.3">
      <c r="A4717">
        <v>39.992179999999998</v>
      </c>
      <c r="B4717">
        <v>-75.100999999999999</v>
      </c>
      <c r="C4717" t="s">
        <v>41</v>
      </c>
      <c r="D4717" t="s">
        <v>716</v>
      </c>
      <c r="F4717" s="21"/>
      <c r="G4717" s="16" t="str">
        <f>HYPERLINK("http://maps.google.com/maps?f=q&amp;hl=en&amp;geocode=&amp;q=39.99218,-75.101")</f>
        <v>http://maps.google.com/maps?f=q&amp;hl=en&amp;geocode=&amp;q=39.99218,-75.101</v>
      </c>
    </row>
    <row r="4718" spans="1:7" ht="15" x14ac:dyDescent="0.3">
      <c r="A4718">
        <v>39.993279999999999</v>
      </c>
      <c r="B4718">
        <v>-75.098560000000006</v>
      </c>
      <c r="C4718" t="s">
        <v>41</v>
      </c>
      <c r="D4718" t="s">
        <v>1697</v>
      </c>
      <c r="F4718" s="21"/>
      <c r="G4718" s="16" t="str">
        <f>HYPERLINK("http://maps.google.com/maps?f=q&amp;hl=en&amp;geocode=&amp;q=39.99328,-75.09856")</f>
        <v>http://maps.google.com/maps?f=q&amp;hl=en&amp;geocode=&amp;q=39.99328,-75.09856</v>
      </c>
    </row>
    <row r="4719" spans="1:7" ht="15" x14ac:dyDescent="0.3">
      <c r="A4719">
        <v>-26.034427642822301</v>
      </c>
      <c r="B4719">
        <v>28.5431098937988</v>
      </c>
      <c r="C4719" t="s">
        <v>43</v>
      </c>
      <c r="D4719" t="s">
        <v>2999</v>
      </c>
      <c r="F4719" s="21"/>
      <c r="G4719" s="16" t="str">
        <f>HYPERLINK("http://maps.google.com/maps?f=q&amp;hl=en&amp;geocode=&amp;q=-26.0344276428223,28.5431098937988")</f>
        <v>http://maps.google.com/maps?f=q&amp;hl=en&amp;geocode=&amp;q=-26.0344276428223,28.5431098937988</v>
      </c>
    </row>
    <row r="4720" spans="1:7" ht="15" x14ac:dyDescent="0.3">
      <c r="A4720">
        <v>31.010382211237602</v>
      </c>
      <c r="B4720">
        <v>-86.338268250139095</v>
      </c>
      <c r="C4720" t="s">
        <v>41</v>
      </c>
      <c r="D4720" t="s">
        <v>3000</v>
      </c>
      <c r="F4720" s="21"/>
      <c r="G4720" s="16" t="str">
        <f>HYPERLINK("http://maps.google.com/maps?f=q&amp;hl=en&amp;geocode=&amp;q=31.0103822112376,-86.3382682501391")</f>
        <v>http://maps.google.com/maps?f=q&amp;hl=en&amp;geocode=&amp;q=31.0103822112376,-86.3382682501391</v>
      </c>
    </row>
    <row r="4721" spans="1:7" ht="15" x14ac:dyDescent="0.3">
      <c r="A4721" t="s">
        <v>44</v>
      </c>
      <c r="B4721" t="s">
        <v>44</v>
      </c>
      <c r="C4721" t="s">
        <v>44</v>
      </c>
      <c r="D4721" t="s">
        <v>235</v>
      </c>
      <c r="F4721" s="21"/>
      <c r="G4721" s="16"/>
    </row>
    <row r="4722" spans="1:7" ht="15" x14ac:dyDescent="0.3">
      <c r="A4722">
        <v>31.010528755372398</v>
      </c>
      <c r="B4722">
        <v>-86.338259611026601</v>
      </c>
      <c r="C4722" t="s">
        <v>41</v>
      </c>
      <c r="D4722" t="s">
        <v>3001</v>
      </c>
      <c r="F4722" s="21"/>
      <c r="G4722" s="16" t="str">
        <f>HYPERLINK("http://maps.google.com/maps?f=q&amp;hl=en&amp;geocode=&amp;q=31.0105287553724,-86.3382596110266")</f>
        <v>http://maps.google.com/maps?f=q&amp;hl=en&amp;geocode=&amp;q=31.0105287553724,-86.3382596110266</v>
      </c>
    </row>
    <row r="4723" spans="1:7" ht="15" x14ac:dyDescent="0.3">
      <c r="A4723">
        <v>41.903089999999999</v>
      </c>
      <c r="B4723">
        <v>-111.40125999999999</v>
      </c>
      <c r="C4723" t="s">
        <v>42</v>
      </c>
      <c r="D4723" t="s">
        <v>2969</v>
      </c>
      <c r="F4723" s="21"/>
      <c r="G4723" s="16" t="str">
        <f>HYPERLINK("http://maps.google.com/maps?f=q&amp;hl=en&amp;geocode=&amp;q=41.90309,-111.40126")</f>
        <v>http://maps.google.com/maps?f=q&amp;hl=en&amp;geocode=&amp;q=41.90309,-111.40126</v>
      </c>
    </row>
    <row r="4724" spans="1:7" ht="15" x14ac:dyDescent="0.3">
      <c r="A4724">
        <v>41.903089999999999</v>
      </c>
      <c r="B4724">
        <v>-111.40125999999999</v>
      </c>
      <c r="C4724" t="s">
        <v>42</v>
      </c>
      <c r="D4724" t="s">
        <v>2969</v>
      </c>
      <c r="F4724" s="21"/>
      <c r="G4724" s="16" t="str">
        <f>HYPERLINK("http://maps.google.com/maps?f=q&amp;hl=en&amp;geocode=&amp;q=41.90309,-111.40126")</f>
        <v>http://maps.google.com/maps?f=q&amp;hl=en&amp;geocode=&amp;q=41.90309,-111.40126</v>
      </c>
    </row>
    <row r="4725" spans="1:7" ht="15" x14ac:dyDescent="0.3">
      <c r="A4725">
        <v>41.903089999999999</v>
      </c>
      <c r="B4725">
        <v>-111.40125999999999</v>
      </c>
      <c r="C4725" t="s">
        <v>42</v>
      </c>
      <c r="D4725" t="s">
        <v>2969</v>
      </c>
      <c r="F4725" s="21"/>
      <c r="G4725" s="16" t="str">
        <f>HYPERLINK("http://maps.google.com/maps?f=q&amp;hl=en&amp;geocode=&amp;q=41.90309,-111.40126")</f>
        <v>http://maps.google.com/maps?f=q&amp;hl=en&amp;geocode=&amp;q=41.90309,-111.40126</v>
      </c>
    </row>
    <row r="4726" spans="1:7" ht="15" x14ac:dyDescent="0.3">
      <c r="A4726">
        <v>-26.034427642822301</v>
      </c>
      <c r="B4726">
        <v>28.5431098937988</v>
      </c>
      <c r="C4726" t="s">
        <v>43</v>
      </c>
      <c r="D4726" t="s">
        <v>3002</v>
      </c>
      <c r="F4726" s="21"/>
      <c r="G4726" s="16" t="str">
        <f>HYPERLINK("http://maps.google.com/maps?f=q&amp;hl=en&amp;geocode=&amp;q=-26.0344276428223,28.5431098937988")</f>
        <v>http://maps.google.com/maps?f=q&amp;hl=en&amp;geocode=&amp;q=-26.0344276428223,28.5431098937988</v>
      </c>
    </row>
    <row r="4727" spans="1:7" ht="15" x14ac:dyDescent="0.3">
      <c r="A4727">
        <v>-32.487789900000003</v>
      </c>
      <c r="B4727">
        <v>137.76979</v>
      </c>
      <c r="C4727" t="s">
        <v>41</v>
      </c>
      <c r="D4727" t="s">
        <v>49</v>
      </c>
      <c r="F4727" s="21"/>
      <c r="G4727" s="16" t="str">
        <f>HYPERLINK("http://maps.google.com/maps?f=q&amp;hl=en&amp;geocode=&amp;q=-32.4877899,137.76979")</f>
        <v>http://maps.google.com/maps?f=q&amp;hl=en&amp;geocode=&amp;q=-32.4877899,137.76979</v>
      </c>
    </row>
    <row r="4728" spans="1:7" ht="15" x14ac:dyDescent="0.3">
      <c r="A4728">
        <v>43.293369293212898</v>
      </c>
      <c r="B4728">
        <v>5.3713002204895002</v>
      </c>
      <c r="C4728" t="s">
        <v>43</v>
      </c>
      <c r="D4728" t="s">
        <v>3003</v>
      </c>
      <c r="F4728" s="21"/>
      <c r="G4728" s="16" t="str">
        <f>HYPERLINK("http://maps.google.com/maps?f=q&amp;hl=en&amp;geocode=&amp;q=43.2933692932129,5.3713002204895")</f>
        <v>http://maps.google.com/maps?f=q&amp;hl=en&amp;geocode=&amp;q=43.2933692932129,5.3713002204895</v>
      </c>
    </row>
    <row r="4729" spans="1:7" ht="15" x14ac:dyDescent="0.3">
      <c r="A4729">
        <v>43.525155641267901</v>
      </c>
      <c r="B4729">
        <v>-84.225234630497596</v>
      </c>
      <c r="C4729" t="s">
        <v>41</v>
      </c>
      <c r="D4729" t="s">
        <v>175</v>
      </c>
      <c r="F4729" s="21"/>
      <c r="G4729" s="16" t="str">
        <f>HYPERLINK("http://maps.google.com/maps?f=q&amp;hl=en&amp;geocode=&amp;q=43.5251556412679,-84.2252346304976")</f>
        <v>http://maps.google.com/maps?f=q&amp;hl=en&amp;geocode=&amp;q=43.5251556412679,-84.2252346304976</v>
      </c>
    </row>
    <row r="4730" spans="1:7" ht="15" x14ac:dyDescent="0.3">
      <c r="A4730">
        <v>43.293369293212898</v>
      </c>
      <c r="B4730">
        <v>5.3713002204895002</v>
      </c>
      <c r="C4730" t="s">
        <v>43</v>
      </c>
      <c r="D4730" t="s">
        <v>3003</v>
      </c>
      <c r="F4730" s="21"/>
      <c r="G4730" s="16" t="str">
        <f>HYPERLINK("http://maps.google.com/maps?f=q&amp;hl=en&amp;geocode=&amp;q=43.2933692932129,5.3713002204895")</f>
        <v>http://maps.google.com/maps?f=q&amp;hl=en&amp;geocode=&amp;q=43.2933692932129,5.3713002204895</v>
      </c>
    </row>
    <row r="4731" spans="1:7" ht="15" x14ac:dyDescent="0.3">
      <c r="A4731">
        <v>43.293369293212898</v>
      </c>
      <c r="B4731">
        <v>5.3713002204895002</v>
      </c>
      <c r="C4731" t="s">
        <v>43</v>
      </c>
      <c r="D4731" t="s">
        <v>3003</v>
      </c>
      <c r="F4731" s="21"/>
      <c r="G4731" s="16" t="str">
        <f>HYPERLINK("http://maps.google.com/maps?f=q&amp;hl=en&amp;geocode=&amp;q=43.2933692932129,5.3713002204895")</f>
        <v>http://maps.google.com/maps?f=q&amp;hl=en&amp;geocode=&amp;q=43.2933692932129,5.3713002204895</v>
      </c>
    </row>
    <row r="4732" spans="1:7" ht="15" x14ac:dyDescent="0.3">
      <c r="A4732">
        <v>43.293369293212898</v>
      </c>
      <c r="B4732">
        <v>5.3713002204895002</v>
      </c>
      <c r="C4732" t="s">
        <v>43</v>
      </c>
      <c r="D4732" t="s">
        <v>3003</v>
      </c>
      <c r="F4732" s="21"/>
      <c r="G4732" s="16" t="str">
        <f>HYPERLINK("http://maps.google.com/maps?f=q&amp;hl=en&amp;geocode=&amp;q=43.2933692932129,5.3713002204895")</f>
        <v>http://maps.google.com/maps?f=q&amp;hl=en&amp;geocode=&amp;q=43.2933692932129,5.3713002204895</v>
      </c>
    </row>
    <row r="4733" spans="1:7" ht="15" x14ac:dyDescent="0.3">
      <c r="A4733">
        <v>43.293369293212898</v>
      </c>
      <c r="B4733">
        <v>5.3713002204895002</v>
      </c>
      <c r="C4733" t="s">
        <v>43</v>
      </c>
      <c r="D4733" t="s">
        <v>3003</v>
      </c>
      <c r="F4733" s="21"/>
      <c r="G4733" s="16" t="str">
        <f>HYPERLINK("http://maps.google.com/maps?f=q&amp;hl=en&amp;geocode=&amp;q=43.2933692932129,5.3713002204895")</f>
        <v>http://maps.google.com/maps?f=q&amp;hl=en&amp;geocode=&amp;q=43.2933692932129,5.3713002204895</v>
      </c>
    </row>
    <row r="4734" spans="1:7" ht="15" x14ac:dyDescent="0.3">
      <c r="A4734">
        <v>43.293369293212898</v>
      </c>
      <c r="B4734">
        <v>5.3713002204895002</v>
      </c>
      <c r="C4734" t="s">
        <v>43</v>
      </c>
      <c r="D4734" t="s">
        <v>3003</v>
      </c>
      <c r="F4734" s="21"/>
      <c r="G4734" s="16" t="str">
        <f>HYPERLINK("http://maps.google.com/maps?f=q&amp;hl=en&amp;geocode=&amp;q=43.2933692932129,5.3713002204895")</f>
        <v>http://maps.google.com/maps?f=q&amp;hl=en&amp;geocode=&amp;q=43.2933692932129,5.3713002204895</v>
      </c>
    </row>
    <row r="4735" spans="1:7" ht="15" x14ac:dyDescent="0.3">
      <c r="A4735">
        <v>37.918178558349602</v>
      </c>
      <c r="B4735">
        <v>15.0563297271729</v>
      </c>
      <c r="C4735" t="s">
        <v>41</v>
      </c>
      <c r="D4735" t="s">
        <v>3004</v>
      </c>
      <c r="F4735" s="21"/>
      <c r="G4735" s="16" t="str">
        <f>HYPERLINK("http://maps.google.com/maps?f=q&amp;hl=en&amp;geocode=&amp;q=37.9181785583496,15.0563297271729")</f>
        <v>http://maps.google.com/maps?f=q&amp;hl=en&amp;geocode=&amp;q=37.9181785583496,15.0563297271729</v>
      </c>
    </row>
    <row r="4736" spans="1:7" ht="15" x14ac:dyDescent="0.3">
      <c r="A4736">
        <v>38.678428649902301</v>
      </c>
      <c r="B4736">
        <v>-121.77311706543</v>
      </c>
      <c r="C4736" t="s">
        <v>43</v>
      </c>
      <c r="D4736" t="s">
        <v>2926</v>
      </c>
      <c r="F4736" s="21"/>
      <c r="G4736" s="16" t="str">
        <f>HYPERLINK("http://maps.google.com/maps?f=q&amp;hl=en&amp;geocode=&amp;q=38.6784286499023,-121.77311706543")</f>
        <v>http://maps.google.com/maps?f=q&amp;hl=en&amp;geocode=&amp;q=38.6784286499023,-121.77311706543</v>
      </c>
    </row>
    <row r="4737" spans="1:7" ht="15" x14ac:dyDescent="0.3">
      <c r="A4737">
        <v>49.748329162597699</v>
      </c>
      <c r="B4737">
        <v>12.205309867858899</v>
      </c>
      <c r="C4737" t="s">
        <v>41</v>
      </c>
      <c r="D4737" t="s">
        <v>3005</v>
      </c>
      <c r="F4737" s="21"/>
      <c r="G4737" s="16" t="str">
        <f>HYPERLINK("http://maps.google.com/maps?f=q&amp;hl=en&amp;geocode=&amp;q=49.7483291625977,12.2053098678589")</f>
        <v>http://maps.google.com/maps?f=q&amp;hl=en&amp;geocode=&amp;q=49.7483291625977,12.2053098678589</v>
      </c>
    </row>
    <row r="4738" spans="1:7" ht="15" x14ac:dyDescent="0.3">
      <c r="A4738">
        <v>52.0673828125</v>
      </c>
      <c r="B4738">
        <v>4.3040738105773899</v>
      </c>
      <c r="C4738" t="s">
        <v>43</v>
      </c>
      <c r="D4738" t="s">
        <v>3006</v>
      </c>
      <c r="F4738" s="21"/>
      <c r="G4738" s="16" t="str">
        <f>HYPERLINK("http://maps.google.com/maps?f=q&amp;hl=en&amp;geocode=&amp;q=52.0673828125,4.30407381057739")</f>
        <v>http://maps.google.com/maps?f=q&amp;hl=en&amp;geocode=&amp;q=52.0673828125,4.30407381057739</v>
      </c>
    </row>
    <row r="4739" spans="1:7" ht="15" x14ac:dyDescent="0.3">
      <c r="A4739">
        <v>35.550861358642599</v>
      </c>
      <c r="B4739">
        <v>-121.072059631348</v>
      </c>
      <c r="C4739" t="s">
        <v>43</v>
      </c>
      <c r="D4739" t="s">
        <v>3007</v>
      </c>
      <c r="F4739" s="21"/>
      <c r="G4739" s="16" t="str">
        <f>HYPERLINK("http://maps.google.com/maps?f=q&amp;hl=en&amp;geocode=&amp;q=35.5508613586426,-121.072059631348")</f>
        <v>http://maps.google.com/maps?f=q&amp;hl=en&amp;geocode=&amp;q=35.5508613586426,-121.072059631348</v>
      </c>
    </row>
    <row r="4740" spans="1:7" ht="15" x14ac:dyDescent="0.3">
      <c r="A4740">
        <v>37.006450000000001</v>
      </c>
      <c r="B4740">
        <v>-85.395020000000002</v>
      </c>
      <c r="C4740" t="s">
        <v>42</v>
      </c>
      <c r="D4740" t="s">
        <v>3008</v>
      </c>
      <c r="F4740" s="21"/>
      <c r="G4740" s="16" t="str">
        <f>HYPERLINK("http://maps.google.com/maps?f=q&amp;hl=en&amp;geocode=&amp;q=37.00645,-85.39502")</f>
        <v>http://maps.google.com/maps?f=q&amp;hl=en&amp;geocode=&amp;q=37.00645,-85.39502</v>
      </c>
    </row>
    <row r="4741" spans="1:7" ht="15" x14ac:dyDescent="0.3">
      <c r="A4741" t="s">
        <v>44</v>
      </c>
      <c r="B4741" t="s">
        <v>44</v>
      </c>
      <c r="C4741" t="s">
        <v>44</v>
      </c>
      <c r="D4741" t="s">
        <v>75</v>
      </c>
      <c r="F4741" s="21"/>
      <c r="G4741" s="16"/>
    </row>
    <row r="4742" spans="1:7" ht="15" x14ac:dyDescent="0.3">
      <c r="A4742">
        <v>48.026901245117202</v>
      </c>
      <c r="B4742">
        <v>3.6677799224853498</v>
      </c>
      <c r="C4742" t="s">
        <v>43</v>
      </c>
      <c r="D4742" t="s">
        <v>3009</v>
      </c>
      <c r="F4742" s="21"/>
      <c r="G4742" s="16" t="str">
        <f>HYPERLINK("http://maps.google.com/maps?f=q&amp;hl=en&amp;geocode=&amp;q=48.0269012451172,3.66777992248535")</f>
        <v>http://maps.google.com/maps?f=q&amp;hl=en&amp;geocode=&amp;q=48.0269012451172,3.66777992248535</v>
      </c>
    </row>
    <row r="4743" spans="1:7" ht="15" x14ac:dyDescent="0.3">
      <c r="A4743">
        <v>55.008895874023402</v>
      </c>
      <c r="B4743">
        <v>-1.6446622610092201</v>
      </c>
      <c r="C4743" t="s">
        <v>41</v>
      </c>
      <c r="D4743" t="s">
        <v>3010</v>
      </c>
      <c r="F4743" s="21"/>
      <c r="G4743" s="16" t="str">
        <f>HYPERLINK("http://maps.google.com/maps?f=q&amp;hl=en&amp;geocode=&amp;q=55.0088958740234,-1.64466226100922")</f>
        <v>http://maps.google.com/maps?f=q&amp;hl=en&amp;geocode=&amp;q=55.0088958740234,-1.64466226100922</v>
      </c>
    </row>
    <row r="4744" spans="1:7" ht="15" x14ac:dyDescent="0.3">
      <c r="A4744">
        <v>39.040599822997997</v>
      </c>
      <c r="B4744">
        <v>-120.63067626953099</v>
      </c>
      <c r="C4744" t="s">
        <v>43</v>
      </c>
      <c r="D4744" t="s">
        <v>3011</v>
      </c>
      <c r="F4744" s="21"/>
      <c r="G4744" s="16" t="str">
        <f>HYPERLINK("http://maps.google.com/maps?f=q&amp;hl=en&amp;geocode=&amp;q=39.040599822998,-120.630676269531")</f>
        <v>http://maps.google.com/maps?f=q&amp;hl=en&amp;geocode=&amp;q=39.040599822998,-120.630676269531</v>
      </c>
    </row>
    <row r="4745" spans="1:7" ht="15" x14ac:dyDescent="0.3">
      <c r="A4745">
        <v>39.040599822997997</v>
      </c>
      <c r="B4745">
        <v>-120.63067626953099</v>
      </c>
      <c r="C4745" t="s">
        <v>43</v>
      </c>
      <c r="D4745" t="s">
        <v>3011</v>
      </c>
      <c r="F4745" s="21"/>
      <c r="G4745" s="16" t="str">
        <f>HYPERLINK("http://maps.google.com/maps?f=q&amp;hl=en&amp;geocode=&amp;q=39.040599822998,-120.630676269531")</f>
        <v>http://maps.google.com/maps?f=q&amp;hl=en&amp;geocode=&amp;q=39.040599822998,-120.630676269531</v>
      </c>
    </row>
    <row r="4746" spans="1:7" ht="15" x14ac:dyDescent="0.3">
      <c r="A4746">
        <v>42.338748931884801</v>
      </c>
      <c r="B4746">
        <v>-83.890251159667997</v>
      </c>
      <c r="C4746" t="s">
        <v>43</v>
      </c>
      <c r="D4746" t="s">
        <v>3012</v>
      </c>
      <c r="F4746" s="21"/>
      <c r="G4746" s="16" t="str">
        <f>HYPERLINK("http://maps.google.com/maps?f=q&amp;hl=en&amp;geocode=&amp;q=42.3387489318848,-83.890251159668")</f>
        <v>http://maps.google.com/maps?f=q&amp;hl=en&amp;geocode=&amp;q=42.3387489318848,-83.890251159668</v>
      </c>
    </row>
    <row r="4747" spans="1:7" ht="15" x14ac:dyDescent="0.3">
      <c r="A4747">
        <v>47.095829010009801</v>
      </c>
      <c r="B4747">
        <v>-122.62953948974599</v>
      </c>
      <c r="C4747" t="s">
        <v>43</v>
      </c>
      <c r="D4747" t="s">
        <v>3013</v>
      </c>
      <c r="F4747" s="21"/>
      <c r="G4747" s="16" t="str">
        <f>HYPERLINK("http://maps.google.com/maps?f=q&amp;hl=en&amp;geocode=&amp;q=47.0958290100098,-122.629539489746")</f>
        <v>http://maps.google.com/maps?f=q&amp;hl=en&amp;geocode=&amp;q=47.0958290100098,-122.629539489746</v>
      </c>
    </row>
    <row r="4748" spans="1:7" ht="15" x14ac:dyDescent="0.3">
      <c r="A4748">
        <v>53.0112113952637</v>
      </c>
      <c r="B4748">
        <v>12.1616401672363</v>
      </c>
      <c r="C4748" t="s">
        <v>41</v>
      </c>
      <c r="D4748" t="s">
        <v>1009</v>
      </c>
      <c r="F4748" s="21"/>
      <c r="G4748" s="16" t="str">
        <f>HYPERLINK("http://maps.google.com/maps?f=q&amp;hl=en&amp;geocode=&amp;q=53.0112113952637,12.1616401672363")</f>
        <v>http://maps.google.com/maps?f=q&amp;hl=en&amp;geocode=&amp;q=53.0112113952637,12.1616401672363</v>
      </c>
    </row>
    <row r="4749" spans="1:7" ht="15" x14ac:dyDescent="0.3">
      <c r="A4749" t="s">
        <v>44</v>
      </c>
      <c r="B4749" t="s">
        <v>44</v>
      </c>
      <c r="C4749" t="s">
        <v>44</v>
      </c>
      <c r="D4749" t="s">
        <v>3014</v>
      </c>
      <c r="F4749" s="21"/>
      <c r="G4749" s="16"/>
    </row>
    <row r="4750" spans="1:7" ht="15" x14ac:dyDescent="0.3">
      <c r="A4750">
        <v>41.699300000000001</v>
      </c>
      <c r="B4750">
        <v>-88.251320000000007</v>
      </c>
      <c r="C4750" t="s">
        <v>43</v>
      </c>
      <c r="D4750" t="s">
        <v>3015</v>
      </c>
      <c r="F4750" s="21"/>
      <c r="G4750" s="16" t="str">
        <f>HYPERLINK("http://maps.google.com/maps?f=q&amp;hl=en&amp;geocode=&amp;q=41.6993,-88.25132")</f>
        <v>http://maps.google.com/maps?f=q&amp;hl=en&amp;geocode=&amp;q=41.6993,-88.25132</v>
      </c>
    </row>
    <row r="4751" spans="1:7" ht="15" x14ac:dyDescent="0.3">
      <c r="A4751">
        <v>38.678428649902301</v>
      </c>
      <c r="B4751">
        <v>-121.77311706543</v>
      </c>
      <c r="C4751" t="s">
        <v>43</v>
      </c>
      <c r="D4751" t="s">
        <v>2926</v>
      </c>
      <c r="F4751" s="21"/>
      <c r="G4751" s="16" t="str">
        <f>HYPERLINK("http://maps.google.com/maps?f=q&amp;hl=en&amp;geocode=&amp;q=38.6784286499023,-121.77311706543")</f>
        <v>http://maps.google.com/maps?f=q&amp;hl=en&amp;geocode=&amp;q=38.6784286499023,-121.77311706543</v>
      </c>
    </row>
    <row r="4752" spans="1:7" ht="15" x14ac:dyDescent="0.3">
      <c r="A4752">
        <v>38.024659836893399</v>
      </c>
      <c r="B4752">
        <v>-87.547769104034302</v>
      </c>
      <c r="C4752" t="s">
        <v>41</v>
      </c>
      <c r="D4752" t="s">
        <v>3016</v>
      </c>
      <c r="F4752" s="21"/>
      <c r="G4752" s="16" t="str">
        <f>HYPERLINK("http://maps.google.com/maps?f=q&amp;hl=en&amp;geocode=&amp;q=38.0246598368934,-87.5477691040343")</f>
        <v>http://maps.google.com/maps?f=q&amp;hl=en&amp;geocode=&amp;q=38.0246598368934,-87.5477691040343</v>
      </c>
    </row>
    <row r="4753" spans="1:7" ht="15" x14ac:dyDescent="0.3">
      <c r="A4753" t="s">
        <v>44</v>
      </c>
      <c r="B4753" t="s">
        <v>44</v>
      </c>
      <c r="C4753" t="s">
        <v>44</v>
      </c>
      <c r="D4753" t="s">
        <v>2370</v>
      </c>
      <c r="F4753" s="21"/>
      <c r="G4753" s="16"/>
    </row>
    <row r="4754" spans="1:7" ht="15" x14ac:dyDescent="0.3">
      <c r="A4754" t="s">
        <v>44</v>
      </c>
      <c r="B4754" t="s">
        <v>44</v>
      </c>
      <c r="C4754" t="s">
        <v>44</v>
      </c>
      <c r="D4754" t="s">
        <v>2885</v>
      </c>
      <c r="F4754" s="21"/>
      <c r="G4754" s="16"/>
    </row>
    <row r="4755" spans="1:7" ht="15" x14ac:dyDescent="0.3">
      <c r="A4755" t="s">
        <v>44</v>
      </c>
      <c r="B4755" t="s">
        <v>44</v>
      </c>
      <c r="C4755" t="s">
        <v>44</v>
      </c>
      <c r="D4755" t="s">
        <v>2885</v>
      </c>
      <c r="F4755" s="21"/>
      <c r="G4755" s="16"/>
    </row>
    <row r="4756" spans="1:7" ht="15" x14ac:dyDescent="0.3">
      <c r="A4756">
        <v>39.431381225585902</v>
      </c>
      <c r="B4756">
        <v>-76.3048095703125</v>
      </c>
      <c r="C4756" t="s">
        <v>43</v>
      </c>
      <c r="D4756" t="s">
        <v>3017</v>
      </c>
      <c r="F4756" s="21"/>
      <c r="G4756" s="16" t="str">
        <f>HYPERLINK("http://maps.google.com/maps?f=q&amp;hl=en&amp;geocode=&amp;q=39.4313812255859,-76.3048095703125")</f>
        <v>http://maps.google.com/maps?f=q&amp;hl=en&amp;geocode=&amp;q=39.4313812255859,-76.3048095703125</v>
      </c>
    </row>
    <row r="4757" spans="1:7" ht="15" x14ac:dyDescent="0.3">
      <c r="A4757">
        <v>50.512950897216797</v>
      </c>
      <c r="B4757">
        <v>3.58831691741943</v>
      </c>
      <c r="C4757" t="s">
        <v>43</v>
      </c>
      <c r="D4757" t="s">
        <v>937</v>
      </c>
      <c r="F4757" s="21"/>
      <c r="G4757" s="16" t="str">
        <f>HYPERLINK("http://maps.google.com/maps?f=q&amp;hl=en&amp;geocode=&amp;q=50.5129508972168,3.58831691741943")</f>
        <v>http://maps.google.com/maps?f=q&amp;hl=en&amp;geocode=&amp;q=50.5129508972168,3.58831691741943</v>
      </c>
    </row>
    <row r="4758" spans="1:7" ht="15" x14ac:dyDescent="0.3">
      <c r="A4758">
        <v>40.050441088535401</v>
      </c>
      <c r="B4758">
        <v>-75.161886341099503</v>
      </c>
      <c r="C4758" t="s">
        <v>41</v>
      </c>
      <c r="D4758" t="s">
        <v>3018</v>
      </c>
      <c r="F4758" s="21"/>
      <c r="G4758" s="16" t="str">
        <f>HYPERLINK("http://maps.google.com/maps?f=q&amp;hl=en&amp;geocode=&amp;q=40.0504410885354,-75.1618863410995")</f>
        <v>http://maps.google.com/maps?f=q&amp;hl=en&amp;geocode=&amp;q=40.0504410885354,-75.1618863410995</v>
      </c>
    </row>
    <row r="4759" spans="1:7" ht="15" x14ac:dyDescent="0.3">
      <c r="A4759">
        <v>53.0112113952637</v>
      </c>
      <c r="B4759">
        <v>12.1616401672363</v>
      </c>
      <c r="C4759" t="s">
        <v>41</v>
      </c>
      <c r="D4759" t="s">
        <v>3019</v>
      </c>
      <c r="F4759" s="21"/>
      <c r="G4759" s="16" t="str">
        <f>HYPERLINK("http://maps.google.com/maps?f=q&amp;hl=en&amp;geocode=&amp;q=53.0112113952637,12.1616401672363")</f>
        <v>http://maps.google.com/maps?f=q&amp;hl=en&amp;geocode=&amp;q=53.0112113952637,12.1616401672363</v>
      </c>
    </row>
    <row r="4760" spans="1:7" ht="15" x14ac:dyDescent="0.3">
      <c r="A4760">
        <v>39.972230000000003</v>
      </c>
      <c r="B4760">
        <v>-75.226029999999994</v>
      </c>
      <c r="C4760" t="s">
        <v>43</v>
      </c>
      <c r="D4760" t="s">
        <v>3020</v>
      </c>
      <c r="F4760" s="21"/>
      <c r="G4760" s="16" t="str">
        <f>HYPERLINK("http://maps.google.com/maps?f=q&amp;hl=en&amp;geocode=&amp;q=39.97223,-75.22603")</f>
        <v>http://maps.google.com/maps?f=q&amp;hl=en&amp;geocode=&amp;q=39.97223,-75.22603</v>
      </c>
    </row>
    <row r="4761" spans="1:7" ht="15" x14ac:dyDescent="0.3">
      <c r="A4761">
        <v>45.268642425537102</v>
      </c>
      <c r="B4761">
        <v>-110.023239135742</v>
      </c>
      <c r="C4761" t="s">
        <v>41</v>
      </c>
      <c r="D4761" t="s">
        <v>3021</v>
      </c>
      <c r="F4761" s="21"/>
      <c r="G4761" s="16" t="str">
        <f>HYPERLINK("http://maps.google.com/maps?f=q&amp;hl=en&amp;geocode=&amp;q=45.2686424255371,-110.023239135742")</f>
        <v>http://maps.google.com/maps?f=q&amp;hl=en&amp;geocode=&amp;q=45.2686424255371,-110.023239135742</v>
      </c>
    </row>
    <row r="4762" spans="1:7" ht="15" x14ac:dyDescent="0.3">
      <c r="A4762">
        <v>40.213419999999999</v>
      </c>
      <c r="B4762">
        <v>-78.246399999999994</v>
      </c>
      <c r="C4762" t="s">
        <v>43</v>
      </c>
      <c r="D4762" t="s">
        <v>3022</v>
      </c>
      <c r="F4762" s="21"/>
      <c r="G4762" s="16" t="str">
        <f>HYPERLINK("http://maps.google.com/maps?f=q&amp;hl=en&amp;geocode=&amp;q=40.21342,-78.2464")</f>
        <v>http://maps.google.com/maps?f=q&amp;hl=en&amp;geocode=&amp;q=40.21342,-78.2464</v>
      </c>
    </row>
    <row r="4763" spans="1:7" ht="15" x14ac:dyDescent="0.3">
      <c r="A4763">
        <v>31.154450000000001</v>
      </c>
      <c r="B4763">
        <v>-89.410439999999994</v>
      </c>
      <c r="C4763" t="s">
        <v>43</v>
      </c>
      <c r="D4763" t="s">
        <v>3023</v>
      </c>
      <c r="F4763" s="21"/>
      <c r="G4763" s="16" t="str">
        <f>HYPERLINK("http://maps.google.com/maps?f=q&amp;hl=en&amp;geocode=&amp;q=31.15445,-89.41044")</f>
        <v>http://maps.google.com/maps?f=q&amp;hl=en&amp;geocode=&amp;q=31.15445,-89.41044</v>
      </c>
    </row>
    <row r="4764" spans="1:7" ht="15" x14ac:dyDescent="0.3">
      <c r="A4764" t="s">
        <v>44</v>
      </c>
      <c r="B4764" t="s">
        <v>44</v>
      </c>
      <c r="C4764" t="s">
        <v>44</v>
      </c>
      <c r="D4764" t="s">
        <v>3024</v>
      </c>
      <c r="F4764" s="21"/>
      <c r="G4764" s="16"/>
    </row>
    <row r="4765" spans="1:7" ht="15" x14ac:dyDescent="0.3">
      <c r="A4765" t="s">
        <v>44</v>
      </c>
      <c r="B4765" t="s">
        <v>44</v>
      </c>
      <c r="C4765" t="s">
        <v>44</v>
      </c>
      <c r="D4765" t="s">
        <v>227</v>
      </c>
      <c r="F4765" s="21"/>
      <c r="G4765" s="16"/>
    </row>
    <row r="4766" spans="1:7" ht="15" x14ac:dyDescent="0.3">
      <c r="A4766" t="s">
        <v>44</v>
      </c>
      <c r="B4766" t="s">
        <v>44</v>
      </c>
      <c r="C4766" t="s">
        <v>44</v>
      </c>
      <c r="D4766" t="s">
        <v>227</v>
      </c>
      <c r="F4766" s="21"/>
      <c r="G4766" s="16"/>
    </row>
    <row r="4767" spans="1:7" ht="15" x14ac:dyDescent="0.3">
      <c r="A4767">
        <v>33.898600000000002</v>
      </c>
      <c r="B4767">
        <v>-118.21156000000001</v>
      </c>
      <c r="C4767" t="s">
        <v>41</v>
      </c>
      <c r="D4767" t="s">
        <v>3025</v>
      </c>
      <c r="F4767" s="21"/>
      <c r="G4767" s="16" t="str">
        <f>HYPERLINK("http://maps.google.com/maps?f=q&amp;hl=en&amp;geocode=&amp;q=33.8986,-118.21156")</f>
        <v>http://maps.google.com/maps?f=q&amp;hl=en&amp;geocode=&amp;q=33.8986,-118.21156</v>
      </c>
    </row>
    <row r="4768" spans="1:7" ht="15" x14ac:dyDescent="0.3">
      <c r="A4768">
        <v>39.964741807726398</v>
      </c>
      <c r="B4768">
        <v>-75.231684684514804</v>
      </c>
      <c r="C4768" t="s">
        <v>41</v>
      </c>
      <c r="D4768" t="s">
        <v>1742</v>
      </c>
      <c r="F4768" s="21"/>
      <c r="G4768" s="16" t="str">
        <f>HYPERLINK("http://maps.google.com/maps?f=q&amp;hl=en&amp;geocode=&amp;q=39.9647418077264,-75.2316846845148")</f>
        <v>http://maps.google.com/maps?f=q&amp;hl=en&amp;geocode=&amp;q=39.9647418077264,-75.2316846845148</v>
      </c>
    </row>
    <row r="4769" spans="1:7" ht="15" x14ac:dyDescent="0.3">
      <c r="A4769">
        <v>41.57197</v>
      </c>
      <c r="B4769">
        <v>-87.350890000000007</v>
      </c>
      <c r="C4769" t="s">
        <v>41</v>
      </c>
      <c r="D4769" t="s">
        <v>3026</v>
      </c>
      <c r="F4769" s="21"/>
      <c r="G4769" s="16" t="str">
        <f>HYPERLINK("http://maps.google.com/maps?f=q&amp;hl=en&amp;geocode=&amp;q=41.57197,-87.35089")</f>
        <v>http://maps.google.com/maps?f=q&amp;hl=en&amp;geocode=&amp;q=41.57197,-87.35089</v>
      </c>
    </row>
    <row r="4770" spans="1:7" ht="15" x14ac:dyDescent="0.3">
      <c r="A4770">
        <v>39.952730000000003</v>
      </c>
      <c r="B4770">
        <v>-75.236639999999994</v>
      </c>
      <c r="C4770" t="s">
        <v>43</v>
      </c>
      <c r="D4770" t="s">
        <v>3027</v>
      </c>
      <c r="F4770" s="21"/>
      <c r="G4770" s="16" t="str">
        <f>HYPERLINK("http://maps.google.com/maps?f=q&amp;hl=en&amp;geocode=&amp;q=39.95273,-75.23664")</f>
        <v>http://maps.google.com/maps?f=q&amp;hl=en&amp;geocode=&amp;q=39.95273,-75.23664</v>
      </c>
    </row>
    <row r="4771" spans="1:7" ht="15" x14ac:dyDescent="0.3">
      <c r="A4771">
        <v>39.952730000000003</v>
      </c>
      <c r="B4771">
        <v>-75.236639999999994</v>
      </c>
      <c r="C4771" t="s">
        <v>43</v>
      </c>
      <c r="D4771" t="s">
        <v>3027</v>
      </c>
      <c r="F4771" s="21"/>
      <c r="G4771" s="16" t="str">
        <f>HYPERLINK("http://maps.google.com/maps?f=q&amp;hl=en&amp;geocode=&amp;q=39.95273,-75.23664")</f>
        <v>http://maps.google.com/maps?f=q&amp;hl=en&amp;geocode=&amp;q=39.95273,-75.23664</v>
      </c>
    </row>
    <row r="4772" spans="1:7" ht="15" x14ac:dyDescent="0.3">
      <c r="A4772">
        <v>47.202430725097699</v>
      </c>
      <c r="B4772">
        <v>19.835624694824201</v>
      </c>
      <c r="C4772" t="s">
        <v>43</v>
      </c>
      <c r="D4772" t="s">
        <v>3028</v>
      </c>
      <c r="F4772" s="21"/>
      <c r="G4772" s="16" t="str">
        <f>HYPERLINK("http://maps.google.com/maps?f=q&amp;hl=en&amp;geocode=&amp;q=47.2024307250977,19.8356246948242")</f>
        <v>http://maps.google.com/maps?f=q&amp;hl=en&amp;geocode=&amp;q=47.2024307250977,19.8356246948242</v>
      </c>
    </row>
    <row r="4773" spans="1:7" ht="15" x14ac:dyDescent="0.3">
      <c r="A4773">
        <v>41.027950286865199</v>
      </c>
      <c r="B4773">
        <v>-76.658599853515597</v>
      </c>
      <c r="C4773" t="s">
        <v>41</v>
      </c>
      <c r="D4773" t="s">
        <v>3029</v>
      </c>
      <c r="F4773" s="21"/>
      <c r="G4773" s="16" t="str">
        <f>HYPERLINK("http://maps.google.com/maps?f=q&amp;hl=en&amp;geocode=&amp;q=41.0279502868652,-76.6585998535156")</f>
        <v>http://maps.google.com/maps?f=q&amp;hl=en&amp;geocode=&amp;q=41.0279502868652,-76.6585998535156</v>
      </c>
    </row>
    <row r="4774" spans="1:7" ht="15" x14ac:dyDescent="0.3">
      <c r="A4774">
        <v>42.9656372070313</v>
      </c>
      <c r="B4774">
        <v>12.490003585815399</v>
      </c>
      <c r="C4774" t="s">
        <v>41</v>
      </c>
      <c r="D4774" t="s">
        <v>3030</v>
      </c>
      <c r="F4774" s="21"/>
      <c r="G4774" s="16" t="str">
        <f>HYPERLINK("http://maps.google.com/maps?f=q&amp;hl=en&amp;geocode=&amp;q=42.9656372070313,12.4900035858154")</f>
        <v>http://maps.google.com/maps?f=q&amp;hl=en&amp;geocode=&amp;q=42.9656372070313,12.4900035858154</v>
      </c>
    </row>
    <row r="4775" spans="1:7" ht="15" x14ac:dyDescent="0.3">
      <c r="A4775">
        <v>26.925350000000002</v>
      </c>
      <c r="B4775">
        <v>-82.278289999999998</v>
      </c>
      <c r="C4775" t="s">
        <v>41</v>
      </c>
      <c r="D4775" t="s">
        <v>3031</v>
      </c>
      <c r="F4775" s="21"/>
      <c r="G4775" s="16" t="str">
        <f>HYPERLINK("http://maps.google.com/maps?f=q&amp;hl=en&amp;geocode=&amp;q=26.92535,-82.27829")</f>
        <v>http://maps.google.com/maps?f=q&amp;hl=en&amp;geocode=&amp;q=26.92535,-82.27829</v>
      </c>
    </row>
    <row r="4776" spans="1:7" ht="15" x14ac:dyDescent="0.3">
      <c r="A4776">
        <v>40.044620000000002</v>
      </c>
      <c r="B4776">
        <v>-75.075909999999993</v>
      </c>
      <c r="C4776" t="s">
        <v>41</v>
      </c>
      <c r="D4776" t="s">
        <v>3032</v>
      </c>
      <c r="F4776" s="21"/>
      <c r="G4776" s="16" t="str">
        <f>HYPERLINK("http://maps.google.com/maps?f=q&amp;hl=en&amp;geocode=&amp;q=40.04462,-75.07591")</f>
        <v>http://maps.google.com/maps?f=q&amp;hl=en&amp;geocode=&amp;q=40.04462,-75.07591</v>
      </c>
    </row>
    <row r="4777" spans="1:7" ht="15" x14ac:dyDescent="0.3">
      <c r="A4777">
        <v>40.013988494872997</v>
      </c>
      <c r="B4777">
        <v>-75.303192138671903</v>
      </c>
      <c r="C4777" t="s">
        <v>41</v>
      </c>
      <c r="D4777" t="s">
        <v>2565</v>
      </c>
      <c r="F4777" s="21"/>
      <c r="G4777" s="16" t="str">
        <f>HYPERLINK("http://maps.google.com/maps?f=q&amp;hl=en&amp;geocode=&amp;q=40.013988494873,-75.3031921386719")</f>
        <v>http://maps.google.com/maps?f=q&amp;hl=en&amp;geocode=&amp;q=40.013988494873,-75.3031921386719</v>
      </c>
    </row>
    <row r="4778" spans="1:7" ht="15" x14ac:dyDescent="0.3">
      <c r="A4778">
        <v>40.013988494872997</v>
      </c>
      <c r="B4778">
        <v>-75.303192138671903</v>
      </c>
      <c r="C4778" t="s">
        <v>41</v>
      </c>
      <c r="D4778" t="s">
        <v>2565</v>
      </c>
      <c r="F4778" s="21"/>
      <c r="G4778" s="16" t="str">
        <f>HYPERLINK("http://maps.google.com/maps?f=q&amp;hl=en&amp;geocode=&amp;q=40.013988494873,-75.3031921386719")</f>
        <v>http://maps.google.com/maps?f=q&amp;hl=en&amp;geocode=&amp;q=40.013988494873,-75.3031921386719</v>
      </c>
    </row>
    <row r="4779" spans="1:7" ht="15" x14ac:dyDescent="0.3">
      <c r="A4779">
        <v>40.024738311767599</v>
      </c>
      <c r="B4779">
        <v>-75.213882446289105</v>
      </c>
      <c r="C4779" t="s">
        <v>43</v>
      </c>
      <c r="D4779" t="s">
        <v>123</v>
      </c>
      <c r="F4779" s="21"/>
      <c r="G4779" s="16" t="str">
        <f>HYPERLINK("http://maps.google.com/maps?f=q&amp;hl=en&amp;geocode=&amp;q=40.0247383117676,-75.2138824462891")</f>
        <v>http://maps.google.com/maps?f=q&amp;hl=en&amp;geocode=&amp;q=40.0247383117676,-75.2138824462891</v>
      </c>
    </row>
    <row r="4780" spans="1:7" ht="15" x14ac:dyDescent="0.3">
      <c r="A4780">
        <v>44.244550552190702</v>
      </c>
      <c r="B4780">
        <v>-85.394581697647695</v>
      </c>
      <c r="C4780" t="s">
        <v>43</v>
      </c>
      <c r="D4780" t="s">
        <v>409</v>
      </c>
      <c r="F4780" s="21"/>
      <c r="G4780" s="16" t="str">
        <f>HYPERLINK("http://maps.google.com/maps?f=q&amp;hl=en&amp;geocode=&amp;q=44.2445505521907,-85.3945816976477")</f>
        <v>http://maps.google.com/maps?f=q&amp;hl=en&amp;geocode=&amp;q=44.2445505521907,-85.3945816976477</v>
      </c>
    </row>
    <row r="4781" spans="1:7" ht="15" x14ac:dyDescent="0.3">
      <c r="A4781">
        <v>34.597098029634303</v>
      </c>
      <c r="B4781">
        <v>-83.449294598034598</v>
      </c>
      <c r="C4781" t="s">
        <v>41</v>
      </c>
      <c r="D4781" t="s">
        <v>679</v>
      </c>
      <c r="F4781" s="21"/>
      <c r="G4781" s="16" t="str">
        <f>HYPERLINK("http://maps.google.com/maps?f=q&amp;hl=en&amp;geocode=&amp;q=34.5970980296343,-83.4492945980346")</f>
        <v>http://maps.google.com/maps?f=q&amp;hl=en&amp;geocode=&amp;q=34.5970980296343,-83.4492945980346</v>
      </c>
    </row>
    <row r="4782" spans="1:7" ht="15" x14ac:dyDescent="0.3">
      <c r="A4782">
        <v>39.951247344558197</v>
      </c>
      <c r="B4782">
        <v>-75.220815940811903</v>
      </c>
      <c r="C4782" t="s">
        <v>41</v>
      </c>
      <c r="D4782" t="s">
        <v>3033</v>
      </c>
      <c r="F4782" s="21"/>
      <c r="G4782" s="16" t="str">
        <f>HYPERLINK("http://maps.google.com/maps?f=q&amp;hl=en&amp;geocode=&amp;q=39.9512473445582,-75.2208159408119")</f>
        <v>http://maps.google.com/maps?f=q&amp;hl=en&amp;geocode=&amp;q=39.9512473445582,-75.2208159408119</v>
      </c>
    </row>
    <row r="4783" spans="1:7" ht="15" x14ac:dyDescent="0.3">
      <c r="A4783">
        <v>30.299074998091601</v>
      </c>
      <c r="B4783">
        <v>-85.532838087110093</v>
      </c>
      <c r="C4783" t="s">
        <v>41</v>
      </c>
      <c r="D4783" t="s">
        <v>432</v>
      </c>
      <c r="F4783" s="21"/>
      <c r="G4783" s="16" t="str">
        <f>HYPERLINK("http://maps.google.com/maps?f=q&amp;hl=en&amp;geocode=&amp;q=30.2990749980916,-85.5328380871101")</f>
        <v>http://maps.google.com/maps?f=q&amp;hl=en&amp;geocode=&amp;q=30.2990749980916,-85.5328380871101</v>
      </c>
    </row>
    <row r="4784" spans="1:7" ht="15" x14ac:dyDescent="0.3">
      <c r="A4784">
        <v>42.2904534589861</v>
      </c>
      <c r="B4784">
        <v>-77.401911633291306</v>
      </c>
      <c r="C4784" t="s">
        <v>41</v>
      </c>
      <c r="D4784" t="s">
        <v>3034</v>
      </c>
      <c r="F4784" s="21"/>
      <c r="G4784" s="16" t="str">
        <f>HYPERLINK("http://maps.google.com/maps?f=q&amp;hl=en&amp;geocode=&amp;q=42.2904534589861,-77.4019116332913")</f>
        <v>http://maps.google.com/maps?f=q&amp;hl=en&amp;geocode=&amp;q=42.2904534589861,-77.4019116332913</v>
      </c>
    </row>
    <row r="4785" spans="1:7" ht="15" x14ac:dyDescent="0.3">
      <c r="A4785" t="s">
        <v>44</v>
      </c>
      <c r="B4785" t="s">
        <v>44</v>
      </c>
      <c r="C4785" t="s">
        <v>44</v>
      </c>
      <c r="D4785" t="s">
        <v>3035</v>
      </c>
      <c r="F4785" s="21"/>
      <c r="G4785" s="16"/>
    </row>
    <row r="4786" spans="1:7" ht="15" x14ac:dyDescent="0.3">
      <c r="A4786">
        <v>46.4886283874512</v>
      </c>
      <c r="B4786">
        <v>-87.669349670410199</v>
      </c>
      <c r="C4786" t="s">
        <v>41</v>
      </c>
      <c r="D4786" t="s">
        <v>3036</v>
      </c>
      <c r="F4786" s="21"/>
      <c r="G4786" s="16" t="str">
        <f>HYPERLINK("http://maps.google.com/maps?f=q&amp;hl=en&amp;geocode=&amp;q=46.4886283874512,-87.6693496704102")</f>
        <v>http://maps.google.com/maps?f=q&amp;hl=en&amp;geocode=&amp;q=46.4886283874512,-87.6693496704102</v>
      </c>
    </row>
    <row r="4787" spans="1:7" ht="15" x14ac:dyDescent="0.3">
      <c r="A4787">
        <v>41.81071</v>
      </c>
      <c r="B4787">
        <v>-87.866739999999993</v>
      </c>
      <c r="C4787" t="s">
        <v>42</v>
      </c>
      <c r="D4787" t="s">
        <v>3037</v>
      </c>
      <c r="F4787" s="21"/>
      <c r="G4787" s="16" t="str">
        <f>HYPERLINK("http://maps.google.com/maps?f=q&amp;hl=en&amp;geocode=&amp;q=41.81071,-87.86674")</f>
        <v>http://maps.google.com/maps?f=q&amp;hl=en&amp;geocode=&amp;q=41.81071,-87.86674</v>
      </c>
    </row>
    <row r="4788" spans="1:7" ht="15" x14ac:dyDescent="0.3">
      <c r="A4788">
        <v>27.589342892899701</v>
      </c>
      <c r="B4788">
        <v>-82.051996660270504</v>
      </c>
      <c r="C4788" t="s">
        <v>42</v>
      </c>
      <c r="D4788" t="s">
        <v>3038</v>
      </c>
      <c r="F4788" s="21"/>
      <c r="G4788" s="16" t="str">
        <f>HYPERLINK("http://maps.google.com/maps?f=q&amp;hl=en&amp;geocode=&amp;q=27.5893428928997,-82.0519966602705")</f>
        <v>http://maps.google.com/maps?f=q&amp;hl=en&amp;geocode=&amp;q=27.5893428928997,-82.0519966602705</v>
      </c>
    </row>
    <row r="4789" spans="1:7" ht="15" x14ac:dyDescent="0.3">
      <c r="A4789">
        <v>43.293369293212898</v>
      </c>
      <c r="B4789">
        <v>5.3713002204895002</v>
      </c>
      <c r="C4789" t="s">
        <v>43</v>
      </c>
      <c r="D4789" t="s">
        <v>3003</v>
      </c>
      <c r="F4789" s="21"/>
      <c r="G4789" s="16" t="str">
        <f>HYPERLINK("http://maps.google.com/maps?f=q&amp;hl=en&amp;geocode=&amp;q=43.2933692932129,5.3713002204895")</f>
        <v>http://maps.google.com/maps?f=q&amp;hl=en&amp;geocode=&amp;q=43.2933692932129,5.3713002204895</v>
      </c>
    </row>
    <row r="4790" spans="1:7" ht="15" x14ac:dyDescent="0.3">
      <c r="A4790">
        <v>39.780749999999998</v>
      </c>
      <c r="B4790">
        <v>-79.381979999999999</v>
      </c>
      <c r="C4790" t="s">
        <v>42</v>
      </c>
      <c r="D4790" t="s">
        <v>3039</v>
      </c>
      <c r="F4790" s="21"/>
      <c r="G4790" s="16" t="str">
        <f>HYPERLINK("http://maps.google.com/maps?f=q&amp;hl=en&amp;geocode=&amp;q=39.78075,-79.38198")</f>
        <v>http://maps.google.com/maps?f=q&amp;hl=en&amp;geocode=&amp;q=39.78075,-79.38198</v>
      </c>
    </row>
    <row r="4791" spans="1:7" ht="15" x14ac:dyDescent="0.3">
      <c r="A4791">
        <v>43.293369293212898</v>
      </c>
      <c r="B4791">
        <v>5.3713002204895002</v>
      </c>
      <c r="C4791" t="s">
        <v>43</v>
      </c>
      <c r="D4791" t="s">
        <v>3003</v>
      </c>
      <c r="F4791" s="21"/>
      <c r="G4791" s="16" t="str">
        <f>HYPERLINK("http://maps.google.com/maps?f=q&amp;hl=en&amp;geocode=&amp;q=43.2933692932129,5.3713002204895")</f>
        <v>http://maps.google.com/maps?f=q&amp;hl=en&amp;geocode=&amp;q=43.2933692932129,5.3713002204895</v>
      </c>
    </row>
    <row r="4792" spans="1:7" ht="15" x14ac:dyDescent="0.3">
      <c r="A4792">
        <v>39.315220645034202</v>
      </c>
      <c r="B4792">
        <v>-84.382625133383897</v>
      </c>
      <c r="C4792" t="s">
        <v>41</v>
      </c>
      <c r="D4792" t="s">
        <v>3040</v>
      </c>
      <c r="F4792" s="21"/>
      <c r="G4792" s="16" t="str">
        <f>HYPERLINK("http://maps.google.com/maps?f=q&amp;hl=en&amp;geocode=&amp;q=39.3152206450342,-84.3826251333839")</f>
        <v>http://maps.google.com/maps?f=q&amp;hl=en&amp;geocode=&amp;q=39.3152206450342,-84.3826251333839</v>
      </c>
    </row>
    <row r="4793" spans="1:7" ht="15" x14ac:dyDescent="0.3">
      <c r="A4793" t="s">
        <v>44</v>
      </c>
      <c r="B4793" t="s">
        <v>44</v>
      </c>
      <c r="C4793" t="s">
        <v>44</v>
      </c>
      <c r="D4793" t="s">
        <v>981</v>
      </c>
      <c r="F4793" s="21"/>
      <c r="G4793" s="16"/>
    </row>
    <row r="4794" spans="1:7" ht="15" x14ac:dyDescent="0.3">
      <c r="A4794">
        <v>33.347321371463103</v>
      </c>
      <c r="B4794">
        <v>-98.602743205654903</v>
      </c>
      <c r="C4794" t="s">
        <v>41</v>
      </c>
      <c r="D4794" t="s">
        <v>3041</v>
      </c>
      <c r="F4794" s="21"/>
      <c r="G4794" s="16" t="str">
        <f>HYPERLINK("http://maps.google.com/maps?f=q&amp;hl=en&amp;geocode=&amp;q=33.3473213714631,-98.6027432056549")</f>
        <v>http://maps.google.com/maps?f=q&amp;hl=en&amp;geocode=&amp;q=33.3473213714631,-98.6027432056549</v>
      </c>
    </row>
    <row r="4795" spans="1:7" ht="15" x14ac:dyDescent="0.3">
      <c r="A4795">
        <v>31.010528755372398</v>
      </c>
      <c r="B4795">
        <v>-86.338259611026601</v>
      </c>
      <c r="C4795" t="s">
        <v>41</v>
      </c>
      <c r="D4795" t="s">
        <v>3001</v>
      </c>
      <c r="F4795" s="21"/>
      <c r="G4795" s="16" t="str">
        <f>HYPERLINK("http://maps.google.com/maps?f=q&amp;hl=en&amp;geocode=&amp;q=31.0105287553724,-86.3382596110266")</f>
        <v>http://maps.google.com/maps?f=q&amp;hl=en&amp;geocode=&amp;q=31.0105287553724,-86.3382596110266</v>
      </c>
    </row>
    <row r="4796" spans="1:7" ht="15" x14ac:dyDescent="0.3">
      <c r="A4796">
        <v>39.996250000000003</v>
      </c>
      <c r="B4796">
        <v>-75.172349999999994</v>
      </c>
      <c r="C4796" t="s">
        <v>42</v>
      </c>
      <c r="D4796" t="s">
        <v>3042</v>
      </c>
      <c r="F4796" s="21"/>
      <c r="G4796" s="16" t="str">
        <f>HYPERLINK("http://maps.google.com/maps?f=q&amp;hl=en&amp;geocode=&amp;q=39.99625,-75.17235")</f>
        <v>http://maps.google.com/maps?f=q&amp;hl=en&amp;geocode=&amp;q=39.99625,-75.17235</v>
      </c>
    </row>
    <row r="4797" spans="1:7" ht="15" x14ac:dyDescent="0.3">
      <c r="A4797">
        <v>39.965036790043797</v>
      </c>
      <c r="B4797">
        <v>-75.234225861874407</v>
      </c>
      <c r="C4797" t="s">
        <v>41</v>
      </c>
      <c r="D4797" t="s">
        <v>2594</v>
      </c>
      <c r="F4797" s="21"/>
      <c r="G4797" s="16" t="str">
        <f>HYPERLINK("http://maps.google.com/maps?f=q&amp;hl=en&amp;geocode=&amp;q=39.9650367900438,-75.2342258618744")</f>
        <v>http://maps.google.com/maps?f=q&amp;hl=en&amp;geocode=&amp;q=39.9650367900438,-75.2342258618744</v>
      </c>
    </row>
    <row r="4798" spans="1:7" ht="15" x14ac:dyDescent="0.3">
      <c r="A4798">
        <v>46.407199859619098</v>
      </c>
      <c r="B4798">
        <v>12.024700164794901</v>
      </c>
      <c r="C4798" t="s">
        <v>43</v>
      </c>
      <c r="D4798" t="s">
        <v>3043</v>
      </c>
      <c r="F4798" s="21"/>
      <c r="G4798" s="16" t="str">
        <f>HYPERLINK("http://maps.google.com/maps?f=q&amp;hl=en&amp;geocode=&amp;q=46.4071998596191,12.0247001647949")</f>
        <v>http://maps.google.com/maps?f=q&amp;hl=en&amp;geocode=&amp;q=46.4071998596191,12.0247001647949</v>
      </c>
    </row>
    <row r="4799" spans="1:7" ht="15" x14ac:dyDescent="0.3">
      <c r="A4799">
        <v>42.156185150146499</v>
      </c>
      <c r="B4799">
        <v>-71.566192626953097</v>
      </c>
      <c r="C4799" t="s">
        <v>41</v>
      </c>
      <c r="D4799" t="s">
        <v>3044</v>
      </c>
      <c r="F4799" s="21"/>
      <c r="G4799" s="16" t="str">
        <f>HYPERLINK("http://maps.google.com/maps?f=q&amp;hl=en&amp;geocode=&amp;q=42.1561851501465,-71.5661926269531")</f>
        <v>http://maps.google.com/maps?f=q&amp;hl=en&amp;geocode=&amp;q=42.1561851501465,-71.5661926269531</v>
      </c>
    </row>
    <row r="4800" spans="1:7" ht="15" x14ac:dyDescent="0.3">
      <c r="A4800">
        <v>35.644132448771302</v>
      </c>
      <c r="B4800">
        <v>-101.45130037774599</v>
      </c>
      <c r="C4800" t="s">
        <v>43</v>
      </c>
      <c r="D4800" t="s">
        <v>2158</v>
      </c>
      <c r="F4800" s="21"/>
      <c r="G4800" s="16" t="str">
        <f>HYPERLINK("http://maps.google.com/maps?f=q&amp;hl=en&amp;geocode=&amp;q=35.6441324487713,-101.451300377746")</f>
        <v>http://maps.google.com/maps?f=q&amp;hl=en&amp;geocode=&amp;q=35.6441324487713,-101.451300377746</v>
      </c>
    </row>
    <row r="4801" spans="1:7" ht="15" x14ac:dyDescent="0.3">
      <c r="A4801">
        <v>39.992179999999998</v>
      </c>
      <c r="B4801">
        <v>-75.100999999999999</v>
      </c>
      <c r="C4801" t="s">
        <v>41</v>
      </c>
      <c r="D4801" t="s">
        <v>716</v>
      </c>
      <c r="F4801" s="21"/>
      <c r="G4801" s="16" t="str">
        <f>HYPERLINK("http://maps.google.com/maps?f=q&amp;hl=en&amp;geocode=&amp;q=39.99218,-75.101")</f>
        <v>http://maps.google.com/maps?f=q&amp;hl=en&amp;geocode=&amp;q=39.99218,-75.101</v>
      </c>
    </row>
    <row r="4802" spans="1:7" ht="15" x14ac:dyDescent="0.3">
      <c r="A4802">
        <v>35.644132448771302</v>
      </c>
      <c r="B4802">
        <v>-101.45130037774599</v>
      </c>
      <c r="C4802" t="s">
        <v>43</v>
      </c>
      <c r="D4802" t="s">
        <v>2158</v>
      </c>
      <c r="F4802" s="21"/>
      <c r="G4802" s="16" t="str">
        <f>HYPERLINK("http://maps.google.com/maps?f=q&amp;hl=en&amp;geocode=&amp;q=35.6441324487713,-101.451300377746")</f>
        <v>http://maps.google.com/maps?f=q&amp;hl=en&amp;geocode=&amp;q=35.6441324487713,-101.451300377746</v>
      </c>
    </row>
    <row r="4803" spans="1:7" ht="15" x14ac:dyDescent="0.3">
      <c r="A4803">
        <v>40.016530000000003</v>
      </c>
      <c r="B4803">
        <v>-75.066479999999999</v>
      </c>
      <c r="C4803" t="s">
        <v>41</v>
      </c>
      <c r="D4803" t="s">
        <v>3045</v>
      </c>
      <c r="F4803" s="21"/>
      <c r="G4803" s="16" t="str">
        <f>HYPERLINK("http://maps.google.com/maps?f=q&amp;hl=en&amp;geocode=&amp;q=40.01653,-75.06648")</f>
        <v>http://maps.google.com/maps?f=q&amp;hl=en&amp;geocode=&amp;q=40.01653,-75.06648</v>
      </c>
    </row>
    <row r="4804" spans="1:7" ht="15" x14ac:dyDescent="0.3">
      <c r="A4804" t="s">
        <v>44</v>
      </c>
      <c r="B4804" t="s">
        <v>44</v>
      </c>
      <c r="C4804" t="s">
        <v>44</v>
      </c>
      <c r="D4804" t="s">
        <v>3046</v>
      </c>
      <c r="F4804" s="21"/>
      <c r="G4804" s="16"/>
    </row>
    <row r="4805" spans="1:7" ht="15" x14ac:dyDescent="0.3">
      <c r="A4805">
        <v>49.518180847167997</v>
      </c>
      <c r="B4805">
        <v>5.8978409767150897</v>
      </c>
      <c r="C4805" t="s">
        <v>41</v>
      </c>
      <c r="D4805" t="s">
        <v>2510</v>
      </c>
      <c r="F4805" s="21"/>
      <c r="G4805" s="16" t="str">
        <f>HYPERLINK("http://maps.google.com/maps?f=q&amp;hl=en&amp;geocode=&amp;q=49.518180847168,5.89784097671509")</f>
        <v>http://maps.google.com/maps?f=q&amp;hl=en&amp;geocode=&amp;q=49.518180847168,5.89784097671509</v>
      </c>
    </row>
    <row r="4806" spans="1:7" ht="15" x14ac:dyDescent="0.3">
      <c r="A4806">
        <v>46.462699890136697</v>
      </c>
      <c r="B4806">
        <v>6.3013000488281303</v>
      </c>
      <c r="C4806" t="s">
        <v>41</v>
      </c>
      <c r="D4806" t="s">
        <v>1654</v>
      </c>
      <c r="F4806" s="21"/>
      <c r="G4806" s="16" t="str">
        <f>HYPERLINK("http://maps.google.com/maps?f=q&amp;hl=en&amp;geocode=&amp;q=46.4626998901367,6.30130004882813")</f>
        <v>http://maps.google.com/maps?f=q&amp;hl=en&amp;geocode=&amp;q=46.4626998901367,6.30130004882813</v>
      </c>
    </row>
    <row r="4807" spans="1:7" ht="15" x14ac:dyDescent="0.3">
      <c r="A4807">
        <v>43.293369293212898</v>
      </c>
      <c r="B4807">
        <v>5.3713002204895002</v>
      </c>
      <c r="C4807" t="s">
        <v>43</v>
      </c>
      <c r="D4807" t="s">
        <v>3003</v>
      </c>
      <c r="F4807" s="21"/>
      <c r="G4807" s="16" t="str">
        <f>HYPERLINK("http://maps.google.com/maps?f=q&amp;hl=en&amp;geocode=&amp;q=43.2933692932129,5.3713002204895")</f>
        <v>http://maps.google.com/maps?f=q&amp;hl=en&amp;geocode=&amp;q=43.2933692932129,5.3713002204895</v>
      </c>
    </row>
    <row r="4808" spans="1:7" ht="15" x14ac:dyDescent="0.3">
      <c r="A4808">
        <v>36.02825</v>
      </c>
      <c r="B4808">
        <v>-83.842420000000004</v>
      </c>
      <c r="C4808" t="s">
        <v>41</v>
      </c>
      <c r="D4808" t="s">
        <v>3047</v>
      </c>
      <c r="F4808" s="21"/>
      <c r="G4808" s="16" t="str">
        <f>HYPERLINK("http://maps.google.com/maps?f=q&amp;hl=en&amp;geocode=&amp;q=36.02825,-83.84242")</f>
        <v>http://maps.google.com/maps?f=q&amp;hl=en&amp;geocode=&amp;q=36.02825,-83.84242</v>
      </c>
    </row>
    <row r="4809" spans="1:7" ht="15" x14ac:dyDescent="0.3">
      <c r="A4809">
        <v>43.293369293212898</v>
      </c>
      <c r="B4809">
        <v>5.3713002204895002</v>
      </c>
      <c r="C4809" t="s">
        <v>43</v>
      </c>
      <c r="D4809" t="s">
        <v>3003</v>
      </c>
      <c r="F4809" s="21"/>
      <c r="G4809" s="16" t="str">
        <f>HYPERLINK("http://maps.google.com/maps?f=q&amp;hl=en&amp;geocode=&amp;q=43.2933692932129,5.3713002204895")</f>
        <v>http://maps.google.com/maps?f=q&amp;hl=en&amp;geocode=&amp;q=43.2933692932129,5.3713002204895</v>
      </c>
    </row>
    <row r="4810" spans="1:7" ht="15" x14ac:dyDescent="0.3">
      <c r="A4810">
        <v>39.182571411132798</v>
      </c>
      <c r="B4810">
        <v>-77.270347595214801</v>
      </c>
      <c r="C4810" t="s">
        <v>41</v>
      </c>
      <c r="D4810" t="s">
        <v>3048</v>
      </c>
      <c r="F4810" s="21"/>
      <c r="G4810" s="16" t="str">
        <f>HYPERLINK("http://maps.google.com/maps?f=q&amp;hl=en&amp;geocode=&amp;q=39.1825714111328,-77.2703475952148")</f>
        <v>http://maps.google.com/maps?f=q&amp;hl=en&amp;geocode=&amp;q=39.1825714111328,-77.2703475952148</v>
      </c>
    </row>
    <row r="4811" spans="1:7" ht="15" x14ac:dyDescent="0.3">
      <c r="A4811">
        <v>41.973277813510997</v>
      </c>
      <c r="B4811">
        <v>-104.668690833394</v>
      </c>
      <c r="C4811" t="s">
        <v>41</v>
      </c>
      <c r="D4811" t="s">
        <v>3049</v>
      </c>
      <c r="F4811" s="21"/>
      <c r="G4811" s="16" t="str">
        <f>HYPERLINK("http://maps.google.com/maps?f=q&amp;hl=en&amp;geocode=&amp;q=41.973277813511,-104.668690833394")</f>
        <v>http://maps.google.com/maps?f=q&amp;hl=en&amp;geocode=&amp;q=41.973277813511,-104.668690833394</v>
      </c>
    </row>
    <row r="4812" spans="1:7" ht="15" x14ac:dyDescent="0.3">
      <c r="A4812">
        <v>27.5083565530656</v>
      </c>
      <c r="B4812">
        <v>-99.472994820774801</v>
      </c>
      <c r="C4812" t="s">
        <v>43</v>
      </c>
      <c r="D4812" t="s">
        <v>3050</v>
      </c>
      <c r="F4812" s="21"/>
      <c r="G4812" s="16" t="str">
        <f>HYPERLINK("http://maps.google.com/maps?f=q&amp;hl=en&amp;geocode=&amp;q=27.5083565530656,-99.4729948207748")</f>
        <v>http://maps.google.com/maps?f=q&amp;hl=en&amp;geocode=&amp;q=27.5083565530656,-99.4729948207748</v>
      </c>
    </row>
    <row r="4813" spans="1:7" ht="15" x14ac:dyDescent="0.3">
      <c r="A4813">
        <v>38.973060607910199</v>
      </c>
      <c r="B4813">
        <v>-95.236526489257798</v>
      </c>
      <c r="C4813" t="s">
        <v>43</v>
      </c>
      <c r="D4813" t="s">
        <v>3051</v>
      </c>
      <c r="F4813" s="21"/>
      <c r="G4813" s="16" t="str">
        <f>HYPERLINK("http://maps.google.com/maps?f=q&amp;hl=en&amp;geocode=&amp;q=38.9730606079102,-95.2365264892578")</f>
        <v>http://maps.google.com/maps?f=q&amp;hl=en&amp;geocode=&amp;q=38.9730606079102,-95.2365264892578</v>
      </c>
    </row>
    <row r="4814" spans="1:7" ht="15" x14ac:dyDescent="0.3">
      <c r="A4814" t="s">
        <v>44</v>
      </c>
      <c r="B4814" t="s">
        <v>44</v>
      </c>
      <c r="C4814" t="s">
        <v>44</v>
      </c>
      <c r="D4814" t="s">
        <v>3052</v>
      </c>
      <c r="F4814" s="21"/>
      <c r="G4814" s="16"/>
    </row>
    <row r="4815" spans="1:7" ht="15" x14ac:dyDescent="0.3">
      <c r="A4815">
        <v>31.194691514151099</v>
      </c>
      <c r="B4815">
        <v>-98.739737525647797</v>
      </c>
      <c r="C4815" t="s">
        <v>41</v>
      </c>
      <c r="D4815" t="s">
        <v>2860</v>
      </c>
      <c r="F4815" s="21"/>
      <c r="G4815" s="16" t="str">
        <f>HYPERLINK("http://maps.google.com/maps?f=q&amp;hl=en&amp;geocode=&amp;q=31.1946915141511,-98.7397375256478")</f>
        <v>http://maps.google.com/maps?f=q&amp;hl=en&amp;geocode=&amp;q=31.1946915141511,-98.7397375256478</v>
      </c>
    </row>
    <row r="4816" spans="1:7" ht="15" x14ac:dyDescent="0.3">
      <c r="A4816">
        <v>40.008600000000001</v>
      </c>
      <c r="B4816">
        <v>-75.099540000000005</v>
      </c>
      <c r="C4816" t="s">
        <v>41</v>
      </c>
      <c r="D4816" t="s">
        <v>2820</v>
      </c>
      <c r="F4816" s="21"/>
      <c r="G4816" s="16" t="str">
        <f>HYPERLINK("http://maps.google.com/maps?f=q&amp;hl=en&amp;geocode=&amp;q=40.0086,-75.09954")</f>
        <v>http://maps.google.com/maps?f=q&amp;hl=en&amp;geocode=&amp;q=40.0086,-75.09954</v>
      </c>
    </row>
    <row r="4817" spans="1:7" ht="15" x14ac:dyDescent="0.3">
      <c r="A4817">
        <v>40.048180000000002</v>
      </c>
      <c r="B4817">
        <v>-75.102999999999994</v>
      </c>
      <c r="C4817" t="s">
        <v>41</v>
      </c>
      <c r="D4817" t="s">
        <v>966</v>
      </c>
      <c r="F4817" s="21"/>
      <c r="G4817" s="16" t="str">
        <f>HYPERLINK("http://maps.google.com/maps?f=q&amp;hl=en&amp;geocode=&amp;q=40.04818,-75.103")</f>
        <v>http://maps.google.com/maps?f=q&amp;hl=en&amp;geocode=&amp;q=40.04818,-75.103</v>
      </c>
    </row>
    <row r="4818" spans="1:7" ht="15" x14ac:dyDescent="0.3">
      <c r="A4818">
        <v>48.026901245117202</v>
      </c>
      <c r="B4818">
        <v>3.6677799224853498</v>
      </c>
      <c r="C4818" t="s">
        <v>43</v>
      </c>
      <c r="D4818" t="s">
        <v>3053</v>
      </c>
      <c r="F4818" s="21"/>
      <c r="G4818" s="16" t="str">
        <f>HYPERLINK("http://maps.google.com/maps?f=q&amp;hl=en&amp;geocode=&amp;q=48.0269012451172,3.66777992248535")</f>
        <v>http://maps.google.com/maps?f=q&amp;hl=en&amp;geocode=&amp;q=48.0269012451172,3.66777992248535</v>
      </c>
    </row>
    <row r="4819" spans="1:7" ht="15" x14ac:dyDescent="0.3">
      <c r="A4819">
        <v>40.040700000000001</v>
      </c>
      <c r="B4819">
        <v>-75.122559999999993</v>
      </c>
      <c r="C4819" t="s">
        <v>42</v>
      </c>
      <c r="D4819" t="s">
        <v>3054</v>
      </c>
      <c r="F4819" s="21"/>
      <c r="G4819" s="16" t="str">
        <f>HYPERLINK("http://maps.google.com/maps?f=q&amp;hl=en&amp;geocode=&amp;q=40.0407,-75.12256")</f>
        <v>http://maps.google.com/maps?f=q&amp;hl=en&amp;geocode=&amp;q=40.0407,-75.12256</v>
      </c>
    </row>
    <row r="4820" spans="1:7" ht="15" x14ac:dyDescent="0.3">
      <c r="A4820">
        <v>30.013597252129799</v>
      </c>
      <c r="B4820">
        <v>-90.178112333309699</v>
      </c>
      <c r="C4820" t="s">
        <v>41</v>
      </c>
      <c r="D4820" t="s">
        <v>176</v>
      </c>
      <c r="F4820" s="21"/>
      <c r="G4820" s="16" t="str">
        <f>HYPERLINK("http://maps.google.com/maps?f=q&amp;hl=en&amp;geocode=&amp;q=30.0135972521298,-90.1781123333097")</f>
        <v>http://maps.google.com/maps?f=q&amp;hl=en&amp;geocode=&amp;q=30.0135972521298,-90.1781123333097</v>
      </c>
    </row>
    <row r="4821" spans="1:7" ht="15" x14ac:dyDescent="0.3">
      <c r="A4821" t="s">
        <v>44</v>
      </c>
      <c r="B4821" t="s">
        <v>44</v>
      </c>
      <c r="C4821" t="s">
        <v>44</v>
      </c>
      <c r="D4821" t="s">
        <v>3055</v>
      </c>
      <c r="F4821" s="21"/>
      <c r="G4821" s="16"/>
    </row>
    <row r="4822" spans="1:7" ht="15" x14ac:dyDescent="0.3">
      <c r="A4822">
        <v>46.637279510497997</v>
      </c>
      <c r="B4822">
        <v>2.3382620811462398</v>
      </c>
      <c r="C4822" t="s">
        <v>41</v>
      </c>
      <c r="D4822" t="s">
        <v>3056</v>
      </c>
      <c r="F4822" s="21"/>
      <c r="G4822" s="16" t="str">
        <f>HYPERLINK("http://maps.google.com/maps?f=q&amp;hl=en&amp;geocode=&amp;q=46.637279510498,2.33826208114624")</f>
        <v>http://maps.google.com/maps?f=q&amp;hl=en&amp;geocode=&amp;q=46.637279510498,2.33826208114624</v>
      </c>
    </row>
    <row r="4823" spans="1:7" ht="15" x14ac:dyDescent="0.3">
      <c r="A4823">
        <v>41.043218654933</v>
      </c>
      <c r="B4823">
        <v>-86.598993203051904</v>
      </c>
      <c r="C4823" t="s">
        <v>41</v>
      </c>
      <c r="D4823" t="s">
        <v>912</v>
      </c>
      <c r="F4823" s="21"/>
      <c r="G4823" s="16" t="str">
        <f>HYPERLINK("http://maps.google.com/maps?f=q&amp;hl=en&amp;geocode=&amp;q=41.043218654933,-86.5989932030519")</f>
        <v>http://maps.google.com/maps?f=q&amp;hl=en&amp;geocode=&amp;q=41.043218654933,-86.5989932030519</v>
      </c>
    </row>
    <row r="4824" spans="1:7" ht="15" x14ac:dyDescent="0.3">
      <c r="A4824">
        <v>-38.374275207519503</v>
      </c>
      <c r="B4824">
        <v>177.95028686523401</v>
      </c>
      <c r="C4824" t="s">
        <v>43</v>
      </c>
      <c r="D4824" t="s">
        <v>3057</v>
      </c>
      <c r="F4824" s="21"/>
      <c r="G4824" s="16" t="str">
        <f>HYPERLINK("http://maps.google.com/maps?f=q&amp;hl=en&amp;geocode=&amp;q=-38.3742752075195,177.950286865234")</f>
        <v>http://maps.google.com/maps?f=q&amp;hl=en&amp;geocode=&amp;q=-38.3742752075195,177.950286865234</v>
      </c>
    </row>
    <row r="4825" spans="1:7" ht="15" x14ac:dyDescent="0.3">
      <c r="A4825">
        <v>39.934359999999998</v>
      </c>
      <c r="B4825">
        <v>-75.182630000000003</v>
      </c>
      <c r="C4825" t="s">
        <v>42</v>
      </c>
      <c r="D4825" t="s">
        <v>3058</v>
      </c>
      <c r="F4825" s="21"/>
      <c r="G4825" s="16" t="str">
        <f>HYPERLINK("http://maps.google.com/maps?f=q&amp;hl=en&amp;geocode=&amp;q=39.93436,-75.18263")</f>
        <v>http://maps.google.com/maps?f=q&amp;hl=en&amp;geocode=&amp;q=39.93436,-75.18263</v>
      </c>
    </row>
    <row r="4826" spans="1:7" ht="15" x14ac:dyDescent="0.3">
      <c r="A4826">
        <v>39.218539999999997</v>
      </c>
      <c r="B4826">
        <v>-7.6730900000000002</v>
      </c>
      <c r="C4826" t="s">
        <v>41</v>
      </c>
      <c r="D4826" t="s">
        <v>3059</v>
      </c>
      <c r="F4826" s="21"/>
      <c r="G4826" s="16" t="str">
        <f>HYPERLINK("http://maps.google.com/maps?f=q&amp;hl=en&amp;geocode=&amp;q=39.21854,-7.67309")</f>
        <v>http://maps.google.com/maps?f=q&amp;hl=en&amp;geocode=&amp;q=39.21854,-7.67309</v>
      </c>
    </row>
    <row r="4827" spans="1:7" ht="15" x14ac:dyDescent="0.3">
      <c r="A4827">
        <v>39.997172134354301</v>
      </c>
      <c r="B4827">
        <v>-75.073444248352601</v>
      </c>
      <c r="C4827" t="s">
        <v>41</v>
      </c>
      <c r="D4827" t="s">
        <v>759</v>
      </c>
      <c r="F4827" s="21"/>
      <c r="G4827" s="16" t="str">
        <f>HYPERLINK("http://maps.google.com/maps?f=q&amp;hl=en&amp;geocode=&amp;q=39.9971721343543,-75.0734442483526")</f>
        <v>http://maps.google.com/maps?f=q&amp;hl=en&amp;geocode=&amp;q=39.9971721343543,-75.0734442483526</v>
      </c>
    </row>
    <row r="4828" spans="1:7" ht="15" x14ac:dyDescent="0.3">
      <c r="A4828">
        <v>39.997172134354301</v>
      </c>
      <c r="B4828">
        <v>-75.073444248352601</v>
      </c>
      <c r="C4828" t="s">
        <v>41</v>
      </c>
      <c r="D4828" t="s">
        <v>759</v>
      </c>
      <c r="F4828" s="21"/>
      <c r="G4828" s="16" t="str">
        <f>HYPERLINK("http://maps.google.com/maps?f=q&amp;hl=en&amp;geocode=&amp;q=39.9971721343543,-75.0734442483526")</f>
        <v>http://maps.google.com/maps?f=q&amp;hl=en&amp;geocode=&amp;q=39.9971721343543,-75.0734442483526</v>
      </c>
    </row>
    <row r="4829" spans="1:7" ht="15" x14ac:dyDescent="0.3">
      <c r="A4829">
        <v>40.15596</v>
      </c>
      <c r="B4829">
        <v>-74.911929999999998</v>
      </c>
      <c r="C4829" t="s">
        <v>42</v>
      </c>
      <c r="D4829" t="s">
        <v>3060</v>
      </c>
      <c r="F4829" s="21"/>
      <c r="G4829" s="16" t="str">
        <f>HYPERLINK("http://maps.google.com/maps?f=q&amp;hl=en&amp;geocode=&amp;q=40.15596,-74.91193")</f>
        <v>http://maps.google.com/maps?f=q&amp;hl=en&amp;geocode=&amp;q=40.15596,-74.91193</v>
      </c>
    </row>
    <row r="4830" spans="1:7" ht="15" x14ac:dyDescent="0.3">
      <c r="A4830">
        <v>42.338218688964801</v>
      </c>
      <c r="B4830">
        <v>-112.60504150390599</v>
      </c>
      <c r="C4830" t="s">
        <v>43</v>
      </c>
      <c r="D4830" t="s">
        <v>3061</v>
      </c>
      <c r="F4830" s="21"/>
      <c r="G4830" s="16" t="str">
        <f>HYPERLINK("http://maps.google.com/maps?f=q&amp;hl=en&amp;geocode=&amp;q=42.3382186889648,-112.605041503906")</f>
        <v>http://maps.google.com/maps?f=q&amp;hl=en&amp;geocode=&amp;q=42.3382186889648,-112.605041503906</v>
      </c>
    </row>
    <row r="4831" spans="1:7" ht="15" x14ac:dyDescent="0.3">
      <c r="A4831">
        <v>46.408790588378899</v>
      </c>
      <c r="B4831">
        <v>12.017880439758301</v>
      </c>
      <c r="C4831" t="s">
        <v>41</v>
      </c>
      <c r="D4831" t="s">
        <v>3062</v>
      </c>
      <c r="F4831" s="21"/>
      <c r="G4831" s="16" t="str">
        <f>HYPERLINK("http://maps.google.com/maps?f=q&amp;hl=en&amp;geocode=&amp;q=46.4087905883789,12.0178804397583")</f>
        <v>http://maps.google.com/maps?f=q&amp;hl=en&amp;geocode=&amp;q=46.4087905883789,12.0178804397583</v>
      </c>
    </row>
    <row r="4832" spans="1:7" ht="15" x14ac:dyDescent="0.3">
      <c r="A4832" t="s">
        <v>44</v>
      </c>
      <c r="B4832" t="s">
        <v>44</v>
      </c>
      <c r="C4832" t="s">
        <v>44</v>
      </c>
      <c r="D4832" t="s">
        <v>1004</v>
      </c>
      <c r="F4832" s="21"/>
      <c r="G4832" s="16"/>
    </row>
    <row r="4833" spans="1:7" ht="15" x14ac:dyDescent="0.3">
      <c r="A4833">
        <v>65.812904357910199</v>
      </c>
      <c r="B4833">
        <v>15.527838706970201</v>
      </c>
      <c r="C4833" t="s">
        <v>43</v>
      </c>
      <c r="D4833" t="s">
        <v>3063</v>
      </c>
      <c r="F4833" s="21"/>
      <c r="G4833" s="16" t="str">
        <f>HYPERLINK("http://maps.google.com/maps?f=q&amp;hl=en&amp;geocode=&amp;q=65.8129043579102,15.5278387069702")</f>
        <v>http://maps.google.com/maps?f=q&amp;hl=en&amp;geocode=&amp;q=65.8129043579102,15.5278387069702</v>
      </c>
    </row>
    <row r="4834" spans="1:7" ht="15" x14ac:dyDescent="0.3">
      <c r="A4834">
        <v>40.037979125976598</v>
      </c>
      <c r="B4834">
        <v>-75.223060607910199</v>
      </c>
      <c r="C4834" t="s">
        <v>41</v>
      </c>
      <c r="D4834" t="s">
        <v>132</v>
      </c>
      <c r="F4834" s="21"/>
      <c r="G4834" s="16" t="str">
        <f>HYPERLINK("http://maps.google.com/maps?f=q&amp;hl=en&amp;geocode=&amp;q=40.0379791259766,-75.2230606079102")</f>
        <v>http://maps.google.com/maps?f=q&amp;hl=en&amp;geocode=&amp;q=40.0379791259766,-75.2230606079102</v>
      </c>
    </row>
    <row r="4835" spans="1:7" ht="15" x14ac:dyDescent="0.3">
      <c r="A4835">
        <v>40.008569999999999</v>
      </c>
      <c r="B4835">
        <v>-75.099270000000004</v>
      </c>
      <c r="C4835" t="s">
        <v>43</v>
      </c>
      <c r="D4835" t="s">
        <v>3064</v>
      </c>
      <c r="F4835" s="21"/>
      <c r="G4835" s="16" t="str">
        <f>HYPERLINK("http://maps.google.com/maps?f=q&amp;hl=en&amp;geocode=&amp;q=40.00857,-75.09927")</f>
        <v>http://maps.google.com/maps?f=q&amp;hl=en&amp;geocode=&amp;q=40.00857,-75.09927</v>
      </c>
    </row>
    <row r="4836" spans="1:7" ht="15" x14ac:dyDescent="0.3">
      <c r="A4836">
        <v>39.182571411132798</v>
      </c>
      <c r="B4836">
        <v>-77.270347595214801</v>
      </c>
      <c r="C4836" t="s">
        <v>41</v>
      </c>
      <c r="D4836" t="s">
        <v>3048</v>
      </c>
      <c r="F4836" s="21"/>
      <c r="G4836" s="16" t="str">
        <f>HYPERLINK("http://maps.google.com/maps?f=q&amp;hl=en&amp;geocode=&amp;q=39.1825714111328,-77.2703475952148")</f>
        <v>http://maps.google.com/maps?f=q&amp;hl=en&amp;geocode=&amp;q=39.1825714111328,-77.2703475952148</v>
      </c>
    </row>
    <row r="4837" spans="1:7" ht="15" x14ac:dyDescent="0.3">
      <c r="A4837" t="s">
        <v>44</v>
      </c>
      <c r="B4837" t="s">
        <v>44</v>
      </c>
      <c r="C4837" t="s">
        <v>44</v>
      </c>
      <c r="D4837" t="s">
        <v>3065</v>
      </c>
      <c r="F4837" s="21"/>
      <c r="G4837" s="16"/>
    </row>
    <row r="4838" spans="1:7" ht="15" x14ac:dyDescent="0.3">
      <c r="A4838">
        <v>39.987699999999997</v>
      </c>
      <c r="B4838">
        <v>-75.234809999999996</v>
      </c>
      <c r="C4838" t="s">
        <v>43</v>
      </c>
      <c r="D4838" t="s">
        <v>3066</v>
      </c>
      <c r="F4838" s="21"/>
      <c r="G4838" s="16" t="str">
        <f>HYPERLINK("http://maps.google.com/maps?f=q&amp;hl=en&amp;geocode=&amp;q=39.9877,-75.23481")</f>
        <v>http://maps.google.com/maps?f=q&amp;hl=en&amp;geocode=&amp;q=39.9877,-75.23481</v>
      </c>
    </row>
    <row r="4839" spans="1:7" ht="15" x14ac:dyDescent="0.3">
      <c r="A4839">
        <v>30.804012961443402</v>
      </c>
      <c r="B4839">
        <v>-88.091629070116696</v>
      </c>
      <c r="C4839" t="s">
        <v>41</v>
      </c>
      <c r="D4839" t="s">
        <v>3067</v>
      </c>
      <c r="F4839" s="21"/>
      <c r="G4839" s="16" t="str">
        <f>HYPERLINK("http://maps.google.com/maps?f=q&amp;hl=en&amp;geocode=&amp;q=30.8040129614434,-88.0916290701167")</f>
        <v>http://maps.google.com/maps?f=q&amp;hl=en&amp;geocode=&amp;q=30.8040129614434,-88.0916290701167</v>
      </c>
    </row>
    <row r="4840" spans="1:7" ht="15" x14ac:dyDescent="0.3">
      <c r="A4840">
        <v>39.918550000000003</v>
      </c>
      <c r="B4840">
        <v>-75.228269999999995</v>
      </c>
      <c r="C4840" t="s">
        <v>42</v>
      </c>
      <c r="D4840" t="s">
        <v>3068</v>
      </c>
      <c r="F4840" s="21"/>
      <c r="G4840" s="16" t="str">
        <f>HYPERLINK("http://maps.google.com/maps?f=q&amp;hl=en&amp;geocode=&amp;q=39.91855,-75.22827")</f>
        <v>http://maps.google.com/maps?f=q&amp;hl=en&amp;geocode=&amp;q=39.91855,-75.22827</v>
      </c>
    </row>
    <row r="4841" spans="1:7" ht="15" x14ac:dyDescent="0.3">
      <c r="A4841">
        <v>40.052340000000001</v>
      </c>
      <c r="B4841">
        <v>-75.227590000000006</v>
      </c>
      <c r="C4841" t="s">
        <v>42</v>
      </c>
      <c r="D4841" t="s">
        <v>3069</v>
      </c>
      <c r="F4841" s="21"/>
      <c r="G4841" s="16" t="str">
        <f>HYPERLINK("http://maps.google.com/maps?f=q&amp;hl=en&amp;geocode=&amp;q=40.05234,-75.22759")</f>
        <v>http://maps.google.com/maps?f=q&amp;hl=en&amp;geocode=&amp;q=40.05234,-75.22759</v>
      </c>
    </row>
    <row r="4842" spans="1:7" ht="15" x14ac:dyDescent="0.3">
      <c r="A4842">
        <v>52.496898651122997</v>
      </c>
      <c r="B4842">
        <v>94.913612365722699</v>
      </c>
      <c r="C4842" t="s">
        <v>41</v>
      </c>
      <c r="D4842" t="s">
        <v>3070</v>
      </c>
      <c r="F4842" s="21"/>
      <c r="G4842" s="16" t="str">
        <f>HYPERLINK("http://maps.google.com/maps?f=q&amp;hl=en&amp;geocode=&amp;q=52.496898651123,94.9136123657227")</f>
        <v>http://maps.google.com/maps?f=q&amp;hl=en&amp;geocode=&amp;q=52.496898651123,94.9136123657227</v>
      </c>
    </row>
    <row r="4843" spans="1:7" ht="15" x14ac:dyDescent="0.3">
      <c r="A4843">
        <v>29.276890000000002</v>
      </c>
      <c r="B4843">
        <v>-94.826490000000007</v>
      </c>
      <c r="C4843" t="s">
        <v>43</v>
      </c>
      <c r="D4843" t="s">
        <v>3071</v>
      </c>
      <c r="F4843" s="21"/>
      <c r="G4843" s="16" t="str">
        <f>HYPERLINK("http://maps.google.com/maps?f=q&amp;hl=en&amp;geocode=&amp;q=29.27689,-94.82649")</f>
        <v>http://maps.google.com/maps?f=q&amp;hl=en&amp;geocode=&amp;q=29.27689,-94.82649</v>
      </c>
    </row>
    <row r="4844" spans="1:7" ht="15" x14ac:dyDescent="0.3">
      <c r="A4844" t="s">
        <v>44</v>
      </c>
      <c r="B4844" t="s">
        <v>44</v>
      </c>
      <c r="C4844" t="s">
        <v>44</v>
      </c>
      <c r="D4844" t="s">
        <v>120</v>
      </c>
      <c r="F4844" s="21"/>
      <c r="G4844" s="16"/>
    </row>
    <row r="4845" spans="1:7" ht="15" x14ac:dyDescent="0.3">
      <c r="A4845">
        <v>30.472020000000001</v>
      </c>
      <c r="B4845">
        <v>-82.722030000000004</v>
      </c>
      <c r="C4845" t="s">
        <v>42</v>
      </c>
      <c r="D4845" t="s">
        <v>3072</v>
      </c>
      <c r="F4845" s="21"/>
      <c r="G4845" s="16" t="str">
        <f>HYPERLINK("http://maps.google.com/maps?f=q&amp;hl=en&amp;geocode=&amp;q=30.47202,-82.72203")</f>
        <v>http://maps.google.com/maps?f=q&amp;hl=en&amp;geocode=&amp;q=30.47202,-82.72203</v>
      </c>
    </row>
    <row r="4846" spans="1:7" ht="15" x14ac:dyDescent="0.3">
      <c r="A4846">
        <v>44.292235089906903</v>
      </c>
      <c r="B4846">
        <v>-83.481264255767101</v>
      </c>
      <c r="C4846" t="s">
        <v>41</v>
      </c>
      <c r="D4846" t="s">
        <v>3073</v>
      </c>
      <c r="F4846" s="21"/>
      <c r="G4846" s="16" t="str">
        <f>HYPERLINK("http://maps.google.com/maps?f=q&amp;hl=en&amp;geocode=&amp;q=44.2922350899069,-83.4812642557671")</f>
        <v>http://maps.google.com/maps?f=q&amp;hl=en&amp;geocode=&amp;q=44.2922350899069,-83.4812642557671</v>
      </c>
    </row>
    <row r="4847" spans="1:7" ht="15" x14ac:dyDescent="0.3">
      <c r="A4847">
        <v>39.191025174876103</v>
      </c>
      <c r="B4847">
        <v>-76.740411770236307</v>
      </c>
      <c r="C4847" t="s">
        <v>41</v>
      </c>
      <c r="D4847" t="s">
        <v>3074</v>
      </c>
      <c r="F4847" s="21"/>
      <c r="G4847" s="16" t="str">
        <f>HYPERLINK("http://maps.google.com/maps?f=q&amp;hl=en&amp;geocode=&amp;q=39.1910251748761,-76.7404117702363")</f>
        <v>http://maps.google.com/maps?f=q&amp;hl=en&amp;geocode=&amp;q=39.1910251748761,-76.7404117702363</v>
      </c>
    </row>
    <row r="4848" spans="1:7" ht="15" x14ac:dyDescent="0.3">
      <c r="A4848">
        <v>33.290469999999999</v>
      </c>
      <c r="B4848">
        <v>-112.16907</v>
      </c>
      <c r="C4848" t="s">
        <v>42</v>
      </c>
      <c r="D4848" t="s">
        <v>3075</v>
      </c>
      <c r="F4848" s="21"/>
      <c r="G4848" s="16" t="str">
        <f>HYPERLINK("http://maps.google.com/maps?f=q&amp;hl=en&amp;geocode=&amp;q=33.29047,-112.16907")</f>
        <v>http://maps.google.com/maps?f=q&amp;hl=en&amp;geocode=&amp;q=33.29047,-112.16907</v>
      </c>
    </row>
    <row r="4849" spans="1:7" ht="15" x14ac:dyDescent="0.3">
      <c r="A4849" t="s">
        <v>44</v>
      </c>
      <c r="B4849" t="s">
        <v>44</v>
      </c>
      <c r="C4849" t="s">
        <v>44</v>
      </c>
      <c r="D4849" t="s">
        <v>3076</v>
      </c>
      <c r="F4849" s="21"/>
      <c r="G4849" s="16"/>
    </row>
    <row r="4850" spans="1:7" ht="15" x14ac:dyDescent="0.3">
      <c r="A4850">
        <v>44.773998260497997</v>
      </c>
      <c r="B4850">
        <v>-117.829887390137</v>
      </c>
      <c r="C4850" t="s">
        <v>43</v>
      </c>
      <c r="D4850" t="s">
        <v>2336</v>
      </c>
      <c r="F4850" s="21"/>
      <c r="G4850" s="16" t="str">
        <f>HYPERLINK("http://maps.google.com/maps?f=q&amp;hl=en&amp;geocode=&amp;q=44.773998260498,-117.829887390137")</f>
        <v>http://maps.google.com/maps?f=q&amp;hl=en&amp;geocode=&amp;q=44.773998260498,-117.829887390137</v>
      </c>
    </row>
    <row r="4851" spans="1:7" ht="15" x14ac:dyDescent="0.3">
      <c r="A4851">
        <v>44.938899993896499</v>
      </c>
      <c r="B4851">
        <v>-117.176879882813</v>
      </c>
      <c r="C4851" t="s">
        <v>41</v>
      </c>
      <c r="D4851" t="s">
        <v>341</v>
      </c>
      <c r="F4851" s="21"/>
      <c r="G4851" s="16" t="str">
        <f>HYPERLINK("http://maps.google.com/maps?f=q&amp;hl=en&amp;geocode=&amp;q=44.9388999938965,-117.176879882813")</f>
        <v>http://maps.google.com/maps?f=q&amp;hl=en&amp;geocode=&amp;q=44.9388999938965,-117.176879882813</v>
      </c>
    </row>
    <row r="4852" spans="1:7" ht="15" x14ac:dyDescent="0.3">
      <c r="A4852">
        <v>39.97701</v>
      </c>
      <c r="B4852">
        <v>-75.266869999999997</v>
      </c>
      <c r="C4852" t="s">
        <v>41</v>
      </c>
      <c r="D4852" t="s">
        <v>444</v>
      </c>
      <c r="F4852" s="21"/>
      <c r="G4852" s="16" t="str">
        <f>HYPERLINK("http://maps.google.com/maps?f=q&amp;hl=en&amp;geocode=&amp;q=39.97701,-75.26687")</f>
        <v>http://maps.google.com/maps?f=q&amp;hl=en&amp;geocode=&amp;q=39.97701,-75.26687</v>
      </c>
    </row>
    <row r="4853" spans="1:7" ht="15" x14ac:dyDescent="0.3">
      <c r="A4853">
        <v>40.024738311767599</v>
      </c>
      <c r="B4853">
        <v>-75.213882446289105</v>
      </c>
      <c r="C4853" t="s">
        <v>43</v>
      </c>
      <c r="D4853" t="s">
        <v>3077</v>
      </c>
      <c r="F4853" s="21"/>
      <c r="G4853" s="16" t="str">
        <f>HYPERLINK("http://maps.google.com/maps?f=q&amp;hl=en&amp;geocode=&amp;q=40.0247383117676,-75.2138824462891")</f>
        <v>http://maps.google.com/maps?f=q&amp;hl=en&amp;geocode=&amp;q=40.0247383117676,-75.2138824462891</v>
      </c>
    </row>
    <row r="4854" spans="1:7" ht="15" x14ac:dyDescent="0.3">
      <c r="A4854">
        <v>45.061632979383603</v>
      </c>
      <c r="B4854">
        <v>-83.482909980501404</v>
      </c>
      <c r="C4854" t="s">
        <v>41</v>
      </c>
      <c r="D4854" t="s">
        <v>3078</v>
      </c>
      <c r="F4854" s="21"/>
      <c r="G4854" s="16" t="str">
        <f>HYPERLINK("http://maps.google.com/maps?f=q&amp;hl=en&amp;geocode=&amp;q=45.0616329793836,-83.4829099805014")</f>
        <v>http://maps.google.com/maps?f=q&amp;hl=en&amp;geocode=&amp;q=45.0616329793836,-83.4829099805014</v>
      </c>
    </row>
    <row r="4855" spans="1:7" ht="15" x14ac:dyDescent="0.3">
      <c r="A4855">
        <v>50.587699890136697</v>
      </c>
      <c r="B4855">
        <v>4.32674217224121</v>
      </c>
      <c r="C4855" t="s">
        <v>43</v>
      </c>
      <c r="D4855" t="s">
        <v>2740</v>
      </c>
      <c r="F4855" s="21"/>
      <c r="G4855" s="16" t="str">
        <f>HYPERLINK("http://maps.google.com/maps?f=q&amp;hl=en&amp;geocode=&amp;q=50.5876998901367,4.32674217224121")</f>
        <v>http://maps.google.com/maps?f=q&amp;hl=en&amp;geocode=&amp;q=50.5876998901367,4.32674217224121</v>
      </c>
    </row>
    <row r="4856" spans="1:7" ht="15" x14ac:dyDescent="0.3">
      <c r="A4856">
        <v>50.780136108398402</v>
      </c>
      <c r="B4856">
        <v>4.2288222312927202</v>
      </c>
      <c r="C4856" t="s">
        <v>43</v>
      </c>
      <c r="D4856" t="s">
        <v>337</v>
      </c>
      <c r="F4856" s="21"/>
      <c r="G4856" s="16" t="str">
        <f>HYPERLINK("http://maps.google.com/maps?f=q&amp;hl=en&amp;geocode=&amp;q=50.7801361083984,4.22882223129272")</f>
        <v>http://maps.google.com/maps?f=q&amp;hl=en&amp;geocode=&amp;q=50.7801361083984,4.22882223129272</v>
      </c>
    </row>
    <row r="4857" spans="1:7" ht="15" x14ac:dyDescent="0.3">
      <c r="A4857">
        <v>50.780136108398402</v>
      </c>
      <c r="B4857">
        <v>4.2288222312927202</v>
      </c>
      <c r="C4857" t="s">
        <v>43</v>
      </c>
      <c r="D4857" t="s">
        <v>337</v>
      </c>
      <c r="F4857" s="21"/>
      <c r="G4857" s="16" t="str">
        <f>HYPERLINK("http://maps.google.com/maps?f=q&amp;hl=en&amp;geocode=&amp;q=50.7801361083984,4.22882223129272")</f>
        <v>http://maps.google.com/maps?f=q&amp;hl=en&amp;geocode=&amp;q=50.7801361083984,4.22882223129272</v>
      </c>
    </row>
    <row r="4858" spans="1:7" ht="15" x14ac:dyDescent="0.3">
      <c r="A4858">
        <v>43.528829999999999</v>
      </c>
      <c r="B4858">
        <v>-116.5654</v>
      </c>
      <c r="C4858" t="s">
        <v>42</v>
      </c>
      <c r="D4858" t="s">
        <v>909</v>
      </c>
      <c r="F4858" s="21"/>
      <c r="G4858" s="16" t="str">
        <f>HYPERLINK("http://maps.google.com/maps?f=q&amp;hl=en&amp;geocode=&amp;q=43.52883,-116.5654")</f>
        <v>http://maps.google.com/maps?f=q&amp;hl=en&amp;geocode=&amp;q=43.52883,-116.5654</v>
      </c>
    </row>
    <row r="4859" spans="1:7" ht="15" x14ac:dyDescent="0.3">
      <c r="A4859">
        <v>30.655647624176002</v>
      </c>
      <c r="B4859">
        <v>-98.437537542805899</v>
      </c>
      <c r="C4859" t="s">
        <v>41</v>
      </c>
      <c r="D4859" t="s">
        <v>3079</v>
      </c>
      <c r="F4859" s="21"/>
      <c r="G4859" s="16" t="str">
        <f>HYPERLINK("http://maps.google.com/maps?f=q&amp;hl=en&amp;geocode=&amp;q=30.655647624176,-98.4375375428059")</f>
        <v>http://maps.google.com/maps?f=q&amp;hl=en&amp;geocode=&amp;q=30.655647624176,-98.4375375428059</v>
      </c>
    </row>
    <row r="4860" spans="1:7" ht="15" x14ac:dyDescent="0.3">
      <c r="A4860">
        <v>43.530143623363301</v>
      </c>
      <c r="B4860">
        <v>-116.569240238611</v>
      </c>
      <c r="C4860" t="s">
        <v>43</v>
      </c>
      <c r="D4860" t="s">
        <v>3080</v>
      </c>
      <c r="F4860" s="21"/>
      <c r="G4860" s="16" t="str">
        <f>HYPERLINK("http://maps.google.com/maps?f=q&amp;hl=en&amp;geocode=&amp;q=43.5301436233633,-116.569240238611")</f>
        <v>http://maps.google.com/maps?f=q&amp;hl=en&amp;geocode=&amp;q=43.5301436233633,-116.569240238611</v>
      </c>
    </row>
    <row r="4861" spans="1:7" ht="15" x14ac:dyDescent="0.3">
      <c r="A4861">
        <v>39.974019004158897</v>
      </c>
      <c r="B4861">
        <v>-75.244294457040596</v>
      </c>
      <c r="C4861" t="s">
        <v>41</v>
      </c>
      <c r="D4861" t="s">
        <v>3081</v>
      </c>
      <c r="F4861" s="21"/>
      <c r="G4861" s="16" t="str">
        <f>HYPERLINK("http://maps.google.com/maps?f=q&amp;hl=en&amp;geocode=&amp;q=39.9740190041589,-75.2442944570406")</f>
        <v>http://maps.google.com/maps?f=q&amp;hl=en&amp;geocode=&amp;q=39.9740190041589,-75.2442944570406</v>
      </c>
    </row>
    <row r="4862" spans="1:7" ht="15" x14ac:dyDescent="0.3">
      <c r="A4862">
        <v>54.460319519042997</v>
      </c>
      <c r="B4862">
        <v>-1.0806699991226201</v>
      </c>
      <c r="C4862" t="s">
        <v>43</v>
      </c>
      <c r="D4862" t="s">
        <v>3082</v>
      </c>
      <c r="F4862" s="21"/>
      <c r="G4862" s="16" t="str">
        <f>HYPERLINK("http://maps.google.com/maps?f=q&amp;hl=en&amp;geocode=&amp;q=54.460319519043,-1.08066999912262")</f>
        <v>http://maps.google.com/maps?f=q&amp;hl=en&amp;geocode=&amp;q=54.460319519043,-1.08066999912262</v>
      </c>
    </row>
    <row r="4863" spans="1:7" ht="15" x14ac:dyDescent="0.3">
      <c r="A4863">
        <v>36.937579105392103</v>
      </c>
      <c r="B4863">
        <v>-76.262951272217194</v>
      </c>
      <c r="C4863" t="s">
        <v>41</v>
      </c>
      <c r="D4863" t="s">
        <v>670</v>
      </c>
      <c r="F4863" s="21"/>
      <c r="G4863" s="16" t="str">
        <f>HYPERLINK("http://maps.google.com/maps?f=q&amp;hl=en&amp;geocode=&amp;q=36.9375791053921,-76.2629512722172")</f>
        <v>http://maps.google.com/maps?f=q&amp;hl=en&amp;geocode=&amp;q=36.9375791053921,-76.2629512722172</v>
      </c>
    </row>
    <row r="4864" spans="1:7" ht="15" x14ac:dyDescent="0.3">
      <c r="A4864">
        <v>30.949250702900699</v>
      </c>
      <c r="B4864">
        <v>-83.369139253207905</v>
      </c>
      <c r="C4864" t="s">
        <v>41</v>
      </c>
      <c r="D4864" t="s">
        <v>3083</v>
      </c>
      <c r="F4864" s="21"/>
      <c r="G4864" s="16" t="str">
        <f>HYPERLINK("http://maps.google.com/maps?f=q&amp;hl=en&amp;geocode=&amp;q=30.9492507029007,-83.3691392532079")</f>
        <v>http://maps.google.com/maps?f=q&amp;hl=en&amp;geocode=&amp;q=30.9492507029007,-83.3691392532079</v>
      </c>
    </row>
    <row r="4865" spans="1:7" ht="15" x14ac:dyDescent="0.3">
      <c r="A4865">
        <v>37.016419999999997</v>
      </c>
      <c r="B4865">
        <v>-97.041730000000001</v>
      </c>
      <c r="C4865" t="s">
        <v>42</v>
      </c>
      <c r="D4865" t="s">
        <v>717</v>
      </c>
      <c r="F4865" s="21"/>
      <c r="G4865" s="16" t="str">
        <f>HYPERLINK("http://maps.google.com/maps?f=q&amp;hl=en&amp;geocode=&amp;q=37.01642,-97.04173")</f>
        <v>http://maps.google.com/maps?f=q&amp;hl=en&amp;geocode=&amp;q=37.01642,-97.04173</v>
      </c>
    </row>
    <row r="4866" spans="1:7" ht="15" x14ac:dyDescent="0.3">
      <c r="A4866">
        <v>39.4432563781738</v>
      </c>
      <c r="B4866">
        <v>-98.957336425781307</v>
      </c>
      <c r="C4866" t="s">
        <v>43</v>
      </c>
      <c r="D4866" t="s">
        <v>3084</v>
      </c>
      <c r="F4866" s="21"/>
      <c r="G4866" s="16" t="str">
        <f>HYPERLINK("http://maps.google.com/maps?f=q&amp;hl=en&amp;geocode=&amp;q=39.4432563781738,-98.9573364257813")</f>
        <v>http://maps.google.com/maps?f=q&amp;hl=en&amp;geocode=&amp;q=39.4432563781738,-98.9573364257813</v>
      </c>
    </row>
    <row r="4867" spans="1:7" ht="15" x14ac:dyDescent="0.3">
      <c r="A4867">
        <v>40.027978390979698</v>
      </c>
      <c r="B4867">
        <v>-75.132526361863995</v>
      </c>
      <c r="C4867" t="s">
        <v>41</v>
      </c>
      <c r="D4867" t="s">
        <v>1691</v>
      </c>
      <c r="F4867" s="21"/>
      <c r="G4867" s="16" t="str">
        <f>HYPERLINK("http://maps.google.com/maps?f=q&amp;hl=en&amp;geocode=&amp;q=40.0279783909797,-75.132526361864")</f>
        <v>http://maps.google.com/maps?f=q&amp;hl=en&amp;geocode=&amp;q=40.0279783909797,-75.132526361864</v>
      </c>
    </row>
    <row r="4868" spans="1:7" ht="15" x14ac:dyDescent="0.3">
      <c r="A4868">
        <v>49.518180847167997</v>
      </c>
      <c r="B4868">
        <v>5.8978409767150897</v>
      </c>
      <c r="C4868" t="s">
        <v>41</v>
      </c>
      <c r="D4868" t="s">
        <v>2510</v>
      </c>
      <c r="F4868" s="21"/>
      <c r="G4868" s="16" t="str">
        <f>HYPERLINK("http://maps.google.com/maps?f=q&amp;hl=en&amp;geocode=&amp;q=49.518180847168,5.89784097671509")</f>
        <v>http://maps.google.com/maps?f=q&amp;hl=en&amp;geocode=&amp;q=49.518180847168,5.89784097671509</v>
      </c>
    </row>
    <row r="4869" spans="1:7" ht="15" x14ac:dyDescent="0.3">
      <c r="A4869">
        <v>38.622500000000002</v>
      </c>
      <c r="B4869">
        <v>-112.22042</v>
      </c>
      <c r="C4869" t="s">
        <v>43</v>
      </c>
      <c r="D4869" t="s">
        <v>3085</v>
      </c>
      <c r="F4869" s="21"/>
      <c r="G4869" s="16" t="str">
        <f>HYPERLINK("http://maps.google.com/maps?f=q&amp;hl=en&amp;geocode=&amp;q=38.6225,-112.22042")</f>
        <v>http://maps.google.com/maps?f=q&amp;hl=en&amp;geocode=&amp;q=38.6225,-112.22042</v>
      </c>
    </row>
    <row r="4870" spans="1:7" ht="15" x14ac:dyDescent="0.3">
      <c r="A4870">
        <v>35.480381011962898</v>
      </c>
      <c r="B4870">
        <v>70.357749938964801</v>
      </c>
      <c r="C4870" t="s">
        <v>41</v>
      </c>
      <c r="D4870" t="s">
        <v>3086</v>
      </c>
      <c r="F4870" s="21"/>
      <c r="G4870" s="16" t="str">
        <f>HYPERLINK("http://maps.google.com/maps?f=q&amp;hl=en&amp;geocode=&amp;q=35.4803810119629,70.3577499389648")</f>
        <v>http://maps.google.com/maps?f=q&amp;hl=en&amp;geocode=&amp;q=35.4803810119629,70.3577499389648</v>
      </c>
    </row>
    <row r="4871" spans="1:7" ht="15" x14ac:dyDescent="0.3">
      <c r="A4871">
        <v>39.784770399472002</v>
      </c>
      <c r="B4871">
        <v>-96.482388091857402</v>
      </c>
      <c r="C4871" t="s">
        <v>41</v>
      </c>
      <c r="D4871" t="s">
        <v>3087</v>
      </c>
      <c r="F4871" s="21"/>
      <c r="G4871" s="16" t="str">
        <f>HYPERLINK("http://maps.google.com/maps?f=q&amp;hl=en&amp;geocode=&amp;q=39.784770399472,-96.4823880918574")</f>
        <v>http://maps.google.com/maps?f=q&amp;hl=en&amp;geocode=&amp;q=39.784770399472,-96.4823880918574</v>
      </c>
    </row>
    <row r="4872" spans="1:7" ht="15" x14ac:dyDescent="0.3">
      <c r="A4872">
        <v>38.079658016504901</v>
      </c>
      <c r="B4872">
        <v>-87.827061906153006</v>
      </c>
      <c r="C4872" t="s">
        <v>41</v>
      </c>
      <c r="D4872" t="s">
        <v>3088</v>
      </c>
      <c r="F4872" s="21"/>
      <c r="G4872" s="16" t="str">
        <f>HYPERLINK("http://maps.google.com/maps?f=q&amp;hl=en&amp;geocode=&amp;q=38.0796580165049,-87.827061906153")</f>
        <v>http://maps.google.com/maps?f=q&amp;hl=en&amp;geocode=&amp;q=38.0796580165049,-87.827061906153</v>
      </c>
    </row>
    <row r="4873" spans="1:7" ht="15" x14ac:dyDescent="0.3">
      <c r="A4873">
        <v>45.782908524613298</v>
      </c>
      <c r="B4873">
        <v>-89.103689747069694</v>
      </c>
      <c r="C4873" t="s">
        <v>41</v>
      </c>
      <c r="D4873" t="s">
        <v>736</v>
      </c>
      <c r="F4873" s="21"/>
      <c r="G4873" s="16" t="str">
        <f>HYPERLINK("http://maps.google.com/maps?f=q&amp;hl=en&amp;geocode=&amp;q=45.7829085246133,-89.1036897470697")</f>
        <v>http://maps.google.com/maps?f=q&amp;hl=en&amp;geocode=&amp;q=45.7829085246133,-89.1036897470697</v>
      </c>
    </row>
    <row r="4874" spans="1:7" ht="15" x14ac:dyDescent="0.3">
      <c r="A4874">
        <v>45.781402723110901</v>
      </c>
      <c r="B4874">
        <v>-89.101368688207401</v>
      </c>
      <c r="C4874" t="s">
        <v>41</v>
      </c>
      <c r="D4874" t="s">
        <v>1318</v>
      </c>
      <c r="F4874" s="21"/>
      <c r="G4874" s="16" t="str">
        <f>HYPERLINK("http://maps.google.com/maps?f=q&amp;hl=en&amp;geocode=&amp;q=45.7814027231109,-89.1013686882074")</f>
        <v>http://maps.google.com/maps?f=q&amp;hl=en&amp;geocode=&amp;q=45.7814027231109,-89.1013686882074</v>
      </c>
    </row>
    <row r="4875" spans="1:7" ht="15" x14ac:dyDescent="0.3">
      <c r="A4875">
        <v>50.5290718078613</v>
      </c>
      <c r="B4875">
        <v>4.5616312026977504</v>
      </c>
      <c r="C4875" t="s">
        <v>43</v>
      </c>
      <c r="D4875" t="s">
        <v>3089</v>
      </c>
      <c r="F4875" s="21"/>
      <c r="G4875" s="16" t="str">
        <f>HYPERLINK("http://maps.google.com/maps?f=q&amp;hl=en&amp;geocode=&amp;q=50.5290718078613,4.56163120269775")</f>
        <v>http://maps.google.com/maps?f=q&amp;hl=en&amp;geocode=&amp;q=50.5290718078613,4.56163120269775</v>
      </c>
    </row>
    <row r="4876" spans="1:7" ht="15" x14ac:dyDescent="0.3">
      <c r="A4876">
        <v>40.894489288330099</v>
      </c>
      <c r="B4876">
        <v>-72.892898559570298</v>
      </c>
      <c r="C4876" t="s">
        <v>43</v>
      </c>
      <c r="D4876" t="s">
        <v>3090</v>
      </c>
      <c r="F4876" s="21"/>
      <c r="G4876" s="16" t="str">
        <f>HYPERLINK("http://maps.google.com/maps?f=q&amp;hl=en&amp;geocode=&amp;q=40.8944892883301,-72.8928985595703")</f>
        <v>http://maps.google.com/maps?f=q&amp;hl=en&amp;geocode=&amp;q=40.8944892883301,-72.8928985595703</v>
      </c>
    </row>
    <row r="4877" spans="1:7" ht="15" x14ac:dyDescent="0.3">
      <c r="A4877">
        <v>33.845458984375</v>
      </c>
      <c r="B4877">
        <v>-81.663101196289105</v>
      </c>
      <c r="C4877" t="s">
        <v>41</v>
      </c>
      <c r="D4877" t="s">
        <v>3091</v>
      </c>
      <c r="F4877" s="21"/>
      <c r="G4877" s="16" t="str">
        <f>HYPERLINK("http://maps.google.com/maps?f=q&amp;hl=en&amp;geocode=&amp;q=33.845458984375,-81.6631011962891")</f>
        <v>http://maps.google.com/maps?f=q&amp;hl=en&amp;geocode=&amp;q=33.845458984375,-81.6631011962891</v>
      </c>
    </row>
    <row r="4878" spans="1:7" ht="15" x14ac:dyDescent="0.3">
      <c r="A4878">
        <v>40.008600000000001</v>
      </c>
      <c r="B4878">
        <v>-75.099540000000005</v>
      </c>
      <c r="C4878" t="s">
        <v>41</v>
      </c>
      <c r="D4878" t="s">
        <v>2820</v>
      </c>
      <c r="F4878" s="21"/>
      <c r="G4878" s="16" t="str">
        <f>HYPERLINK("http://maps.google.com/maps?f=q&amp;hl=en&amp;geocode=&amp;q=40.0086,-75.09954")</f>
        <v>http://maps.google.com/maps?f=q&amp;hl=en&amp;geocode=&amp;q=40.0086,-75.09954</v>
      </c>
    </row>
    <row r="4879" spans="1:7" ht="15" x14ac:dyDescent="0.3">
      <c r="A4879">
        <v>43.734566548693998</v>
      </c>
      <c r="B4879">
        <v>-70.607701186894303</v>
      </c>
      <c r="C4879" t="s">
        <v>41</v>
      </c>
      <c r="D4879" t="s">
        <v>3092</v>
      </c>
      <c r="F4879" s="21"/>
      <c r="G4879" s="16" t="str">
        <f>HYPERLINK("http://maps.google.com/maps?f=q&amp;hl=en&amp;geocode=&amp;q=43.734566548694,-70.6077011868943")</f>
        <v>http://maps.google.com/maps?f=q&amp;hl=en&amp;geocode=&amp;q=43.734566548694,-70.6077011868943</v>
      </c>
    </row>
    <row r="4880" spans="1:7" ht="15" x14ac:dyDescent="0.3">
      <c r="A4880">
        <v>39.608460000000001</v>
      </c>
      <c r="B4880">
        <v>-88.994039999999998</v>
      </c>
      <c r="C4880" t="s">
        <v>42</v>
      </c>
      <c r="D4880" t="s">
        <v>3093</v>
      </c>
      <c r="F4880" s="21"/>
      <c r="G4880" s="16" t="str">
        <f>HYPERLINK("http://maps.google.com/maps?f=q&amp;hl=en&amp;geocode=&amp;q=39.60846,-88.99404")</f>
        <v>http://maps.google.com/maps?f=q&amp;hl=en&amp;geocode=&amp;q=39.60846,-88.99404</v>
      </c>
    </row>
    <row r="4881" spans="1:7" ht="15" x14ac:dyDescent="0.3">
      <c r="A4881">
        <v>47.202430725097699</v>
      </c>
      <c r="B4881">
        <v>19.835624694824201</v>
      </c>
      <c r="C4881" t="s">
        <v>43</v>
      </c>
      <c r="D4881" t="s">
        <v>3094</v>
      </c>
      <c r="F4881" s="21"/>
      <c r="G4881" s="16" t="str">
        <f>HYPERLINK("http://maps.google.com/maps?f=q&amp;hl=en&amp;geocode=&amp;q=47.2024307250977,19.8356246948242")</f>
        <v>http://maps.google.com/maps?f=q&amp;hl=en&amp;geocode=&amp;q=47.2024307250977,19.8356246948242</v>
      </c>
    </row>
    <row r="4882" spans="1:7" ht="15" x14ac:dyDescent="0.3">
      <c r="A4882">
        <v>40.008600000000001</v>
      </c>
      <c r="B4882">
        <v>-75.099540000000005</v>
      </c>
      <c r="C4882" t="s">
        <v>41</v>
      </c>
      <c r="D4882" t="s">
        <v>2820</v>
      </c>
      <c r="F4882" s="21"/>
      <c r="G4882" s="16" t="str">
        <f>HYPERLINK("http://maps.google.com/maps?f=q&amp;hl=en&amp;geocode=&amp;q=40.0086,-75.09954")</f>
        <v>http://maps.google.com/maps?f=q&amp;hl=en&amp;geocode=&amp;q=40.0086,-75.09954</v>
      </c>
    </row>
    <row r="4883" spans="1:7" ht="15" x14ac:dyDescent="0.3">
      <c r="A4883">
        <v>40.008600000000001</v>
      </c>
      <c r="B4883">
        <v>-75.099540000000005</v>
      </c>
      <c r="C4883" t="s">
        <v>41</v>
      </c>
      <c r="D4883" t="s">
        <v>2820</v>
      </c>
      <c r="F4883" s="21"/>
      <c r="G4883" s="16" t="str">
        <f>HYPERLINK("http://maps.google.com/maps?f=q&amp;hl=en&amp;geocode=&amp;q=40.0086,-75.09954")</f>
        <v>http://maps.google.com/maps?f=q&amp;hl=en&amp;geocode=&amp;q=40.0086,-75.09954</v>
      </c>
    </row>
    <row r="4884" spans="1:7" ht="15" x14ac:dyDescent="0.3">
      <c r="A4884">
        <v>42.999576568603501</v>
      </c>
      <c r="B4884">
        <v>-107.551513671875</v>
      </c>
      <c r="C4884" t="s">
        <v>41</v>
      </c>
      <c r="D4884" t="s">
        <v>1545</v>
      </c>
      <c r="F4884" s="21"/>
      <c r="G4884" s="16" t="str">
        <f>HYPERLINK("http://maps.google.com/maps?f=q&amp;hl=en&amp;geocode=&amp;q=42.9995765686035,-107.551513671875")</f>
        <v>http://maps.google.com/maps?f=q&amp;hl=en&amp;geocode=&amp;q=42.9995765686035,-107.551513671875</v>
      </c>
    </row>
    <row r="4885" spans="1:7" ht="15" x14ac:dyDescent="0.3">
      <c r="F4885" s="21"/>
      <c r="G4885" s="16"/>
    </row>
    <row r="4886" spans="1:7" ht="15" x14ac:dyDescent="0.3">
      <c r="A4886">
        <v>50.397903442382798</v>
      </c>
      <c r="B4886">
        <v>4.5238752365112296</v>
      </c>
      <c r="C4886" t="s">
        <v>43</v>
      </c>
      <c r="D4886" t="s">
        <v>2535</v>
      </c>
      <c r="F4886" s="21"/>
      <c r="G4886" s="16" t="str">
        <f>HYPERLINK("http://maps.google.com/maps?f=q&amp;hl=en&amp;geocode=&amp;q=50.3979034423828,4.52387523651123")</f>
        <v>http://maps.google.com/maps?f=q&amp;hl=en&amp;geocode=&amp;q=50.3979034423828,4.52387523651123</v>
      </c>
    </row>
    <row r="4887" spans="1:7" ht="15" x14ac:dyDescent="0.3">
      <c r="A4887">
        <v>37.016419999999997</v>
      </c>
      <c r="B4887">
        <v>-97.041730000000001</v>
      </c>
      <c r="C4887" t="s">
        <v>42</v>
      </c>
      <c r="D4887" t="s">
        <v>717</v>
      </c>
      <c r="F4887" s="21"/>
      <c r="G4887" s="16" t="str">
        <f>HYPERLINK("http://maps.google.com/maps?f=q&amp;hl=en&amp;geocode=&amp;q=37.01642,-97.04173")</f>
        <v>http://maps.google.com/maps?f=q&amp;hl=en&amp;geocode=&amp;q=37.01642,-97.04173</v>
      </c>
    </row>
    <row r="4888" spans="1:7" ht="15" x14ac:dyDescent="0.3">
      <c r="A4888">
        <v>33.916831879806502</v>
      </c>
      <c r="B4888">
        <v>-86.032880466444595</v>
      </c>
      <c r="C4888" t="s">
        <v>43</v>
      </c>
      <c r="D4888" t="s">
        <v>3095</v>
      </c>
      <c r="F4888" s="21"/>
      <c r="G4888" s="16" t="str">
        <f>HYPERLINK("http://maps.google.com/maps?f=q&amp;hl=en&amp;geocode=&amp;q=33.9168318798065,-86.0328804664446")</f>
        <v>http://maps.google.com/maps?f=q&amp;hl=en&amp;geocode=&amp;q=33.9168318798065,-86.0328804664446</v>
      </c>
    </row>
    <row r="4889" spans="1:7" ht="15" x14ac:dyDescent="0.3">
      <c r="A4889">
        <v>37.016419999999997</v>
      </c>
      <c r="B4889">
        <v>-97.041730000000001</v>
      </c>
      <c r="C4889" t="s">
        <v>42</v>
      </c>
      <c r="D4889" t="s">
        <v>717</v>
      </c>
      <c r="F4889" s="21"/>
      <c r="G4889" s="16" t="str">
        <f>HYPERLINK("http://maps.google.com/maps?f=q&amp;hl=en&amp;geocode=&amp;q=37.01642,-97.04173")</f>
        <v>http://maps.google.com/maps?f=q&amp;hl=en&amp;geocode=&amp;q=37.01642,-97.04173</v>
      </c>
    </row>
    <row r="4890" spans="1:7" ht="15" x14ac:dyDescent="0.3">
      <c r="A4890">
        <v>33.916831879806502</v>
      </c>
      <c r="B4890">
        <v>-86.032880466444595</v>
      </c>
      <c r="C4890" t="s">
        <v>43</v>
      </c>
      <c r="D4890" t="s">
        <v>3095</v>
      </c>
      <c r="F4890" s="21"/>
      <c r="G4890" s="16" t="str">
        <f>HYPERLINK("http://maps.google.com/maps?f=q&amp;hl=en&amp;geocode=&amp;q=33.9168318798065,-86.0328804664446")</f>
        <v>http://maps.google.com/maps?f=q&amp;hl=en&amp;geocode=&amp;q=33.9168318798065,-86.0328804664446</v>
      </c>
    </row>
    <row r="4891" spans="1:7" ht="15" x14ac:dyDescent="0.3">
      <c r="A4891">
        <v>37.016419999999997</v>
      </c>
      <c r="B4891">
        <v>-97.041730000000001</v>
      </c>
      <c r="C4891" t="s">
        <v>42</v>
      </c>
      <c r="D4891" t="s">
        <v>717</v>
      </c>
      <c r="F4891" s="21"/>
      <c r="G4891" s="16" t="str">
        <f>HYPERLINK("http://maps.google.com/maps?f=q&amp;hl=en&amp;geocode=&amp;q=37.01642,-97.04173")</f>
        <v>http://maps.google.com/maps?f=q&amp;hl=en&amp;geocode=&amp;q=37.01642,-97.04173</v>
      </c>
    </row>
    <row r="4892" spans="1:7" ht="15" x14ac:dyDescent="0.3">
      <c r="A4892">
        <v>33.916831879806502</v>
      </c>
      <c r="B4892">
        <v>-86.032880466444595</v>
      </c>
      <c r="C4892" t="s">
        <v>43</v>
      </c>
      <c r="D4892" t="s">
        <v>3095</v>
      </c>
      <c r="F4892" s="21"/>
      <c r="G4892" s="16" t="str">
        <f>HYPERLINK("http://maps.google.com/maps?f=q&amp;hl=en&amp;geocode=&amp;q=33.9168318798065,-86.0328804664446")</f>
        <v>http://maps.google.com/maps?f=q&amp;hl=en&amp;geocode=&amp;q=33.9168318798065,-86.0328804664446</v>
      </c>
    </row>
    <row r="4893" spans="1:7" ht="15" x14ac:dyDescent="0.3">
      <c r="A4893">
        <v>36.354469999999999</v>
      </c>
      <c r="B4893">
        <v>-82.222139999999996</v>
      </c>
      <c r="C4893" t="s">
        <v>42</v>
      </c>
      <c r="D4893" t="s">
        <v>3096</v>
      </c>
      <c r="F4893" s="21"/>
      <c r="G4893" s="16" t="str">
        <f>HYPERLINK("http://maps.google.com/maps?f=q&amp;hl=en&amp;geocode=&amp;q=36.35447,-82.22214")</f>
        <v>http://maps.google.com/maps?f=q&amp;hl=en&amp;geocode=&amp;q=36.35447,-82.22214</v>
      </c>
    </row>
    <row r="4894" spans="1:7" ht="15" x14ac:dyDescent="0.3">
      <c r="A4894">
        <v>40.121519999999997</v>
      </c>
      <c r="B4894">
        <v>-75.035120000000006</v>
      </c>
      <c r="C4894" t="s">
        <v>41</v>
      </c>
      <c r="D4894" t="s">
        <v>1876</v>
      </c>
      <c r="F4894" s="21"/>
      <c r="G4894" s="16" t="str">
        <f>HYPERLINK("http://maps.google.com/maps?f=q&amp;hl=en&amp;geocode=&amp;q=40.12152,-75.03512")</f>
        <v>http://maps.google.com/maps?f=q&amp;hl=en&amp;geocode=&amp;q=40.12152,-75.03512</v>
      </c>
    </row>
    <row r="4895" spans="1:7" ht="15" x14ac:dyDescent="0.3">
      <c r="A4895">
        <v>-31.763960000000001</v>
      </c>
      <c r="B4895">
        <v>115.78577</v>
      </c>
      <c r="C4895" t="s">
        <v>41</v>
      </c>
      <c r="D4895" t="s">
        <v>3097</v>
      </c>
      <c r="F4895" s="21"/>
      <c r="G4895" s="16" t="str">
        <f>HYPERLINK("http://maps.google.com/maps?f=q&amp;hl=en&amp;geocode=&amp;q=-31.76396,115.78577")</f>
        <v>http://maps.google.com/maps?f=q&amp;hl=en&amp;geocode=&amp;q=-31.76396,115.78577</v>
      </c>
    </row>
    <row r="4896" spans="1:7" ht="15" x14ac:dyDescent="0.3">
      <c r="A4896">
        <v>55.669834136962898</v>
      </c>
      <c r="B4896">
        <v>12.5595083236694</v>
      </c>
      <c r="C4896" t="s">
        <v>41</v>
      </c>
      <c r="D4896" t="s">
        <v>3098</v>
      </c>
      <c r="F4896" s="21"/>
      <c r="G4896" s="16" t="str">
        <f>HYPERLINK("http://maps.google.com/maps?f=q&amp;hl=en&amp;geocode=&amp;q=55.6698341369629,12.5595083236694")</f>
        <v>http://maps.google.com/maps?f=q&amp;hl=en&amp;geocode=&amp;q=55.6698341369629,12.5595083236694</v>
      </c>
    </row>
    <row r="4897" spans="1:7" ht="15" x14ac:dyDescent="0.3">
      <c r="A4897">
        <v>55.669834136962898</v>
      </c>
      <c r="B4897">
        <v>12.5595083236694</v>
      </c>
      <c r="C4897" t="s">
        <v>41</v>
      </c>
      <c r="D4897" t="s">
        <v>3098</v>
      </c>
      <c r="F4897" s="21"/>
      <c r="G4897" s="16" t="str">
        <f>HYPERLINK("http://maps.google.com/maps?f=q&amp;hl=en&amp;geocode=&amp;q=55.6698341369629,12.5595083236694")</f>
        <v>http://maps.google.com/maps?f=q&amp;hl=en&amp;geocode=&amp;q=55.6698341369629,12.5595083236694</v>
      </c>
    </row>
    <row r="4898" spans="1:7" ht="15" x14ac:dyDescent="0.3">
      <c r="A4898">
        <v>55.669834136962898</v>
      </c>
      <c r="B4898">
        <v>12.5595083236694</v>
      </c>
      <c r="C4898" t="s">
        <v>41</v>
      </c>
      <c r="D4898" t="s">
        <v>3098</v>
      </c>
      <c r="F4898" s="21"/>
      <c r="G4898" s="16" t="str">
        <f>HYPERLINK("http://maps.google.com/maps?f=q&amp;hl=en&amp;geocode=&amp;q=55.6698341369629,12.5595083236694")</f>
        <v>http://maps.google.com/maps?f=q&amp;hl=en&amp;geocode=&amp;q=55.6698341369629,12.5595083236694</v>
      </c>
    </row>
    <row r="4899" spans="1:7" ht="15" x14ac:dyDescent="0.3">
      <c r="A4899">
        <v>55.669834136962898</v>
      </c>
      <c r="B4899">
        <v>12.5595083236694</v>
      </c>
      <c r="C4899" t="s">
        <v>41</v>
      </c>
      <c r="D4899" t="s">
        <v>3098</v>
      </c>
      <c r="F4899" s="21"/>
      <c r="G4899" s="16" t="str">
        <f>HYPERLINK("http://maps.google.com/maps?f=q&amp;hl=en&amp;geocode=&amp;q=55.6698341369629,12.5595083236694")</f>
        <v>http://maps.google.com/maps?f=q&amp;hl=en&amp;geocode=&amp;q=55.6698341369629,12.5595083236694</v>
      </c>
    </row>
    <row r="4900" spans="1:7" ht="15" x14ac:dyDescent="0.3">
      <c r="F4900" s="21"/>
      <c r="G4900" s="16"/>
    </row>
    <row r="4901" spans="1:7" ht="15" x14ac:dyDescent="0.3">
      <c r="A4901">
        <v>42.999576568603501</v>
      </c>
      <c r="B4901">
        <v>-107.551513671875</v>
      </c>
      <c r="C4901" t="s">
        <v>41</v>
      </c>
      <c r="D4901" t="s">
        <v>3099</v>
      </c>
      <c r="F4901" s="21"/>
      <c r="G4901" s="16" t="str">
        <f>HYPERLINK("http://maps.google.com/maps?f=q&amp;hl=en&amp;geocode=&amp;q=42.9995765686035,-107.551513671875")</f>
        <v>http://maps.google.com/maps?f=q&amp;hl=en&amp;geocode=&amp;q=42.9995765686035,-107.551513671875</v>
      </c>
    </row>
    <row r="4902" spans="1:7" ht="15" x14ac:dyDescent="0.3">
      <c r="A4902">
        <v>42.999576568603501</v>
      </c>
      <c r="B4902">
        <v>-107.551513671875</v>
      </c>
      <c r="C4902" t="s">
        <v>41</v>
      </c>
      <c r="D4902" t="s">
        <v>1394</v>
      </c>
      <c r="F4902" s="21"/>
      <c r="G4902" s="16" t="str">
        <f>HYPERLINK("http://maps.google.com/maps?f=q&amp;hl=en&amp;geocode=&amp;q=42.9995765686035,-107.551513671875")</f>
        <v>http://maps.google.com/maps?f=q&amp;hl=en&amp;geocode=&amp;q=42.9995765686035,-107.551513671875</v>
      </c>
    </row>
    <row r="4903" spans="1:7" ht="15" x14ac:dyDescent="0.3">
      <c r="A4903">
        <v>35.321916428819399</v>
      </c>
      <c r="B4903">
        <v>-82.6866264349581</v>
      </c>
      <c r="C4903" t="s">
        <v>41</v>
      </c>
      <c r="D4903" t="s">
        <v>3100</v>
      </c>
      <c r="F4903" s="21"/>
      <c r="G4903" s="16" t="str">
        <f>HYPERLINK("http://maps.google.com/maps?f=q&amp;hl=en&amp;geocode=&amp;q=35.3219164288194,-82.6866264349581")</f>
        <v>http://maps.google.com/maps?f=q&amp;hl=en&amp;geocode=&amp;q=35.3219164288194,-82.6866264349581</v>
      </c>
    </row>
    <row r="4904" spans="1:7" ht="15" x14ac:dyDescent="0.3">
      <c r="A4904">
        <v>40.078620000000001</v>
      </c>
      <c r="B4904">
        <v>-75.086420000000004</v>
      </c>
      <c r="C4904" t="s">
        <v>41</v>
      </c>
      <c r="D4904" t="s">
        <v>247</v>
      </c>
      <c r="F4904" s="21"/>
      <c r="G4904" s="16" t="str">
        <f>HYPERLINK("http://maps.google.com/maps?f=q&amp;hl=en&amp;geocode=&amp;q=40.07862,-75.08642")</f>
        <v>http://maps.google.com/maps?f=q&amp;hl=en&amp;geocode=&amp;q=40.07862,-75.08642</v>
      </c>
    </row>
    <row r="4905" spans="1:7" ht="15" x14ac:dyDescent="0.3">
      <c r="A4905">
        <v>38.966431728872401</v>
      </c>
      <c r="B4905">
        <v>-119.76272491845501</v>
      </c>
      <c r="C4905" t="s">
        <v>41</v>
      </c>
      <c r="D4905" t="s">
        <v>3101</v>
      </c>
      <c r="F4905" s="21"/>
      <c r="G4905" s="16" t="str">
        <f>HYPERLINK("http://maps.google.com/maps?f=q&amp;hl=en&amp;geocode=&amp;q=38.9664317288724,-119.762724918455")</f>
        <v>http://maps.google.com/maps?f=q&amp;hl=en&amp;geocode=&amp;q=38.9664317288724,-119.762724918455</v>
      </c>
    </row>
    <row r="4906" spans="1:7" ht="15" x14ac:dyDescent="0.3">
      <c r="A4906">
        <v>39.112609999999997</v>
      </c>
      <c r="B4906">
        <v>-111.70471000000001</v>
      </c>
      <c r="C4906" t="s">
        <v>43</v>
      </c>
      <c r="D4906" t="s">
        <v>3102</v>
      </c>
      <c r="F4906" s="21"/>
      <c r="G4906" s="16" t="str">
        <f>HYPERLINK("http://maps.google.com/maps?f=q&amp;hl=en&amp;geocode=&amp;q=39.11261,-111.70471")</f>
        <v>http://maps.google.com/maps?f=q&amp;hl=en&amp;geocode=&amp;q=39.11261,-111.70471</v>
      </c>
    </row>
    <row r="4907" spans="1:7" ht="15" x14ac:dyDescent="0.3">
      <c r="A4907">
        <v>39.112609999999997</v>
      </c>
      <c r="B4907">
        <v>-111.70471000000001</v>
      </c>
      <c r="C4907" t="s">
        <v>43</v>
      </c>
      <c r="D4907" t="s">
        <v>3102</v>
      </c>
      <c r="F4907" s="21"/>
      <c r="G4907" s="16" t="str">
        <f>HYPERLINK("http://maps.google.com/maps?f=q&amp;hl=en&amp;geocode=&amp;q=39.11261,-111.70471")</f>
        <v>http://maps.google.com/maps?f=q&amp;hl=en&amp;geocode=&amp;q=39.11261,-111.70471</v>
      </c>
    </row>
    <row r="4908" spans="1:7" ht="15" x14ac:dyDescent="0.3">
      <c r="A4908">
        <v>44.901672853588202</v>
      </c>
      <c r="B4908">
        <v>-89.600563482719494</v>
      </c>
      <c r="C4908" t="s">
        <v>41</v>
      </c>
      <c r="D4908" t="s">
        <v>2598</v>
      </c>
      <c r="F4908" s="21"/>
      <c r="G4908" s="16" t="str">
        <f>HYPERLINK("http://maps.google.com/maps?f=q&amp;hl=en&amp;geocode=&amp;q=44.9016728535882,-89.6005634827195")</f>
        <v>http://maps.google.com/maps?f=q&amp;hl=en&amp;geocode=&amp;q=44.9016728535882,-89.6005634827195</v>
      </c>
    </row>
    <row r="4909" spans="1:7" ht="15" x14ac:dyDescent="0.3">
      <c r="A4909">
        <v>58.133331298828097</v>
      </c>
      <c r="B4909">
        <v>-92.849998474121094</v>
      </c>
      <c r="C4909" t="s">
        <v>43</v>
      </c>
      <c r="D4909" t="s">
        <v>3103</v>
      </c>
      <c r="F4909" s="21"/>
      <c r="G4909" s="16" t="str">
        <f>HYPERLINK("http://maps.google.com/maps?f=q&amp;hl=en&amp;geocode=&amp;q=58.1333312988281,-92.8499984741211")</f>
        <v>http://maps.google.com/maps?f=q&amp;hl=en&amp;geocode=&amp;q=58.1333312988281,-92.8499984741211</v>
      </c>
    </row>
    <row r="4910" spans="1:7" ht="15" x14ac:dyDescent="0.3">
      <c r="A4910">
        <v>58.133331298828097</v>
      </c>
      <c r="B4910">
        <v>-92.849998474121094</v>
      </c>
      <c r="C4910" t="s">
        <v>43</v>
      </c>
      <c r="D4910" t="s">
        <v>3103</v>
      </c>
      <c r="F4910" s="21"/>
      <c r="G4910" s="16" t="str">
        <f>HYPERLINK("http://maps.google.com/maps?f=q&amp;hl=en&amp;geocode=&amp;q=58.1333312988281,-92.8499984741211")</f>
        <v>http://maps.google.com/maps?f=q&amp;hl=en&amp;geocode=&amp;q=58.1333312988281,-92.8499984741211</v>
      </c>
    </row>
    <row r="4911" spans="1:7" ht="15" x14ac:dyDescent="0.3">
      <c r="A4911">
        <v>40.361033398637197</v>
      </c>
      <c r="B4911">
        <v>-85.955351150766603</v>
      </c>
      <c r="C4911" t="s">
        <v>41</v>
      </c>
      <c r="D4911" t="s">
        <v>3104</v>
      </c>
      <c r="F4911" s="21"/>
      <c r="G4911" s="16" t="str">
        <f>HYPERLINK("http://maps.google.com/maps?f=q&amp;hl=en&amp;geocode=&amp;q=40.3610333986372,-85.9553511507666")</f>
        <v>http://maps.google.com/maps?f=q&amp;hl=en&amp;geocode=&amp;q=40.3610333986372,-85.9553511507666</v>
      </c>
    </row>
    <row r="4912" spans="1:7" ht="15" x14ac:dyDescent="0.3">
      <c r="A4912">
        <v>58.133331298828097</v>
      </c>
      <c r="B4912">
        <v>-92.849998474121094</v>
      </c>
      <c r="C4912" t="s">
        <v>43</v>
      </c>
      <c r="D4912" t="s">
        <v>3105</v>
      </c>
      <c r="F4912" s="21"/>
      <c r="G4912" s="16" t="str">
        <f>HYPERLINK("http://maps.google.com/maps?f=q&amp;hl=en&amp;geocode=&amp;q=58.1333312988281,-92.8499984741211")</f>
        <v>http://maps.google.com/maps?f=q&amp;hl=en&amp;geocode=&amp;q=58.1333312988281,-92.8499984741211</v>
      </c>
    </row>
    <row r="4913" spans="1:7" ht="15" x14ac:dyDescent="0.3">
      <c r="A4913">
        <v>44.641788482666001</v>
      </c>
      <c r="B4913">
        <v>-89.736740112304702</v>
      </c>
      <c r="C4913" t="s">
        <v>41</v>
      </c>
      <c r="D4913" t="s">
        <v>3106</v>
      </c>
      <c r="F4913" s="21"/>
      <c r="G4913" s="16" t="str">
        <f>HYPERLINK("http://maps.google.com/maps?f=q&amp;hl=en&amp;geocode=&amp;q=44.641788482666,-89.7367401123047")</f>
        <v>http://maps.google.com/maps?f=q&amp;hl=en&amp;geocode=&amp;q=44.641788482666,-89.7367401123047</v>
      </c>
    </row>
    <row r="4914" spans="1:7" ht="15" x14ac:dyDescent="0.3">
      <c r="A4914">
        <v>44.641788482666001</v>
      </c>
      <c r="B4914">
        <v>-89.736740112304702</v>
      </c>
      <c r="C4914" t="s">
        <v>41</v>
      </c>
      <c r="D4914" t="s">
        <v>3106</v>
      </c>
      <c r="F4914" s="21"/>
      <c r="G4914" s="16" t="str">
        <f>HYPERLINK("http://maps.google.com/maps?f=q&amp;hl=en&amp;geocode=&amp;q=44.641788482666,-89.7367401123047")</f>
        <v>http://maps.google.com/maps?f=q&amp;hl=en&amp;geocode=&amp;q=44.641788482666,-89.7367401123047</v>
      </c>
    </row>
    <row r="4915" spans="1:7" ht="15" x14ac:dyDescent="0.3">
      <c r="A4915">
        <v>-33.904598236083999</v>
      </c>
      <c r="B4915">
        <v>151.085037231445</v>
      </c>
      <c r="C4915" t="s">
        <v>41</v>
      </c>
      <c r="D4915" t="s">
        <v>3107</v>
      </c>
      <c r="F4915" s="21"/>
      <c r="G4915" s="16" t="str">
        <f>HYPERLINK("http://maps.google.com/maps?f=q&amp;hl=en&amp;geocode=&amp;q=-33.904598236084,151.085037231445")</f>
        <v>http://maps.google.com/maps?f=q&amp;hl=en&amp;geocode=&amp;q=-33.904598236084,151.085037231445</v>
      </c>
    </row>
    <row r="4916" spans="1:7" ht="15" x14ac:dyDescent="0.3">
      <c r="A4916">
        <v>40.361033398637197</v>
      </c>
      <c r="B4916">
        <v>-85.955351150766603</v>
      </c>
      <c r="C4916" t="s">
        <v>41</v>
      </c>
      <c r="D4916" t="s">
        <v>3104</v>
      </c>
      <c r="F4916" s="21"/>
      <c r="G4916" s="16" t="str">
        <f>HYPERLINK("http://maps.google.com/maps?f=q&amp;hl=en&amp;geocode=&amp;q=40.3610333986372,-85.9553511507666")</f>
        <v>http://maps.google.com/maps?f=q&amp;hl=en&amp;geocode=&amp;q=40.3610333986372,-85.9553511507666</v>
      </c>
    </row>
    <row r="4917" spans="1:7" ht="15" x14ac:dyDescent="0.3">
      <c r="A4917">
        <v>40.361033398637197</v>
      </c>
      <c r="B4917">
        <v>-85.955351150766603</v>
      </c>
      <c r="C4917" t="s">
        <v>41</v>
      </c>
      <c r="D4917" t="s">
        <v>3104</v>
      </c>
      <c r="F4917" s="21"/>
      <c r="G4917" s="16" t="str">
        <f>HYPERLINK("http://maps.google.com/maps?f=q&amp;hl=en&amp;geocode=&amp;q=40.3610333986372,-85.9553511507666")</f>
        <v>http://maps.google.com/maps?f=q&amp;hl=en&amp;geocode=&amp;q=40.3610333986372,-85.9553511507666</v>
      </c>
    </row>
    <row r="4918" spans="1:7" ht="15" x14ac:dyDescent="0.3">
      <c r="A4918">
        <v>40.361033398637197</v>
      </c>
      <c r="B4918">
        <v>-85.955351150766603</v>
      </c>
      <c r="C4918" t="s">
        <v>41</v>
      </c>
      <c r="D4918" t="s">
        <v>3104</v>
      </c>
      <c r="F4918" s="21"/>
      <c r="G4918" s="16" t="str">
        <f>HYPERLINK("http://maps.google.com/maps?f=q&amp;hl=en&amp;geocode=&amp;q=40.3610333986372,-85.9553511507666")</f>
        <v>http://maps.google.com/maps?f=q&amp;hl=en&amp;geocode=&amp;q=40.3610333986372,-85.9553511507666</v>
      </c>
    </row>
    <row r="4919" spans="1:7" ht="15" x14ac:dyDescent="0.3">
      <c r="A4919">
        <v>50.469886779785199</v>
      </c>
      <c r="B4919">
        <v>4.8221931457519496</v>
      </c>
      <c r="C4919" t="s">
        <v>43</v>
      </c>
      <c r="D4919" t="s">
        <v>3108</v>
      </c>
      <c r="F4919" s="21"/>
      <c r="G4919" s="16" t="str">
        <f>HYPERLINK("http://maps.google.com/maps?f=q&amp;hl=en&amp;geocode=&amp;q=50.4698867797852,4.82219314575195")</f>
        <v>http://maps.google.com/maps?f=q&amp;hl=en&amp;geocode=&amp;q=50.4698867797852,4.82219314575195</v>
      </c>
    </row>
    <row r="4920" spans="1:7" ht="15" x14ac:dyDescent="0.3">
      <c r="A4920">
        <v>49.5579833984375</v>
      </c>
      <c r="B4920">
        <v>5.9739217758178702</v>
      </c>
      <c r="C4920" t="s">
        <v>41</v>
      </c>
      <c r="D4920" t="s">
        <v>3109</v>
      </c>
      <c r="F4920" s="21"/>
      <c r="G4920" s="16" t="str">
        <f>HYPERLINK("http://maps.google.com/maps?f=q&amp;hl=en&amp;geocode=&amp;q=49.5579833984375,5.97392177581787")</f>
        <v>http://maps.google.com/maps?f=q&amp;hl=en&amp;geocode=&amp;q=49.5579833984375,5.97392177581787</v>
      </c>
    </row>
    <row r="4921" spans="1:7" ht="15" x14ac:dyDescent="0.3">
      <c r="A4921">
        <v>42.1092478555084</v>
      </c>
      <c r="B4921">
        <v>-92.993059659750699</v>
      </c>
      <c r="C4921" t="s">
        <v>41</v>
      </c>
      <c r="D4921" t="s">
        <v>3110</v>
      </c>
      <c r="F4921" s="21"/>
      <c r="G4921" s="16" t="str">
        <f>HYPERLINK("http://maps.google.com/maps?f=q&amp;hl=en&amp;geocode=&amp;q=42.1092478555084,-92.9930596597507")</f>
        <v>http://maps.google.com/maps?f=q&amp;hl=en&amp;geocode=&amp;q=42.1092478555084,-92.9930596597507</v>
      </c>
    </row>
    <row r="4922" spans="1:7" ht="15" x14ac:dyDescent="0.3">
      <c r="A4922">
        <v>30.013597252129799</v>
      </c>
      <c r="B4922">
        <v>-90.178112333309699</v>
      </c>
      <c r="C4922" t="s">
        <v>41</v>
      </c>
      <c r="D4922" t="s">
        <v>176</v>
      </c>
      <c r="F4922" s="21"/>
      <c r="G4922" s="16" t="str">
        <f>HYPERLINK("http://maps.google.com/maps?f=q&amp;hl=en&amp;geocode=&amp;q=30.0135972521298,-90.1781123333097")</f>
        <v>http://maps.google.com/maps?f=q&amp;hl=en&amp;geocode=&amp;q=30.0135972521298,-90.1781123333097</v>
      </c>
    </row>
    <row r="4923" spans="1:7" ht="15" x14ac:dyDescent="0.3">
      <c r="A4923" t="s">
        <v>44</v>
      </c>
      <c r="B4923" t="s">
        <v>44</v>
      </c>
      <c r="C4923" t="s">
        <v>44</v>
      </c>
      <c r="D4923" t="s">
        <v>3111</v>
      </c>
      <c r="F4923" s="21"/>
      <c r="G4923" s="16"/>
    </row>
    <row r="4924" spans="1:7" ht="15" x14ac:dyDescent="0.3">
      <c r="A4924" t="s">
        <v>44</v>
      </c>
      <c r="B4924" t="s">
        <v>44</v>
      </c>
      <c r="C4924" t="s">
        <v>44</v>
      </c>
      <c r="D4924" t="s">
        <v>3111</v>
      </c>
      <c r="F4924" s="21"/>
      <c r="G4924" s="16"/>
    </row>
    <row r="4925" spans="1:7" ht="15" x14ac:dyDescent="0.3">
      <c r="A4925" t="s">
        <v>44</v>
      </c>
      <c r="B4925" t="s">
        <v>44</v>
      </c>
      <c r="C4925" t="s">
        <v>44</v>
      </c>
      <c r="D4925" t="s">
        <v>3111</v>
      </c>
      <c r="F4925" s="21"/>
      <c r="G4925" s="16"/>
    </row>
    <row r="4926" spans="1:7" ht="15" x14ac:dyDescent="0.3">
      <c r="A4926" t="s">
        <v>44</v>
      </c>
      <c r="B4926" t="s">
        <v>44</v>
      </c>
      <c r="C4926" t="s">
        <v>44</v>
      </c>
      <c r="D4926" t="s">
        <v>3111</v>
      </c>
      <c r="F4926" s="21"/>
      <c r="G4926" s="16"/>
    </row>
    <row r="4927" spans="1:7" ht="15" x14ac:dyDescent="0.3">
      <c r="A4927">
        <v>32.984884283254203</v>
      </c>
      <c r="B4927">
        <v>-96.799823287732707</v>
      </c>
      <c r="C4927" t="s">
        <v>41</v>
      </c>
      <c r="D4927" t="s">
        <v>3112</v>
      </c>
      <c r="F4927" s="21"/>
      <c r="G4927" s="16" t="str">
        <f>HYPERLINK("http://maps.google.com/maps?f=q&amp;hl=en&amp;geocode=&amp;q=32.9848842832542,-96.7998232877327")</f>
        <v>http://maps.google.com/maps?f=q&amp;hl=en&amp;geocode=&amp;q=32.9848842832542,-96.7998232877327</v>
      </c>
    </row>
    <row r="4928" spans="1:7" ht="15" x14ac:dyDescent="0.3">
      <c r="A4928">
        <v>55.25911</v>
      </c>
      <c r="B4928">
        <v>11.59831</v>
      </c>
      <c r="C4928" t="s">
        <v>41</v>
      </c>
      <c r="D4928" t="s">
        <v>2080</v>
      </c>
      <c r="F4928" s="21"/>
      <c r="G4928" s="16" t="str">
        <f>HYPERLINK("http://maps.google.com/maps?f=q&amp;hl=en&amp;geocode=&amp;q=55.25911,11.59831")</f>
        <v>http://maps.google.com/maps?f=q&amp;hl=en&amp;geocode=&amp;q=55.25911,11.59831</v>
      </c>
    </row>
    <row r="4929" spans="1:7" ht="15" x14ac:dyDescent="0.3">
      <c r="A4929">
        <v>55.25911</v>
      </c>
      <c r="B4929">
        <v>11.59831</v>
      </c>
      <c r="C4929" t="s">
        <v>41</v>
      </c>
      <c r="D4929" t="s">
        <v>2080</v>
      </c>
      <c r="F4929" s="21"/>
      <c r="G4929" s="16" t="str">
        <f>HYPERLINK("http://maps.google.com/maps?f=q&amp;hl=en&amp;geocode=&amp;q=55.25911,11.59831")</f>
        <v>http://maps.google.com/maps?f=q&amp;hl=en&amp;geocode=&amp;q=55.25911,11.59831</v>
      </c>
    </row>
    <row r="4930" spans="1:7" ht="15" x14ac:dyDescent="0.3">
      <c r="A4930">
        <v>40.024738311767599</v>
      </c>
      <c r="B4930">
        <v>-75.213882446289105</v>
      </c>
      <c r="C4930" t="s">
        <v>43</v>
      </c>
      <c r="D4930" t="s">
        <v>123</v>
      </c>
      <c r="F4930" s="21"/>
      <c r="G4930" s="16" t="str">
        <f>HYPERLINK("http://maps.google.com/maps?f=q&amp;hl=en&amp;geocode=&amp;q=40.0247383117676,-75.2138824462891")</f>
        <v>http://maps.google.com/maps?f=q&amp;hl=en&amp;geocode=&amp;q=40.0247383117676,-75.2138824462891</v>
      </c>
    </row>
    <row r="4931" spans="1:7" ht="15" x14ac:dyDescent="0.3">
      <c r="A4931">
        <v>-28.342119216918899</v>
      </c>
      <c r="B4931">
        <v>152.00799560546901</v>
      </c>
      <c r="C4931" t="s">
        <v>43</v>
      </c>
      <c r="D4931" t="s">
        <v>3113</v>
      </c>
      <c r="F4931" s="21"/>
      <c r="G4931" s="16" t="str">
        <f>HYPERLINK("http://maps.google.com/maps?f=q&amp;hl=en&amp;geocode=&amp;q=-28.3421192169189,152.007995605469")</f>
        <v>http://maps.google.com/maps?f=q&amp;hl=en&amp;geocode=&amp;q=-28.3421192169189,152.007995605469</v>
      </c>
    </row>
    <row r="4932" spans="1:7" ht="15" x14ac:dyDescent="0.3">
      <c r="A4932">
        <v>44.720348101552901</v>
      </c>
      <c r="B4932">
        <v>-83.424231937819101</v>
      </c>
      <c r="C4932" t="s">
        <v>43</v>
      </c>
      <c r="D4932" t="s">
        <v>3114</v>
      </c>
      <c r="F4932" s="21"/>
      <c r="G4932" s="16" t="str">
        <f>HYPERLINK("http://maps.google.com/maps?f=q&amp;hl=en&amp;geocode=&amp;q=44.7203481015529,-83.4242319378191")</f>
        <v>http://maps.google.com/maps?f=q&amp;hl=en&amp;geocode=&amp;q=44.7203481015529,-83.4242319378191</v>
      </c>
    </row>
    <row r="4933" spans="1:7" ht="15" x14ac:dyDescent="0.3">
      <c r="A4933">
        <v>27.820302795903299</v>
      </c>
      <c r="B4933">
        <v>-81.382550643249701</v>
      </c>
      <c r="C4933" t="s">
        <v>41</v>
      </c>
      <c r="D4933" t="s">
        <v>3115</v>
      </c>
      <c r="F4933" s="21"/>
      <c r="G4933" s="16" t="str">
        <f>HYPERLINK("http://maps.google.com/maps?f=q&amp;hl=en&amp;geocode=&amp;q=27.8203027959033,-81.3825506432497")</f>
        <v>http://maps.google.com/maps?f=q&amp;hl=en&amp;geocode=&amp;q=27.8203027959033,-81.3825506432497</v>
      </c>
    </row>
    <row r="4934" spans="1:7" ht="15" x14ac:dyDescent="0.3">
      <c r="A4934">
        <v>39.912550000000003</v>
      </c>
      <c r="B4934">
        <v>-75.237489999999994</v>
      </c>
      <c r="C4934" t="s">
        <v>41</v>
      </c>
      <c r="D4934" t="s">
        <v>481</v>
      </c>
      <c r="F4934" s="21"/>
      <c r="G4934" s="16" t="str">
        <f>HYPERLINK("http://maps.google.com/maps?f=q&amp;hl=en&amp;geocode=&amp;q=39.91255,-75.23749")</f>
        <v>http://maps.google.com/maps?f=q&amp;hl=en&amp;geocode=&amp;q=39.91255,-75.23749</v>
      </c>
    </row>
    <row r="4935" spans="1:7" ht="15" x14ac:dyDescent="0.3">
      <c r="A4935">
        <v>42.999576568603501</v>
      </c>
      <c r="B4935">
        <v>-107.551513671875</v>
      </c>
      <c r="C4935" t="s">
        <v>41</v>
      </c>
      <c r="D4935" t="s">
        <v>3116</v>
      </c>
      <c r="F4935" s="21"/>
      <c r="G4935" s="16" t="str">
        <f>HYPERLINK("http://maps.google.com/maps?f=q&amp;hl=en&amp;geocode=&amp;q=42.9995765686035,-107.551513671875")</f>
        <v>http://maps.google.com/maps?f=q&amp;hl=en&amp;geocode=&amp;q=42.9995765686035,-107.551513671875</v>
      </c>
    </row>
    <row r="4936" spans="1:7" ht="15" x14ac:dyDescent="0.3">
      <c r="A4936">
        <v>42.999576568603501</v>
      </c>
      <c r="B4936">
        <v>-107.551513671875</v>
      </c>
      <c r="C4936" t="s">
        <v>41</v>
      </c>
      <c r="D4936" t="s">
        <v>3117</v>
      </c>
      <c r="F4936" s="21"/>
      <c r="G4936" s="16" t="str">
        <f>HYPERLINK("http://maps.google.com/maps?f=q&amp;hl=en&amp;geocode=&amp;q=42.9995765686035,-107.551513671875")</f>
        <v>http://maps.google.com/maps?f=q&amp;hl=en&amp;geocode=&amp;q=42.9995765686035,-107.551513671875</v>
      </c>
    </row>
    <row r="4937" spans="1:7" ht="15" x14ac:dyDescent="0.3">
      <c r="A4937">
        <v>40.483699999999999</v>
      </c>
      <c r="B4937">
        <v>-111.92001</v>
      </c>
      <c r="C4937" t="s">
        <v>42</v>
      </c>
      <c r="D4937" t="s">
        <v>3118</v>
      </c>
      <c r="F4937" s="21"/>
      <c r="G4937" s="16" t="str">
        <f>HYPERLINK("http://maps.google.com/maps?f=q&amp;hl=en&amp;geocode=&amp;q=40.4837,-111.92001")</f>
        <v>http://maps.google.com/maps?f=q&amp;hl=en&amp;geocode=&amp;q=40.4837,-111.92001</v>
      </c>
    </row>
    <row r="4938" spans="1:7" ht="15" x14ac:dyDescent="0.3">
      <c r="A4938">
        <v>40.483699999999999</v>
      </c>
      <c r="B4938">
        <v>-111.92001</v>
      </c>
      <c r="C4938" t="s">
        <v>42</v>
      </c>
      <c r="D4938" t="s">
        <v>3118</v>
      </c>
      <c r="F4938" s="21"/>
      <c r="G4938" s="16" t="str">
        <f>HYPERLINK("http://maps.google.com/maps?f=q&amp;hl=en&amp;geocode=&amp;q=40.4837,-111.92001")</f>
        <v>http://maps.google.com/maps?f=q&amp;hl=en&amp;geocode=&amp;q=40.4837,-111.92001</v>
      </c>
    </row>
    <row r="4939" spans="1:7" ht="15" x14ac:dyDescent="0.3">
      <c r="A4939">
        <v>42.999576568603501</v>
      </c>
      <c r="B4939">
        <v>-107.551513671875</v>
      </c>
      <c r="C4939" t="s">
        <v>41</v>
      </c>
      <c r="D4939" t="s">
        <v>3099</v>
      </c>
      <c r="F4939" s="21"/>
      <c r="G4939" s="16" t="str">
        <f>HYPERLINK("http://maps.google.com/maps?f=q&amp;hl=en&amp;geocode=&amp;q=42.9995765686035,-107.551513671875")</f>
        <v>http://maps.google.com/maps?f=q&amp;hl=en&amp;geocode=&amp;q=42.9995765686035,-107.551513671875</v>
      </c>
    </row>
    <row r="4940" spans="1:7" ht="15" x14ac:dyDescent="0.3">
      <c r="A4940">
        <v>42.749110000000002</v>
      </c>
      <c r="B4940">
        <v>-88.954719999999995</v>
      </c>
      <c r="C4940" t="s">
        <v>42</v>
      </c>
      <c r="D4940" t="s">
        <v>3119</v>
      </c>
      <c r="F4940" s="21"/>
      <c r="G4940" s="16" t="str">
        <f>HYPERLINK("http://maps.google.com/maps?f=q&amp;hl=en&amp;geocode=&amp;q=42.74911,-88.95472")</f>
        <v>http://maps.google.com/maps?f=q&amp;hl=en&amp;geocode=&amp;q=42.74911,-88.95472</v>
      </c>
    </row>
    <row r="4941" spans="1:7" ht="15" x14ac:dyDescent="0.3">
      <c r="A4941">
        <v>40.309298149273999</v>
      </c>
      <c r="B4941">
        <v>-78.317587981972693</v>
      </c>
      <c r="C4941" t="s">
        <v>41</v>
      </c>
      <c r="D4941" t="s">
        <v>3120</v>
      </c>
      <c r="F4941" s="21"/>
      <c r="G4941" s="16" t="str">
        <f>HYPERLINK("http://maps.google.com/maps?f=q&amp;hl=en&amp;geocode=&amp;q=40.309298149274,-78.3175879819727")</f>
        <v>http://maps.google.com/maps?f=q&amp;hl=en&amp;geocode=&amp;q=40.309298149274,-78.3175879819727</v>
      </c>
    </row>
    <row r="4942" spans="1:7" ht="15" x14ac:dyDescent="0.3">
      <c r="A4942">
        <v>40.683986882960802</v>
      </c>
      <c r="B4942">
        <v>-89.612512875167795</v>
      </c>
      <c r="C4942" t="s">
        <v>41</v>
      </c>
      <c r="D4942" t="s">
        <v>3121</v>
      </c>
      <c r="F4942" s="21"/>
      <c r="G4942" s="16" t="str">
        <f>HYPERLINK("http://maps.google.com/maps?f=q&amp;hl=en&amp;geocode=&amp;q=40.6839868829608,-89.6125128751678")</f>
        <v>http://maps.google.com/maps?f=q&amp;hl=en&amp;geocode=&amp;q=40.6839868829608,-89.6125128751678</v>
      </c>
    </row>
    <row r="4943" spans="1:7" ht="15" x14ac:dyDescent="0.3">
      <c r="A4943">
        <v>39.902050018310497</v>
      </c>
      <c r="B4943">
        <v>-75.1798095703125</v>
      </c>
      <c r="C4943" t="s">
        <v>41</v>
      </c>
      <c r="D4943" t="s">
        <v>1195</v>
      </c>
      <c r="F4943" s="21"/>
      <c r="G4943" s="16" t="str">
        <f>HYPERLINK("http://maps.google.com/maps?f=q&amp;hl=en&amp;geocode=&amp;q=39.9020500183105,-75.1798095703125")</f>
        <v>http://maps.google.com/maps?f=q&amp;hl=en&amp;geocode=&amp;q=39.9020500183105,-75.1798095703125</v>
      </c>
    </row>
    <row r="4944" spans="1:7" ht="15" x14ac:dyDescent="0.3">
      <c r="A4944">
        <v>39.902050018310497</v>
      </c>
      <c r="B4944">
        <v>-75.1798095703125</v>
      </c>
      <c r="C4944" t="s">
        <v>41</v>
      </c>
      <c r="D4944" t="s">
        <v>1195</v>
      </c>
      <c r="F4944" s="21"/>
      <c r="G4944" s="16" t="str">
        <f>HYPERLINK("http://maps.google.com/maps?f=q&amp;hl=en&amp;geocode=&amp;q=39.9020500183105,-75.1798095703125")</f>
        <v>http://maps.google.com/maps?f=q&amp;hl=en&amp;geocode=&amp;q=39.9020500183105,-75.1798095703125</v>
      </c>
    </row>
    <row r="4945" spans="1:7" ht="15" x14ac:dyDescent="0.3">
      <c r="A4945">
        <v>39.859430000000003</v>
      </c>
      <c r="B4945">
        <v>-86.135959999999997</v>
      </c>
      <c r="C4945" t="s">
        <v>41</v>
      </c>
      <c r="D4945" t="s">
        <v>3122</v>
      </c>
      <c r="F4945" s="21"/>
      <c r="G4945" s="16" t="str">
        <f>HYPERLINK("http://maps.google.com/maps?f=q&amp;hl=en&amp;geocode=&amp;q=39.85943,-86.13596")</f>
        <v>http://maps.google.com/maps?f=q&amp;hl=en&amp;geocode=&amp;q=39.85943,-86.13596</v>
      </c>
    </row>
    <row r="4946" spans="1:7" ht="15" x14ac:dyDescent="0.3">
      <c r="A4946">
        <v>41.578097142143399</v>
      </c>
      <c r="B4946">
        <v>-80.567705928053897</v>
      </c>
      <c r="C4946" t="s">
        <v>41</v>
      </c>
      <c r="D4946" t="s">
        <v>3123</v>
      </c>
      <c r="F4946" s="21"/>
      <c r="G4946" s="16" t="str">
        <f>HYPERLINK("http://maps.google.com/maps?f=q&amp;hl=en&amp;geocode=&amp;q=41.5780971421434,-80.5677059280539")</f>
        <v>http://maps.google.com/maps?f=q&amp;hl=en&amp;geocode=&amp;q=41.5780971421434,-80.5677059280539</v>
      </c>
    </row>
    <row r="4947" spans="1:7" ht="15" x14ac:dyDescent="0.3">
      <c r="A4947">
        <v>42.999576568603501</v>
      </c>
      <c r="B4947">
        <v>-107.551513671875</v>
      </c>
      <c r="C4947" t="s">
        <v>41</v>
      </c>
      <c r="D4947" t="s">
        <v>1394</v>
      </c>
      <c r="F4947" s="21"/>
      <c r="G4947" s="16" t="str">
        <f>HYPERLINK("http://maps.google.com/maps?f=q&amp;hl=en&amp;geocode=&amp;q=42.9995765686035,-107.551513671875")</f>
        <v>http://maps.google.com/maps?f=q&amp;hl=en&amp;geocode=&amp;q=42.9995765686035,-107.551513671875</v>
      </c>
    </row>
    <row r="4948" spans="1:7" ht="15" x14ac:dyDescent="0.3">
      <c r="A4948" t="s">
        <v>44</v>
      </c>
      <c r="B4948" t="s">
        <v>44</v>
      </c>
      <c r="C4948" t="s">
        <v>44</v>
      </c>
      <c r="D4948" t="s">
        <v>3124</v>
      </c>
      <c r="F4948" s="21"/>
      <c r="G4948" s="16"/>
    </row>
    <row r="4949" spans="1:7" ht="15" x14ac:dyDescent="0.3">
      <c r="A4949">
        <v>48.907390594482401</v>
      </c>
      <c r="B4949">
        <v>-121.99587249755901</v>
      </c>
      <c r="C4949" t="s">
        <v>43</v>
      </c>
      <c r="D4949" t="s">
        <v>3125</v>
      </c>
      <c r="F4949" s="21"/>
      <c r="G4949" s="16" t="str">
        <f>HYPERLINK("http://maps.google.com/maps?f=q&amp;hl=en&amp;geocode=&amp;q=48.9073905944824,-121.995872497559")</f>
        <v>http://maps.google.com/maps?f=q&amp;hl=en&amp;geocode=&amp;q=48.9073905944824,-121.995872497559</v>
      </c>
    </row>
    <row r="4950" spans="1:7" ht="15" x14ac:dyDescent="0.3">
      <c r="A4950">
        <v>52.487189999999998</v>
      </c>
      <c r="B4950">
        <v>0.67998999999999998</v>
      </c>
      <c r="C4950" t="s">
        <v>41</v>
      </c>
      <c r="D4950" t="s">
        <v>3126</v>
      </c>
      <c r="F4950" s="21"/>
      <c r="G4950" s="16" t="str">
        <f>HYPERLINK("http://maps.google.com/maps?f=q&amp;hl=en&amp;geocode=&amp;q=52.48719,0.67999")</f>
        <v>http://maps.google.com/maps?f=q&amp;hl=en&amp;geocode=&amp;q=52.48719,0.67999</v>
      </c>
    </row>
    <row r="4951" spans="1:7" ht="15" x14ac:dyDescent="0.3">
      <c r="A4951">
        <v>39.040599822997997</v>
      </c>
      <c r="B4951">
        <v>-120.63067626953099</v>
      </c>
      <c r="C4951" t="s">
        <v>43</v>
      </c>
      <c r="D4951" t="s">
        <v>3011</v>
      </c>
      <c r="F4951" s="21"/>
      <c r="G4951" s="16" t="str">
        <f>HYPERLINK("http://maps.google.com/maps?f=q&amp;hl=en&amp;geocode=&amp;q=39.040599822998,-120.630676269531")</f>
        <v>http://maps.google.com/maps?f=q&amp;hl=en&amp;geocode=&amp;q=39.040599822998,-120.630676269531</v>
      </c>
    </row>
    <row r="4952" spans="1:7" ht="15" x14ac:dyDescent="0.3">
      <c r="A4952" t="s">
        <v>44</v>
      </c>
      <c r="B4952" t="s">
        <v>44</v>
      </c>
      <c r="C4952" t="s">
        <v>44</v>
      </c>
      <c r="D4952" t="s">
        <v>3127</v>
      </c>
      <c r="F4952" s="21"/>
      <c r="G4952" s="16"/>
    </row>
    <row r="4953" spans="1:7" ht="15" x14ac:dyDescent="0.3">
      <c r="A4953">
        <v>32.993589999999998</v>
      </c>
      <c r="B4953">
        <v>-82.813860000000005</v>
      </c>
      <c r="C4953" t="s">
        <v>42</v>
      </c>
      <c r="D4953" t="s">
        <v>1601</v>
      </c>
      <c r="F4953" s="21"/>
      <c r="G4953" s="16" t="str">
        <f>HYPERLINK("http://maps.google.com/maps?f=q&amp;hl=en&amp;geocode=&amp;q=32.99359,-82.81386")</f>
        <v>http://maps.google.com/maps?f=q&amp;hl=en&amp;geocode=&amp;q=32.99359,-82.81386</v>
      </c>
    </row>
    <row r="4954" spans="1:7" ht="15" x14ac:dyDescent="0.3">
      <c r="A4954">
        <v>54.841087341308601</v>
      </c>
      <c r="B4954">
        <v>11.161624908447299</v>
      </c>
      <c r="C4954" t="s">
        <v>41</v>
      </c>
      <c r="D4954" t="s">
        <v>545</v>
      </c>
      <c r="F4954" s="21"/>
      <c r="G4954" s="16" t="str">
        <f>HYPERLINK("http://maps.google.com/maps?f=q&amp;hl=en&amp;geocode=&amp;q=54.8410873413086,11.1616249084473")</f>
        <v>http://maps.google.com/maps?f=q&amp;hl=en&amp;geocode=&amp;q=54.8410873413086,11.1616249084473</v>
      </c>
    </row>
    <row r="4955" spans="1:7" ht="15" x14ac:dyDescent="0.3">
      <c r="A4955">
        <v>36.037570000000002</v>
      </c>
      <c r="B4955">
        <v>-83.829800000000006</v>
      </c>
      <c r="C4955" t="s">
        <v>41</v>
      </c>
      <c r="D4955" t="s">
        <v>3128</v>
      </c>
      <c r="F4955" s="21"/>
      <c r="G4955" s="16" t="str">
        <f>HYPERLINK("http://maps.google.com/maps?f=q&amp;hl=en&amp;geocode=&amp;q=36.03757,-83.8298")</f>
        <v>http://maps.google.com/maps?f=q&amp;hl=en&amp;geocode=&amp;q=36.03757,-83.8298</v>
      </c>
    </row>
    <row r="4956" spans="1:7" ht="15" x14ac:dyDescent="0.3">
      <c r="A4956" t="s">
        <v>44</v>
      </c>
      <c r="B4956" t="s">
        <v>44</v>
      </c>
      <c r="C4956" t="s">
        <v>44</v>
      </c>
      <c r="D4956" t="s">
        <v>235</v>
      </c>
      <c r="F4956" s="21"/>
      <c r="G4956" s="16"/>
    </row>
    <row r="4957" spans="1:7" ht="15" x14ac:dyDescent="0.3">
      <c r="A4957" t="s">
        <v>44</v>
      </c>
      <c r="B4957" t="s">
        <v>44</v>
      </c>
      <c r="C4957" t="s">
        <v>44</v>
      </c>
      <c r="D4957" t="s">
        <v>235</v>
      </c>
      <c r="F4957" s="21"/>
      <c r="G4957" s="16"/>
    </row>
    <row r="4958" spans="1:7" ht="15" x14ac:dyDescent="0.3">
      <c r="A4958">
        <v>-35.394449999999999</v>
      </c>
      <c r="B4958">
        <v>138.46156999999999</v>
      </c>
      <c r="C4958" t="s">
        <v>41</v>
      </c>
      <c r="D4958" t="s">
        <v>2912</v>
      </c>
      <c r="F4958" s="21"/>
      <c r="G4958" s="16" t="str">
        <f>HYPERLINK("http://maps.google.com/maps?f=q&amp;hl=en&amp;geocode=&amp;q=-35.39445,138.46157")</f>
        <v>http://maps.google.com/maps?f=q&amp;hl=en&amp;geocode=&amp;q=-35.39445,138.46157</v>
      </c>
    </row>
    <row r="4959" spans="1:7" ht="15" x14ac:dyDescent="0.3">
      <c r="A4959">
        <v>38.060215999999997</v>
      </c>
      <c r="B4959">
        <v>-78.872361999999995</v>
      </c>
      <c r="C4959" t="s">
        <v>41</v>
      </c>
      <c r="D4959" t="s">
        <v>2209</v>
      </c>
      <c r="F4959" s="21"/>
      <c r="G4959" s="16" t="str">
        <f>HYPERLINK("http://maps.google.com/maps?f=q&amp;hl=en&amp;geocode=&amp;q=38.060216,-78.872362")</f>
        <v>http://maps.google.com/maps?f=q&amp;hl=en&amp;geocode=&amp;q=38.060216,-78.872362</v>
      </c>
    </row>
    <row r="4960" spans="1:7" ht="15" x14ac:dyDescent="0.3">
      <c r="A4960">
        <v>39.403060000000004</v>
      </c>
      <c r="B4960">
        <v>-83.982119999999995</v>
      </c>
      <c r="C4960" t="s">
        <v>43</v>
      </c>
      <c r="D4960" t="s">
        <v>3129</v>
      </c>
      <c r="F4960" s="21"/>
      <c r="G4960" s="16" t="str">
        <f>HYPERLINK("http://maps.google.com/maps?f=q&amp;hl=en&amp;geocode=&amp;q=39.40306,-83.98212")</f>
        <v>http://maps.google.com/maps?f=q&amp;hl=en&amp;geocode=&amp;q=39.40306,-83.98212</v>
      </c>
    </row>
    <row r="4961" spans="1:7" ht="15" x14ac:dyDescent="0.3">
      <c r="A4961">
        <v>35.188310000000001</v>
      </c>
      <c r="B4961">
        <v>-89.852800000000002</v>
      </c>
      <c r="C4961" t="s">
        <v>41</v>
      </c>
      <c r="D4961" t="s">
        <v>3130</v>
      </c>
      <c r="F4961" s="21"/>
      <c r="G4961" s="16" t="str">
        <f>HYPERLINK("http://maps.google.com/maps?f=q&amp;hl=en&amp;geocode=&amp;q=35.18831,-89.8528")</f>
        <v>http://maps.google.com/maps?f=q&amp;hl=en&amp;geocode=&amp;q=35.18831,-89.8528</v>
      </c>
    </row>
    <row r="4962" spans="1:7" ht="15" x14ac:dyDescent="0.3">
      <c r="A4962">
        <v>32.993589999999998</v>
      </c>
      <c r="B4962">
        <v>-82.813860000000005</v>
      </c>
      <c r="C4962" t="s">
        <v>42</v>
      </c>
      <c r="D4962" t="s">
        <v>1601</v>
      </c>
      <c r="F4962" s="21"/>
      <c r="G4962" s="16" t="str">
        <f>HYPERLINK("http://maps.google.com/maps?f=q&amp;hl=en&amp;geocode=&amp;q=32.99359,-82.81386")</f>
        <v>http://maps.google.com/maps?f=q&amp;hl=en&amp;geocode=&amp;q=32.99359,-82.81386</v>
      </c>
    </row>
    <row r="4963" spans="1:7" ht="15" x14ac:dyDescent="0.3">
      <c r="A4963">
        <v>42.849998474121101</v>
      </c>
      <c r="B4963">
        <v>-7.0833330154418901</v>
      </c>
      <c r="C4963" t="s">
        <v>43</v>
      </c>
      <c r="D4963" t="s">
        <v>3131</v>
      </c>
      <c r="F4963" s="21"/>
      <c r="G4963" s="16" t="str">
        <f>HYPERLINK("http://maps.google.com/maps?f=q&amp;hl=en&amp;geocode=&amp;q=42.8499984741211,-7.08333301544189")</f>
        <v>http://maps.google.com/maps?f=q&amp;hl=en&amp;geocode=&amp;q=42.8499984741211,-7.08333301544189</v>
      </c>
    </row>
    <row r="4964" spans="1:7" ht="15" x14ac:dyDescent="0.3">
      <c r="A4964" t="s">
        <v>44</v>
      </c>
      <c r="B4964" t="s">
        <v>44</v>
      </c>
      <c r="C4964" t="s">
        <v>44</v>
      </c>
      <c r="D4964" t="s">
        <v>3132</v>
      </c>
      <c r="F4964" s="21"/>
      <c r="G4964" s="16"/>
    </row>
    <row r="4965" spans="1:7" ht="15" x14ac:dyDescent="0.3">
      <c r="A4965">
        <v>27.617035529926302</v>
      </c>
      <c r="B4965">
        <v>-80.480054571136705</v>
      </c>
      <c r="C4965" t="s">
        <v>41</v>
      </c>
      <c r="D4965" t="s">
        <v>3133</v>
      </c>
      <c r="F4965" s="21"/>
      <c r="G4965" s="16" t="str">
        <f>HYPERLINK("http://maps.google.com/maps?f=q&amp;hl=en&amp;geocode=&amp;q=27.6170355299263,-80.4800545711367")</f>
        <v>http://maps.google.com/maps?f=q&amp;hl=en&amp;geocode=&amp;q=27.6170355299263,-80.4800545711367</v>
      </c>
    </row>
    <row r="4966" spans="1:7" ht="15" x14ac:dyDescent="0.3">
      <c r="A4966">
        <v>30.5177097320557</v>
      </c>
      <c r="B4966">
        <v>74.654113769531307</v>
      </c>
      <c r="C4966" t="s">
        <v>43</v>
      </c>
      <c r="D4966" t="s">
        <v>3134</v>
      </c>
      <c r="F4966" s="21"/>
      <c r="G4966" s="16" t="str">
        <f>HYPERLINK("http://maps.google.com/maps?f=q&amp;hl=en&amp;geocode=&amp;q=30.5177097320557,74.6541137695313")</f>
        <v>http://maps.google.com/maps?f=q&amp;hl=en&amp;geocode=&amp;q=30.5177097320557,74.6541137695313</v>
      </c>
    </row>
    <row r="4967" spans="1:7" ht="15" x14ac:dyDescent="0.3">
      <c r="A4967">
        <v>37.016419999999997</v>
      </c>
      <c r="B4967">
        <v>-97.041730000000001</v>
      </c>
      <c r="C4967" t="s">
        <v>42</v>
      </c>
      <c r="D4967" t="s">
        <v>717</v>
      </c>
      <c r="F4967" s="21"/>
      <c r="G4967" s="16" t="str">
        <f>HYPERLINK("http://maps.google.com/maps?f=q&amp;hl=en&amp;geocode=&amp;q=37.01642,-97.04173")</f>
        <v>http://maps.google.com/maps?f=q&amp;hl=en&amp;geocode=&amp;q=37.01642,-97.04173</v>
      </c>
    </row>
    <row r="4968" spans="1:7" ht="15" x14ac:dyDescent="0.3">
      <c r="A4968">
        <v>40.035719999999998</v>
      </c>
      <c r="B4968">
        <v>-75.070629999999994</v>
      </c>
      <c r="C4968" t="s">
        <v>41</v>
      </c>
      <c r="D4968" t="s">
        <v>760</v>
      </c>
      <c r="F4968" s="21"/>
      <c r="G4968" s="16" t="str">
        <f>HYPERLINK("http://maps.google.com/maps?f=q&amp;hl=en&amp;geocode=&amp;q=40.03572,-75.07063")</f>
        <v>http://maps.google.com/maps?f=q&amp;hl=en&amp;geocode=&amp;q=40.03572,-75.07063</v>
      </c>
    </row>
    <row r="4969" spans="1:7" ht="15" x14ac:dyDescent="0.3">
      <c r="A4969">
        <v>37.016419999999997</v>
      </c>
      <c r="B4969">
        <v>-97.041730000000001</v>
      </c>
      <c r="C4969" t="s">
        <v>42</v>
      </c>
      <c r="D4969" t="s">
        <v>717</v>
      </c>
      <c r="F4969" s="21"/>
      <c r="G4969" s="16" t="str">
        <f>HYPERLINK("http://maps.google.com/maps?f=q&amp;hl=en&amp;geocode=&amp;q=37.01642,-97.04173")</f>
        <v>http://maps.google.com/maps?f=q&amp;hl=en&amp;geocode=&amp;q=37.01642,-97.04173</v>
      </c>
    </row>
    <row r="4970" spans="1:7" ht="15" x14ac:dyDescent="0.3">
      <c r="A4970">
        <v>38.980808258056598</v>
      </c>
      <c r="B4970">
        <v>-88.318092346191406</v>
      </c>
      <c r="C4970" t="s">
        <v>43</v>
      </c>
      <c r="D4970" t="s">
        <v>3135</v>
      </c>
      <c r="F4970" s="21"/>
      <c r="G4970" s="16" t="str">
        <f>HYPERLINK("http://maps.google.com/maps?f=q&amp;hl=en&amp;geocode=&amp;q=38.9808082580566,-88.3180923461914")</f>
        <v>http://maps.google.com/maps?f=q&amp;hl=en&amp;geocode=&amp;q=38.9808082580566,-88.3180923461914</v>
      </c>
    </row>
    <row r="4971" spans="1:7" ht="15" x14ac:dyDescent="0.3">
      <c r="A4971">
        <v>47.128330230712898</v>
      </c>
      <c r="B4971">
        <v>4.2197799682617196</v>
      </c>
      <c r="C4971" t="s">
        <v>41</v>
      </c>
      <c r="D4971" t="s">
        <v>804</v>
      </c>
      <c r="F4971" s="21"/>
      <c r="G4971" s="16" t="str">
        <f>HYPERLINK("http://maps.google.com/maps?f=q&amp;hl=en&amp;geocode=&amp;q=47.1283302307129,4.21977996826172")</f>
        <v>http://maps.google.com/maps?f=q&amp;hl=en&amp;geocode=&amp;q=47.1283302307129,4.21977996826172</v>
      </c>
    </row>
    <row r="4972" spans="1:7" ht="15" x14ac:dyDescent="0.3">
      <c r="A4972">
        <v>42.822775595264297</v>
      </c>
      <c r="B4972">
        <v>-74.475350031150896</v>
      </c>
      <c r="C4972" t="s">
        <v>41</v>
      </c>
      <c r="D4972" t="s">
        <v>3136</v>
      </c>
      <c r="F4972" s="21"/>
      <c r="G4972" s="16" t="str">
        <f>HYPERLINK("http://maps.google.com/maps?f=q&amp;hl=en&amp;geocode=&amp;q=42.8227755952643,-74.4753500311509")</f>
        <v>http://maps.google.com/maps?f=q&amp;hl=en&amp;geocode=&amp;q=42.8227755952643,-74.4753500311509</v>
      </c>
    </row>
    <row r="4973" spans="1:7" ht="15" x14ac:dyDescent="0.3">
      <c r="A4973">
        <v>42.338218688964801</v>
      </c>
      <c r="B4973">
        <v>-112.60504150390599</v>
      </c>
      <c r="C4973" t="s">
        <v>43</v>
      </c>
      <c r="D4973" t="s">
        <v>3137</v>
      </c>
      <c r="F4973" s="21"/>
      <c r="G4973" s="16" t="str">
        <f>HYPERLINK("http://maps.google.com/maps?f=q&amp;hl=en&amp;geocode=&amp;q=42.3382186889648,-112.605041503906")</f>
        <v>http://maps.google.com/maps?f=q&amp;hl=en&amp;geocode=&amp;q=42.3382186889648,-112.605041503906</v>
      </c>
    </row>
    <row r="4974" spans="1:7" ht="15" x14ac:dyDescent="0.3">
      <c r="A4974">
        <v>42.338218688964801</v>
      </c>
      <c r="B4974">
        <v>-112.60504150390599</v>
      </c>
      <c r="C4974" t="s">
        <v>43</v>
      </c>
      <c r="D4974" t="s">
        <v>3137</v>
      </c>
      <c r="F4974" s="21"/>
      <c r="G4974" s="16" t="str">
        <f>HYPERLINK("http://maps.google.com/maps?f=q&amp;hl=en&amp;geocode=&amp;q=42.3382186889648,-112.605041503906")</f>
        <v>http://maps.google.com/maps?f=q&amp;hl=en&amp;geocode=&amp;q=42.3382186889648,-112.605041503906</v>
      </c>
    </row>
    <row r="4975" spans="1:7" ht="15" x14ac:dyDescent="0.3">
      <c r="A4975">
        <v>39.987630000000003</v>
      </c>
      <c r="B4975">
        <v>-75.10754</v>
      </c>
      <c r="C4975" t="s">
        <v>41</v>
      </c>
      <c r="D4975" t="s">
        <v>3138</v>
      </c>
      <c r="F4975" s="21"/>
      <c r="G4975" s="16" t="str">
        <f>HYPERLINK("http://maps.google.com/maps?f=q&amp;hl=en&amp;geocode=&amp;q=39.98763,-75.10754")</f>
        <v>http://maps.google.com/maps?f=q&amp;hl=en&amp;geocode=&amp;q=39.98763,-75.10754</v>
      </c>
    </row>
    <row r="4976" spans="1:7" ht="15" x14ac:dyDescent="0.3">
      <c r="A4976">
        <v>34.322341566581898</v>
      </c>
      <c r="B4976">
        <v>-97.134083146636698</v>
      </c>
      <c r="C4976" t="s">
        <v>41</v>
      </c>
      <c r="D4976" t="s">
        <v>3139</v>
      </c>
      <c r="F4976" s="21"/>
      <c r="G4976" s="16" t="str">
        <f>HYPERLINK("http://maps.google.com/maps?f=q&amp;hl=en&amp;geocode=&amp;q=34.3223415665819,-97.1340831466367")</f>
        <v>http://maps.google.com/maps?f=q&amp;hl=en&amp;geocode=&amp;q=34.3223415665819,-97.1340831466367</v>
      </c>
    </row>
    <row r="4977" spans="1:7" ht="15" x14ac:dyDescent="0.3">
      <c r="A4977">
        <v>-32.7033500671387</v>
      </c>
      <c r="B4977">
        <v>137.70617675781301</v>
      </c>
      <c r="C4977" t="s">
        <v>41</v>
      </c>
      <c r="D4977" t="s">
        <v>2204</v>
      </c>
      <c r="F4977" s="21"/>
      <c r="G4977" s="16" t="str">
        <f>HYPERLINK("http://maps.google.com/maps?f=q&amp;hl=en&amp;geocode=&amp;q=-32.7033500671387,137.706176757813")</f>
        <v>http://maps.google.com/maps?f=q&amp;hl=en&amp;geocode=&amp;q=-32.7033500671387,137.706176757813</v>
      </c>
    </row>
    <row r="4978" spans="1:7" ht="15" x14ac:dyDescent="0.3">
      <c r="A4978">
        <v>41.0205079434417</v>
      </c>
      <c r="B4978">
        <v>-81.355774468817899</v>
      </c>
      <c r="C4978" t="s">
        <v>41</v>
      </c>
      <c r="D4978" t="s">
        <v>2320</v>
      </c>
      <c r="F4978" s="21"/>
      <c r="G4978" s="16" t="str">
        <f>HYPERLINK("http://maps.google.com/maps?f=q&amp;hl=en&amp;geocode=&amp;q=41.0205079434417,-81.3557744688179")</f>
        <v>http://maps.google.com/maps?f=q&amp;hl=en&amp;geocode=&amp;q=41.0205079434417,-81.3557744688179</v>
      </c>
    </row>
    <row r="4979" spans="1:7" ht="15" x14ac:dyDescent="0.3">
      <c r="A4979">
        <v>46.976370000000003</v>
      </c>
      <c r="B4979">
        <v>7.45669</v>
      </c>
      <c r="C4979" t="s">
        <v>41</v>
      </c>
      <c r="D4979" t="s">
        <v>3140</v>
      </c>
      <c r="F4979" s="21"/>
      <c r="G4979" s="16" t="str">
        <f>HYPERLINK("http://maps.google.com/maps?f=q&amp;hl=en&amp;geocode=&amp;q=46.97637,7.45669")</f>
        <v>http://maps.google.com/maps?f=q&amp;hl=en&amp;geocode=&amp;q=46.97637,7.45669</v>
      </c>
    </row>
    <row r="4980" spans="1:7" ht="15" x14ac:dyDescent="0.3">
      <c r="F4980" s="21"/>
      <c r="G4980" s="16"/>
    </row>
    <row r="4981" spans="1:7" ht="15" x14ac:dyDescent="0.3">
      <c r="A4981">
        <v>43.228266719486598</v>
      </c>
      <c r="B4981">
        <v>-92.774121032359801</v>
      </c>
      <c r="C4981" t="s">
        <v>41</v>
      </c>
      <c r="D4981" t="s">
        <v>3141</v>
      </c>
      <c r="F4981" s="21"/>
      <c r="G4981" s="16" t="str">
        <f>HYPERLINK("http://maps.google.com/maps?f=q&amp;hl=en&amp;geocode=&amp;q=43.2282667194866,-92.7741210323598")</f>
        <v>http://maps.google.com/maps?f=q&amp;hl=en&amp;geocode=&amp;q=43.2282667194866,-92.7741210323598</v>
      </c>
    </row>
    <row r="4982" spans="1:7" ht="15" x14ac:dyDescent="0.3">
      <c r="A4982" t="s">
        <v>44</v>
      </c>
      <c r="B4982" t="s">
        <v>44</v>
      </c>
      <c r="C4982" t="s">
        <v>44</v>
      </c>
      <c r="D4982" t="s">
        <v>3142</v>
      </c>
      <c r="F4982" s="21"/>
      <c r="G4982" s="16"/>
    </row>
    <row r="4983" spans="1:7" ht="15" x14ac:dyDescent="0.3">
      <c r="A4983">
        <v>30.520505209270301</v>
      </c>
      <c r="B4983">
        <v>-85.957755193812204</v>
      </c>
      <c r="C4983" t="s">
        <v>41</v>
      </c>
      <c r="D4983" t="s">
        <v>2560</v>
      </c>
      <c r="F4983" s="21"/>
      <c r="G4983" s="16" t="str">
        <f>HYPERLINK("http://maps.google.com/maps?f=q&amp;hl=en&amp;geocode=&amp;q=30.5205052092703,-85.9577551938122")</f>
        <v>http://maps.google.com/maps?f=q&amp;hl=en&amp;geocode=&amp;q=30.5205052092703,-85.9577551938122</v>
      </c>
    </row>
    <row r="4984" spans="1:7" ht="15" x14ac:dyDescent="0.3">
      <c r="A4984">
        <v>30.520505209270301</v>
      </c>
      <c r="B4984">
        <v>-85.957755193812204</v>
      </c>
      <c r="C4984" t="s">
        <v>41</v>
      </c>
      <c r="D4984" t="s">
        <v>2560</v>
      </c>
      <c r="F4984" s="21"/>
      <c r="G4984" s="16" t="str">
        <f>HYPERLINK("http://maps.google.com/maps?f=q&amp;hl=en&amp;geocode=&amp;q=30.5205052092703,-85.9577551938122")</f>
        <v>http://maps.google.com/maps?f=q&amp;hl=en&amp;geocode=&amp;q=30.5205052092703,-85.9577551938122</v>
      </c>
    </row>
    <row r="4985" spans="1:7" ht="15" x14ac:dyDescent="0.3">
      <c r="A4985">
        <v>30.520505209270301</v>
      </c>
      <c r="B4985">
        <v>-85.957755193812204</v>
      </c>
      <c r="C4985" t="s">
        <v>41</v>
      </c>
      <c r="D4985" t="s">
        <v>2560</v>
      </c>
      <c r="F4985" s="21"/>
      <c r="G4985" s="16" t="str">
        <f>HYPERLINK("http://maps.google.com/maps?f=q&amp;hl=en&amp;geocode=&amp;q=30.5205052092703,-85.9577551938122")</f>
        <v>http://maps.google.com/maps?f=q&amp;hl=en&amp;geocode=&amp;q=30.5205052092703,-85.9577551938122</v>
      </c>
    </row>
    <row r="4986" spans="1:7" ht="15" x14ac:dyDescent="0.3">
      <c r="A4986">
        <v>30.520505209270301</v>
      </c>
      <c r="B4986">
        <v>-85.957755193812204</v>
      </c>
      <c r="C4986" t="s">
        <v>41</v>
      </c>
      <c r="D4986" t="s">
        <v>2560</v>
      </c>
      <c r="F4986" s="21"/>
      <c r="G4986" s="16" t="str">
        <f>HYPERLINK("http://maps.google.com/maps?f=q&amp;hl=en&amp;geocode=&amp;q=30.5205052092703,-85.9577551938122")</f>
        <v>http://maps.google.com/maps?f=q&amp;hl=en&amp;geocode=&amp;q=30.5205052092703,-85.9577551938122</v>
      </c>
    </row>
    <row r="4987" spans="1:7" ht="15" x14ac:dyDescent="0.3">
      <c r="A4987">
        <v>30.520505209270301</v>
      </c>
      <c r="B4987">
        <v>-85.957755193812204</v>
      </c>
      <c r="C4987" t="s">
        <v>41</v>
      </c>
      <c r="D4987" t="s">
        <v>2560</v>
      </c>
      <c r="F4987" s="21"/>
      <c r="G4987" s="16" t="str">
        <f>HYPERLINK("http://maps.google.com/maps?f=q&amp;hl=en&amp;geocode=&amp;q=30.5205052092703,-85.9577551938122")</f>
        <v>http://maps.google.com/maps?f=q&amp;hl=en&amp;geocode=&amp;q=30.5205052092703,-85.9577551938122</v>
      </c>
    </row>
    <row r="4988" spans="1:7" ht="15" x14ac:dyDescent="0.3">
      <c r="A4988">
        <v>30.520505209270301</v>
      </c>
      <c r="B4988">
        <v>-85.957755193812204</v>
      </c>
      <c r="C4988" t="s">
        <v>41</v>
      </c>
      <c r="D4988" t="s">
        <v>2560</v>
      </c>
      <c r="F4988" s="21"/>
      <c r="G4988" s="16" t="str">
        <f>HYPERLINK("http://maps.google.com/maps?f=q&amp;hl=en&amp;geocode=&amp;q=30.5205052092703,-85.9577551938122")</f>
        <v>http://maps.google.com/maps?f=q&amp;hl=en&amp;geocode=&amp;q=30.5205052092703,-85.9577551938122</v>
      </c>
    </row>
    <row r="4989" spans="1:7" ht="15" x14ac:dyDescent="0.3">
      <c r="A4989">
        <v>31.356929999999998</v>
      </c>
      <c r="B4989">
        <v>-89.800349999999995</v>
      </c>
      <c r="C4989" t="s">
        <v>43</v>
      </c>
      <c r="D4989" t="s">
        <v>3143</v>
      </c>
      <c r="F4989" s="21"/>
      <c r="G4989" s="16" t="str">
        <f>HYPERLINK("http://maps.google.com/maps?f=q&amp;hl=en&amp;geocode=&amp;q=31.35693,-89.80035")</f>
        <v>http://maps.google.com/maps?f=q&amp;hl=en&amp;geocode=&amp;q=31.35693,-89.80035</v>
      </c>
    </row>
    <row r="4990" spans="1:7" ht="15" x14ac:dyDescent="0.3">
      <c r="A4990">
        <v>42.4435</v>
      </c>
      <c r="B4990">
        <v>-85.700490000000002</v>
      </c>
      <c r="C4990" t="s">
        <v>42</v>
      </c>
      <c r="D4990" t="s">
        <v>2397</v>
      </c>
      <c r="F4990" s="21"/>
      <c r="G4990" s="16" t="str">
        <f>HYPERLINK("http://maps.google.com/maps?f=q&amp;hl=en&amp;geocode=&amp;q=42.4435,-85.70049")</f>
        <v>http://maps.google.com/maps?f=q&amp;hl=en&amp;geocode=&amp;q=42.4435,-85.70049</v>
      </c>
    </row>
    <row r="4991" spans="1:7" ht="15" x14ac:dyDescent="0.3">
      <c r="A4991">
        <v>32.384909999999998</v>
      </c>
      <c r="B4991">
        <v>-86.193430000000006</v>
      </c>
      <c r="C4991" t="s">
        <v>42</v>
      </c>
      <c r="D4991" t="s">
        <v>1351</v>
      </c>
      <c r="F4991" s="21"/>
      <c r="G4991" s="16" t="str">
        <f>HYPERLINK("http://maps.google.com/maps?f=q&amp;hl=en&amp;geocode=&amp;q=32.38491,-86.19343")</f>
        <v>http://maps.google.com/maps?f=q&amp;hl=en&amp;geocode=&amp;q=32.38491,-86.19343</v>
      </c>
    </row>
    <row r="4992" spans="1:7" ht="15" x14ac:dyDescent="0.3">
      <c r="F4992" s="21"/>
      <c r="G4992" s="16"/>
    </row>
    <row r="4993" spans="1:7" ht="15" x14ac:dyDescent="0.3">
      <c r="A4993">
        <v>31.356929999999998</v>
      </c>
      <c r="B4993">
        <v>-89.800349999999995</v>
      </c>
      <c r="C4993" t="s">
        <v>43</v>
      </c>
      <c r="D4993" t="s">
        <v>3143</v>
      </c>
      <c r="F4993" s="21"/>
      <c r="G4993" s="16" t="str">
        <f>HYPERLINK("http://maps.google.com/maps?f=q&amp;hl=en&amp;geocode=&amp;q=31.35693,-89.80035")</f>
        <v>http://maps.google.com/maps?f=q&amp;hl=en&amp;geocode=&amp;q=31.35693,-89.80035</v>
      </c>
    </row>
    <row r="4994" spans="1:7" ht="15" x14ac:dyDescent="0.3">
      <c r="A4994">
        <v>32.384909999999998</v>
      </c>
      <c r="B4994">
        <v>-86.193430000000006</v>
      </c>
      <c r="C4994" t="s">
        <v>42</v>
      </c>
      <c r="D4994" t="s">
        <v>1351</v>
      </c>
      <c r="F4994" s="21"/>
      <c r="G4994" s="16" t="str">
        <f>HYPERLINK("http://maps.google.com/maps?f=q&amp;hl=en&amp;geocode=&amp;q=32.38491,-86.19343")</f>
        <v>http://maps.google.com/maps?f=q&amp;hl=en&amp;geocode=&amp;q=32.38491,-86.19343</v>
      </c>
    </row>
    <row r="4995" spans="1:7" ht="15" x14ac:dyDescent="0.3">
      <c r="A4995">
        <v>46.466749622867198</v>
      </c>
      <c r="B4995">
        <v>-91.749819844398203</v>
      </c>
      <c r="C4995" t="s">
        <v>41</v>
      </c>
      <c r="D4995" t="s">
        <v>2924</v>
      </c>
      <c r="F4995" s="21"/>
      <c r="G4995" s="16" t="str">
        <f>HYPERLINK("http://maps.google.com/maps?f=q&amp;hl=en&amp;geocode=&amp;q=46.4667496228672,-91.7498198443982")</f>
        <v>http://maps.google.com/maps?f=q&amp;hl=en&amp;geocode=&amp;q=46.4667496228672,-91.7498198443982</v>
      </c>
    </row>
    <row r="4996" spans="1:7" ht="15" x14ac:dyDescent="0.3">
      <c r="A4996">
        <v>46.408790588378899</v>
      </c>
      <c r="B4996">
        <v>12.017880439758301</v>
      </c>
      <c r="C4996" t="s">
        <v>41</v>
      </c>
      <c r="D4996" t="s">
        <v>3144</v>
      </c>
      <c r="F4996" s="21"/>
      <c r="G4996" s="16" t="str">
        <f>HYPERLINK("http://maps.google.com/maps?f=q&amp;hl=en&amp;geocode=&amp;q=46.4087905883789,12.0178804397583")</f>
        <v>http://maps.google.com/maps?f=q&amp;hl=en&amp;geocode=&amp;q=46.4087905883789,12.0178804397583</v>
      </c>
    </row>
    <row r="4997" spans="1:7" ht="15" x14ac:dyDescent="0.3">
      <c r="A4997">
        <v>45.478029900000003</v>
      </c>
      <c r="B4997">
        <v>12.201930000000001</v>
      </c>
      <c r="C4997" t="s">
        <v>41</v>
      </c>
      <c r="D4997" t="s">
        <v>3144</v>
      </c>
      <c r="F4997" s="21"/>
      <c r="G4997" s="16" t="str">
        <f>HYPERLINK("http://maps.google.com/maps?f=q&amp;hl=en&amp;geocode=&amp;q=45.4780299,12.20193")</f>
        <v>http://maps.google.com/maps?f=q&amp;hl=en&amp;geocode=&amp;q=45.4780299,12.20193</v>
      </c>
    </row>
    <row r="4998" spans="1:7" ht="15" x14ac:dyDescent="0.3">
      <c r="A4998">
        <v>-33.520576477050803</v>
      </c>
      <c r="B4998">
        <v>136.90426635742199</v>
      </c>
      <c r="C4998" t="s">
        <v>41</v>
      </c>
      <c r="D4998" t="s">
        <v>3145</v>
      </c>
      <c r="F4998" s="21"/>
      <c r="G4998" s="16" t="str">
        <f>HYPERLINK("http://maps.google.com/maps?f=q&amp;hl=en&amp;geocode=&amp;q=-33.5205764770508,136.904266357422")</f>
        <v>http://maps.google.com/maps?f=q&amp;hl=en&amp;geocode=&amp;q=-33.5205764770508,136.904266357422</v>
      </c>
    </row>
    <row r="4999" spans="1:7" ht="15" x14ac:dyDescent="0.3">
      <c r="A4999">
        <v>49.533977508544901</v>
      </c>
      <c r="B4999">
        <v>6.0161638259887704</v>
      </c>
      <c r="C4999" t="s">
        <v>41</v>
      </c>
      <c r="D4999" t="s">
        <v>262</v>
      </c>
      <c r="F4999" s="21"/>
      <c r="G4999" s="16" t="str">
        <f>HYPERLINK("http://maps.google.com/maps?f=q&amp;hl=en&amp;geocode=&amp;q=49.5339775085449,6.01616382598877")</f>
        <v>http://maps.google.com/maps?f=q&amp;hl=en&amp;geocode=&amp;q=49.5339775085449,6.01616382598877</v>
      </c>
    </row>
    <row r="5000" spans="1:7" ht="15" x14ac:dyDescent="0.3">
      <c r="A5000">
        <v>42.951878438351002</v>
      </c>
      <c r="B5000">
        <v>-83.402641075572703</v>
      </c>
      <c r="C5000" t="s">
        <v>41</v>
      </c>
      <c r="D5000" t="s">
        <v>2175</v>
      </c>
      <c r="F5000" s="21"/>
      <c r="G5000" s="16" t="str">
        <f>HYPERLINK("http://maps.google.com/maps?f=q&amp;hl=en&amp;geocode=&amp;q=42.951878438351,-83.4026410755727")</f>
        <v>http://maps.google.com/maps?f=q&amp;hl=en&amp;geocode=&amp;q=42.951878438351,-83.4026410755727</v>
      </c>
    </row>
    <row r="5001" spans="1:7" ht="15" x14ac:dyDescent="0.3">
      <c r="A5001">
        <v>-27.669080000000001</v>
      </c>
      <c r="B5001">
        <v>152.92021</v>
      </c>
      <c r="C5001" t="s">
        <v>41</v>
      </c>
      <c r="D5001" t="s">
        <v>694</v>
      </c>
      <c r="F5001" s="21"/>
      <c r="G5001" s="16" t="str">
        <f>HYPERLINK("http://maps.google.com/maps?f=q&amp;hl=en&amp;geocode=&amp;q=-27.66908,152.92021")</f>
        <v>http://maps.google.com/maps?f=q&amp;hl=en&amp;geocode=&amp;q=-27.66908,152.92021</v>
      </c>
    </row>
    <row r="5002" spans="1:7" ht="15" x14ac:dyDescent="0.3">
      <c r="A5002">
        <v>42.659824371337898</v>
      </c>
      <c r="B5002">
        <v>23.607048034668001</v>
      </c>
      <c r="C5002" t="s">
        <v>43</v>
      </c>
      <c r="D5002" t="s">
        <v>3146</v>
      </c>
      <c r="F5002" s="21"/>
      <c r="G5002" s="16" t="str">
        <f>HYPERLINK("http://maps.google.com/maps?f=q&amp;hl=en&amp;geocode=&amp;q=42.6598243713379,23.607048034668")</f>
        <v>http://maps.google.com/maps?f=q&amp;hl=en&amp;geocode=&amp;q=42.6598243713379,23.607048034668</v>
      </c>
    </row>
    <row r="5003" spans="1:7" ht="15" x14ac:dyDescent="0.3">
      <c r="A5003">
        <v>30.521024100005199</v>
      </c>
      <c r="B5003">
        <v>-84.4320904593108</v>
      </c>
      <c r="C5003" t="s">
        <v>41</v>
      </c>
      <c r="D5003" t="s">
        <v>3147</v>
      </c>
      <c r="F5003" s="21"/>
      <c r="G5003" s="16" t="str">
        <f>HYPERLINK("http://maps.google.com/maps?f=q&amp;hl=en&amp;geocode=&amp;q=30.5210241000052,-84.4320904593108")</f>
        <v>http://maps.google.com/maps?f=q&amp;hl=en&amp;geocode=&amp;q=30.5210241000052,-84.4320904593108</v>
      </c>
    </row>
    <row r="5004" spans="1:7" ht="15" x14ac:dyDescent="0.3">
      <c r="A5004">
        <v>35.644151533729001</v>
      </c>
      <c r="B5004">
        <v>-101.451423614281</v>
      </c>
      <c r="C5004" t="s">
        <v>41</v>
      </c>
      <c r="D5004" t="s">
        <v>3148</v>
      </c>
      <c r="F5004" s="21"/>
      <c r="G5004" s="16" t="str">
        <f>HYPERLINK("http://maps.google.com/maps?f=q&amp;hl=en&amp;geocode=&amp;q=35.644151533729,-101.451423614281")</f>
        <v>http://maps.google.com/maps?f=q&amp;hl=en&amp;geocode=&amp;q=35.644151533729,-101.451423614281</v>
      </c>
    </row>
    <row r="5005" spans="1:7" ht="15" x14ac:dyDescent="0.3">
      <c r="A5005">
        <v>35.644151533729001</v>
      </c>
      <c r="B5005">
        <v>-101.451423614281</v>
      </c>
      <c r="C5005" t="s">
        <v>41</v>
      </c>
      <c r="D5005" t="s">
        <v>3148</v>
      </c>
      <c r="F5005" s="21"/>
      <c r="G5005" s="16" t="str">
        <f>HYPERLINK("http://maps.google.com/maps?f=q&amp;hl=en&amp;geocode=&amp;q=35.644151533729,-101.451423614281")</f>
        <v>http://maps.google.com/maps?f=q&amp;hl=en&amp;geocode=&amp;q=35.644151533729,-101.451423614281</v>
      </c>
    </row>
    <row r="5006" spans="1:7" ht="15" x14ac:dyDescent="0.3">
      <c r="A5006">
        <v>35.644151533729001</v>
      </c>
      <c r="B5006">
        <v>-101.451423614281</v>
      </c>
      <c r="C5006" t="s">
        <v>41</v>
      </c>
      <c r="D5006" t="s">
        <v>3148</v>
      </c>
      <c r="F5006" s="21"/>
      <c r="G5006" s="16" t="str">
        <f>HYPERLINK("http://maps.google.com/maps?f=q&amp;hl=en&amp;geocode=&amp;q=35.644151533729,-101.451423614281")</f>
        <v>http://maps.google.com/maps?f=q&amp;hl=en&amp;geocode=&amp;q=35.644151533729,-101.451423614281</v>
      </c>
    </row>
    <row r="5007" spans="1:7" ht="15" x14ac:dyDescent="0.3">
      <c r="A5007">
        <v>35.644151533729001</v>
      </c>
      <c r="B5007">
        <v>-101.451423614281</v>
      </c>
      <c r="C5007" t="s">
        <v>41</v>
      </c>
      <c r="D5007" t="s">
        <v>3148</v>
      </c>
      <c r="F5007" s="21"/>
      <c r="G5007" s="16" t="str">
        <f>HYPERLINK("http://maps.google.com/maps?f=q&amp;hl=en&amp;geocode=&amp;q=35.644151533729,-101.451423614281")</f>
        <v>http://maps.google.com/maps?f=q&amp;hl=en&amp;geocode=&amp;q=35.644151533729,-101.451423614281</v>
      </c>
    </row>
    <row r="5008" spans="1:7" ht="15" x14ac:dyDescent="0.3">
      <c r="A5008">
        <v>37.679336420734202</v>
      </c>
      <c r="B5008">
        <v>-85.331586880880806</v>
      </c>
      <c r="C5008" t="s">
        <v>41</v>
      </c>
      <c r="D5008" t="s">
        <v>3149</v>
      </c>
      <c r="F5008" s="21"/>
      <c r="G5008" s="16" t="str">
        <f>HYPERLINK("http://maps.google.com/maps?f=q&amp;hl=en&amp;geocode=&amp;q=37.6793364207342,-85.3315868808808")</f>
        <v>http://maps.google.com/maps?f=q&amp;hl=en&amp;geocode=&amp;q=37.6793364207342,-85.3315868808808</v>
      </c>
    </row>
    <row r="5009" spans="1:7" ht="15" x14ac:dyDescent="0.3">
      <c r="A5009" t="s">
        <v>44</v>
      </c>
      <c r="B5009" t="s">
        <v>44</v>
      </c>
      <c r="C5009" t="s">
        <v>44</v>
      </c>
      <c r="D5009" t="s">
        <v>3150</v>
      </c>
      <c r="F5009" s="21"/>
      <c r="G5009" s="16"/>
    </row>
    <row r="5010" spans="1:7" ht="15" x14ac:dyDescent="0.3">
      <c r="A5010">
        <v>40.572113037109403</v>
      </c>
      <c r="B5010">
        <v>-4.9450531005859402</v>
      </c>
      <c r="C5010" t="s">
        <v>43</v>
      </c>
      <c r="D5010" t="s">
        <v>3151</v>
      </c>
      <c r="F5010" s="21"/>
      <c r="G5010" s="16" t="str">
        <f>HYPERLINK("http://maps.google.com/maps?f=q&amp;hl=en&amp;geocode=&amp;q=40.5721130371094,-4.94505310058594")</f>
        <v>http://maps.google.com/maps?f=q&amp;hl=en&amp;geocode=&amp;q=40.5721130371094,-4.94505310058594</v>
      </c>
    </row>
    <row r="5011" spans="1:7" ht="15" x14ac:dyDescent="0.3">
      <c r="A5011">
        <v>42.585258483886697</v>
      </c>
      <c r="B5011">
        <v>26.183223724365199</v>
      </c>
      <c r="C5011" t="s">
        <v>43</v>
      </c>
      <c r="D5011" t="s">
        <v>3152</v>
      </c>
      <c r="F5011" s="21"/>
      <c r="G5011" s="16" t="str">
        <f>HYPERLINK("http://maps.google.com/maps?f=q&amp;hl=en&amp;geocode=&amp;q=42.5852584838867,26.1832237243652")</f>
        <v>http://maps.google.com/maps?f=q&amp;hl=en&amp;geocode=&amp;q=42.5852584838867,26.1832237243652</v>
      </c>
    </row>
    <row r="5012" spans="1:7" ht="15" x14ac:dyDescent="0.3">
      <c r="A5012">
        <v>47.202430725097699</v>
      </c>
      <c r="B5012">
        <v>19.835624694824201</v>
      </c>
      <c r="C5012" t="s">
        <v>43</v>
      </c>
      <c r="D5012" t="s">
        <v>3153</v>
      </c>
      <c r="F5012" s="21"/>
      <c r="G5012" s="16" t="str">
        <f>HYPERLINK("http://maps.google.com/maps?f=q&amp;hl=en&amp;geocode=&amp;q=47.2024307250977,19.8356246948242")</f>
        <v>http://maps.google.com/maps?f=q&amp;hl=en&amp;geocode=&amp;q=47.2024307250977,19.8356246948242</v>
      </c>
    </row>
    <row r="5013" spans="1:7" ht="15" x14ac:dyDescent="0.3">
      <c r="A5013">
        <v>37.765643670295198</v>
      </c>
      <c r="B5013">
        <v>-113.711334017117</v>
      </c>
      <c r="C5013" t="s">
        <v>43</v>
      </c>
      <c r="D5013" t="s">
        <v>3154</v>
      </c>
      <c r="F5013" s="21"/>
      <c r="G5013" s="16" t="str">
        <f>HYPERLINK("http://maps.google.com/maps?f=q&amp;hl=en&amp;geocode=&amp;q=37.7656436702952,-113.711334017117")</f>
        <v>http://maps.google.com/maps?f=q&amp;hl=en&amp;geocode=&amp;q=37.7656436702952,-113.711334017117</v>
      </c>
    </row>
    <row r="5014" spans="1:7" ht="15" x14ac:dyDescent="0.3">
      <c r="A5014">
        <v>39.989566324578597</v>
      </c>
      <c r="B5014">
        <v>-83.161925482713599</v>
      </c>
      <c r="C5014" t="s">
        <v>42</v>
      </c>
      <c r="D5014" t="s">
        <v>3155</v>
      </c>
      <c r="F5014" s="21"/>
      <c r="G5014" s="16" t="str">
        <f>HYPERLINK("http://maps.google.com/maps?f=q&amp;hl=en&amp;geocode=&amp;q=39.9895663245786,-83.1619254827136")</f>
        <v>http://maps.google.com/maps?f=q&amp;hl=en&amp;geocode=&amp;q=39.9895663245786,-83.1619254827136</v>
      </c>
    </row>
    <row r="5015" spans="1:7" ht="15" x14ac:dyDescent="0.3">
      <c r="A5015">
        <v>39.918300000000002</v>
      </c>
      <c r="B5015">
        <v>-75.152320000000003</v>
      </c>
      <c r="C5015" t="s">
        <v>42</v>
      </c>
      <c r="D5015" t="s">
        <v>3156</v>
      </c>
      <c r="F5015" s="21"/>
      <c r="G5015" s="16" t="str">
        <f>HYPERLINK("http://maps.google.com/maps?f=q&amp;hl=en&amp;geocode=&amp;q=39.9183,-75.15232")</f>
        <v>http://maps.google.com/maps?f=q&amp;hl=en&amp;geocode=&amp;q=39.9183,-75.15232</v>
      </c>
    </row>
    <row r="5016" spans="1:7" ht="15" x14ac:dyDescent="0.3">
      <c r="A5016">
        <v>41.543552296004201</v>
      </c>
      <c r="B5016">
        <v>-83.858413757022703</v>
      </c>
      <c r="C5016" t="s">
        <v>41</v>
      </c>
      <c r="D5016" t="s">
        <v>3157</v>
      </c>
      <c r="F5016" s="21"/>
      <c r="G5016" s="16" t="str">
        <f>HYPERLINK("http://maps.google.com/maps?f=q&amp;hl=en&amp;geocode=&amp;q=41.5435522960042,-83.8584137570227")</f>
        <v>http://maps.google.com/maps?f=q&amp;hl=en&amp;geocode=&amp;q=41.5435522960042,-83.8584137570227</v>
      </c>
    </row>
    <row r="5017" spans="1:7" ht="15" x14ac:dyDescent="0.3">
      <c r="A5017">
        <v>34.2037449663028</v>
      </c>
      <c r="B5017">
        <v>-110.015804172915</v>
      </c>
      <c r="C5017" t="s">
        <v>41</v>
      </c>
      <c r="D5017" t="s">
        <v>1542</v>
      </c>
      <c r="F5017" s="21"/>
      <c r="G5017" s="16" t="str">
        <f>HYPERLINK("http://maps.google.com/maps?f=q&amp;hl=en&amp;geocode=&amp;q=34.2037449663028,-110.015804172915")</f>
        <v>http://maps.google.com/maps?f=q&amp;hl=en&amp;geocode=&amp;q=34.2037449663028,-110.015804172915</v>
      </c>
    </row>
    <row r="5018" spans="1:7" ht="15" x14ac:dyDescent="0.3">
      <c r="A5018">
        <v>42.030739064824203</v>
      </c>
      <c r="B5018">
        <v>-94.226112685369799</v>
      </c>
      <c r="C5018" t="s">
        <v>41</v>
      </c>
      <c r="D5018" t="s">
        <v>3158</v>
      </c>
      <c r="F5018" s="21"/>
      <c r="G5018" s="16" t="str">
        <f>HYPERLINK("http://maps.google.com/maps?f=q&amp;hl=en&amp;geocode=&amp;q=42.0307390648242,-94.2261126853698")</f>
        <v>http://maps.google.com/maps?f=q&amp;hl=en&amp;geocode=&amp;q=42.0307390648242,-94.2261126853698</v>
      </c>
    </row>
    <row r="5019" spans="1:7" ht="15" x14ac:dyDescent="0.3">
      <c r="A5019">
        <v>42.030739064824203</v>
      </c>
      <c r="B5019">
        <v>-94.226112685369799</v>
      </c>
      <c r="C5019" t="s">
        <v>41</v>
      </c>
      <c r="D5019" t="s">
        <v>3158</v>
      </c>
      <c r="F5019" s="21"/>
      <c r="G5019" s="16" t="str">
        <f>HYPERLINK("http://maps.google.com/maps?f=q&amp;hl=en&amp;geocode=&amp;q=42.0307390648242,-94.2261126853698")</f>
        <v>http://maps.google.com/maps?f=q&amp;hl=en&amp;geocode=&amp;q=42.0307390648242,-94.2261126853698</v>
      </c>
    </row>
    <row r="5020" spans="1:7" ht="15" x14ac:dyDescent="0.3">
      <c r="A5020">
        <v>42.030739064824203</v>
      </c>
      <c r="B5020">
        <v>-94.226112685369799</v>
      </c>
      <c r="C5020" t="s">
        <v>41</v>
      </c>
      <c r="D5020" t="s">
        <v>3158</v>
      </c>
      <c r="F5020" s="21"/>
      <c r="G5020" s="16" t="str">
        <f>HYPERLINK("http://maps.google.com/maps?f=q&amp;hl=en&amp;geocode=&amp;q=42.0307390648242,-94.2261126853698")</f>
        <v>http://maps.google.com/maps?f=q&amp;hl=en&amp;geocode=&amp;q=42.0307390648242,-94.2261126853698</v>
      </c>
    </row>
    <row r="5021" spans="1:7" ht="15" x14ac:dyDescent="0.3">
      <c r="A5021">
        <v>42.030739064824203</v>
      </c>
      <c r="B5021">
        <v>-94.226112685369799</v>
      </c>
      <c r="C5021" t="s">
        <v>41</v>
      </c>
      <c r="D5021" t="s">
        <v>3158</v>
      </c>
      <c r="F5021" s="21"/>
      <c r="G5021" s="16" t="str">
        <f>HYPERLINK("http://maps.google.com/maps?f=q&amp;hl=en&amp;geocode=&amp;q=42.0307390648242,-94.2261126853698")</f>
        <v>http://maps.google.com/maps?f=q&amp;hl=en&amp;geocode=&amp;q=42.0307390648242,-94.2261126853698</v>
      </c>
    </row>
    <row r="5022" spans="1:7" ht="15" x14ac:dyDescent="0.3">
      <c r="A5022">
        <v>33.235057939269801</v>
      </c>
      <c r="B5022">
        <v>-97.197091665723804</v>
      </c>
      <c r="C5022" t="s">
        <v>43</v>
      </c>
      <c r="D5022" t="s">
        <v>3159</v>
      </c>
      <c r="F5022" s="21"/>
      <c r="G5022" s="16" t="str">
        <f>HYPERLINK("http://maps.google.com/maps?f=q&amp;hl=en&amp;geocode=&amp;q=33.2350579392698,-97.1970916657238")</f>
        <v>http://maps.google.com/maps?f=q&amp;hl=en&amp;geocode=&amp;q=33.2350579392698,-97.1970916657238</v>
      </c>
    </row>
    <row r="5023" spans="1:7" ht="15" x14ac:dyDescent="0.3">
      <c r="A5023">
        <v>38.672787880328499</v>
      </c>
      <c r="B5023">
        <v>-90.2321841415596</v>
      </c>
      <c r="C5023" t="s">
        <v>41</v>
      </c>
      <c r="D5023" t="s">
        <v>3160</v>
      </c>
      <c r="F5023" s="21"/>
      <c r="G5023" s="16" t="str">
        <f>HYPERLINK("http://maps.google.com/maps?f=q&amp;hl=en&amp;geocode=&amp;q=38.6727878803285,-90.2321841415596")</f>
        <v>http://maps.google.com/maps?f=q&amp;hl=en&amp;geocode=&amp;q=38.6727878803285,-90.2321841415596</v>
      </c>
    </row>
    <row r="5024" spans="1:7" ht="15" x14ac:dyDescent="0.3">
      <c r="A5024">
        <v>38.8929069531411</v>
      </c>
      <c r="B5024">
        <v>-76.942406942069894</v>
      </c>
      <c r="C5024" t="s">
        <v>41</v>
      </c>
      <c r="D5024" t="s">
        <v>3161</v>
      </c>
      <c r="F5024" s="21"/>
      <c r="G5024" s="16" t="str">
        <f>HYPERLINK("http://maps.google.com/maps?f=q&amp;hl=en&amp;geocode=&amp;q=38.8929069531411,-76.9424069420699")</f>
        <v>http://maps.google.com/maps?f=q&amp;hl=en&amp;geocode=&amp;q=38.8929069531411,-76.9424069420699</v>
      </c>
    </row>
    <row r="5025" spans="1:7" ht="15" x14ac:dyDescent="0.3">
      <c r="A5025">
        <v>50.4301147460938</v>
      </c>
      <c r="B5025">
        <v>3.7866749763488801</v>
      </c>
      <c r="C5025" t="s">
        <v>43</v>
      </c>
      <c r="D5025" t="s">
        <v>906</v>
      </c>
      <c r="F5025" s="21"/>
      <c r="G5025" s="16" t="str">
        <f>HYPERLINK("http://maps.google.com/maps?f=q&amp;hl=en&amp;geocode=&amp;q=50.4301147460938,3.78667497634888")</f>
        <v>http://maps.google.com/maps?f=q&amp;hl=en&amp;geocode=&amp;q=50.4301147460938,3.78667497634888</v>
      </c>
    </row>
    <row r="5026" spans="1:7" ht="15" x14ac:dyDescent="0.3">
      <c r="A5026">
        <v>40.017766826784701</v>
      </c>
      <c r="B5026">
        <v>-75.082533043290795</v>
      </c>
      <c r="C5026" t="s">
        <v>41</v>
      </c>
      <c r="D5026" t="s">
        <v>2702</v>
      </c>
      <c r="F5026" s="21"/>
      <c r="G5026" s="16" t="str">
        <f>HYPERLINK("http://maps.google.com/maps?f=q&amp;hl=en&amp;geocode=&amp;q=40.0177668267847,-75.0825330432908")</f>
        <v>http://maps.google.com/maps?f=q&amp;hl=en&amp;geocode=&amp;q=40.0177668267847,-75.0825330432908</v>
      </c>
    </row>
    <row r="5027" spans="1:7" ht="15" x14ac:dyDescent="0.3">
      <c r="A5027" t="s">
        <v>44</v>
      </c>
      <c r="B5027" t="s">
        <v>44</v>
      </c>
      <c r="C5027" t="s">
        <v>44</v>
      </c>
      <c r="D5027" t="s">
        <v>3162</v>
      </c>
      <c r="F5027" s="21"/>
      <c r="G5027" s="16"/>
    </row>
    <row r="5028" spans="1:7" ht="15" x14ac:dyDescent="0.3">
      <c r="A5028">
        <v>40.747920000000001</v>
      </c>
      <c r="B5028">
        <v>-74.031419999999997</v>
      </c>
      <c r="C5028" t="s">
        <v>43</v>
      </c>
      <c r="D5028" t="s">
        <v>3163</v>
      </c>
      <c r="F5028" s="21"/>
      <c r="G5028" s="16" t="str">
        <f>HYPERLINK("http://maps.google.com/maps?f=q&amp;hl=en&amp;geocode=&amp;q=40.74792,-74.03142")</f>
        <v>http://maps.google.com/maps?f=q&amp;hl=en&amp;geocode=&amp;q=40.74792,-74.03142</v>
      </c>
    </row>
    <row r="5029" spans="1:7" ht="15" x14ac:dyDescent="0.3">
      <c r="A5029">
        <v>39.040599822997997</v>
      </c>
      <c r="B5029">
        <v>-120.63067626953099</v>
      </c>
      <c r="C5029" t="s">
        <v>43</v>
      </c>
      <c r="D5029" t="s">
        <v>3011</v>
      </c>
      <c r="F5029" s="21"/>
      <c r="G5029" s="16" t="str">
        <f>HYPERLINK("http://maps.google.com/maps?f=q&amp;hl=en&amp;geocode=&amp;q=39.040599822998,-120.630676269531")</f>
        <v>http://maps.google.com/maps?f=q&amp;hl=en&amp;geocode=&amp;q=39.040599822998,-120.630676269531</v>
      </c>
    </row>
    <row r="5030" spans="1:7" ht="15" x14ac:dyDescent="0.3">
      <c r="A5030">
        <v>39.4432563781738</v>
      </c>
      <c r="B5030">
        <v>-98.957336425781307</v>
      </c>
      <c r="C5030" t="s">
        <v>43</v>
      </c>
      <c r="D5030" t="s">
        <v>2169</v>
      </c>
      <c r="F5030" s="21"/>
      <c r="G5030" s="16" t="str">
        <f>HYPERLINK("http://maps.google.com/maps?f=q&amp;hl=en&amp;geocode=&amp;q=39.4432563781738,-98.9573364257813")</f>
        <v>http://maps.google.com/maps?f=q&amp;hl=en&amp;geocode=&amp;q=39.4432563781738,-98.9573364257813</v>
      </c>
    </row>
    <row r="5031" spans="1:7" ht="15" x14ac:dyDescent="0.3">
      <c r="A5031">
        <v>42.829813753377501</v>
      </c>
      <c r="B5031">
        <v>-74.491486683752001</v>
      </c>
      <c r="C5031" t="s">
        <v>41</v>
      </c>
      <c r="D5031" t="s">
        <v>3164</v>
      </c>
      <c r="F5031" s="21"/>
      <c r="G5031" s="16" t="str">
        <f>HYPERLINK("http://maps.google.com/maps?f=q&amp;hl=en&amp;geocode=&amp;q=42.8298137533775,-74.491486683752")</f>
        <v>http://maps.google.com/maps?f=q&amp;hl=en&amp;geocode=&amp;q=42.8298137533775,-74.491486683752</v>
      </c>
    </row>
    <row r="5032" spans="1:7" ht="15" x14ac:dyDescent="0.3">
      <c r="A5032">
        <v>48.4536215641252</v>
      </c>
      <c r="B5032">
        <v>-122.301994106102</v>
      </c>
      <c r="C5032" t="s">
        <v>43</v>
      </c>
      <c r="D5032" t="s">
        <v>3165</v>
      </c>
      <c r="F5032" s="21"/>
      <c r="G5032" s="16" t="str">
        <f>HYPERLINK("http://maps.google.com/maps?f=q&amp;hl=en&amp;geocode=&amp;q=48.4536215641252,-122.301994106102")</f>
        <v>http://maps.google.com/maps?f=q&amp;hl=en&amp;geocode=&amp;q=48.4536215641252,-122.301994106102</v>
      </c>
    </row>
    <row r="5033" spans="1:7" ht="15" x14ac:dyDescent="0.3">
      <c r="A5033">
        <v>40.85745</v>
      </c>
      <c r="B5033">
        <v>-111.86629000000001</v>
      </c>
      <c r="C5033" t="s">
        <v>43</v>
      </c>
      <c r="D5033" t="s">
        <v>1735</v>
      </c>
      <c r="F5033" s="21"/>
      <c r="G5033" s="16" t="str">
        <f>HYPERLINK("http://maps.google.com/maps?f=q&amp;hl=en&amp;geocode=&amp;q=40.85745,-111.86629")</f>
        <v>http://maps.google.com/maps?f=q&amp;hl=en&amp;geocode=&amp;q=40.85745,-111.86629</v>
      </c>
    </row>
    <row r="5034" spans="1:7" ht="15" x14ac:dyDescent="0.3">
      <c r="A5034">
        <v>29.600952700213899</v>
      </c>
      <c r="B5034">
        <v>-94.992989858723007</v>
      </c>
      <c r="C5034" t="s">
        <v>41</v>
      </c>
      <c r="D5034" t="s">
        <v>3166</v>
      </c>
      <c r="F5034" s="21"/>
      <c r="G5034" s="16" t="str">
        <f>HYPERLINK("http://maps.google.com/maps?f=q&amp;hl=en&amp;geocode=&amp;q=29.6009527002139,-94.992989858723")</f>
        <v>http://maps.google.com/maps?f=q&amp;hl=en&amp;geocode=&amp;q=29.6009527002139,-94.992989858723</v>
      </c>
    </row>
    <row r="5035" spans="1:7" ht="15" x14ac:dyDescent="0.3">
      <c r="A5035">
        <v>39.854567983600901</v>
      </c>
      <c r="B5035">
        <v>-75.379622995014998</v>
      </c>
      <c r="C5035" t="s">
        <v>41</v>
      </c>
      <c r="D5035" t="s">
        <v>3167</v>
      </c>
      <c r="F5035" s="21"/>
      <c r="G5035" s="16" t="str">
        <f>HYPERLINK("http://maps.google.com/maps?f=q&amp;hl=en&amp;geocode=&amp;q=39.8545679836009,-75.379622995015")</f>
        <v>http://maps.google.com/maps?f=q&amp;hl=en&amp;geocode=&amp;q=39.8545679836009,-75.379622995015</v>
      </c>
    </row>
    <row r="5036" spans="1:7" ht="15" x14ac:dyDescent="0.3">
      <c r="A5036">
        <v>38.508940564495497</v>
      </c>
      <c r="B5036">
        <v>-88.857532990284497</v>
      </c>
      <c r="C5036" t="s">
        <v>41</v>
      </c>
      <c r="D5036" t="s">
        <v>3168</v>
      </c>
      <c r="F5036" s="21"/>
      <c r="G5036" s="16" t="str">
        <f>HYPERLINK("http://maps.google.com/maps?f=q&amp;hl=en&amp;geocode=&amp;q=38.5089405644955,-88.8575329902845")</f>
        <v>http://maps.google.com/maps?f=q&amp;hl=en&amp;geocode=&amp;q=38.5089405644955,-88.8575329902845</v>
      </c>
    </row>
    <row r="5037" spans="1:7" ht="15" x14ac:dyDescent="0.3">
      <c r="A5037">
        <v>39.920369999999998</v>
      </c>
      <c r="B5037">
        <v>-75.168390000000002</v>
      </c>
      <c r="C5037" t="s">
        <v>43</v>
      </c>
      <c r="D5037" t="s">
        <v>3169</v>
      </c>
      <c r="F5037" s="21"/>
      <c r="G5037" s="16" t="str">
        <f>HYPERLINK("http://maps.google.com/maps?f=q&amp;hl=en&amp;geocode=&amp;q=39.92037,-75.16839")</f>
        <v>http://maps.google.com/maps?f=q&amp;hl=en&amp;geocode=&amp;q=39.92037,-75.16839</v>
      </c>
    </row>
    <row r="5038" spans="1:7" ht="15" x14ac:dyDescent="0.3">
      <c r="A5038">
        <v>43.524909999999998</v>
      </c>
      <c r="B5038">
        <v>-84.196119999999993</v>
      </c>
      <c r="C5038" t="s">
        <v>41</v>
      </c>
      <c r="D5038" t="s">
        <v>1295</v>
      </c>
      <c r="F5038" s="21"/>
      <c r="G5038" s="16" t="str">
        <f>HYPERLINK("http://maps.google.com/maps?f=q&amp;hl=en&amp;geocode=&amp;q=43.52491,-84.19612")</f>
        <v>http://maps.google.com/maps?f=q&amp;hl=en&amp;geocode=&amp;q=43.52491,-84.19612</v>
      </c>
    </row>
    <row r="5039" spans="1:7" ht="15" x14ac:dyDescent="0.3">
      <c r="A5039">
        <v>40.304476052434097</v>
      </c>
      <c r="B5039">
        <v>-88.021189731215301</v>
      </c>
      <c r="C5039" t="s">
        <v>41</v>
      </c>
      <c r="D5039" t="s">
        <v>3170</v>
      </c>
      <c r="F5039" s="21"/>
      <c r="G5039" s="16" t="str">
        <f>HYPERLINK("http://maps.google.com/maps?f=q&amp;hl=en&amp;geocode=&amp;q=40.3044760524341,-88.0211897312153")</f>
        <v>http://maps.google.com/maps?f=q&amp;hl=en&amp;geocode=&amp;q=40.3044760524341,-88.0211897312153</v>
      </c>
    </row>
    <row r="5040" spans="1:7" ht="15" x14ac:dyDescent="0.3">
      <c r="A5040" t="s">
        <v>44</v>
      </c>
      <c r="B5040" t="s">
        <v>44</v>
      </c>
      <c r="C5040" t="s">
        <v>44</v>
      </c>
      <c r="D5040" t="s">
        <v>3171</v>
      </c>
      <c r="F5040" s="21"/>
      <c r="G5040" s="16"/>
    </row>
    <row r="5041" spans="1:7" ht="15" x14ac:dyDescent="0.3">
      <c r="A5041">
        <v>46.562844022717499</v>
      </c>
      <c r="B5041">
        <v>-92.636681019482893</v>
      </c>
      <c r="C5041" t="s">
        <v>41</v>
      </c>
      <c r="D5041" t="s">
        <v>3172</v>
      </c>
      <c r="F5041" s="21"/>
      <c r="G5041" s="16" t="str">
        <f>HYPERLINK("http://maps.google.com/maps?f=q&amp;hl=en&amp;geocode=&amp;q=46.5628440227175,-92.6366810194829")</f>
        <v>http://maps.google.com/maps?f=q&amp;hl=en&amp;geocode=&amp;q=46.5628440227175,-92.6366810194829</v>
      </c>
    </row>
    <row r="5042" spans="1:7" ht="15" x14ac:dyDescent="0.3">
      <c r="A5042">
        <v>-34.188755035400398</v>
      </c>
      <c r="B5042">
        <v>150.71234130859401</v>
      </c>
      <c r="C5042" t="s">
        <v>41</v>
      </c>
      <c r="D5042" t="s">
        <v>3173</v>
      </c>
      <c r="F5042" s="21"/>
      <c r="G5042" s="16" t="str">
        <f>HYPERLINK("http://maps.google.com/maps?f=q&amp;hl=en&amp;geocode=&amp;q=-34.1887550354004,150.712341308594")</f>
        <v>http://maps.google.com/maps?f=q&amp;hl=en&amp;geocode=&amp;q=-34.1887550354004,150.712341308594</v>
      </c>
    </row>
    <row r="5043" spans="1:7" ht="15" x14ac:dyDescent="0.3">
      <c r="A5043">
        <v>46.408790588378899</v>
      </c>
      <c r="B5043">
        <v>12.017880439758301</v>
      </c>
      <c r="C5043" t="s">
        <v>41</v>
      </c>
      <c r="D5043" t="s">
        <v>3174</v>
      </c>
      <c r="F5043" s="21"/>
      <c r="G5043" s="16" t="str">
        <f>HYPERLINK("http://maps.google.com/maps?f=q&amp;hl=en&amp;geocode=&amp;q=46.4087905883789,12.0178804397583")</f>
        <v>http://maps.google.com/maps?f=q&amp;hl=en&amp;geocode=&amp;q=46.4087905883789,12.0178804397583</v>
      </c>
    </row>
    <row r="5044" spans="1:7" ht="15" x14ac:dyDescent="0.3">
      <c r="A5044">
        <v>46.408790588378899</v>
      </c>
      <c r="B5044">
        <v>12.017880439758301</v>
      </c>
      <c r="C5044" t="s">
        <v>41</v>
      </c>
      <c r="D5044" t="s">
        <v>3062</v>
      </c>
      <c r="F5044" s="21"/>
      <c r="G5044" s="16" t="str">
        <f>HYPERLINK("http://maps.google.com/maps?f=q&amp;hl=en&amp;geocode=&amp;q=46.4087905883789,12.0178804397583")</f>
        <v>http://maps.google.com/maps?f=q&amp;hl=en&amp;geocode=&amp;q=46.4087905883789,12.0178804397583</v>
      </c>
    </row>
    <row r="5045" spans="1:7" ht="15" x14ac:dyDescent="0.3">
      <c r="A5045">
        <v>46.408790588378899</v>
      </c>
      <c r="B5045">
        <v>12.017880439758301</v>
      </c>
      <c r="C5045" t="s">
        <v>41</v>
      </c>
      <c r="D5045" t="s">
        <v>3175</v>
      </c>
      <c r="F5045" s="21"/>
      <c r="G5045" s="16" t="str">
        <f>HYPERLINK("http://maps.google.com/maps?f=q&amp;hl=en&amp;geocode=&amp;q=46.4087905883789,12.0178804397583")</f>
        <v>http://maps.google.com/maps?f=q&amp;hl=en&amp;geocode=&amp;q=46.4087905883789,12.0178804397583</v>
      </c>
    </row>
    <row r="5046" spans="1:7" ht="15" x14ac:dyDescent="0.3">
      <c r="A5046">
        <v>38.610871762831003</v>
      </c>
      <c r="B5046">
        <v>-78.873276415684501</v>
      </c>
      <c r="C5046" t="s">
        <v>43</v>
      </c>
      <c r="D5046" t="s">
        <v>3176</v>
      </c>
      <c r="F5046" s="21"/>
      <c r="G5046" s="16" t="str">
        <f>HYPERLINK("http://maps.google.com/maps?f=q&amp;hl=en&amp;geocode=&amp;q=38.610871762831,-78.8732764156845")</f>
        <v>http://maps.google.com/maps?f=q&amp;hl=en&amp;geocode=&amp;q=38.610871762831,-78.8732764156845</v>
      </c>
    </row>
    <row r="5047" spans="1:7" ht="15" x14ac:dyDescent="0.3">
      <c r="A5047">
        <v>39.950960000000002</v>
      </c>
      <c r="B5047">
        <v>-75.239009999999993</v>
      </c>
      <c r="C5047" t="s">
        <v>43</v>
      </c>
      <c r="D5047" t="s">
        <v>3177</v>
      </c>
      <c r="F5047" s="21"/>
      <c r="G5047" s="16" t="str">
        <f>HYPERLINK("http://maps.google.com/maps?f=q&amp;hl=en&amp;geocode=&amp;q=39.95096,-75.23901")</f>
        <v>http://maps.google.com/maps?f=q&amp;hl=en&amp;geocode=&amp;q=39.95096,-75.23901</v>
      </c>
    </row>
    <row r="5048" spans="1:7" ht="15" x14ac:dyDescent="0.3">
      <c r="A5048">
        <v>40.040999999999997</v>
      </c>
      <c r="B5048">
        <v>-75.128389999999996</v>
      </c>
      <c r="C5048" t="s">
        <v>41</v>
      </c>
      <c r="D5048" t="s">
        <v>3178</v>
      </c>
      <c r="F5048" s="21"/>
      <c r="G5048" s="16" t="str">
        <f>HYPERLINK("http://maps.google.com/maps?f=q&amp;hl=en&amp;geocode=&amp;q=40.041,-75.12839")</f>
        <v>http://maps.google.com/maps?f=q&amp;hl=en&amp;geocode=&amp;q=40.041,-75.12839</v>
      </c>
    </row>
    <row r="5049" spans="1:7" ht="15" x14ac:dyDescent="0.3">
      <c r="A5049">
        <v>39.973179999999999</v>
      </c>
      <c r="B5049">
        <v>-75.209850000000003</v>
      </c>
      <c r="C5049" t="s">
        <v>41</v>
      </c>
      <c r="D5049" t="s">
        <v>3179</v>
      </c>
      <c r="F5049" s="21"/>
      <c r="G5049" s="16" t="str">
        <f>HYPERLINK("http://maps.google.com/maps?f=q&amp;hl=en&amp;geocode=&amp;q=39.97318,-75.20985")</f>
        <v>http://maps.google.com/maps?f=q&amp;hl=en&amp;geocode=&amp;q=39.97318,-75.20985</v>
      </c>
    </row>
    <row r="5050" spans="1:7" ht="15" x14ac:dyDescent="0.3">
      <c r="A5050">
        <v>33.244670867919901</v>
      </c>
      <c r="B5050">
        <v>-111.634521484375</v>
      </c>
      <c r="C5050" t="s">
        <v>43</v>
      </c>
      <c r="D5050" t="s">
        <v>3180</v>
      </c>
      <c r="F5050" s="21"/>
      <c r="G5050" s="16" t="str">
        <f>HYPERLINK("http://maps.google.com/maps?f=q&amp;hl=en&amp;geocode=&amp;q=33.2446708679199,-111.634521484375")</f>
        <v>http://maps.google.com/maps?f=q&amp;hl=en&amp;geocode=&amp;q=33.2446708679199,-111.634521484375</v>
      </c>
    </row>
    <row r="5051" spans="1:7" ht="15" x14ac:dyDescent="0.3">
      <c r="A5051">
        <v>32.384909999999998</v>
      </c>
      <c r="B5051">
        <v>-86.193430000000006</v>
      </c>
      <c r="C5051" t="s">
        <v>43</v>
      </c>
      <c r="D5051" t="s">
        <v>3181</v>
      </c>
      <c r="F5051" s="21"/>
      <c r="G5051" s="16" t="str">
        <f>HYPERLINK("http://maps.google.com/maps?f=q&amp;hl=en&amp;geocode=&amp;q=32.38491,-86.19343")</f>
        <v>http://maps.google.com/maps?f=q&amp;hl=en&amp;geocode=&amp;q=32.38491,-86.19343</v>
      </c>
    </row>
    <row r="5052" spans="1:7" ht="15" x14ac:dyDescent="0.3">
      <c r="A5052">
        <v>37.786447146380503</v>
      </c>
      <c r="B5052">
        <v>-121.554123102578</v>
      </c>
      <c r="C5052" t="s">
        <v>41</v>
      </c>
      <c r="D5052" t="s">
        <v>3182</v>
      </c>
      <c r="F5052" s="21"/>
      <c r="G5052" s="16" t="str">
        <f>HYPERLINK("http://maps.google.com/maps?f=q&amp;hl=en&amp;geocode=&amp;q=37.7864471463805,-121.554123102578")</f>
        <v>http://maps.google.com/maps?f=q&amp;hl=en&amp;geocode=&amp;q=37.7864471463805,-121.554123102578</v>
      </c>
    </row>
    <row r="5053" spans="1:7" ht="15" x14ac:dyDescent="0.3">
      <c r="A5053">
        <v>39.992730000000002</v>
      </c>
      <c r="B5053">
        <v>-75.231899999999996</v>
      </c>
      <c r="C5053" t="s">
        <v>41</v>
      </c>
      <c r="D5053" t="s">
        <v>3183</v>
      </c>
      <c r="F5053" s="21"/>
      <c r="G5053" s="16" t="str">
        <f>HYPERLINK("http://maps.google.com/maps?f=q&amp;hl=en&amp;geocode=&amp;q=39.99273,-75.2319")</f>
        <v>http://maps.google.com/maps?f=q&amp;hl=en&amp;geocode=&amp;q=39.99273,-75.2319</v>
      </c>
    </row>
    <row r="5054" spans="1:7" ht="15" x14ac:dyDescent="0.3">
      <c r="A5054" t="s">
        <v>44</v>
      </c>
      <c r="B5054" t="s">
        <v>44</v>
      </c>
      <c r="C5054" t="s">
        <v>44</v>
      </c>
      <c r="D5054" t="s">
        <v>3184</v>
      </c>
      <c r="F5054" s="21"/>
      <c r="G5054" s="16"/>
    </row>
    <row r="5055" spans="1:7" ht="15" x14ac:dyDescent="0.3">
      <c r="A5055" t="s">
        <v>44</v>
      </c>
      <c r="B5055" t="s">
        <v>44</v>
      </c>
      <c r="C5055" t="s">
        <v>44</v>
      </c>
      <c r="D5055" t="s">
        <v>2295</v>
      </c>
      <c r="F5055" s="21"/>
      <c r="G5055" s="16"/>
    </row>
    <row r="5056" spans="1:7" ht="15" x14ac:dyDescent="0.3">
      <c r="A5056">
        <v>40.005850000000002</v>
      </c>
      <c r="B5056">
        <v>-83.061130000000006</v>
      </c>
      <c r="C5056" t="s">
        <v>41</v>
      </c>
      <c r="D5056" t="s">
        <v>3185</v>
      </c>
      <c r="F5056" s="21"/>
      <c r="G5056" s="16" t="str">
        <f>HYPERLINK("http://maps.google.com/maps?f=q&amp;hl=en&amp;geocode=&amp;q=40.00585,-83.06113")</f>
        <v>http://maps.google.com/maps?f=q&amp;hl=en&amp;geocode=&amp;q=40.00585,-83.06113</v>
      </c>
    </row>
    <row r="5057" spans="1:7" ht="15" x14ac:dyDescent="0.3">
      <c r="A5057">
        <v>40.005633262006398</v>
      </c>
      <c r="B5057">
        <v>-83.061130266683406</v>
      </c>
      <c r="C5057" t="s">
        <v>41</v>
      </c>
      <c r="D5057" t="s">
        <v>2139</v>
      </c>
      <c r="F5057" s="21"/>
      <c r="G5057" s="16" t="str">
        <f>HYPERLINK("http://maps.google.com/maps?f=q&amp;hl=en&amp;geocode=&amp;q=40.0056332620064,-83.0611302666834")</f>
        <v>http://maps.google.com/maps?f=q&amp;hl=en&amp;geocode=&amp;q=40.0056332620064,-83.0611302666834</v>
      </c>
    </row>
    <row r="5058" spans="1:7" ht="15" x14ac:dyDescent="0.3">
      <c r="A5058">
        <v>42.968383260326299</v>
      </c>
      <c r="B5058">
        <v>-95.623756878167598</v>
      </c>
      <c r="C5058" t="s">
        <v>41</v>
      </c>
      <c r="D5058" t="s">
        <v>3186</v>
      </c>
      <c r="F5058" s="21"/>
      <c r="G5058" s="16" t="str">
        <f>HYPERLINK("http://maps.google.com/maps?f=q&amp;hl=en&amp;geocode=&amp;q=42.9683832603263,-95.6237568781676")</f>
        <v>http://maps.google.com/maps?f=q&amp;hl=en&amp;geocode=&amp;q=42.9683832603263,-95.6237568781676</v>
      </c>
    </row>
    <row r="5059" spans="1:7" ht="15" x14ac:dyDescent="0.3">
      <c r="A5059">
        <v>-42.881641387939503</v>
      </c>
      <c r="B5059">
        <v>147.331619262695</v>
      </c>
      <c r="C5059" t="s">
        <v>41</v>
      </c>
      <c r="D5059" t="s">
        <v>3187</v>
      </c>
      <c r="F5059" s="21"/>
      <c r="G5059" s="16" t="str">
        <f>HYPERLINK("http://maps.google.com/maps?f=q&amp;hl=en&amp;geocode=&amp;q=-42.8816413879395,147.331619262695")</f>
        <v>http://maps.google.com/maps?f=q&amp;hl=en&amp;geocode=&amp;q=-42.8816413879395,147.331619262695</v>
      </c>
    </row>
    <row r="5060" spans="1:7" ht="15" x14ac:dyDescent="0.3">
      <c r="A5060">
        <v>29.841709136962901</v>
      </c>
      <c r="B5060">
        <v>78.675361633300795</v>
      </c>
      <c r="C5060" t="s">
        <v>41</v>
      </c>
      <c r="D5060" t="s">
        <v>398</v>
      </c>
      <c r="F5060" s="21"/>
      <c r="G5060" s="16" t="str">
        <f>HYPERLINK("http://maps.google.com/maps?f=q&amp;hl=en&amp;geocode=&amp;q=29.8417091369629,78.6753616333008")</f>
        <v>http://maps.google.com/maps?f=q&amp;hl=en&amp;geocode=&amp;q=29.8417091369629,78.6753616333008</v>
      </c>
    </row>
    <row r="5061" spans="1:7" ht="15" x14ac:dyDescent="0.3">
      <c r="A5061">
        <v>35.965989015210802</v>
      </c>
      <c r="B5061">
        <v>-94.232247053401494</v>
      </c>
      <c r="C5061" t="s">
        <v>41</v>
      </c>
      <c r="D5061" t="s">
        <v>2543</v>
      </c>
      <c r="F5061" s="21"/>
      <c r="G5061" s="16" t="str">
        <f>HYPERLINK("http://maps.google.com/maps?f=q&amp;hl=en&amp;geocode=&amp;q=35.9659890152108,-94.2322470534015")</f>
        <v>http://maps.google.com/maps?f=q&amp;hl=en&amp;geocode=&amp;q=35.9659890152108,-94.2322470534015</v>
      </c>
    </row>
    <row r="5062" spans="1:7" ht="15" x14ac:dyDescent="0.3">
      <c r="A5062">
        <v>35.965989015210802</v>
      </c>
      <c r="B5062">
        <v>-94.232247053401494</v>
      </c>
      <c r="C5062" t="s">
        <v>41</v>
      </c>
      <c r="D5062" t="s">
        <v>2543</v>
      </c>
      <c r="F5062" s="21"/>
      <c r="G5062" s="16" t="str">
        <f>HYPERLINK("http://maps.google.com/maps?f=q&amp;hl=en&amp;geocode=&amp;q=35.9659890152108,-94.2322470534015")</f>
        <v>http://maps.google.com/maps?f=q&amp;hl=en&amp;geocode=&amp;q=35.9659890152108,-94.2322470534015</v>
      </c>
    </row>
    <row r="5063" spans="1:7" ht="15" x14ac:dyDescent="0.3">
      <c r="A5063">
        <v>48.856765747070298</v>
      </c>
      <c r="B5063">
        <v>-95.7022705078125</v>
      </c>
      <c r="C5063" t="s">
        <v>43</v>
      </c>
      <c r="D5063" t="s">
        <v>1171</v>
      </c>
      <c r="F5063" s="21"/>
      <c r="G5063" s="16" t="str">
        <f>HYPERLINK("http://maps.google.com/maps?f=q&amp;hl=en&amp;geocode=&amp;q=48.8567657470703,-95.7022705078125")</f>
        <v>http://maps.google.com/maps?f=q&amp;hl=en&amp;geocode=&amp;q=48.8567657470703,-95.7022705078125</v>
      </c>
    </row>
    <row r="5064" spans="1:7" ht="15" x14ac:dyDescent="0.3">
      <c r="A5064" t="s">
        <v>44</v>
      </c>
      <c r="B5064" t="s">
        <v>44</v>
      </c>
      <c r="C5064" t="s">
        <v>44</v>
      </c>
      <c r="D5064" t="s">
        <v>1017</v>
      </c>
      <c r="F5064" s="21"/>
      <c r="G5064" s="16"/>
    </row>
    <row r="5065" spans="1:7" ht="15" x14ac:dyDescent="0.3">
      <c r="A5065">
        <v>7.3835182189941397</v>
      </c>
      <c r="B5065">
        <v>-12.2588081359863</v>
      </c>
      <c r="C5065" t="s">
        <v>41</v>
      </c>
      <c r="D5065" t="s">
        <v>202</v>
      </c>
      <c r="F5065" s="21"/>
      <c r="G5065" s="16" t="str">
        <f>HYPERLINK("http://maps.google.com/maps?f=q&amp;hl=en&amp;geocode=&amp;q=7.38351821899414,-12.2588081359863")</f>
        <v>http://maps.google.com/maps?f=q&amp;hl=en&amp;geocode=&amp;q=7.38351821899414,-12.2588081359863</v>
      </c>
    </row>
    <row r="5066" spans="1:7" ht="15" x14ac:dyDescent="0.3">
      <c r="A5066">
        <v>37.420108586910601</v>
      </c>
      <c r="B5066">
        <v>-97.204909247010306</v>
      </c>
      <c r="C5066" t="s">
        <v>41</v>
      </c>
      <c r="D5066" t="s">
        <v>3188</v>
      </c>
      <c r="F5066" s="21"/>
      <c r="G5066" s="16" t="str">
        <f>HYPERLINK("http://maps.google.com/maps?f=q&amp;hl=en&amp;geocode=&amp;q=37.4201085869106,-97.2049092470103")</f>
        <v>http://maps.google.com/maps?f=q&amp;hl=en&amp;geocode=&amp;q=37.4201085869106,-97.2049092470103</v>
      </c>
    </row>
    <row r="5067" spans="1:7" ht="15" x14ac:dyDescent="0.3">
      <c r="A5067">
        <v>37.420108586910601</v>
      </c>
      <c r="B5067">
        <v>-97.204909247010306</v>
      </c>
      <c r="C5067" t="s">
        <v>41</v>
      </c>
      <c r="D5067" t="s">
        <v>3188</v>
      </c>
      <c r="F5067" s="21"/>
      <c r="G5067" s="16" t="str">
        <f>HYPERLINK("http://maps.google.com/maps?f=q&amp;hl=en&amp;geocode=&amp;q=37.4201085869106,-97.2049092470103")</f>
        <v>http://maps.google.com/maps?f=q&amp;hl=en&amp;geocode=&amp;q=37.4201085869106,-97.2049092470103</v>
      </c>
    </row>
    <row r="5068" spans="1:7" ht="15" x14ac:dyDescent="0.3">
      <c r="A5068">
        <v>42.659431457519503</v>
      </c>
      <c r="B5068">
        <v>20.295179367065401</v>
      </c>
      <c r="C5068" t="s">
        <v>43</v>
      </c>
      <c r="D5068" t="s">
        <v>3189</v>
      </c>
      <c r="F5068" s="21"/>
      <c r="G5068" s="16" t="str">
        <f>HYPERLINK("http://maps.google.com/maps?f=q&amp;hl=en&amp;geocode=&amp;q=42.6594314575195,20.2951793670654")</f>
        <v>http://maps.google.com/maps?f=q&amp;hl=en&amp;geocode=&amp;q=42.6594314575195,20.2951793670654</v>
      </c>
    </row>
    <row r="5069" spans="1:7" ht="15" x14ac:dyDescent="0.3">
      <c r="A5069">
        <v>37.420108586910601</v>
      </c>
      <c r="B5069">
        <v>-97.204909247010306</v>
      </c>
      <c r="C5069" t="s">
        <v>41</v>
      </c>
      <c r="D5069" t="s">
        <v>3188</v>
      </c>
      <c r="F5069" s="21"/>
      <c r="G5069" s="16" t="str">
        <f>HYPERLINK("http://maps.google.com/maps?f=q&amp;hl=en&amp;geocode=&amp;q=37.4201085869106,-97.2049092470103")</f>
        <v>http://maps.google.com/maps?f=q&amp;hl=en&amp;geocode=&amp;q=37.4201085869106,-97.2049092470103</v>
      </c>
    </row>
    <row r="5070" spans="1:7" ht="15" x14ac:dyDescent="0.3">
      <c r="A5070">
        <v>37.420108586910601</v>
      </c>
      <c r="B5070">
        <v>-97.204909247010306</v>
      </c>
      <c r="C5070" t="s">
        <v>41</v>
      </c>
      <c r="D5070" t="s">
        <v>3188</v>
      </c>
      <c r="F5070" s="21"/>
      <c r="G5070" s="16" t="str">
        <f>HYPERLINK("http://maps.google.com/maps?f=q&amp;hl=en&amp;geocode=&amp;q=37.4201085869106,-97.2049092470103")</f>
        <v>http://maps.google.com/maps?f=q&amp;hl=en&amp;geocode=&amp;q=37.4201085869106,-97.2049092470103</v>
      </c>
    </row>
    <row r="5071" spans="1:7" ht="15" x14ac:dyDescent="0.3">
      <c r="A5071">
        <v>32.990949999999998</v>
      </c>
      <c r="B5071">
        <v>-97.446380000000005</v>
      </c>
      <c r="C5071" t="s">
        <v>43</v>
      </c>
      <c r="D5071" t="s">
        <v>3190</v>
      </c>
      <c r="F5071" s="21"/>
      <c r="G5071" s="16" t="str">
        <f>HYPERLINK("http://maps.google.com/maps?f=q&amp;hl=en&amp;geocode=&amp;q=32.99095,-97.44638")</f>
        <v>http://maps.google.com/maps?f=q&amp;hl=en&amp;geocode=&amp;q=32.99095,-97.44638</v>
      </c>
    </row>
    <row r="5072" spans="1:7" ht="15" x14ac:dyDescent="0.3">
      <c r="A5072">
        <v>39.981029999999997</v>
      </c>
      <c r="B5072">
        <v>-75.110590000000002</v>
      </c>
      <c r="C5072" t="s">
        <v>41</v>
      </c>
      <c r="D5072" t="s">
        <v>1309</v>
      </c>
      <c r="F5072" s="21"/>
      <c r="G5072" s="16" t="str">
        <f>HYPERLINK("http://maps.google.com/maps?f=q&amp;hl=en&amp;geocode=&amp;q=39.98103,-75.11059")</f>
        <v>http://maps.google.com/maps?f=q&amp;hl=en&amp;geocode=&amp;q=39.98103,-75.11059</v>
      </c>
    </row>
    <row r="5073" spans="1:7" ht="15" x14ac:dyDescent="0.3">
      <c r="A5073">
        <v>36.410994102443098</v>
      </c>
      <c r="B5073">
        <v>-102.540449969036</v>
      </c>
      <c r="C5073" t="s">
        <v>41</v>
      </c>
      <c r="D5073" t="s">
        <v>2179</v>
      </c>
      <c r="F5073" s="21"/>
      <c r="G5073" s="16" t="str">
        <f>HYPERLINK("http://maps.google.com/maps?f=q&amp;hl=en&amp;geocode=&amp;q=36.4109941024431,-102.540449969036")</f>
        <v>http://maps.google.com/maps?f=q&amp;hl=en&amp;geocode=&amp;q=36.4109941024431,-102.540449969036</v>
      </c>
    </row>
    <row r="5074" spans="1:7" ht="15" x14ac:dyDescent="0.3">
      <c r="A5074">
        <v>39.928240000000002</v>
      </c>
      <c r="B5074">
        <v>-75.232900000000001</v>
      </c>
      <c r="C5074" t="s">
        <v>41</v>
      </c>
      <c r="D5074" t="s">
        <v>3191</v>
      </c>
      <c r="F5074" s="21"/>
      <c r="G5074" s="16" t="str">
        <f>HYPERLINK("http://maps.google.com/maps?f=q&amp;hl=en&amp;geocode=&amp;q=39.92824,-75.2329")</f>
        <v>http://maps.google.com/maps?f=q&amp;hl=en&amp;geocode=&amp;q=39.92824,-75.2329</v>
      </c>
    </row>
    <row r="5075" spans="1:7" ht="15" x14ac:dyDescent="0.3">
      <c r="A5075">
        <v>32.766984154910197</v>
      </c>
      <c r="B5075">
        <v>-115.43048658800799</v>
      </c>
      <c r="C5075" t="s">
        <v>41</v>
      </c>
      <c r="D5075" t="s">
        <v>3192</v>
      </c>
      <c r="F5075" s="21"/>
      <c r="G5075" s="16" t="str">
        <f>HYPERLINK("http://maps.google.com/maps?f=q&amp;hl=en&amp;geocode=&amp;q=32.7669841549102,-115.430486588008")</f>
        <v>http://maps.google.com/maps?f=q&amp;hl=en&amp;geocode=&amp;q=32.7669841549102,-115.430486588008</v>
      </c>
    </row>
    <row r="5076" spans="1:7" ht="15" x14ac:dyDescent="0.3">
      <c r="A5076">
        <v>43.236268566253102</v>
      </c>
      <c r="B5076">
        <v>-78.661733530853496</v>
      </c>
      <c r="C5076" t="s">
        <v>43</v>
      </c>
      <c r="D5076" t="s">
        <v>3193</v>
      </c>
      <c r="F5076" s="21"/>
      <c r="G5076" s="16" t="str">
        <f>HYPERLINK("http://maps.google.com/maps?f=q&amp;hl=en&amp;geocode=&amp;q=43.2362685662531,-78.6617335308535")</f>
        <v>http://maps.google.com/maps?f=q&amp;hl=en&amp;geocode=&amp;q=43.2362685662531,-78.6617335308535</v>
      </c>
    </row>
    <row r="5077" spans="1:7" ht="15" x14ac:dyDescent="0.3">
      <c r="A5077">
        <v>39.9760260401371</v>
      </c>
      <c r="B5077">
        <v>-76.716773463473601</v>
      </c>
      <c r="C5077" t="s">
        <v>41</v>
      </c>
      <c r="D5077" t="s">
        <v>3194</v>
      </c>
      <c r="F5077" s="21"/>
      <c r="G5077" s="16" t="str">
        <f>HYPERLINK("http://maps.google.com/maps?f=q&amp;hl=en&amp;geocode=&amp;q=39.9760260401371,-76.7167734634736")</f>
        <v>http://maps.google.com/maps?f=q&amp;hl=en&amp;geocode=&amp;q=39.9760260401371,-76.7167734634736</v>
      </c>
    </row>
    <row r="5078" spans="1:7" ht="15" x14ac:dyDescent="0.3">
      <c r="A5078">
        <v>28.359100000000002</v>
      </c>
      <c r="B5078">
        <v>-82.701790000000003</v>
      </c>
      <c r="C5078" t="s">
        <v>43</v>
      </c>
      <c r="D5078" t="s">
        <v>3195</v>
      </c>
      <c r="F5078" s="21"/>
      <c r="G5078" s="16" t="str">
        <f>HYPERLINK("http://maps.google.com/maps?f=q&amp;hl=en&amp;geocode=&amp;q=28.3591,-82.70179")</f>
        <v>http://maps.google.com/maps?f=q&amp;hl=en&amp;geocode=&amp;q=28.3591,-82.70179</v>
      </c>
    </row>
    <row r="5079" spans="1:7" ht="15" x14ac:dyDescent="0.3">
      <c r="A5079">
        <v>32.990949999999998</v>
      </c>
      <c r="B5079">
        <v>-97.446380000000005</v>
      </c>
      <c r="C5079" t="s">
        <v>42</v>
      </c>
      <c r="D5079" t="s">
        <v>3196</v>
      </c>
      <c r="F5079" s="21"/>
      <c r="G5079" s="16" t="str">
        <f>HYPERLINK("http://maps.google.com/maps?f=q&amp;hl=en&amp;geocode=&amp;q=32.99095,-97.44638")</f>
        <v>http://maps.google.com/maps?f=q&amp;hl=en&amp;geocode=&amp;q=32.99095,-97.44638</v>
      </c>
    </row>
    <row r="5080" spans="1:7" ht="15" x14ac:dyDescent="0.3">
      <c r="A5080">
        <v>37.931900964195897</v>
      </c>
      <c r="B5080">
        <v>-122.53344118933801</v>
      </c>
      <c r="C5080" t="s">
        <v>41</v>
      </c>
      <c r="D5080" t="s">
        <v>3197</v>
      </c>
      <c r="F5080" s="21"/>
      <c r="G5080" s="16" t="str">
        <f>HYPERLINK("http://maps.google.com/maps?f=q&amp;hl=en&amp;geocode=&amp;q=37.9319009641959,-122.533441189338")</f>
        <v>http://maps.google.com/maps?f=q&amp;hl=en&amp;geocode=&amp;q=37.9319009641959,-122.533441189338</v>
      </c>
    </row>
    <row r="5081" spans="1:7" ht="15" x14ac:dyDescent="0.3">
      <c r="A5081">
        <v>34.995820000000002</v>
      </c>
      <c r="B5081">
        <v>-81.136610000000005</v>
      </c>
      <c r="C5081" t="s">
        <v>42</v>
      </c>
      <c r="D5081" t="s">
        <v>3198</v>
      </c>
      <c r="F5081" s="21"/>
      <c r="G5081" s="16" t="str">
        <f>HYPERLINK("http://maps.google.com/maps?f=q&amp;hl=en&amp;geocode=&amp;q=34.99582,-81.13661")</f>
        <v>http://maps.google.com/maps?f=q&amp;hl=en&amp;geocode=&amp;q=34.99582,-81.13661</v>
      </c>
    </row>
    <row r="5082" spans="1:7" ht="15" x14ac:dyDescent="0.3">
      <c r="A5082">
        <v>47.5813709377545</v>
      </c>
      <c r="B5082">
        <v>-92.302126980937501</v>
      </c>
      <c r="C5082" t="s">
        <v>41</v>
      </c>
      <c r="D5082" t="s">
        <v>3199</v>
      </c>
      <c r="F5082" s="21"/>
      <c r="G5082" s="16" t="str">
        <f>HYPERLINK("http://maps.google.com/maps?f=q&amp;hl=en&amp;geocode=&amp;q=47.5813709377545,-92.3021269809375")</f>
        <v>http://maps.google.com/maps?f=q&amp;hl=en&amp;geocode=&amp;q=47.5813709377545,-92.3021269809375</v>
      </c>
    </row>
    <row r="5083" spans="1:7" ht="15" x14ac:dyDescent="0.3">
      <c r="A5083">
        <v>36.015928310111001</v>
      </c>
      <c r="B5083">
        <v>-78.928323937418</v>
      </c>
      <c r="C5083" t="s">
        <v>41</v>
      </c>
      <c r="D5083" t="s">
        <v>1288</v>
      </c>
      <c r="F5083" s="21"/>
      <c r="G5083" s="16" t="str">
        <f>HYPERLINK("http://maps.google.com/maps?f=q&amp;hl=en&amp;geocode=&amp;q=36.015928310111,-78.928323937418")</f>
        <v>http://maps.google.com/maps?f=q&amp;hl=en&amp;geocode=&amp;q=36.015928310111,-78.928323937418</v>
      </c>
    </row>
    <row r="5084" spans="1:7" ht="15" x14ac:dyDescent="0.3">
      <c r="A5084">
        <v>40.460018157958999</v>
      </c>
      <c r="B5084">
        <v>-78.591552734375</v>
      </c>
      <c r="C5084" t="s">
        <v>43</v>
      </c>
      <c r="D5084" t="s">
        <v>2978</v>
      </c>
      <c r="F5084" s="21"/>
      <c r="G5084" s="16" t="str">
        <f>HYPERLINK("http://maps.google.com/maps?f=q&amp;hl=en&amp;geocode=&amp;q=40.460018157959,-78.591552734375")</f>
        <v>http://maps.google.com/maps?f=q&amp;hl=en&amp;geocode=&amp;q=40.460018157959,-78.591552734375</v>
      </c>
    </row>
    <row r="5085" spans="1:7" ht="15" x14ac:dyDescent="0.3">
      <c r="F5085" s="21"/>
      <c r="G5085" s="16"/>
    </row>
    <row r="5086" spans="1:7" ht="15" x14ac:dyDescent="0.3">
      <c r="A5086">
        <v>39.993279999999999</v>
      </c>
      <c r="B5086">
        <v>-75.098560000000006</v>
      </c>
      <c r="C5086" t="s">
        <v>41</v>
      </c>
      <c r="D5086" t="s">
        <v>1697</v>
      </c>
      <c r="F5086" s="21"/>
      <c r="G5086" s="16" t="str">
        <f>HYPERLINK("http://maps.google.com/maps?f=q&amp;hl=en&amp;geocode=&amp;q=39.99328,-75.09856")</f>
        <v>http://maps.google.com/maps?f=q&amp;hl=en&amp;geocode=&amp;q=39.99328,-75.09856</v>
      </c>
    </row>
    <row r="5087" spans="1:7" ht="15" x14ac:dyDescent="0.3">
      <c r="A5087">
        <v>38.973060607910199</v>
      </c>
      <c r="B5087">
        <v>-95.236526489257798</v>
      </c>
      <c r="C5087" t="s">
        <v>43</v>
      </c>
      <c r="D5087" t="s">
        <v>3200</v>
      </c>
      <c r="F5087" s="21"/>
      <c r="G5087" s="16" t="str">
        <f>HYPERLINK("http://maps.google.com/maps?f=q&amp;hl=en&amp;geocode=&amp;q=38.9730606079102,-95.2365264892578")</f>
        <v>http://maps.google.com/maps?f=q&amp;hl=en&amp;geocode=&amp;q=38.9730606079102,-95.2365264892578</v>
      </c>
    </row>
    <row r="5088" spans="1:7" ht="15" x14ac:dyDescent="0.3">
      <c r="A5088">
        <v>32.8340744270117</v>
      </c>
      <c r="B5088">
        <v>-96.764017016522303</v>
      </c>
      <c r="C5088" t="s">
        <v>41</v>
      </c>
      <c r="D5088" t="s">
        <v>581</v>
      </c>
      <c r="F5088" s="21"/>
      <c r="G5088" s="16" t="str">
        <f>HYPERLINK("http://maps.google.com/maps?f=q&amp;hl=en&amp;geocode=&amp;q=32.8340744270117,-96.7640170165223")</f>
        <v>http://maps.google.com/maps?f=q&amp;hl=en&amp;geocode=&amp;q=32.8340744270117,-96.7640170165223</v>
      </c>
    </row>
    <row r="5089" spans="1:7" ht="15" x14ac:dyDescent="0.3">
      <c r="A5089" t="s">
        <v>44</v>
      </c>
      <c r="B5089" t="s">
        <v>44</v>
      </c>
      <c r="C5089" t="s">
        <v>44</v>
      </c>
      <c r="D5089" t="s">
        <v>1004</v>
      </c>
      <c r="F5089" s="21"/>
      <c r="G5089" s="16"/>
    </row>
    <row r="5090" spans="1:7" ht="15" x14ac:dyDescent="0.3">
      <c r="A5090">
        <v>53.746944427490199</v>
      </c>
      <c r="B5090">
        <v>20.484092712402301</v>
      </c>
      <c r="C5090" t="s">
        <v>41</v>
      </c>
      <c r="D5090" t="s">
        <v>3201</v>
      </c>
      <c r="F5090" s="21"/>
      <c r="G5090" s="16" t="str">
        <f>HYPERLINK("http://maps.google.com/maps?f=q&amp;hl=en&amp;geocode=&amp;q=53.7469444274902,20.4840927124023")</f>
        <v>http://maps.google.com/maps?f=q&amp;hl=en&amp;geocode=&amp;q=53.7469444274902,20.4840927124023</v>
      </c>
    </row>
    <row r="5091" spans="1:7" ht="15" x14ac:dyDescent="0.3">
      <c r="A5091">
        <v>59.873634338378899</v>
      </c>
      <c r="B5091">
        <v>11.263486862182599</v>
      </c>
      <c r="C5091" t="s">
        <v>41</v>
      </c>
      <c r="D5091" t="s">
        <v>3202</v>
      </c>
      <c r="F5091" s="21"/>
      <c r="G5091" s="16" t="str">
        <f>HYPERLINK("http://maps.google.com/maps?f=q&amp;hl=en&amp;geocode=&amp;q=59.8736343383789,11.2634868621826")</f>
        <v>http://maps.google.com/maps?f=q&amp;hl=en&amp;geocode=&amp;q=59.8736343383789,11.2634868621826</v>
      </c>
    </row>
    <row r="5092" spans="1:7" ht="15" x14ac:dyDescent="0.3">
      <c r="A5092">
        <v>39.998260000000002</v>
      </c>
      <c r="B5092">
        <v>-75.118979999999993</v>
      </c>
      <c r="C5092" t="s">
        <v>41</v>
      </c>
      <c r="D5092" t="s">
        <v>3203</v>
      </c>
      <c r="F5092" s="21"/>
      <c r="G5092" s="16" t="str">
        <f>HYPERLINK("http://maps.google.com/maps?f=q&amp;hl=en&amp;geocode=&amp;q=39.99826,-75.11898")</f>
        <v>http://maps.google.com/maps?f=q&amp;hl=en&amp;geocode=&amp;q=39.99826,-75.11898</v>
      </c>
    </row>
    <row r="5093" spans="1:7" ht="15" x14ac:dyDescent="0.3">
      <c r="A5093">
        <v>-33.299518585205099</v>
      </c>
      <c r="B5093">
        <v>149.01606750488301</v>
      </c>
      <c r="C5093" t="s">
        <v>43</v>
      </c>
      <c r="D5093" t="s">
        <v>3204</v>
      </c>
      <c r="F5093" s="21"/>
      <c r="G5093" s="16" t="str">
        <f>HYPERLINK("http://maps.google.com/maps?f=q&amp;hl=en&amp;geocode=&amp;q=-33.2995185852051,149.016067504883")</f>
        <v>http://maps.google.com/maps?f=q&amp;hl=en&amp;geocode=&amp;q=-33.2995185852051,149.016067504883</v>
      </c>
    </row>
    <row r="5094" spans="1:7" ht="15" x14ac:dyDescent="0.3">
      <c r="A5094">
        <v>41.233863218392898</v>
      </c>
      <c r="B5094">
        <v>-92.525928747020799</v>
      </c>
      <c r="C5094" t="s">
        <v>41</v>
      </c>
      <c r="D5094" t="s">
        <v>233</v>
      </c>
      <c r="F5094" s="21"/>
      <c r="G5094" s="16" t="str">
        <f>HYPERLINK("http://maps.google.com/maps?f=q&amp;hl=en&amp;geocode=&amp;q=41.2338632183929,-92.5259287470208")</f>
        <v>http://maps.google.com/maps?f=q&amp;hl=en&amp;geocode=&amp;q=41.2338632183929,-92.5259287470208</v>
      </c>
    </row>
    <row r="5095" spans="1:7" ht="15" x14ac:dyDescent="0.3">
      <c r="A5095">
        <v>40.035719999999998</v>
      </c>
      <c r="B5095">
        <v>-75.070629999999994</v>
      </c>
      <c r="C5095" t="s">
        <v>41</v>
      </c>
      <c r="D5095" t="s">
        <v>760</v>
      </c>
      <c r="F5095" s="21"/>
      <c r="G5095" s="16" t="str">
        <f>HYPERLINK("http://maps.google.com/maps?f=q&amp;hl=en&amp;geocode=&amp;q=40.03572,-75.07063")</f>
        <v>http://maps.google.com/maps?f=q&amp;hl=en&amp;geocode=&amp;q=40.03572,-75.07063</v>
      </c>
    </row>
    <row r="5096" spans="1:7" ht="15" x14ac:dyDescent="0.3">
      <c r="A5096">
        <v>40.035719999999998</v>
      </c>
      <c r="B5096">
        <v>-75.070629999999994</v>
      </c>
      <c r="C5096" t="s">
        <v>41</v>
      </c>
      <c r="D5096" t="s">
        <v>760</v>
      </c>
      <c r="F5096" s="21"/>
      <c r="G5096" s="16" t="str">
        <f>HYPERLINK("http://maps.google.com/maps?f=q&amp;hl=en&amp;geocode=&amp;q=40.03572,-75.07063")</f>
        <v>http://maps.google.com/maps?f=q&amp;hl=en&amp;geocode=&amp;q=40.03572,-75.07063</v>
      </c>
    </row>
    <row r="5097" spans="1:7" ht="15" x14ac:dyDescent="0.3">
      <c r="A5097">
        <v>39.925229999999999</v>
      </c>
      <c r="B5097">
        <v>-75.235249999999994</v>
      </c>
      <c r="C5097" t="s">
        <v>41</v>
      </c>
      <c r="D5097" t="s">
        <v>161</v>
      </c>
      <c r="F5097" s="21"/>
      <c r="G5097" s="16" t="str">
        <f>HYPERLINK("http://maps.google.com/maps?f=q&amp;hl=en&amp;geocode=&amp;q=39.92523,-75.23525")</f>
        <v>http://maps.google.com/maps?f=q&amp;hl=en&amp;geocode=&amp;q=39.92523,-75.23525</v>
      </c>
    </row>
    <row r="5098" spans="1:7" ht="15" x14ac:dyDescent="0.3">
      <c r="A5098" t="s">
        <v>44</v>
      </c>
      <c r="B5098" t="s">
        <v>44</v>
      </c>
      <c r="C5098" t="s">
        <v>44</v>
      </c>
      <c r="D5098" t="s">
        <v>430</v>
      </c>
      <c r="F5098" s="21"/>
      <c r="G5098" s="16"/>
    </row>
    <row r="5099" spans="1:7" ht="15" x14ac:dyDescent="0.3">
      <c r="A5099">
        <v>-31.9093017578125</v>
      </c>
      <c r="B5099">
        <v>152.47531127929699</v>
      </c>
      <c r="C5099" t="s">
        <v>41</v>
      </c>
      <c r="D5099" t="s">
        <v>3205</v>
      </c>
      <c r="F5099" s="21"/>
      <c r="G5099" s="16" t="str">
        <f>HYPERLINK("http://maps.google.com/maps?f=q&amp;hl=en&amp;geocode=&amp;q=-31.9093017578125,152.475311279297")</f>
        <v>http://maps.google.com/maps?f=q&amp;hl=en&amp;geocode=&amp;q=-31.9093017578125,152.475311279297</v>
      </c>
    </row>
    <row r="5100" spans="1:7" ht="15" x14ac:dyDescent="0.3">
      <c r="A5100">
        <v>46.491163499999999</v>
      </c>
      <c r="B5100">
        <v>-80.947307699999996</v>
      </c>
      <c r="C5100" t="s">
        <v>41</v>
      </c>
      <c r="D5100" t="s">
        <v>3206</v>
      </c>
      <c r="F5100" s="21"/>
      <c r="G5100" s="16" t="str">
        <f>HYPERLINK("http://maps.google.com/maps?f=q&amp;hl=en&amp;geocode=&amp;q=46.4911635,-80.9473077")</f>
        <v>http://maps.google.com/maps?f=q&amp;hl=en&amp;geocode=&amp;q=46.4911635,-80.9473077</v>
      </c>
    </row>
    <row r="5101" spans="1:7" ht="15" x14ac:dyDescent="0.3">
      <c r="A5101">
        <v>-26.188575744628899</v>
      </c>
      <c r="B5101">
        <v>27.929327011108398</v>
      </c>
      <c r="C5101" t="s">
        <v>43</v>
      </c>
      <c r="D5101" t="s">
        <v>3207</v>
      </c>
      <c r="F5101" s="21"/>
      <c r="G5101" s="16" t="str">
        <f>HYPERLINK("http://maps.google.com/maps?f=q&amp;hl=en&amp;geocode=&amp;q=-26.1885757446289,27.9293270111084")</f>
        <v>http://maps.google.com/maps?f=q&amp;hl=en&amp;geocode=&amp;q=-26.1885757446289,27.9293270111084</v>
      </c>
    </row>
    <row r="5102" spans="1:7" ht="15" x14ac:dyDescent="0.3">
      <c r="A5102">
        <v>38.232700000000001</v>
      </c>
      <c r="B5102">
        <v>-85.717929999999996</v>
      </c>
      <c r="C5102" t="s">
        <v>41</v>
      </c>
      <c r="D5102" t="s">
        <v>3208</v>
      </c>
      <c r="F5102" s="21"/>
      <c r="G5102" s="16" t="str">
        <f>HYPERLINK("http://maps.google.com/maps?f=q&amp;hl=en&amp;geocode=&amp;q=38.2327,-85.71793")</f>
        <v>http://maps.google.com/maps?f=q&amp;hl=en&amp;geocode=&amp;q=38.2327,-85.71793</v>
      </c>
    </row>
    <row r="5103" spans="1:7" ht="15" x14ac:dyDescent="0.3">
      <c r="A5103">
        <v>50.587699890136697</v>
      </c>
      <c r="B5103">
        <v>4.32674217224121</v>
      </c>
      <c r="C5103" t="s">
        <v>43</v>
      </c>
      <c r="D5103" t="s">
        <v>3209</v>
      </c>
      <c r="F5103" s="21"/>
      <c r="G5103" s="16" t="str">
        <f>HYPERLINK("http://maps.google.com/maps?f=q&amp;hl=en&amp;geocode=&amp;q=50.5876998901367,4.32674217224121")</f>
        <v>http://maps.google.com/maps?f=q&amp;hl=en&amp;geocode=&amp;q=50.5876998901367,4.32674217224121</v>
      </c>
    </row>
    <row r="5104" spans="1:7" ht="15" x14ac:dyDescent="0.3">
      <c r="A5104">
        <v>40.000529999999998</v>
      </c>
      <c r="B5104">
        <v>-75.119249999999994</v>
      </c>
      <c r="C5104" t="s">
        <v>41</v>
      </c>
      <c r="D5104" t="s">
        <v>3210</v>
      </c>
      <c r="F5104" s="21"/>
      <c r="G5104" s="16" t="str">
        <f>HYPERLINK("http://maps.google.com/maps?f=q&amp;hl=en&amp;geocode=&amp;q=40.00053,-75.11925")</f>
        <v>http://maps.google.com/maps?f=q&amp;hl=en&amp;geocode=&amp;q=40.00053,-75.11925</v>
      </c>
    </row>
    <row r="5105" spans="1:7" ht="15" x14ac:dyDescent="0.3">
      <c r="A5105">
        <v>35.204781373863902</v>
      </c>
      <c r="B5105">
        <v>-78.058935903892504</v>
      </c>
      <c r="C5105" t="s">
        <v>41</v>
      </c>
      <c r="D5105" t="s">
        <v>3211</v>
      </c>
      <c r="F5105" s="21"/>
      <c r="G5105" s="16" t="str">
        <f>HYPERLINK("http://maps.google.com/maps?f=q&amp;hl=en&amp;geocode=&amp;q=35.2047813738639,-78.0589359038925")</f>
        <v>http://maps.google.com/maps?f=q&amp;hl=en&amp;geocode=&amp;q=35.2047813738639,-78.0589359038925</v>
      </c>
    </row>
    <row r="5106" spans="1:7" ht="15" x14ac:dyDescent="0.3">
      <c r="A5106" t="s">
        <v>44</v>
      </c>
      <c r="B5106" t="s">
        <v>44</v>
      </c>
      <c r="C5106" t="s">
        <v>44</v>
      </c>
      <c r="D5106" t="s">
        <v>3212</v>
      </c>
      <c r="F5106" s="21"/>
      <c r="G5106" s="16"/>
    </row>
    <row r="5107" spans="1:7" ht="15" x14ac:dyDescent="0.3">
      <c r="A5107">
        <v>40.240113182502803</v>
      </c>
      <c r="B5107">
        <v>-77.051440745918896</v>
      </c>
      <c r="C5107" t="s">
        <v>41</v>
      </c>
      <c r="D5107" t="s">
        <v>2448</v>
      </c>
      <c r="F5107" s="21"/>
      <c r="G5107" s="16" t="str">
        <f>HYPERLINK("http://maps.google.com/maps?f=q&amp;hl=en&amp;geocode=&amp;q=40.2401131825028,-77.0514407459189")</f>
        <v>http://maps.google.com/maps?f=q&amp;hl=en&amp;geocode=&amp;q=40.2401131825028,-77.0514407459189</v>
      </c>
    </row>
    <row r="5108" spans="1:7" ht="15" x14ac:dyDescent="0.3">
      <c r="A5108">
        <v>44.347720000000002</v>
      </c>
      <c r="B5108">
        <v>-87.928359999999998</v>
      </c>
      <c r="C5108" t="s">
        <v>41</v>
      </c>
      <c r="D5108" t="s">
        <v>562</v>
      </c>
      <c r="F5108" s="21"/>
      <c r="G5108" s="16" t="str">
        <f>HYPERLINK("http://maps.google.com/maps?f=q&amp;hl=en&amp;geocode=&amp;q=44.34772,-87.92836")</f>
        <v>http://maps.google.com/maps?f=q&amp;hl=en&amp;geocode=&amp;q=44.34772,-87.92836</v>
      </c>
    </row>
    <row r="5109" spans="1:7" ht="15" x14ac:dyDescent="0.3">
      <c r="A5109">
        <v>39.934911833693498</v>
      </c>
      <c r="B5109">
        <v>-75.174656552581794</v>
      </c>
      <c r="C5109" t="s">
        <v>41</v>
      </c>
      <c r="D5109" t="s">
        <v>3213</v>
      </c>
      <c r="F5109" s="21"/>
      <c r="G5109" s="16" t="str">
        <f>HYPERLINK("http://maps.google.com/maps?f=q&amp;hl=en&amp;geocode=&amp;q=39.9349118336935,-75.1746565525818")</f>
        <v>http://maps.google.com/maps?f=q&amp;hl=en&amp;geocode=&amp;q=39.9349118336935,-75.1746565525818</v>
      </c>
    </row>
    <row r="5110" spans="1:7" ht="15" x14ac:dyDescent="0.3">
      <c r="A5110">
        <v>31.9538898468018</v>
      </c>
      <c r="B5110">
        <v>34.891830444335902</v>
      </c>
      <c r="C5110" t="s">
        <v>43</v>
      </c>
      <c r="D5110" t="s">
        <v>3214</v>
      </c>
      <c r="F5110" s="21"/>
      <c r="G5110" s="16" t="str">
        <f>HYPERLINK("http://maps.google.com/maps?f=q&amp;hl=en&amp;geocode=&amp;q=31.9538898468018,34.8918304443359")</f>
        <v>http://maps.google.com/maps?f=q&amp;hl=en&amp;geocode=&amp;q=31.9538898468018,34.8918304443359</v>
      </c>
    </row>
    <row r="5111" spans="1:7" ht="15" x14ac:dyDescent="0.3">
      <c r="A5111">
        <v>39.956710000000001</v>
      </c>
      <c r="B5111">
        <v>-75.223529999999997</v>
      </c>
      <c r="C5111" t="s">
        <v>43</v>
      </c>
      <c r="D5111" t="s">
        <v>3215</v>
      </c>
      <c r="F5111" s="21"/>
      <c r="G5111" s="16" t="str">
        <f>HYPERLINK("http://maps.google.com/maps?f=q&amp;hl=en&amp;geocode=&amp;q=39.95671,-75.22353")</f>
        <v>http://maps.google.com/maps?f=q&amp;hl=en&amp;geocode=&amp;q=39.95671,-75.22353</v>
      </c>
    </row>
    <row r="5112" spans="1:7" ht="15" x14ac:dyDescent="0.3">
      <c r="A5112">
        <v>49.672069549560497</v>
      </c>
      <c r="B5112">
        <v>5.76058101654053</v>
      </c>
      <c r="C5112" t="s">
        <v>43</v>
      </c>
      <c r="D5112" t="s">
        <v>3216</v>
      </c>
      <c r="F5112" s="21"/>
      <c r="G5112" s="16" t="str">
        <f>HYPERLINK("http://maps.google.com/maps?f=q&amp;hl=en&amp;geocode=&amp;q=49.6720695495605,5.76058101654053")</f>
        <v>http://maps.google.com/maps?f=q&amp;hl=en&amp;geocode=&amp;q=49.6720695495605,5.76058101654053</v>
      </c>
    </row>
    <row r="5113" spans="1:7" ht="15" x14ac:dyDescent="0.3">
      <c r="A5113">
        <v>30.652480000000001</v>
      </c>
      <c r="B5113">
        <v>-87.045649999999995</v>
      </c>
      <c r="C5113" t="s">
        <v>42</v>
      </c>
      <c r="D5113" t="s">
        <v>800</v>
      </c>
      <c r="F5113" s="21"/>
      <c r="G5113" s="16" t="str">
        <f>HYPERLINK("http://maps.google.com/maps?f=q&amp;hl=en&amp;geocode=&amp;q=30.65248,-87.04565")</f>
        <v>http://maps.google.com/maps?f=q&amp;hl=en&amp;geocode=&amp;q=30.65248,-87.04565</v>
      </c>
    </row>
    <row r="5114" spans="1:7" ht="15" x14ac:dyDescent="0.3">
      <c r="A5114">
        <v>39.014539999999997</v>
      </c>
      <c r="B5114">
        <v>-94.582589999999996</v>
      </c>
      <c r="C5114" t="s">
        <v>43</v>
      </c>
      <c r="D5114" t="s">
        <v>1205</v>
      </c>
      <c r="F5114" s="21"/>
      <c r="G5114" s="16" t="str">
        <f>HYPERLINK("http://maps.google.com/maps?f=q&amp;hl=en&amp;geocode=&amp;q=39.01454,-94.58259")</f>
        <v>http://maps.google.com/maps?f=q&amp;hl=en&amp;geocode=&amp;q=39.01454,-94.58259</v>
      </c>
    </row>
    <row r="5115" spans="1:7" ht="15" x14ac:dyDescent="0.3">
      <c r="A5115">
        <v>40.04683</v>
      </c>
      <c r="B5115">
        <v>-75.098050000000001</v>
      </c>
      <c r="C5115" t="s">
        <v>41</v>
      </c>
      <c r="D5115" t="s">
        <v>3217</v>
      </c>
      <c r="F5115" s="21"/>
      <c r="G5115" s="16" t="str">
        <f>HYPERLINK("http://maps.google.com/maps?f=q&amp;hl=en&amp;geocode=&amp;q=40.04683,-75.09805")</f>
        <v>http://maps.google.com/maps?f=q&amp;hl=en&amp;geocode=&amp;q=40.04683,-75.09805</v>
      </c>
    </row>
    <row r="5116" spans="1:7" ht="15" x14ac:dyDescent="0.3">
      <c r="A5116">
        <v>34.107506600029097</v>
      </c>
      <c r="B5116">
        <v>-84.597332893712903</v>
      </c>
      <c r="C5116" t="s">
        <v>41</v>
      </c>
      <c r="D5116" t="s">
        <v>3218</v>
      </c>
      <c r="F5116" s="21"/>
      <c r="G5116" s="16" t="str">
        <f>HYPERLINK("http://maps.google.com/maps?f=q&amp;hl=en&amp;geocode=&amp;q=34.1075066000291,-84.5973328937129")</f>
        <v>http://maps.google.com/maps?f=q&amp;hl=en&amp;geocode=&amp;q=34.1075066000291,-84.5973328937129</v>
      </c>
    </row>
    <row r="5117" spans="1:7" ht="15" x14ac:dyDescent="0.3">
      <c r="A5117">
        <v>40.894489288330099</v>
      </c>
      <c r="B5117">
        <v>-72.892898559570298</v>
      </c>
      <c r="C5117" t="s">
        <v>43</v>
      </c>
      <c r="D5117" t="s">
        <v>3219</v>
      </c>
      <c r="F5117" s="21"/>
      <c r="G5117" s="16" t="str">
        <f>HYPERLINK("http://maps.google.com/maps?f=q&amp;hl=en&amp;geocode=&amp;q=40.8944892883301,-72.8928985595703")</f>
        <v>http://maps.google.com/maps?f=q&amp;hl=en&amp;geocode=&amp;q=40.8944892883301,-72.8928985595703</v>
      </c>
    </row>
    <row r="5118" spans="1:7" ht="15" x14ac:dyDescent="0.3">
      <c r="A5118">
        <v>40.132873850342797</v>
      </c>
      <c r="B5118">
        <v>-82.834424787082895</v>
      </c>
      <c r="C5118" t="s">
        <v>41</v>
      </c>
      <c r="D5118" t="s">
        <v>3220</v>
      </c>
      <c r="F5118" s="21"/>
      <c r="G5118" s="16" t="str">
        <f>HYPERLINK("http://maps.google.com/maps?f=q&amp;hl=en&amp;geocode=&amp;q=40.1328738503428,-82.8344247870829")</f>
        <v>http://maps.google.com/maps?f=q&amp;hl=en&amp;geocode=&amp;q=40.1328738503428,-82.8344247870829</v>
      </c>
    </row>
    <row r="5119" spans="1:7" ht="15" x14ac:dyDescent="0.3">
      <c r="A5119">
        <v>40.04898</v>
      </c>
      <c r="B5119">
        <v>-75.054079999999999</v>
      </c>
      <c r="C5119" t="s">
        <v>41</v>
      </c>
      <c r="D5119" t="s">
        <v>3221</v>
      </c>
      <c r="F5119" s="21"/>
      <c r="G5119" s="16" t="str">
        <f>HYPERLINK("http://maps.google.com/maps?f=q&amp;hl=en&amp;geocode=&amp;q=40.04898,-75.05408")</f>
        <v>http://maps.google.com/maps?f=q&amp;hl=en&amp;geocode=&amp;q=40.04898,-75.05408</v>
      </c>
    </row>
    <row r="5120" spans="1:7" ht="15" x14ac:dyDescent="0.3">
      <c r="A5120">
        <v>35.958046935190303</v>
      </c>
      <c r="B5120">
        <v>-77.473397765092201</v>
      </c>
      <c r="C5120" t="s">
        <v>41</v>
      </c>
      <c r="D5120" t="s">
        <v>3222</v>
      </c>
      <c r="F5120" s="21"/>
      <c r="G5120" s="16" t="str">
        <f>HYPERLINK("http://maps.google.com/maps?f=q&amp;hl=en&amp;geocode=&amp;q=35.9580469351903,-77.4733977650922")</f>
        <v>http://maps.google.com/maps?f=q&amp;hl=en&amp;geocode=&amp;q=35.9580469351903,-77.4733977650922</v>
      </c>
    </row>
    <row r="5121" spans="1:7" ht="15" x14ac:dyDescent="0.3">
      <c r="A5121">
        <v>40.193464969506998</v>
      </c>
      <c r="B5121">
        <v>-110.04792045993</v>
      </c>
      <c r="C5121" t="s">
        <v>41</v>
      </c>
      <c r="D5121" t="s">
        <v>3223</v>
      </c>
      <c r="F5121" s="21"/>
      <c r="G5121" s="16" t="str">
        <f>HYPERLINK("http://maps.google.com/maps?f=q&amp;hl=en&amp;geocode=&amp;q=40.193464969507,-110.04792045993")</f>
        <v>http://maps.google.com/maps?f=q&amp;hl=en&amp;geocode=&amp;q=40.193464969507,-110.04792045993</v>
      </c>
    </row>
    <row r="5122" spans="1:7" ht="15" x14ac:dyDescent="0.3">
      <c r="A5122">
        <v>48.848320007324197</v>
      </c>
      <c r="B5122">
        <v>8.9252901077270508</v>
      </c>
      <c r="C5122" t="s">
        <v>41</v>
      </c>
      <c r="D5122" t="s">
        <v>3224</v>
      </c>
      <c r="F5122" s="21"/>
      <c r="G5122" s="16" t="str">
        <f>HYPERLINK("http://maps.google.com/maps?f=q&amp;hl=en&amp;geocode=&amp;q=48.8483200073242,8.92529010772705")</f>
        <v>http://maps.google.com/maps?f=q&amp;hl=en&amp;geocode=&amp;q=48.8483200073242,8.92529010772705</v>
      </c>
    </row>
    <row r="5123" spans="1:7" ht="15" x14ac:dyDescent="0.3">
      <c r="A5123" t="s">
        <v>44</v>
      </c>
      <c r="B5123" t="s">
        <v>44</v>
      </c>
      <c r="C5123" t="s">
        <v>44</v>
      </c>
      <c r="D5123" t="s">
        <v>3225</v>
      </c>
      <c r="F5123" s="21"/>
      <c r="G5123" s="16"/>
    </row>
    <row r="5124" spans="1:7" ht="15" x14ac:dyDescent="0.3">
      <c r="A5124">
        <v>39.940657136803303</v>
      </c>
      <c r="B5124">
        <v>-75.179765868760796</v>
      </c>
      <c r="C5124" t="s">
        <v>41</v>
      </c>
      <c r="D5124" t="s">
        <v>3226</v>
      </c>
      <c r="F5124" s="21"/>
      <c r="G5124" s="16" t="str">
        <f>HYPERLINK("http://maps.google.com/maps?f=q&amp;hl=en&amp;geocode=&amp;q=39.9406571368033,-75.1797658687608")</f>
        <v>http://maps.google.com/maps?f=q&amp;hl=en&amp;geocode=&amp;q=39.9406571368033,-75.1797658687608</v>
      </c>
    </row>
    <row r="5125" spans="1:7" ht="15" x14ac:dyDescent="0.3">
      <c r="A5125" t="s">
        <v>44</v>
      </c>
      <c r="B5125" t="s">
        <v>44</v>
      </c>
      <c r="C5125" t="s">
        <v>44</v>
      </c>
      <c r="D5125" t="s">
        <v>3227</v>
      </c>
      <c r="F5125" s="21"/>
      <c r="G5125" s="16"/>
    </row>
    <row r="5126" spans="1:7" ht="15" x14ac:dyDescent="0.3">
      <c r="A5126">
        <v>38.031969406850102</v>
      </c>
      <c r="B5126">
        <v>-87.495693725228705</v>
      </c>
      <c r="C5126" t="s">
        <v>41</v>
      </c>
      <c r="D5126" t="s">
        <v>1375</v>
      </c>
      <c r="F5126" s="21"/>
      <c r="G5126" s="16" t="str">
        <f>HYPERLINK("http://maps.google.com/maps?f=q&amp;hl=en&amp;geocode=&amp;q=38.0319694068501,-87.4956937252287")</f>
        <v>http://maps.google.com/maps?f=q&amp;hl=en&amp;geocode=&amp;q=38.0319694068501,-87.4956937252287</v>
      </c>
    </row>
    <row r="5127" spans="1:7" ht="15" x14ac:dyDescent="0.3">
      <c r="A5127">
        <v>32.509830474853501</v>
      </c>
      <c r="B5127">
        <v>-92.118789672851605</v>
      </c>
      <c r="C5127" t="s">
        <v>43</v>
      </c>
      <c r="D5127" t="s">
        <v>3228</v>
      </c>
      <c r="F5127" s="21"/>
      <c r="G5127" s="16" t="str">
        <f>HYPERLINK("http://maps.google.com/maps?f=q&amp;hl=en&amp;geocode=&amp;q=32.5098304748535,-92.1187896728516")</f>
        <v>http://maps.google.com/maps?f=q&amp;hl=en&amp;geocode=&amp;q=32.5098304748535,-92.1187896728516</v>
      </c>
    </row>
    <row r="5128" spans="1:7" ht="15" x14ac:dyDescent="0.3">
      <c r="A5128">
        <v>25.077440261840799</v>
      </c>
      <c r="B5128">
        <v>-77.340751647949205</v>
      </c>
      <c r="C5128" t="s">
        <v>41</v>
      </c>
      <c r="D5128" t="s">
        <v>3229</v>
      </c>
      <c r="F5128" s="21"/>
      <c r="G5128" s="16" t="str">
        <f>HYPERLINK("http://maps.google.com/maps?f=q&amp;hl=en&amp;geocode=&amp;q=25.0774402618408,-77.3407516479492")</f>
        <v>http://maps.google.com/maps?f=q&amp;hl=en&amp;geocode=&amp;q=25.0774402618408,-77.3407516479492</v>
      </c>
    </row>
    <row r="5129" spans="1:7" ht="15" x14ac:dyDescent="0.3">
      <c r="A5129">
        <v>39.980130000000003</v>
      </c>
      <c r="B5129">
        <v>-75.235990000000001</v>
      </c>
      <c r="C5129" t="s">
        <v>43</v>
      </c>
      <c r="D5129" t="s">
        <v>3230</v>
      </c>
      <c r="F5129" s="21"/>
      <c r="G5129" s="16" t="str">
        <f>HYPERLINK("http://maps.google.com/maps?f=q&amp;hl=en&amp;geocode=&amp;q=39.98013,-75.23599")</f>
        <v>http://maps.google.com/maps?f=q&amp;hl=en&amp;geocode=&amp;q=39.98013,-75.23599</v>
      </c>
    </row>
    <row r="5130" spans="1:7" ht="15" x14ac:dyDescent="0.3">
      <c r="A5130">
        <v>35.228879999999997</v>
      </c>
      <c r="B5130">
        <v>-89.93374</v>
      </c>
      <c r="C5130" t="s">
        <v>43</v>
      </c>
      <c r="D5130" t="s">
        <v>3231</v>
      </c>
      <c r="F5130" s="21"/>
      <c r="G5130" s="16" t="str">
        <f>HYPERLINK("http://maps.google.com/maps?f=q&amp;hl=en&amp;geocode=&amp;q=35.22888,-89.93374")</f>
        <v>http://maps.google.com/maps?f=q&amp;hl=en&amp;geocode=&amp;q=35.22888,-89.93374</v>
      </c>
    </row>
    <row r="5131" spans="1:7" ht="15" x14ac:dyDescent="0.3">
      <c r="A5131">
        <v>35.228879999999997</v>
      </c>
      <c r="B5131">
        <v>-89.93374</v>
      </c>
      <c r="C5131" t="s">
        <v>43</v>
      </c>
      <c r="D5131" t="s">
        <v>3231</v>
      </c>
      <c r="F5131" s="21"/>
      <c r="G5131" s="16" t="str">
        <f>HYPERLINK("http://maps.google.com/maps?f=q&amp;hl=en&amp;geocode=&amp;q=35.22888,-89.93374")</f>
        <v>http://maps.google.com/maps?f=q&amp;hl=en&amp;geocode=&amp;q=35.22888,-89.93374</v>
      </c>
    </row>
    <row r="5132" spans="1:7" ht="15" x14ac:dyDescent="0.3">
      <c r="A5132">
        <v>-26.377937316894499</v>
      </c>
      <c r="B5132">
        <v>28.166692733764599</v>
      </c>
      <c r="C5132" t="s">
        <v>43</v>
      </c>
      <c r="D5132" t="s">
        <v>3232</v>
      </c>
      <c r="F5132" s="21"/>
      <c r="G5132" s="16" t="str">
        <f>HYPERLINK("http://maps.google.com/maps?f=q&amp;hl=en&amp;geocode=&amp;q=-26.3779373168945,28.1666927337646")</f>
        <v>http://maps.google.com/maps?f=q&amp;hl=en&amp;geocode=&amp;q=-26.3779373168945,28.1666927337646</v>
      </c>
    </row>
    <row r="5133" spans="1:7" ht="15" x14ac:dyDescent="0.3">
      <c r="A5133">
        <v>33.997349999999997</v>
      </c>
      <c r="B5133">
        <v>-80.972570000000005</v>
      </c>
      <c r="C5133" t="s">
        <v>41</v>
      </c>
      <c r="D5133" t="s">
        <v>3233</v>
      </c>
      <c r="F5133" s="21"/>
      <c r="G5133" s="16" t="str">
        <f>HYPERLINK("http://maps.google.com/maps?f=q&amp;hl=en&amp;geocode=&amp;q=33.99735,-80.97257")</f>
        <v>http://maps.google.com/maps?f=q&amp;hl=en&amp;geocode=&amp;q=33.99735,-80.97257</v>
      </c>
    </row>
    <row r="5134" spans="1:7" ht="15" x14ac:dyDescent="0.3">
      <c r="A5134">
        <v>40.439590000000003</v>
      </c>
      <c r="B5134">
        <v>-111.77625</v>
      </c>
      <c r="C5134" t="s">
        <v>41</v>
      </c>
      <c r="D5134" t="s">
        <v>904</v>
      </c>
      <c r="F5134" s="21"/>
      <c r="G5134" s="16" t="str">
        <f>HYPERLINK("http://maps.google.com/maps?f=q&amp;hl=en&amp;geocode=&amp;q=40.43959,-111.77625")</f>
        <v>http://maps.google.com/maps?f=q&amp;hl=en&amp;geocode=&amp;q=40.43959,-111.77625</v>
      </c>
    </row>
    <row r="5135" spans="1:7" ht="15" x14ac:dyDescent="0.3">
      <c r="A5135">
        <v>29.1952</v>
      </c>
      <c r="B5135">
        <v>-81.025959999999998</v>
      </c>
      <c r="C5135" t="s">
        <v>42</v>
      </c>
      <c r="D5135" t="s">
        <v>2694</v>
      </c>
      <c r="F5135" s="21"/>
      <c r="G5135" s="16" t="str">
        <f>HYPERLINK("http://maps.google.com/maps?f=q&amp;hl=en&amp;geocode=&amp;q=29.1952,-81.02596")</f>
        <v>http://maps.google.com/maps?f=q&amp;hl=en&amp;geocode=&amp;q=29.1952,-81.02596</v>
      </c>
    </row>
    <row r="5136" spans="1:7" ht="15" x14ac:dyDescent="0.3">
      <c r="A5136">
        <v>42.997422656800801</v>
      </c>
      <c r="B5136">
        <v>-95.623939346082395</v>
      </c>
      <c r="C5136" t="s">
        <v>41</v>
      </c>
      <c r="D5136" t="s">
        <v>71</v>
      </c>
      <c r="F5136" s="21"/>
      <c r="G5136" s="16" t="str">
        <f>HYPERLINK("http://maps.google.com/maps?f=q&amp;hl=en&amp;geocode=&amp;q=42.9974226568008,-95.6239393460824")</f>
        <v>http://maps.google.com/maps?f=q&amp;hl=en&amp;geocode=&amp;q=42.9974226568008,-95.6239393460824</v>
      </c>
    </row>
    <row r="5137" spans="1:7" ht="15" x14ac:dyDescent="0.3">
      <c r="A5137">
        <v>30.472020000000001</v>
      </c>
      <c r="B5137">
        <v>-82.722030000000004</v>
      </c>
      <c r="C5137" t="s">
        <v>42</v>
      </c>
      <c r="D5137" t="s">
        <v>3072</v>
      </c>
      <c r="F5137" s="21"/>
      <c r="G5137" s="16" t="str">
        <f>HYPERLINK("http://maps.google.com/maps?f=q&amp;hl=en&amp;geocode=&amp;q=30.47202,-82.72203")</f>
        <v>http://maps.google.com/maps?f=q&amp;hl=en&amp;geocode=&amp;q=30.47202,-82.72203</v>
      </c>
    </row>
    <row r="5138" spans="1:7" ht="15" x14ac:dyDescent="0.3">
      <c r="A5138">
        <v>40.037979125976598</v>
      </c>
      <c r="B5138">
        <v>-75.223060607910199</v>
      </c>
      <c r="C5138" t="s">
        <v>41</v>
      </c>
      <c r="D5138" t="s">
        <v>100</v>
      </c>
      <c r="F5138" s="21"/>
      <c r="G5138" s="16" t="str">
        <f>HYPERLINK("http://maps.google.com/maps?f=q&amp;hl=en&amp;geocode=&amp;q=40.0379791259766,-75.2230606079102")</f>
        <v>http://maps.google.com/maps?f=q&amp;hl=en&amp;geocode=&amp;q=40.0379791259766,-75.2230606079102</v>
      </c>
    </row>
    <row r="5139" spans="1:7" ht="15" x14ac:dyDescent="0.3">
      <c r="A5139">
        <v>40.037979125976598</v>
      </c>
      <c r="B5139">
        <v>-75.223060607910199</v>
      </c>
      <c r="C5139" t="s">
        <v>41</v>
      </c>
      <c r="D5139" t="s">
        <v>3234</v>
      </c>
      <c r="F5139" s="21"/>
      <c r="G5139" s="16" t="str">
        <f>HYPERLINK("http://maps.google.com/maps?f=q&amp;hl=en&amp;geocode=&amp;q=40.0379791259766,-75.2230606079102")</f>
        <v>http://maps.google.com/maps?f=q&amp;hl=en&amp;geocode=&amp;q=40.0379791259766,-75.2230606079102</v>
      </c>
    </row>
    <row r="5140" spans="1:7" ht="15" x14ac:dyDescent="0.3">
      <c r="A5140">
        <v>30.797270000000001</v>
      </c>
      <c r="B5140">
        <v>-85.685649999999995</v>
      </c>
      <c r="C5140" t="s">
        <v>43</v>
      </c>
      <c r="D5140" t="s">
        <v>3235</v>
      </c>
      <c r="F5140" s="21"/>
      <c r="G5140" s="16" t="str">
        <f>HYPERLINK("http://maps.google.com/maps?f=q&amp;hl=en&amp;geocode=&amp;q=30.79727,-85.68565")</f>
        <v>http://maps.google.com/maps?f=q&amp;hl=en&amp;geocode=&amp;q=30.79727,-85.68565</v>
      </c>
    </row>
    <row r="5141" spans="1:7" ht="15" x14ac:dyDescent="0.3">
      <c r="A5141">
        <v>7.3835182189941397</v>
      </c>
      <c r="B5141">
        <v>-12.2588081359863</v>
      </c>
      <c r="C5141" t="s">
        <v>41</v>
      </c>
      <c r="D5141" t="s">
        <v>202</v>
      </c>
      <c r="F5141" s="21"/>
      <c r="G5141" s="16" t="str">
        <f>HYPERLINK("http://maps.google.com/maps?f=q&amp;hl=en&amp;geocode=&amp;q=7.38351821899414,-12.2588081359863")</f>
        <v>http://maps.google.com/maps?f=q&amp;hl=en&amp;geocode=&amp;q=7.38351821899414,-12.2588081359863</v>
      </c>
    </row>
    <row r="5142" spans="1:7" ht="15" x14ac:dyDescent="0.3">
      <c r="A5142">
        <v>36.220359802246101</v>
      </c>
      <c r="B5142">
        <v>-81.686958312988295</v>
      </c>
      <c r="C5142" t="s">
        <v>43</v>
      </c>
      <c r="D5142" t="s">
        <v>3236</v>
      </c>
      <c r="F5142" s="21"/>
      <c r="G5142" s="16" t="str">
        <f>HYPERLINK("http://maps.google.com/maps?f=q&amp;hl=en&amp;geocode=&amp;q=36.2203598022461,-81.6869583129883")</f>
        <v>http://maps.google.com/maps?f=q&amp;hl=en&amp;geocode=&amp;q=36.2203598022461,-81.6869583129883</v>
      </c>
    </row>
    <row r="5143" spans="1:7" ht="15" x14ac:dyDescent="0.3">
      <c r="A5143">
        <v>40.681770324707003</v>
      </c>
      <c r="B5143">
        <v>-73.3675537109375</v>
      </c>
      <c r="C5143" t="s">
        <v>41</v>
      </c>
      <c r="D5143" t="s">
        <v>3237</v>
      </c>
      <c r="F5143" s="21"/>
      <c r="G5143" s="16" t="str">
        <f>HYPERLINK("http://maps.google.com/maps?f=q&amp;hl=en&amp;geocode=&amp;q=40.681770324707,-73.3675537109375")</f>
        <v>http://maps.google.com/maps?f=q&amp;hl=en&amp;geocode=&amp;q=40.681770324707,-73.3675537109375</v>
      </c>
    </row>
    <row r="5144" spans="1:7" ht="15" x14ac:dyDescent="0.3">
      <c r="A5144">
        <v>40.947248799680203</v>
      </c>
      <c r="B5144">
        <v>-75.9772731373168</v>
      </c>
      <c r="C5144" t="s">
        <v>41</v>
      </c>
      <c r="D5144" t="s">
        <v>3238</v>
      </c>
      <c r="F5144" s="21"/>
      <c r="G5144" s="16" t="str">
        <f>HYPERLINK("http://maps.google.com/maps?f=q&amp;hl=en&amp;geocode=&amp;q=40.9472487996802,-75.9772731373168")</f>
        <v>http://maps.google.com/maps?f=q&amp;hl=en&amp;geocode=&amp;q=40.9472487996802,-75.9772731373168</v>
      </c>
    </row>
    <row r="5145" spans="1:7" ht="15" x14ac:dyDescent="0.3">
      <c r="A5145">
        <v>39.220829010009801</v>
      </c>
      <c r="B5145">
        <v>-87.636940002441406</v>
      </c>
      <c r="C5145" t="s">
        <v>43</v>
      </c>
      <c r="D5145" t="s">
        <v>2715</v>
      </c>
      <c r="F5145" s="21"/>
      <c r="G5145" s="16" t="str">
        <f>HYPERLINK("http://maps.google.com/maps?f=q&amp;hl=en&amp;geocode=&amp;q=39.2208290100098,-87.6369400024414")</f>
        <v>http://maps.google.com/maps?f=q&amp;hl=en&amp;geocode=&amp;q=39.2208290100098,-87.6369400024414</v>
      </c>
    </row>
    <row r="5146" spans="1:7" ht="15" x14ac:dyDescent="0.3">
      <c r="A5146">
        <v>53.513919830322301</v>
      </c>
      <c r="B5146">
        <v>13.018739700317401</v>
      </c>
      <c r="C5146" t="s">
        <v>43</v>
      </c>
      <c r="D5146" t="s">
        <v>3239</v>
      </c>
      <c r="F5146" s="21"/>
      <c r="G5146" s="16" t="str">
        <f>HYPERLINK("http://maps.google.com/maps?f=q&amp;hl=en&amp;geocode=&amp;q=53.5139198303223,13.0187397003174")</f>
        <v>http://maps.google.com/maps?f=q&amp;hl=en&amp;geocode=&amp;q=53.5139198303223,13.0187397003174</v>
      </c>
    </row>
    <row r="5147" spans="1:7" ht="15" x14ac:dyDescent="0.3">
      <c r="A5147">
        <v>37.6307527593533</v>
      </c>
      <c r="B5147">
        <v>-80.985487552934401</v>
      </c>
      <c r="C5147" t="s">
        <v>41</v>
      </c>
      <c r="D5147" t="s">
        <v>84</v>
      </c>
      <c r="F5147" s="21"/>
      <c r="G5147" s="16" t="str">
        <f>HYPERLINK("http://maps.google.com/maps?f=q&amp;hl=en&amp;geocode=&amp;q=37.6307527593533,-80.9854875529344")</f>
        <v>http://maps.google.com/maps?f=q&amp;hl=en&amp;geocode=&amp;q=37.6307527593533,-80.9854875529344</v>
      </c>
    </row>
    <row r="5148" spans="1:7" ht="15" x14ac:dyDescent="0.3">
      <c r="A5148">
        <v>33.768300000000004</v>
      </c>
      <c r="B5148">
        <v>-118.03646000000001</v>
      </c>
      <c r="C5148" t="s">
        <v>41</v>
      </c>
      <c r="D5148" t="s">
        <v>3240</v>
      </c>
      <c r="F5148" s="21"/>
      <c r="G5148" s="16" t="str">
        <f>HYPERLINK("http://maps.google.com/maps?f=q&amp;hl=en&amp;geocode=&amp;q=33.7683,-118.03646")</f>
        <v>http://maps.google.com/maps?f=q&amp;hl=en&amp;geocode=&amp;q=33.7683,-118.03646</v>
      </c>
    </row>
    <row r="5149" spans="1:7" ht="15" x14ac:dyDescent="0.3">
      <c r="A5149">
        <v>46.408790588378899</v>
      </c>
      <c r="B5149">
        <v>12.017880439758301</v>
      </c>
      <c r="C5149" t="s">
        <v>41</v>
      </c>
      <c r="D5149" t="s">
        <v>3241</v>
      </c>
      <c r="F5149" s="21"/>
      <c r="G5149" s="16" t="str">
        <f>HYPERLINK("http://maps.google.com/maps?f=q&amp;hl=en&amp;geocode=&amp;q=46.4087905883789,12.0178804397583")</f>
        <v>http://maps.google.com/maps?f=q&amp;hl=en&amp;geocode=&amp;q=46.4087905883789,12.0178804397583</v>
      </c>
    </row>
    <row r="5150" spans="1:7" ht="15" x14ac:dyDescent="0.3">
      <c r="A5150">
        <v>32.616737000000001</v>
      </c>
      <c r="B5150">
        <v>-97.038713000000001</v>
      </c>
      <c r="C5150" t="s">
        <v>43</v>
      </c>
      <c r="D5150" t="s">
        <v>3242</v>
      </c>
      <c r="F5150" s="21"/>
      <c r="G5150" s="16" t="str">
        <f>HYPERLINK("http://maps.google.com/maps?f=q&amp;hl=en&amp;geocode=&amp;q=32.616737,-97.038713")</f>
        <v>http://maps.google.com/maps?f=q&amp;hl=en&amp;geocode=&amp;q=32.616737,-97.038713</v>
      </c>
    </row>
    <row r="5151" spans="1:7" ht="15" x14ac:dyDescent="0.3">
      <c r="A5151">
        <v>49.604049682617202</v>
      </c>
      <c r="B5151">
        <v>6.3915061950683603</v>
      </c>
      <c r="C5151" t="s">
        <v>43</v>
      </c>
      <c r="D5151" t="s">
        <v>3243</v>
      </c>
      <c r="F5151" s="21"/>
      <c r="G5151" s="16" t="str">
        <f>HYPERLINK("http://maps.google.com/maps?f=q&amp;hl=en&amp;geocode=&amp;q=49.6040496826172,6.39150619506836")</f>
        <v>http://maps.google.com/maps?f=q&amp;hl=en&amp;geocode=&amp;q=49.6040496826172,6.39150619506836</v>
      </c>
    </row>
    <row r="5152" spans="1:7" ht="15" x14ac:dyDescent="0.3">
      <c r="A5152">
        <v>39.220829010009801</v>
      </c>
      <c r="B5152">
        <v>-87.636940002441406</v>
      </c>
      <c r="C5152" t="s">
        <v>43</v>
      </c>
      <c r="D5152" t="s">
        <v>3244</v>
      </c>
      <c r="F5152" s="21"/>
      <c r="G5152" s="16" t="str">
        <f>HYPERLINK("http://maps.google.com/maps?f=q&amp;hl=en&amp;geocode=&amp;q=39.2208290100098,-87.6369400024414")</f>
        <v>http://maps.google.com/maps?f=q&amp;hl=en&amp;geocode=&amp;q=39.2208290100098,-87.6369400024414</v>
      </c>
    </row>
    <row r="5153" spans="1:7" ht="15" x14ac:dyDescent="0.3">
      <c r="A5153">
        <v>38.717230000000001</v>
      </c>
      <c r="B5153">
        <v>-89.666309999999996</v>
      </c>
      <c r="C5153" t="s">
        <v>42</v>
      </c>
      <c r="D5153" t="s">
        <v>3245</v>
      </c>
      <c r="F5153" s="21"/>
      <c r="G5153" s="16" t="str">
        <f>HYPERLINK("http://maps.google.com/maps?f=q&amp;hl=en&amp;geocode=&amp;q=38.71723,-89.66631")</f>
        <v>http://maps.google.com/maps?f=q&amp;hl=en&amp;geocode=&amp;q=38.71723,-89.66631</v>
      </c>
    </row>
    <row r="5154" spans="1:7" ht="15" x14ac:dyDescent="0.3">
      <c r="A5154">
        <v>42.8018</v>
      </c>
      <c r="B5154">
        <v>-73.188019999999995</v>
      </c>
      <c r="C5154" t="s">
        <v>42</v>
      </c>
      <c r="D5154" t="s">
        <v>2947</v>
      </c>
      <c r="F5154" s="21"/>
      <c r="G5154" s="16" t="str">
        <f>HYPERLINK("http://maps.google.com/maps?f=q&amp;hl=en&amp;geocode=&amp;q=42.8018,-73.18802")</f>
        <v>http://maps.google.com/maps?f=q&amp;hl=en&amp;geocode=&amp;q=42.8018,-73.18802</v>
      </c>
    </row>
    <row r="5155" spans="1:7" ht="15" x14ac:dyDescent="0.3">
      <c r="A5155">
        <v>39.995420000000003</v>
      </c>
      <c r="B5155">
        <v>-75.167749999999998</v>
      </c>
      <c r="C5155" t="s">
        <v>41</v>
      </c>
      <c r="D5155" t="s">
        <v>2442</v>
      </c>
      <c r="F5155" s="21"/>
      <c r="G5155" s="16" t="str">
        <f>HYPERLINK("http://maps.google.com/maps?f=q&amp;hl=en&amp;geocode=&amp;q=39.99542,-75.16775")</f>
        <v>http://maps.google.com/maps?f=q&amp;hl=en&amp;geocode=&amp;q=39.99542,-75.16775</v>
      </c>
    </row>
    <row r="5156" spans="1:7" ht="15" x14ac:dyDescent="0.3">
      <c r="A5156">
        <v>39.996690000000001</v>
      </c>
      <c r="B5156">
        <v>-75.174300000000002</v>
      </c>
      <c r="C5156" t="s">
        <v>41</v>
      </c>
      <c r="D5156" t="s">
        <v>3246</v>
      </c>
      <c r="F5156" s="21"/>
      <c r="G5156" s="16" t="str">
        <f>HYPERLINK("http://maps.google.com/maps?f=q&amp;hl=en&amp;geocode=&amp;q=39.99669,-75.1743")</f>
        <v>http://maps.google.com/maps?f=q&amp;hl=en&amp;geocode=&amp;q=39.99669,-75.1743</v>
      </c>
    </row>
    <row r="5157" spans="1:7" ht="15" x14ac:dyDescent="0.3">
      <c r="A5157">
        <v>39.99729</v>
      </c>
      <c r="B5157">
        <v>-75.177090000000007</v>
      </c>
      <c r="C5157" t="s">
        <v>41</v>
      </c>
      <c r="D5157" t="s">
        <v>3247</v>
      </c>
      <c r="F5157" s="21"/>
      <c r="G5157" s="16" t="str">
        <f>HYPERLINK("http://maps.google.com/maps?f=q&amp;hl=en&amp;geocode=&amp;q=39.99729,-75.17709")</f>
        <v>http://maps.google.com/maps?f=q&amp;hl=en&amp;geocode=&amp;q=39.99729,-75.17709</v>
      </c>
    </row>
    <row r="5158" spans="1:7" ht="15" x14ac:dyDescent="0.3">
      <c r="A5158">
        <v>39.915140000000001</v>
      </c>
      <c r="B5158">
        <v>-75.240359999999995</v>
      </c>
      <c r="C5158" t="s">
        <v>43</v>
      </c>
      <c r="D5158" t="s">
        <v>3248</v>
      </c>
      <c r="F5158" s="21"/>
      <c r="G5158" s="16" t="str">
        <f>HYPERLINK("http://maps.google.com/maps?f=q&amp;hl=en&amp;geocode=&amp;q=39.91514,-75.24036")</f>
        <v>http://maps.google.com/maps?f=q&amp;hl=en&amp;geocode=&amp;q=39.91514,-75.24036</v>
      </c>
    </row>
    <row r="5159" spans="1:7" ht="15" x14ac:dyDescent="0.3">
      <c r="A5159">
        <v>40.0088586662973</v>
      </c>
      <c r="B5159">
        <v>-75.143617336516499</v>
      </c>
      <c r="C5159" t="s">
        <v>41</v>
      </c>
      <c r="D5159" t="s">
        <v>3249</v>
      </c>
      <c r="F5159" s="21"/>
      <c r="G5159" s="16" t="str">
        <f>HYPERLINK("http://maps.google.com/maps?f=q&amp;hl=en&amp;geocode=&amp;q=40.0088586662973,-75.1436173365165")</f>
        <v>http://maps.google.com/maps?f=q&amp;hl=en&amp;geocode=&amp;q=40.0088586662973,-75.1436173365165</v>
      </c>
    </row>
    <row r="5160" spans="1:7" ht="15" x14ac:dyDescent="0.3">
      <c r="A5160">
        <v>39.4432563781738</v>
      </c>
      <c r="B5160">
        <v>-98.957336425781307</v>
      </c>
      <c r="C5160" t="s">
        <v>43</v>
      </c>
      <c r="D5160" t="s">
        <v>1940</v>
      </c>
      <c r="F5160" s="21"/>
      <c r="G5160" s="16" t="str">
        <f>HYPERLINK("http://maps.google.com/maps?f=q&amp;hl=en&amp;geocode=&amp;q=39.4432563781738,-98.9573364257813")</f>
        <v>http://maps.google.com/maps?f=q&amp;hl=en&amp;geocode=&amp;q=39.4432563781738,-98.9573364257813</v>
      </c>
    </row>
    <row r="5161" spans="1:7" ht="15" x14ac:dyDescent="0.3">
      <c r="A5161">
        <v>35.092343767145501</v>
      </c>
      <c r="B5161">
        <v>-81.232687098686796</v>
      </c>
      <c r="C5161" t="s">
        <v>41</v>
      </c>
      <c r="D5161" t="s">
        <v>3250</v>
      </c>
      <c r="F5161" s="21"/>
      <c r="G5161" s="16" t="str">
        <f>HYPERLINK("http://maps.google.com/maps?f=q&amp;hl=en&amp;geocode=&amp;q=35.0923437671455,-81.2326870986868")</f>
        <v>http://maps.google.com/maps?f=q&amp;hl=en&amp;geocode=&amp;q=35.0923437671455,-81.2326870986868</v>
      </c>
    </row>
    <row r="5162" spans="1:7" ht="15" x14ac:dyDescent="0.3">
      <c r="A5162">
        <v>49.6090087890625</v>
      </c>
      <c r="B5162">
        <v>6.1344051361084002</v>
      </c>
      <c r="C5162" t="s">
        <v>43</v>
      </c>
      <c r="D5162" t="s">
        <v>3251</v>
      </c>
      <c r="F5162" s="21"/>
      <c r="G5162" s="16" t="str">
        <f>HYPERLINK("http://maps.google.com/maps?f=q&amp;hl=en&amp;geocode=&amp;q=49.6090087890625,6.1344051361084")</f>
        <v>http://maps.google.com/maps?f=q&amp;hl=en&amp;geocode=&amp;q=49.6090087890625,6.1344051361084</v>
      </c>
    </row>
    <row r="5163" spans="1:7" ht="15" x14ac:dyDescent="0.3">
      <c r="A5163">
        <v>36.263401031494098</v>
      </c>
      <c r="B5163">
        <v>-90.292747497558594</v>
      </c>
      <c r="C5163" t="s">
        <v>43</v>
      </c>
      <c r="D5163" t="s">
        <v>3252</v>
      </c>
      <c r="F5163" s="21"/>
      <c r="G5163" s="16" t="str">
        <f>HYPERLINK("http://maps.google.com/maps?f=q&amp;hl=en&amp;geocode=&amp;q=36.2634010314941,-90.2927474975586")</f>
        <v>http://maps.google.com/maps?f=q&amp;hl=en&amp;geocode=&amp;q=36.2634010314941,-90.2927474975586</v>
      </c>
    </row>
    <row r="5164" spans="1:7" ht="15" x14ac:dyDescent="0.3">
      <c r="A5164">
        <v>39.995420000000003</v>
      </c>
      <c r="B5164">
        <v>-75.167749999999998</v>
      </c>
      <c r="C5164" t="s">
        <v>41</v>
      </c>
      <c r="D5164" t="s">
        <v>2442</v>
      </c>
      <c r="F5164" s="21"/>
      <c r="G5164" s="16" t="str">
        <f>HYPERLINK("http://maps.google.com/maps?f=q&amp;hl=en&amp;geocode=&amp;q=39.99542,-75.16775")</f>
        <v>http://maps.google.com/maps?f=q&amp;hl=en&amp;geocode=&amp;q=39.99542,-75.16775</v>
      </c>
    </row>
    <row r="5165" spans="1:7" ht="15" x14ac:dyDescent="0.3">
      <c r="A5165">
        <v>39.993279999999999</v>
      </c>
      <c r="B5165">
        <v>-75.098560000000006</v>
      </c>
      <c r="C5165" t="s">
        <v>41</v>
      </c>
      <c r="D5165" t="s">
        <v>1697</v>
      </c>
      <c r="F5165" s="21"/>
      <c r="G5165" s="16" t="str">
        <f>HYPERLINK("http://maps.google.com/maps?f=q&amp;hl=en&amp;geocode=&amp;q=39.99328,-75.09856")</f>
        <v>http://maps.google.com/maps?f=q&amp;hl=en&amp;geocode=&amp;q=39.99328,-75.09856</v>
      </c>
    </row>
    <row r="5166" spans="1:7" ht="15" x14ac:dyDescent="0.3">
      <c r="A5166">
        <v>40.040390000000002</v>
      </c>
      <c r="B5166">
        <v>-75.109629999999996</v>
      </c>
      <c r="C5166" t="s">
        <v>43</v>
      </c>
      <c r="D5166" t="s">
        <v>777</v>
      </c>
      <c r="F5166" s="21"/>
      <c r="G5166" s="16" t="str">
        <f>HYPERLINK("http://maps.google.com/maps?f=q&amp;hl=en&amp;geocode=&amp;q=40.04039,-75.10963")</f>
        <v>http://maps.google.com/maps?f=q&amp;hl=en&amp;geocode=&amp;q=40.04039,-75.10963</v>
      </c>
    </row>
    <row r="5167" spans="1:7" ht="15" x14ac:dyDescent="0.3">
      <c r="A5167">
        <v>40.040390000000002</v>
      </c>
      <c r="B5167">
        <v>-75.109629999999996</v>
      </c>
      <c r="C5167" t="s">
        <v>43</v>
      </c>
      <c r="D5167" t="s">
        <v>777</v>
      </c>
      <c r="F5167" s="21"/>
      <c r="G5167" s="16" t="str">
        <f>HYPERLINK("http://maps.google.com/maps?f=q&amp;hl=en&amp;geocode=&amp;q=40.04039,-75.10963")</f>
        <v>http://maps.google.com/maps?f=q&amp;hl=en&amp;geocode=&amp;q=40.04039,-75.10963</v>
      </c>
    </row>
    <row r="5168" spans="1:7" ht="15" x14ac:dyDescent="0.3">
      <c r="A5168" t="s">
        <v>44</v>
      </c>
      <c r="B5168" t="s">
        <v>44</v>
      </c>
      <c r="C5168" t="s">
        <v>44</v>
      </c>
      <c r="D5168" t="s">
        <v>1004</v>
      </c>
      <c r="F5168" s="21"/>
      <c r="G5168" s="16"/>
    </row>
    <row r="5169" spans="1:7" ht="15" x14ac:dyDescent="0.3">
      <c r="A5169">
        <v>43.795138574239203</v>
      </c>
      <c r="B5169">
        <v>-91.234696596939898</v>
      </c>
      <c r="C5169" t="s">
        <v>41</v>
      </c>
      <c r="D5169" t="s">
        <v>3253</v>
      </c>
      <c r="F5169" s="21"/>
      <c r="G5169" s="16" t="str">
        <f>HYPERLINK("http://maps.google.com/maps?f=q&amp;hl=en&amp;geocode=&amp;q=43.7951385742392,-91.2346965969399")</f>
        <v>http://maps.google.com/maps?f=q&amp;hl=en&amp;geocode=&amp;q=43.7951385742392,-91.2346965969399</v>
      </c>
    </row>
    <row r="5170" spans="1:7" ht="15" x14ac:dyDescent="0.3">
      <c r="A5170">
        <v>42.722940000000001</v>
      </c>
      <c r="B5170">
        <v>-89.104380000000006</v>
      </c>
      <c r="C5170" t="s">
        <v>43</v>
      </c>
      <c r="D5170" t="s">
        <v>3254</v>
      </c>
      <c r="F5170" s="21"/>
      <c r="G5170" s="16" t="str">
        <f>HYPERLINK("http://maps.google.com/maps?f=q&amp;hl=en&amp;geocode=&amp;q=42.72294,-89.10438")</f>
        <v>http://maps.google.com/maps?f=q&amp;hl=en&amp;geocode=&amp;q=42.72294,-89.10438</v>
      </c>
    </row>
    <row r="5171" spans="1:7" ht="15" x14ac:dyDescent="0.3">
      <c r="A5171" t="s">
        <v>44</v>
      </c>
      <c r="B5171" t="s">
        <v>44</v>
      </c>
      <c r="C5171" t="s">
        <v>44</v>
      </c>
      <c r="D5171" t="s">
        <v>3255</v>
      </c>
      <c r="F5171" s="21"/>
      <c r="G5171" s="16"/>
    </row>
    <row r="5172" spans="1:7" ht="15" x14ac:dyDescent="0.3">
      <c r="A5172">
        <v>47.330696105957003</v>
      </c>
      <c r="B5172">
        <v>13.0668325424194</v>
      </c>
      <c r="C5172" t="s">
        <v>43</v>
      </c>
      <c r="D5172" t="s">
        <v>3256</v>
      </c>
      <c r="F5172" s="21"/>
      <c r="G5172" s="16" t="str">
        <f>HYPERLINK("http://maps.google.com/maps?f=q&amp;hl=en&amp;geocode=&amp;q=47.330696105957,13.0668325424194")</f>
        <v>http://maps.google.com/maps?f=q&amp;hl=en&amp;geocode=&amp;q=47.330696105957,13.0668325424194</v>
      </c>
    </row>
    <row r="5173" spans="1:7" ht="15" x14ac:dyDescent="0.3">
      <c r="A5173">
        <v>40.037979125976598</v>
      </c>
      <c r="B5173">
        <v>-75.223060607910199</v>
      </c>
      <c r="C5173" t="s">
        <v>41</v>
      </c>
      <c r="D5173" t="s">
        <v>277</v>
      </c>
      <c r="F5173" s="21"/>
      <c r="G5173" s="16" t="str">
        <f>HYPERLINK("http://maps.google.com/maps?f=q&amp;hl=en&amp;geocode=&amp;q=40.0379791259766,-75.2230606079102")</f>
        <v>http://maps.google.com/maps?f=q&amp;hl=en&amp;geocode=&amp;q=40.0379791259766,-75.2230606079102</v>
      </c>
    </row>
    <row r="5174" spans="1:7" ht="15" x14ac:dyDescent="0.3">
      <c r="A5174">
        <v>-34.574910000000003</v>
      </c>
      <c r="B5174">
        <v>150.81925000000001</v>
      </c>
      <c r="C5174" t="s">
        <v>41</v>
      </c>
      <c r="D5174" t="s">
        <v>3257</v>
      </c>
      <c r="F5174" s="21"/>
      <c r="G5174" s="16" t="str">
        <f>HYPERLINK("http://maps.google.com/maps?f=q&amp;hl=en&amp;geocode=&amp;q=-34.57491,150.81925")</f>
        <v>http://maps.google.com/maps?f=q&amp;hl=en&amp;geocode=&amp;q=-34.57491,150.81925</v>
      </c>
    </row>
    <row r="5175" spans="1:7" ht="15" x14ac:dyDescent="0.3">
      <c r="A5175">
        <v>30.146660000000001</v>
      </c>
      <c r="B5175">
        <v>-93.972229999999996</v>
      </c>
      <c r="C5175" t="s">
        <v>42</v>
      </c>
      <c r="D5175" t="s">
        <v>3258</v>
      </c>
      <c r="F5175" s="21"/>
      <c r="G5175" s="16" t="str">
        <f>HYPERLINK("http://maps.google.com/maps?f=q&amp;hl=en&amp;geocode=&amp;q=30.14666,-93.97223")</f>
        <v>http://maps.google.com/maps?f=q&amp;hl=en&amp;geocode=&amp;q=30.14666,-93.97223</v>
      </c>
    </row>
    <row r="5176" spans="1:7" ht="15" x14ac:dyDescent="0.3">
      <c r="A5176">
        <v>39.431381225585902</v>
      </c>
      <c r="B5176">
        <v>-76.3048095703125</v>
      </c>
      <c r="C5176" t="s">
        <v>41</v>
      </c>
      <c r="D5176" t="s">
        <v>3259</v>
      </c>
      <c r="F5176" s="21"/>
      <c r="G5176" s="16" t="str">
        <f>HYPERLINK("http://maps.google.com/maps?f=q&amp;hl=en&amp;geocode=&amp;q=39.4313812255859,-76.3048095703125")</f>
        <v>http://maps.google.com/maps?f=q&amp;hl=en&amp;geocode=&amp;q=39.4313812255859,-76.3048095703125</v>
      </c>
    </row>
    <row r="5177" spans="1:7" ht="15" x14ac:dyDescent="0.3">
      <c r="A5177">
        <v>-26.142440000000001</v>
      </c>
      <c r="B5177">
        <v>27.91825</v>
      </c>
      <c r="C5177" t="s">
        <v>41</v>
      </c>
      <c r="D5177" t="s">
        <v>2558</v>
      </c>
      <c r="F5177" s="21"/>
      <c r="G5177" s="16" t="str">
        <f>HYPERLINK("http://maps.google.com/maps?f=q&amp;hl=en&amp;geocode=&amp;q=-26.14244,27.91825")</f>
        <v>http://maps.google.com/maps?f=q&amp;hl=en&amp;geocode=&amp;q=-26.14244,27.91825</v>
      </c>
    </row>
    <row r="5178" spans="1:7" ht="15" x14ac:dyDescent="0.3">
      <c r="A5178">
        <v>39.996701962105298</v>
      </c>
      <c r="B5178">
        <v>-75.119253846862506</v>
      </c>
      <c r="C5178" t="s">
        <v>41</v>
      </c>
      <c r="D5178" t="s">
        <v>3260</v>
      </c>
      <c r="F5178" s="21"/>
      <c r="G5178" s="16" t="str">
        <f>HYPERLINK("http://maps.google.com/maps?f=q&amp;hl=en&amp;geocode=&amp;q=39.9967019621053,-75.1192538468625")</f>
        <v>http://maps.google.com/maps?f=q&amp;hl=en&amp;geocode=&amp;q=39.9967019621053,-75.1192538468625</v>
      </c>
    </row>
    <row r="5179" spans="1:7" ht="15" x14ac:dyDescent="0.3">
      <c r="A5179">
        <v>34.026931762695298</v>
      </c>
      <c r="B5179">
        <v>-117.84049987793</v>
      </c>
      <c r="C5179" t="s">
        <v>43</v>
      </c>
      <c r="D5179" t="s">
        <v>3261</v>
      </c>
      <c r="F5179" s="21"/>
      <c r="G5179" s="16" t="str">
        <f>HYPERLINK("http://maps.google.com/maps?f=q&amp;hl=en&amp;geocode=&amp;q=34.0269317626953,-117.84049987793")</f>
        <v>http://maps.google.com/maps?f=q&amp;hl=en&amp;geocode=&amp;q=34.0269317626953,-117.84049987793</v>
      </c>
    </row>
    <row r="5180" spans="1:7" ht="15" x14ac:dyDescent="0.3">
      <c r="A5180">
        <v>39.930070000000001</v>
      </c>
      <c r="B5180">
        <v>-75.160110000000003</v>
      </c>
      <c r="C5180" t="s">
        <v>41</v>
      </c>
      <c r="D5180" t="s">
        <v>3262</v>
      </c>
      <c r="F5180" s="21"/>
      <c r="G5180" s="16" t="str">
        <f>HYPERLINK("http://maps.google.com/maps?f=q&amp;hl=en&amp;geocode=&amp;q=39.93007,-75.16011")</f>
        <v>http://maps.google.com/maps?f=q&amp;hl=en&amp;geocode=&amp;q=39.93007,-75.16011</v>
      </c>
    </row>
    <row r="5181" spans="1:7" ht="15" x14ac:dyDescent="0.3">
      <c r="A5181" t="s">
        <v>44</v>
      </c>
      <c r="B5181" t="s">
        <v>44</v>
      </c>
      <c r="C5181" t="s">
        <v>44</v>
      </c>
      <c r="D5181" t="s">
        <v>3263</v>
      </c>
      <c r="F5181" s="21"/>
      <c r="G5181" s="16"/>
    </row>
    <row r="5182" spans="1:7" ht="15" x14ac:dyDescent="0.3">
      <c r="A5182" t="s">
        <v>44</v>
      </c>
      <c r="B5182" t="s">
        <v>44</v>
      </c>
      <c r="C5182" t="s">
        <v>44</v>
      </c>
      <c r="D5182" t="s">
        <v>3264</v>
      </c>
      <c r="F5182" s="21"/>
      <c r="G5182" s="16"/>
    </row>
    <row r="5183" spans="1:7" ht="15" x14ac:dyDescent="0.3">
      <c r="A5183">
        <v>37.019889999999997</v>
      </c>
      <c r="B5183">
        <v>-88.679940000000002</v>
      </c>
      <c r="C5183" t="s">
        <v>42</v>
      </c>
      <c r="D5183" t="s">
        <v>3265</v>
      </c>
      <c r="F5183" s="21"/>
      <c r="G5183" s="16" t="str">
        <f>HYPERLINK("http://maps.google.com/maps?f=q&amp;hl=en&amp;geocode=&amp;q=37.01989,-88.67994")</f>
        <v>http://maps.google.com/maps?f=q&amp;hl=en&amp;geocode=&amp;q=37.01989,-88.67994</v>
      </c>
    </row>
    <row r="5184" spans="1:7" ht="15" x14ac:dyDescent="0.3">
      <c r="A5184">
        <v>40.347012719351802</v>
      </c>
      <c r="B5184">
        <v>-76.425673822322906</v>
      </c>
      <c r="C5184" t="s">
        <v>41</v>
      </c>
      <c r="D5184" t="s">
        <v>3266</v>
      </c>
      <c r="F5184" s="21"/>
      <c r="G5184" s="16" t="str">
        <f>HYPERLINK("http://maps.google.com/maps?f=q&amp;hl=en&amp;geocode=&amp;q=40.3470127193518,-76.4256738223229")</f>
        <v>http://maps.google.com/maps?f=q&amp;hl=en&amp;geocode=&amp;q=40.3470127193518,-76.4256738223229</v>
      </c>
    </row>
    <row r="5185" spans="1:7" ht="15" x14ac:dyDescent="0.3">
      <c r="A5185">
        <v>39.912615033980799</v>
      </c>
      <c r="B5185">
        <v>-75.241030519199697</v>
      </c>
      <c r="C5185" t="s">
        <v>41</v>
      </c>
      <c r="D5185" t="s">
        <v>3267</v>
      </c>
      <c r="F5185" s="21"/>
      <c r="G5185" s="16" t="str">
        <f>HYPERLINK("http://maps.google.com/maps?f=q&amp;hl=en&amp;geocode=&amp;q=39.9126150339808,-75.2410305191997")</f>
        <v>http://maps.google.com/maps?f=q&amp;hl=en&amp;geocode=&amp;q=39.9126150339808,-75.2410305191997</v>
      </c>
    </row>
    <row r="5186" spans="1:7" ht="15" x14ac:dyDescent="0.3">
      <c r="A5186">
        <v>43.031004796376003</v>
      </c>
      <c r="B5186">
        <v>-83.728288886031294</v>
      </c>
      <c r="C5186" t="s">
        <v>41</v>
      </c>
      <c r="D5186" t="s">
        <v>3268</v>
      </c>
      <c r="F5186" s="21"/>
      <c r="G5186" s="16" t="str">
        <f>HYPERLINK("http://maps.google.com/maps?f=q&amp;hl=en&amp;geocode=&amp;q=43.031004796376,-83.7282888860313")</f>
        <v>http://maps.google.com/maps?f=q&amp;hl=en&amp;geocode=&amp;q=43.031004796376,-83.7282888860313</v>
      </c>
    </row>
    <row r="5187" spans="1:7" ht="15" x14ac:dyDescent="0.3">
      <c r="A5187">
        <v>34.90184</v>
      </c>
      <c r="B5187">
        <v>-82.292720000000003</v>
      </c>
      <c r="C5187" t="s">
        <v>42</v>
      </c>
      <c r="D5187" t="s">
        <v>3269</v>
      </c>
      <c r="F5187" s="21"/>
      <c r="G5187" s="16" t="str">
        <f>HYPERLINK("http://maps.google.com/maps?f=q&amp;hl=en&amp;geocode=&amp;q=34.90184,-82.29272")</f>
        <v>http://maps.google.com/maps?f=q&amp;hl=en&amp;geocode=&amp;q=34.90184,-82.29272</v>
      </c>
    </row>
    <row r="5188" spans="1:7" ht="15" x14ac:dyDescent="0.3">
      <c r="A5188">
        <v>34.167083023582002</v>
      </c>
      <c r="B5188">
        <v>-118.27850878255499</v>
      </c>
      <c r="C5188" t="s">
        <v>41</v>
      </c>
      <c r="D5188" t="s">
        <v>3270</v>
      </c>
      <c r="F5188" s="21"/>
      <c r="G5188" s="16" t="str">
        <f>HYPERLINK("http://maps.google.com/maps?f=q&amp;hl=en&amp;geocode=&amp;q=34.167083023582,-118.278508782555")</f>
        <v>http://maps.google.com/maps?f=q&amp;hl=en&amp;geocode=&amp;q=34.167083023582,-118.278508782555</v>
      </c>
    </row>
    <row r="5189" spans="1:7" ht="15" x14ac:dyDescent="0.3">
      <c r="A5189">
        <v>40.045589999999997</v>
      </c>
      <c r="B5189">
        <v>-75.148210000000006</v>
      </c>
      <c r="C5189" t="s">
        <v>41</v>
      </c>
      <c r="D5189" t="s">
        <v>3271</v>
      </c>
      <c r="F5189" s="21"/>
      <c r="G5189" s="16" t="str">
        <f>HYPERLINK("http://maps.google.com/maps?f=q&amp;hl=en&amp;geocode=&amp;q=40.04559,-75.14821")</f>
        <v>http://maps.google.com/maps?f=q&amp;hl=en&amp;geocode=&amp;q=40.04559,-75.14821</v>
      </c>
    </row>
    <row r="5190" spans="1:7" ht="15" x14ac:dyDescent="0.3">
      <c r="A5190">
        <v>41.443750516589603</v>
      </c>
      <c r="B5190">
        <v>-96.507570013769794</v>
      </c>
      <c r="C5190" t="s">
        <v>42</v>
      </c>
      <c r="D5190" t="s">
        <v>3272</v>
      </c>
      <c r="F5190" s="21"/>
      <c r="G5190" s="16" t="str">
        <f>HYPERLINK("http://maps.google.com/maps?f=q&amp;hl=en&amp;geocode=&amp;q=41.4437505165896,-96.5075700137698")</f>
        <v>http://maps.google.com/maps?f=q&amp;hl=en&amp;geocode=&amp;q=41.4437505165896,-96.5075700137698</v>
      </c>
    </row>
    <row r="5191" spans="1:7" ht="15" x14ac:dyDescent="0.3">
      <c r="A5191">
        <v>40.078620000000001</v>
      </c>
      <c r="B5191">
        <v>-75.086420000000004</v>
      </c>
      <c r="C5191" t="s">
        <v>41</v>
      </c>
      <c r="D5191" t="s">
        <v>247</v>
      </c>
      <c r="F5191" s="21"/>
      <c r="G5191" s="16" t="str">
        <f>HYPERLINK("http://maps.google.com/maps?f=q&amp;hl=en&amp;geocode=&amp;q=40.07862,-75.08642")</f>
        <v>http://maps.google.com/maps?f=q&amp;hl=en&amp;geocode=&amp;q=40.07862,-75.08642</v>
      </c>
    </row>
    <row r="5192" spans="1:7" ht="15" x14ac:dyDescent="0.3">
      <c r="A5192">
        <v>44.909820000000003</v>
      </c>
      <c r="B5192">
        <v>-90.319739999999996</v>
      </c>
      <c r="C5192" t="s">
        <v>41</v>
      </c>
      <c r="D5192" t="s">
        <v>3273</v>
      </c>
      <c r="F5192" s="21"/>
      <c r="G5192" s="16" t="str">
        <f>HYPERLINK("http://maps.google.com/maps?f=q&amp;hl=en&amp;geocode=&amp;q=44.90982,-90.31974")</f>
        <v>http://maps.google.com/maps?f=q&amp;hl=en&amp;geocode=&amp;q=44.90982,-90.31974</v>
      </c>
    </row>
    <row r="5193" spans="1:7" ht="15" x14ac:dyDescent="0.3">
      <c r="A5193">
        <v>39.965040000000002</v>
      </c>
      <c r="B5193">
        <v>-75.240089999999995</v>
      </c>
      <c r="C5193" t="s">
        <v>43</v>
      </c>
      <c r="D5193" t="s">
        <v>3274</v>
      </c>
      <c r="F5193" s="21"/>
      <c r="G5193" s="16" t="str">
        <f>HYPERLINK("http://maps.google.com/maps?f=q&amp;hl=en&amp;geocode=&amp;q=39.96504,-75.24009")</f>
        <v>http://maps.google.com/maps?f=q&amp;hl=en&amp;geocode=&amp;q=39.96504,-75.24009</v>
      </c>
    </row>
    <row r="5194" spans="1:7" ht="15" x14ac:dyDescent="0.3">
      <c r="A5194">
        <v>42.997422656800801</v>
      </c>
      <c r="B5194">
        <v>-95.623939346082395</v>
      </c>
      <c r="C5194" t="s">
        <v>41</v>
      </c>
      <c r="D5194" t="s">
        <v>71</v>
      </c>
      <c r="F5194" s="21"/>
      <c r="G5194" s="16" t="str">
        <f>HYPERLINK("http://maps.google.com/maps?f=q&amp;hl=en&amp;geocode=&amp;q=42.9974226568008,-95.6239393460824")</f>
        <v>http://maps.google.com/maps?f=q&amp;hl=en&amp;geocode=&amp;q=42.9974226568008,-95.6239393460824</v>
      </c>
    </row>
    <row r="5195" spans="1:7" ht="15" x14ac:dyDescent="0.3">
      <c r="A5195">
        <v>40.04036</v>
      </c>
      <c r="B5195">
        <v>-75.12415</v>
      </c>
      <c r="C5195" t="s">
        <v>42</v>
      </c>
      <c r="D5195" t="s">
        <v>1600</v>
      </c>
      <c r="F5195" s="21"/>
      <c r="G5195" s="16" t="str">
        <f>HYPERLINK("http://maps.google.com/maps?f=q&amp;hl=en&amp;geocode=&amp;q=40.04036,-75.12415")</f>
        <v>http://maps.google.com/maps?f=q&amp;hl=en&amp;geocode=&amp;q=40.04036,-75.12415</v>
      </c>
    </row>
    <row r="5196" spans="1:7" ht="15" x14ac:dyDescent="0.3">
      <c r="A5196">
        <v>43.236241883192903</v>
      </c>
      <c r="B5196">
        <v>-77.055058382628005</v>
      </c>
      <c r="C5196" t="s">
        <v>43</v>
      </c>
      <c r="D5196" t="s">
        <v>3275</v>
      </c>
      <c r="F5196" s="21"/>
      <c r="G5196" s="16" t="str">
        <f>HYPERLINK("http://maps.google.com/maps?f=q&amp;hl=en&amp;geocode=&amp;q=43.2362418831929,-77.055058382628")</f>
        <v>http://maps.google.com/maps?f=q&amp;hl=en&amp;geocode=&amp;q=43.2362418831929,-77.055058382628</v>
      </c>
    </row>
    <row r="5197" spans="1:7" ht="15" x14ac:dyDescent="0.3">
      <c r="A5197">
        <v>40.034669999999998</v>
      </c>
      <c r="B5197">
        <v>-75.183109999999999</v>
      </c>
      <c r="C5197" t="s">
        <v>41</v>
      </c>
      <c r="D5197" t="s">
        <v>3276</v>
      </c>
      <c r="F5197" s="21"/>
      <c r="G5197" s="16" t="str">
        <f>HYPERLINK("http://maps.google.com/maps?f=q&amp;hl=en&amp;geocode=&amp;q=40.03467,-75.18311")</f>
        <v>http://maps.google.com/maps?f=q&amp;hl=en&amp;geocode=&amp;q=40.03467,-75.18311</v>
      </c>
    </row>
    <row r="5198" spans="1:7" ht="15" x14ac:dyDescent="0.3">
      <c r="A5198">
        <v>35.548450000000003</v>
      </c>
      <c r="B5198">
        <v>-77.050730000000001</v>
      </c>
      <c r="C5198" t="s">
        <v>42</v>
      </c>
      <c r="D5198" t="s">
        <v>3277</v>
      </c>
      <c r="F5198" s="21"/>
      <c r="G5198" s="16" t="str">
        <f>HYPERLINK("http://maps.google.com/maps?f=q&amp;hl=en&amp;geocode=&amp;q=35.54845,-77.05073")</f>
        <v>http://maps.google.com/maps?f=q&amp;hl=en&amp;geocode=&amp;q=35.54845,-77.05073</v>
      </c>
    </row>
    <row r="5199" spans="1:7" ht="15" x14ac:dyDescent="0.3">
      <c r="A5199">
        <v>-26.202112197876001</v>
      </c>
      <c r="B5199">
        <v>28.0997638702393</v>
      </c>
      <c r="C5199" t="s">
        <v>43</v>
      </c>
      <c r="D5199" t="s">
        <v>2302</v>
      </c>
      <c r="F5199" s="21"/>
      <c r="G5199" s="16" t="str">
        <f>HYPERLINK("http://maps.google.com/maps?f=q&amp;hl=en&amp;geocode=&amp;q=-26.202112197876,28.0997638702393")</f>
        <v>http://maps.google.com/maps?f=q&amp;hl=en&amp;geocode=&amp;q=-26.202112197876,28.0997638702393</v>
      </c>
    </row>
    <row r="5200" spans="1:7" ht="15" x14ac:dyDescent="0.3">
      <c r="A5200">
        <v>52.079254150390597</v>
      </c>
      <c r="B5200">
        <v>4.3202958106994602</v>
      </c>
      <c r="C5200" t="s">
        <v>43</v>
      </c>
      <c r="D5200" t="s">
        <v>3278</v>
      </c>
      <c r="F5200" s="21"/>
      <c r="G5200" s="16" t="str">
        <f>HYPERLINK("http://maps.google.com/maps?f=q&amp;hl=en&amp;geocode=&amp;q=52.0792541503906,4.32029581069946")</f>
        <v>http://maps.google.com/maps?f=q&amp;hl=en&amp;geocode=&amp;q=52.0792541503906,4.32029581069946</v>
      </c>
    </row>
    <row r="5201" spans="1:7" ht="15" x14ac:dyDescent="0.3">
      <c r="A5201">
        <v>7.2021198272705096</v>
      </c>
      <c r="B5201">
        <v>126.53334808349599</v>
      </c>
      <c r="C5201" t="s">
        <v>41</v>
      </c>
      <c r="D5201" t="s">
        <v>1016</v>
      </c>
      <c r="F5201" s="21"/>
      <c r="G5201" s="16" t="str">
        <f>HYPERLINK("http://maps.google.com/maps?f=q&amp;hl=en&amp;geocode=&amp;q=7.20211982727051,126.533348083496")</f>
        <v>http://maps.google.com/maps?f=q&amp;hl=en&amp;geocode=&amp;q=7.20211982727051,126.533348083496</v>
      </c>
    </row>
    <row r="5202" spans="1:7" ht="15" x14ac:dyDescent="0.3">
      <c r="A5202">
        <v>37.6307527593533</v>
      </c>
      <c r="B5202">
        <v>-80.985487552934401</v>
      </c>
      <c r="C5202" t="s">
        <v>41</v>
      </c>
      <c r="D5202" t="s">
        <v>84</v>
      </c>
      <c r="F5202" s="21"/>
      <c r="G5202" s="16" t="str">
        <f>HYPERLINK("http://maps.google.com/maps?f=q&amp;hl=en&amp;geocode=&amp;q=37.6307527593533,-80.9854875529344")</f>
        <v>http://maps.google.com/maps?f=q&amp;hl=en&amp;geocode=&amp;q=37.6307527593533,-80.9854875529344</v>
      </c>
    </row>
    <row r="5203" spans="1:7" ht="15" x14ac:dyDescent="0.3">
      <c r="A5203">
        <v>37.6307527593533</v>
      </c>
      <c r="B5203">
        <v>-80.985487552934401</v>
      </c>
      <c r="C5203" t="s">
        <v>41</v>
      </c>
      <c r="D5203" t="s">
        <v>84</v>
      </c>
      <c r="F5203" s="21"/>
      <c r="G5203" s="16" t="str">
        <f>HYPERLINK("http://maps.google.com/maps?f=q&amp;hl=en&amp;geocode=&amp;q=37.6307527593533,-80.9854875529344")</f>
        <v>http://maps.google.com/maps?f=q&amp;hl=en&amp;geocode=&amp;q=37.6307527593533,-80.9854875529344</v>
      </c>
    </row>
    <row r="5204" spans="1:7" ht="15" x14ac:dyDescent="0.3">
      <c r="A5204">
        <v>29.7082328796387</v>
      </c>
      <c r="B5204">
        <v>-90.006401062011705</v>
      </c>
      <c r="C5204" t="s">
        <v>43</v>
      </c>
      <c r="D5204" t="s">
        <v>98</v>
      </c>
      <c r="F5204" s="21"/>
      <c r="G5204" s="16" t="str">
        <f>HYPERLINK("http://maps.google.com/maps?f=q&amp;hl=en&amp;geocode=&amp;q=29.7082328796387,-90.0064010620117")</f>
        <v>http://maps.google.com/maps?f=q&amp;hl=en&amp;geocode=&amp;q=29.7082328796387,-90.0064010620117</v>
      </c>
    </row>
    <row r="5205" spans="1:7" ht="15" x14ac:dyDescent="0.3">
      <c r="A5205">
        <v>39.9754</v>
      </c>
      <c r="B5205">
        <v>-75.265529999999998</v>
      </c>
      <c r="C5205" t="s">
        <v>41</v>
      </c>
      <c r="D5205" t="s">
        <v>2964</v>
      </c>
      <c r="F5205" s="21"/>
      <c r="G5205" s="16" t="str">
        <f>HYPERLINK("http://maps.google.com/maps?f=q&amp;hl=en&amp;geocode=&amp;q=39.9754,-75.26553")</f>
        <v>http://maps.google.com/maps?f=q&amp;hl=en&amp;geocode=&amp;q=39.9754,-75.26553</v>
      </c>
    </row>
    <row r="5206" spans="1:7" ht="15" x14ac:dyDescent="0.3">
      <c r="A5206" t="s">
        <v>44</v>
      </c>
      <c r="B5206" t="s">
        <v>44</v>
      </c>
      <c r="C5206" t="s">
        <v>44</v>
      </c>
      <c r="D5206" t="s">
        <v>227</v>
      </c>
      <c r="F5206" s="21"/>
      <c r="G5206" s="16"/>
    </row>
    <row r="5207" spans="1:7" ht="15" x14ac:dyDescent="0.3">
      <c r="A5207">
        <v>55.25911</v>
      </c>
      <c r="B5207">
        <v>11.59831</v>
      </c>
      <c r="C5207" t="s">
        <v>41</v>
      </c>
      <c r="D5207" t="s">
        <v>484</v>
      </c>
      <c r="F5207" s="21"/>
      <c r="G5207" s="16" t="str">
        <f>HYPERLINK("http://maps.google.com/maps?f=q&amp;hl=en&amp;geocode=&amp;q=55.25911,11.59831")</f>
        <v>http://maps.google.com/maps?f=q&amp;hl=en&amp;geocode=&amp;q=55.25911,11.59831</v>
      </c>
    </row>
    <row r="5208" spans="1:7" ht="15" x14ac:dyDescent="0.3">
      <c r="A5208">
        <v>40.024738311767599</v>
      </c>
      <c r="B5208">
        <v>-75.213882446289105</v>
      </c>
      <c r="C5208" t="s">
        <v>43</v>
      </c>
      <c r="D5208" t="s">
        <v>2474</v>
      </c>
      <c r="F5208" s="21"/>
      <c r="G5208" s="16" t="str">
        <f>HYPERLINK("http://maps.google.com/maps?f=q&amp;hl=en&amp;geocode=&amp;q=40.0247383117676,-75.2138824462891")</f>
        <v>http://maps.google.com/maps?f=q&amp;hl=en&amp;geocode=&amp;q=40.0247383117676,-75.2138824462891</v>
      </c>
    </row>
    <row r="5209" spans="1:7" ht="15" x14ac:dyDescent="0.3">
      <c r="A5209">
        <v>52.6822319030762</v>
      </c>
      <c r="B5209">
        <v>0.13165999948978399</v>
      </c>
      <c r="C5209" t="s">
        <v>41</v>
      </c>
      <c r="D5209" t="s">
        <v>1331</v>
      </c>
      <c r="F5209" s="21"/>
      <c r="G5209" s="16" t="str">
        <f>HYPERLINK("http://maps.google.com/maps?f=q&amp;hl=en&amp;geocode=&amp;q=52.6822319030762,0.131659999489784")</f>
        <v>http://maps.google.com/maps?f=q&amp;hl=en&amp;geocode=&amp;q=52.6822319030762,0.131659999489784</v>
      </c>
    </row>
    <row r="5210" spans="1:7" ht="15" x14ac:dyDescent="0.3">
      <c r="A5210">
        <v>28.9342790559928</v>
      </c>
      <c r="B5210">
        <v>-81.867625699502398</v>
      </c>
      <c r="C5210" t="s">
        <v>41</v>
      </c>
      <c r="D5210" t="s">
        <v>3279</v>
      </c>
      <c r="F5210" s="21"/>
      <c r="G5210" s="16" t="str">
        <f>HYPERLINK("http://maps.google.com/maps?f=q&amp;hl=en&amp;geocode=&amp;q=28.9342790559928,-81.8676256995024")</f>
        <v>http://maps.google.com/maps?f=q&amp;hl=en&amp;geocode=&amp;q=28.9342790559928,-81.8676256995024</v>
      </c>
    </row>
    <row r="5211" spans="1:7" ht="15" x14ac:dyDescent="0.3">
      <c r="A5211">
        <v>42.997422656800801</v>
      </c>
      <c r="B5211">
        <v>-95.623939346082395</v>
      </c>
      <c r="C5211" t="s">
        <v>41</v>
      </c>
      <c r="D5211" t="s">
        <v>71</v>
      </c>
      <c r="F5211" s="21"/>
      <c r="G5211" s="16" t="str">
        <f>HYPERLINK("http://maps.google.com/maps?f=q&amp;hl=en&amp;geocode=&amp;q=42.9974226568008,-95.6239393460824")</f>
        <v>http://maps.google.com/maps?f=q&amp;hl=en&amp;geocode=&amp;q=42.9974226568008,-95.6239393460824</v>
      </c>
    </row>
    <row r="5212" spans="1:7" ht="15" x14ac:dyDescent="0.3">
      <c r="A5212">
        <v>37.180929999999996</v>
      </c>
      <c r="B5212">
        <v>-113.29002</v>
      </c>
      <c r="C5212" t="s">
        <v>42</v>
      </c>
      <c r="D5212" t="s">
        <v>3280</v>
      </c>
      <c r="F5212" s="21"/>
      <c r="G5212" s="16" t="str">
        <f>HYPERLINK("http://maps.google.com/maps?f=q&amp;hl=en&amp;geocode=&amp;q=37.18093,-113.29002")</f>
        <v>http://maps.google.com/maps?f=q&amp;hl=en&amp;geocode=&amp;q=37.18093,-113.29002</v>
      </c>
    </row>
    <row r="5213" spans="1:7" ht="15" x14ac:dyDescent="0.3">
      <c r="A5213">
        <v>-31.950477600097699</v>
      </c>
      <c r="B5213">
        <v>115.86053466796901</v>
      </c>
      <c r="C5213" t="s">
        <v>43</v>
      </c>
      <c r="D5213" t="s">
        <v>3281</v>
      </c>
      <c r="F5213" s="21"/>
      <c r="G5213" s="16" t="str">
        <f>HYPERLINK("http://maps.google.com/maps?f=q&amp;hl=en&amp;geocode=&amp;q=-31.9504776000977,115.860534667969")</f>
        <v>http://maps.google.com/maps?f=q&amp;hl=en&amp;geocode=&amp;q=-31.9504776000977,115.860534667969</v>
      </c>
    </row>
    <row r="5214" spans="1:7" ht="15" x14ac:dyDescent="0.3">
      <c r="A5214">
        <v>52.6621284484863</v>
      </c>
      <c r="B5214">
        <v>-0.65426599979400601</v>
      </c>
      <c r="C5214" t="s">
        <v>41</v>
      </c>
      <c r="D5214" t="s">
        <v>2727</v>
      </c>
      <c r="F5214" s="21"/>
      <c r="G5214" s="16" t="str">
        <f>HYPERLINK("http://maps.google.com/maps?f=q&amp;hl=en&amp;geocode=&amp;q=52.6621284484863,-0.654265999794006")</f>
        <v>http://maps.google.com/maps?f=q&amp;hl=en&amp;geocode=&amp;q=52.6621284484863,-0.654265999794006</v>
      </c>
    </row>
    <row r="5215" spans="1:7" ht="15" x14ac:dyDescent="0.3">
      <c r="A5215">
        <v>48.026901245117202</v>
      </c>
      <c r="B5215">
        <v>3.6677799224853498</v>
      </c>
      <c r="C5215" t="s">
        <v>43</v>
      </c>
      <c r="D5215" t="s">
        <v>3009</v>
      </c>
      <c r="F5215" s="21"/>
      <c r="G5215" s="16" t="str">
        <f>HYPERLINK("http://maps.google.com/maps?f=q&amp;hl=en&amp;geocode=&amp;q=48.0269012451172,3.66777992248535")</f>
        <v>http://maps.google.com/maps?f=q&amp;hl=en&amp;geocode=&amp;q=48.0269012451172,3.66777992248535</v>
      </c>
    </row>
    <row r="5216" spans="1:7" ht="15" x14ac:dyDescent="0.3">
      <c r="A5216">
        <v>48.026901245117202</v>
      </c>
      <c r="B5216">
        <v>3.6677799224853498</v>
      </c>
      <c r="C5216" t="s">
        <v>43</v>
      </c>
      <c r="D5216" t="s">
        <v>3009</v>
      </c>
      <c r="F5216" s="21"/>
      <c r="G5216" s="16" t="str">
        <f>HYPERLINK("http://maps.google.com/maps?f=q&amp;hl=en&amp;geocode=&amp;q=48.0269012451172,3.66777992248535")</f>
        <v>http://maps.google.com/maps?f=q&amp;hl=en&amp;geocode=&amp;q=48.0269012451172,3.66777992248535</v>
      </c>
    </row>
    <row r="5217" spans="1:7" ht="15" x14ac:dyDescent="0.3">
      <c r="A5217">
        <v>34.995820000000002</v>
      </c>
      <c r="B5217">
        <v>-81.136610000000005</v>
      </c>
      <c r="C5217" t="s">
        <v>41</v>
      </c>
      <c r="D5217" t="s">
        <v>2888</v>
      </c>
      <c r="F5217" s="21"/>
      <c r="G5217" s="16" t="str">
        <f>HYPERLINK("http://maps.google.com/maps?f=q&amp;hl=en&amp;geocode=&amp;q=34.99582,-81.13661")</f>
        <v>http://maps.google.com/maps?f=q&amp;hl=en&amp;geocode=&amp;q=34.99582,-81.13661</v>
      </c>
    </row>
    <row r="5218" spans="1:7" ht="15" x14ac:dyDescent="0.3">
      <c r="A5218">
        <v>40.880865458001999</v>
      </c>
      <c r="B5218">
        <v>-73.121881843683596</v>
      </c>
      <c r="C5218" t="s">
        <v>43</v>
      </c>
      <c r="D5218" t="s">
        <v>3282</v>
      </c>
      <c r="F5218" s="21"/>
      <c r="G5218" s="16" t="str">
        <f>HYPERLINK("http://maps.google.com/maps?f=q&amp;hl=en&amp;geocode=&amp;q=40.880865458002,-73.1218818436836")</f>
        <v>http://maps.google.com/maps?f=q&amp;hl=en&amp;geocode=&amp;q=40.880865458002,-73.1218818436836</v>
      </c>
    </row>
    <row r="5219" spans="1:7" ht="15" x14ac:dyDescent="0.3">
      <c r="A5219">
        <v>40.337565223567204</v>
      </c>
      <c r="B5219">
        <v>-91.342286018421404</v>
      </c>
      <c r="C5219" t="s">
        <v>42</v>
      </c>
      <c r="D5219" t="s">
        <v>3283</v>
      </c>
      <c r="F5219" s="21"/>
      <c r="G5219" s="16" t="str">
        <f>HYPERLINK("http://maps.google.com/maps?f=q&amp;hl=en&amp;geocode=&amp;q=40.3375652235672,-91.3422860184214")</f>
        <v>http://maps.google.com/maps?f=q&amp;hl=en&amp;geocode=&amp;q=40.3375652235672,-91.3422860184214</v>
      </c>
    </row>
    <row r="5220" spans="1:7" ht="15" x14ac:dyDescent="0.3">
      <c r="A5220" t="s">
        <v>44</v>
      </c>
      <c r="B5220" t="s">
        <v>44</v>
      </c>
      <c r="C5220" t="s">
        <v>44</v>
      </c>
      <c r="D5220" t="s">
        <v>2885</v>
      </c>
      <c r="F5220" s="21"/>
      <c r="G5220" s="16"/>
    </row>
    <row r="5221" spans="1:7" ht="15" x14ac:dyDescent="0.3">
      <c r="A5221" t="s">
        <v>44</v>
      </c>
      <c r="B5221" t="s">
        <v>44</v>
      </c>
      <c r="C5221" t="s">
        <v>44</v>
      </c>
      <c r="D5221" t="s">
        <v>2885</v>
      </c>
      <c r="F5221" s="21"/>
      <c r="G5221" s="16"/>
    </row>
    <row r="5222" spans="1:7" ht="15" x14ac:dyDescent="0.3">
      <c r="A5222" t="s">
        <v>44</v>
      </c>
      <c r="B5222" t="s">
        <v>44</v>
      </c>
      <c r="C5222" t="s">
        <v>44</v>
      </c>
      <c r="D5222" t="s">
        <v>3284</v>
      </c>
      <c r="F5222" s="21"/>
      <c r="G5222" s="16"/>
    </row>
    <row r="5223" spans="1:7" ht="15" x14ac:dyDescent="0.3">
      <c r="A5223">
        <v>41.968815437805503</v>
      </c>
      <c r="B5223">
        <v>-91.492033864593296</v>
      </c>
      <c r="C5223" t="s">
        <v>43</v>
      </c>
      <c r="D5223" t="s">
        <v>3285</v>
      </c>
      <c r="F5223" s="21"/>
      <c r="G5223" s="16" t="str">
        <f>HYPERLINK("http://maps.google.com/maps?f=q&amp;hl=en&amp;geocode=&amp;q=41.9688154378055,-91.4920338645933")</f>
        <v>http://maps.google.com/maps?f=q&amp;hl=en&amp;geocode=&amp;q=41.9688154378055,-91.4920338645933</v>
      </c>
    </row>
    <row r="5224" spans="1:7" ht="15" x14ac:dyDescent="0.3">
      <c r="A5224">
        <v>42.7791938781738</v>
      </c>
      <c r="B5224">
        <v>-73.691421508789105</v>
      </c>
      <c r="C5224" t="s">
        <v>43</v>
      </c>
      <c r="D5224" t="s">
        <v>1559</v>
      </c>
      <c r="F5224" s="21"/>
      <c r="G5224" s="16" t="str">
        <f>HYPERLINK("http://maps.google.com/maps?f=q&amp;hl=en&amp;geocode=&amp;q=42.7791938781738,-73.6914215087891")</f>
        <v>http://maps.google.com/maps?f=q&amp;hl=en&amp;geocode=&amp;q=42.7791938781738,-73.6914215087891</v>
      </c>
    </row>
    <row r="5225" spans="1:7" ht="15" x14ac:dyDescent="0.3">
      <c r="A5225">
        <v>41.070894985150701</v>
      </c>
      <c r="B5225">
        <v>-81.250433437529196</v>
      </c>
      <c r="C5225" t="s">
        <v>41</v>
      </c>
      <c r="D5225" t="s">
        <v>3286</v>
      </c>
      <c r="F5225" s="21"/>
      <c r="G5225" s="16" t="str">
        <f>HYPERLINK("http://maps.google.com/maps?f=q&amp;hl=en&amp;geocode=&amp;q=41.0708949851507,-81.2504334375292")</f>
        <v>http://maps.google.com/maps?f=q&amp;hl=en&amp;geocode=&amp;q=41.0708949851507,-81.2504334375292</v>
      </c>
    </row>
    <row r="5226" spans="1:7" ht="15" x14ac:dyDescent="0.3">
      <c r="A5226">
        <v>39.997120000000002</v>
      </c>
      <c r="B5226">
        <v>-75.177530000000004</v>
      </c>
      <c r="C5226" t="s">
        <v>41</v>
      </c>
      <c r="D5226" t="s">
        <v>3287</v>
      </c>
      <c r="F5226" s="21"/>
      <c r="G5226" s="16" t="str">
        <f>HYPERLINK("http://maps.google.com/maps?f=q&amp;hl=en&amp;geocode=&amp;q=39.99712,-75.17753")</f>
        <v>http://maps.google.com/maps?f=q&amp;hl=en&amp;geocode=&amp;q=39.99712,-75.17753</v>
      </c>
    </row>
    <row r="5227" spans="1:7" ht="15" x14ac:dyDescent="0.3">
      <c r="A5227">
        <v>41.286729238246501</v>
      </c>
      <c r="B5227">
        <v>-111.98386042343</v>
      </c>
      <c r="C5227" t="s">
        <v>41</v>
      </c>
      <c r="D5227" t="s">
        <v>3288</v>
      </c>
      <c r="F5227" s="21"/>
      <c r="G5227" s="16" t="str">
        <f>HYPERLINK("http://maps.google.com/maps?f=q&amp;hl=en&amp;geocode=&amp;q=41.2867292382465,-111.98386042343")</f>
        <v>http://maps.google.com/maps?f=q&amp;hl=en&amp;geocode=&amp;q=41.2867292382465,-111.98386042343</v>
      </c>
    </row>
    <row r="5228" spans="1:7" ht="15" x14ac:dyDescent="0.3">
      <c r="A5228">
        <v>40.484930234838501</v>
      </c>
      <c r="B5228">
        <v>-78.265580126695696</v>
      </c>
      <c r="C5228" t="s">
        <v>41</v>
      </c>
      <c r="D5228" t="s">
        <v>3289</v>
      </c>
      <c r="F5228" s="21"/>
      <c r="G5228" s="16" t="str">
        <f>HYPERLINK("http://maps.google.com/maps?f=q&amp;hl=en&amp;geocode=&amp;q=40.4849302348385,-78.2655801266957")</f>
        <v>http://maps.google.com/maps?f=q&amp;hl=en&amp;geocode=&amp;q=40.4849302348385,-78.2655801266957</v>
      </c>
    </row>
    <row r="5229" spans="1:7" ht="15" x14ac:dyDescent="0.3">
      <c r="A5229">
        <v>39.996639999999999</v>
      </c>
      <c r="B5229">
        <v>-75.177109999999999</v>
      </c>
      <c r="C5229" t="s">
        <v>41</v>
      </c>
      <c r="D5229" t="s">
        <v>3290</v>
      </c>
      <c r="F5229" s="21"/>
      <c r="G5229" s="16" t="str">
        <f>HYPERLINK("http://maps.google.com/maps?f=q&amp;hl=en&amp;geocode=&amp;q=39.99664,-75.17711")</f>
        <v>http://maps.google.com/maps?f=q&amp;hl=en&amp;geocode=&amp;q=39.99664,-75.17711</v>
      </c>
    </row>
    <row r="5230" spans="1:7" ht="15" x14ac:dyDescent="0.3">
      <c r="A5230">
        <v>42.7791938781738</v>
      </c>
      <c r="B5230">
        <v>-73.691421508789105</v>
      </c>
      <c r="C5230" t="s">
        <v>43</v>
      </c>
      <c r="D5230" t="s">
        <v>1559</v>
      </c>
      <c r="F5230" s="21"/>
      <c r="G5230" s="16" t="str">
        <f>HYPERLINK("http://maps.google.com/maps?f=q&amp;hl=en&amp;geocode=&amp;q=42.7791938781738,-73.6914215087891")</f>
        <v>http://maps.google.com/maps?f=q&amp;hl=en&amp;geocode=&amp;q=42.7791938781738,-73.6914215087891</v>
      </c>
    </row>
    <row r="5231" spans="1:7" ht="15" x14ac:dyDescent="0.3">
      <c r="A5231">
        <v>39.972329999999999</v>
      </c>
      <c r="B5231">
        <v>-75.253510000000006</v>
      </c>
      <c r="C5231" t="s">
        <v>41</v>
      </c>
      <c r="D5231" t="s">
        <v>116</v>
      </c>
      <c r="F5231" s="21"/>
      <c r="G5231" s="16" t="str">
        <f>HYPERLINK("http://maps.google.com/maps?f=q&amp;hl=en&amp;geocode=&amp;q=39.97233,-75.25351")</f>
        <v>http://maps.google.com/maps?f=q&amp;hl=en&amp;geocode=&amp;q=39.97233,-75.25351</v>
      </c>
    </row>
    <row r="5232" spans="1:7" ht="15" x14ac:dyDescent="0.3">
      <c r="A5232">
        <v>39.972329999999999</v>
      </c>
      <c r="B5232">
        <v>-75.253510000000006</v>
      </c>
      <c r="C5232" t="s">
        <v>41</v>
      </c>
      <c r="D5232" t="s">
        <v>116</v>
      </c>
      <c r="F5232" s="21"/>
      <c r="G5232" s="16" t="str">
        <f>HYPERLINK("http://maps.google.com/maps?f=q&amp;hl=en&amp;geocode=&amp;q=39.97233,-75.25351")</f>
        <v>http://maps.google.com/maps?f=q&amp;hl=en&amp;geocode=&amp;q=39.97233,-75.25351</v>
      </c>
    </row>
    <row r="5233" spans="1:7" ht="15" x14ac:dyDescent="0.3">
      <c r="A5233">
        <v>40.035719999999998</v>
      </c>
      <c r="B5233">
        <v>-75.070629999999994</v>
      </c>
      <c r="C5233" t="s">
        <v>41</v>
      </c>
      <c r="D5233" t="s">
        <v>760</v>
      </c>
      <c r="F5233" s="21"/>
      <c r="G5233" s="16" t="str">
        <f>HYPERLINK("http://maps.google.com/maps?f=q&amp;hl=en&amp;geocode=&amp;q=40.03572,-75.07063")</f>
        <v>http://maps.google.com/maps?f=q&amp;hl=en&amp;geocode=&amp;q=40.03572,-75.07063</v>
      </c>
    </row>
    <row r="5234" spans="1:7" ht="15" x14ac:dyDescent="0.3">
      <c r="A5234">
        <v>31.916061539490201</v>
      </c>
      <c r="B5234">
        <v>-96.897555925551799</v>
      </c>
      <c r="C5234" t="s">
        <v>41</v>
      </c>
      <c r="D5234" t="s">
        <v>3291</v>
      </c>
      <c r="F5234" s="21"/>
      <c r="G5234" s="16" t="str">
        <f>HYPERLINK("http://maps.google.com/maps?f=q&amp;hl=en&amp;geocode=&amp;q=31.9160615394902,-96.8975559255518")</f>
        <v>http://maps.google.com/maps?f=q&amp;hl=en&amp;geocode=&amp;q=31.9160615394902,-96.8975559255518</v>
      </c>
    </row>
    <row r="5235" spans="1:7" ht="15" x14ac:dyDescent="0.3">
      <c r="A5235">
        <v>35.207320000000003</v>
      </c>
      <c r="B5235">
        <v>-97.467119999999994</v>
      </c>
      <c r="C5235" t="s">
        <v>41</v>
      </c>
      <c r="D5235" t="s">
        <v>3292</v>
      </c>
      <c r="F5235" s="21"/>
      <c r="G5235" s="16" t="str">
        <f>HYPERLINK("http://maps.google.com/maps?f=q&amp;hl=en&amp;geocode=&amp;q=35.20732,-97.46712")</f>
        <v>http://maps.google.com/maps?f=q&amp;hl=en&amp;geocode=&amp;q=35.20732,-97.46712</v>
      </c>
    </row>
    <row r="5236" spans="1:7" ht="15" x14ac:dyDescent="0.3">
      <c r="A5236">
        <v>40.035719999999998</v>
      </c>
      <c r="B5236">
        <v>-75.070629999999994</v>
      </c>
      <c r="C5236" t="s">
        <v>41</v>
      </c>
      <c r="D5236" t="s">
        <v>760</v>
      </c>
      <c r="F5236" s="21"/>
      <c r="G5236" s="16" t="str">
        <f>HYPERLINK("http://maps.google.com/maps?f=q&amp;hl=en&amp;geocode=&amp;q=40.03572,-75.07063")</f>
        <v>http://maps.google.com/maps?f=q&amp;hl=en&amp;geocode=&amp;q=40.03572,-75.07063</v>
      </c>
    </row>
    <row r="5237" spans="1:7" ht="15" x14ac:dyDescent="0.3">
      <c r="A5237">
        <v>37.016419999999997</v>
      </c>
      <c r="B5237">
        <v>-97.041730000000001</v>
      </c>
      <c r="C5237" t="s">
        <v>42</v>
      </c>
      <c r="D5237" t="s">
        <v>717</v>
      </c>
      <c r="F5237" s="21"/>
      <c r="G5237" s="16" t="str">
        <f>HYPERLINK("http://maps.google.com/maps?f=q&amp;hl=en&amp;geocode=&amp;q=37.01642,-97.04173")</f>
        <v>http://maps.google.com/maps?f=q&amp;hl=en&amp;geocode=&amp;q=37.01642,-97.04173</v>
      </c>
    </row>
    <row r="5238" spans="1:7" ht="15" x14ac:dyDescent="0.3">
      <c r="A5238">
        <v>43.525289198252999</v>
      </c>
      <c r="B5238">
        <v>-84.195283594456697</v>
      </c>
      <c r="C5238" t="s">
        <v>41</v>
      </c>
      <c r="D5238" t="s">
        <v>3293</v>
      </c>
      <c r="F5238" s="21"/>
      <c r="G5238" s="16" t="str">
        <f>HYPERLINK("http://maps.google.com/maps?f=q&amp;hl=en&amp;geocode=&amp;q=43.525289198253,-84.1952835944567")</f>
        <v>http://maps.google.com/maps?f=q&amp;hl=en&amp;geocode=&amp;q=43.525289198253,-84.1952835944567</v>
      </c>
    </row>
    <row r="5239" spans="1:7" ht="15" x14ac:dyDescent="0.3">
      <c r="A5239">
        <v>43.026452978160499</v>
      </c>
      <c r="B5239">
        <v>-95.623947972903807</v>
      </c>
      <c r="C5239" t="s">
        <v>41</v>
      </c>
      <c r="D5239" t="s">
        <v>79</v>
      </c>
      <c r="F5239" s="21"/>
      <c r="G5239" s="16" t="str">
        <f>HYPERLINK("http://maps.google.com/maps?f=q&amp;hl=en&amp;geocode=&amp;q=43.0264529781605,-95.6239479729038")</f>
        <v>http://maps.google.com/maps?f=q&amp;hl=en&amp;geocode=&amp;q=43.0264529781605,-95.6239479729038</v>
      </c>
    </row>
    <row r="5240" spans="1:7" ht="15" x14ac:dyDescent="0.3">
      <c r="A5240">
        <v>36.08276</v>
      </c>
      <c r="B5240">
        <v>-86.632559999999998</v>
      </c>
      <c r="C5240" t="s">
        <v>41</v>
      </c>
      <c r="D5240" t="s">
        <v>3294</v>
      </c>
      <c r="F5240" s="21"/>
      <c r="G5240" s="16" t="str">
        <f>HYPERLINK("http://maps.google.com/maps?f=q&amp;hl=en&amp;geocode=&amp;q=36.08276,-86.63256")</f>
        <v>http://maps.google.com/maps?f=q&amp;hl=en&amp;geocode=&amp;q=36.08276,-86.63256</v>
      </c>
    </row>
    <row r="5241" spans="1:7" ht="15" x14ac:dyDescent="0.3">
      <c r="A5241">
        <v>1.3219959735870399</v>
      </c>
      <c r="B5241">
        <v>103.82053375244099</v>
      </c>
      <c r="C5241" t="s">
        <v>41</v>
      </c>
      <c r="D5241" t="s">
        <v>3295</v>
      </c>
      <c r="F5241" s="21"/>
      <c r="G5241" s="16" t="str">
        <f>HYPERLINK("http://maps.google.com/maps?f=q&amp;hl=en&amp;geocode=&amp;q=1.32199597358704,103.820533752441")</f>
        <v>http://maps.google.com/maps?f=q&amp;hl=en&amp;geocode=&amp;q=1.32199597358704,103.820533752441</v>
      </c>
    </row>
    <row r="5242" spans="1:7" ht="15" x14ac:dyDescent="0.3">
      <c r="A5242">
        <v>40.045740000000002</v>
      </c>
      <c r="B5242">
        <v>-75.095939999999999</v>
      </c>
      <c r="C5242" t="s">
        <v>43</v>
      </c>
      <c r="D5242" t="s">
        <v>2596</v>
      </c>
      <c r="F5242" s="21"/>
      <c r="G5242" s="16" t="str">
        <f>HYPERLINK("http://maps.google.com/maps?f=q&amp;hl=en&amp;geocode=&amp;q=40.04574,-75.09594")</f>
        <v>http://maps.google.com/maps?f=q&amp;hl=en&amp;geocode=&amp;q=40.04574,-75.09594</v>
      </c>
    </row>
    <row r="5243" spans="1:7" ht="15" x14ac:dyDescent="0.3">
      <c r="A5243" t="s">
        <v>44</v>
      </c>
      <c r="B5243" t="s">
        <v>44</v>
      </c>
      <c r="C5243" t="s">
        <v>44</v>
      </c>
      <c r="D5243" t="s">
        <v>3296</v>
      </c>
      <c r="F5243" s="21"/>
      <c r="G5243" s="16"/>
    </row>
    <row r="5244" spans="1:7" ht="15" x14ac:dyDescent="0.3">
      <c r="A5244">
        <v>43.017670000000003</v>
      </c>
      <c r="B5244">
        <v>-88.139279999999999</v>
      </c>
      <c r="C5244" t="s">
        <v>42</v>
      </c>
      <c r="D5244" t="s">
        <v>3297</v>
      </c>
      <c r="F5244" s="21"/>
      <c r="G5244" s="16" t="str">
        <f>HYPERLINK("http://maps.google.com/maps?f=q&amp;hl=en&amp;geocode=&amp;q=43.01767,-88.13928")</f>
        <v>http://maps.google.com/maps?f=q&amp;hl=en&amp;geocode=&amp;q=43.01767,-88.13928</v>
      </c>
    </row>
    <row r="5245" spans="1:7" ht="15" x14ac:dyDescent="0.3">
      <c r="A5245">
        <v>49.623081207275398</v>
      </c>
      <c r="B5245">
        <v>6.1270899772643999</v>
      </c>
      <c r="C5245" t="s">
        <v>43</v>
      </c>
      <c r="D5245" t="s">
        <v>3298</v>
      </c>
      <c r="F5245" s="21"/>
      <c r="G5245" s="16" t="str">
        <f>HYPERLINK("http://maps.google.com/maps?f=q&amp;hl=en&amp;geocode=&amp;q=49.6230812072754,6.1270899772644")</f>
        <v>http://maps.google.com/maps?f=q&amp;hl=en&amp;geocode=&amp;q=49.6230812072754,6.1270899772644</v>
      </c>
    </row>
    <row r="5246" spans="1:7" ht="15" x14ac:dyDescent="0.3">
      <c r="A5246">
        <v>39.942509999999999</v>
      </c>
      <c r="B5246">
        <v>-75.163539999999998</v>
      </c>
      <c r="C5246" t="s">
        <v>43</v>
      </c>
      <c r="D5246" t="s">
        <v>3299</v>
      </c>
      <c r="F5246" s="21"/>
      <c r="G5246" s="16" t="str">
        <f>HYPERLINK("http://maps.google.com/maps?f=q&amp;hl=en&amp;geocode=&amp;q=39.94251,-75.16354")</f>
        <v>http://maps.google.com/maps?f=q&amp;hl=en&amp;geocode=&amp;q=39.94251,-75.16354</v>
      </c>
    </row>
    <row r="5247" spans="1:7" ht="15" x14ac:dyDescent="0.3">
      <c r="F5247" s="21"/>
      <c r="G5247" s="16"/>
    </row>
    <row r="5248" spans="1:7" ht="15" x14ac:dyDescent="0.3">
      <c r="A5248">
        <v>34.24906</v>
      </c>
      <c r="B5248">
        <v>-111.31784</v>
      </c>
      <c r="C5248" t="s">
        <v>41</v>
      </c>
      <c r="D5248" t="s">
        <v>3300</v>
      </c>
      <c r="F5248" s="21"/>
      <c r="G5248" s="16" t="str">
        <f>HYPERLINK("http://maps.google.com/maps?f=q&amp;hl=en&amp;geocode=&amp;q=34.24906,-111.31784")</f>
        <v>http://maps.google.com/maps?f=q&amp;hl=en&amp;geocode=&amp;q=34.24906,-111.31784</v>
      </c>
    </row>
    <row r="5249" spans="1:7" ht="15" x14ac:dyDescent="0.3">
      <c r="A5249">
        <v>40.460018157958999</v>
      </c>
      <c r="B5249">
        <v>-78.591552734375</v>
      </c>
      <c r="C5249" t="s">
        <v>43</v>
      </c>
      <c r="D5249" t="s">
        <v>2983</v>
      </c>
      <c r="F5249" s="21"/>
      <c r="G5249" s="16" t="str">
        <f>HYPERLINK("http://maps.google.com/maps?f=q&amp;hl=en&amp;geocode=&amp;q=40.460018157959,-78.591552734375")</f>
        <v>http://maps.google.com/maps?f=q&amp;hl=en&amp;geocode=&amp;q=40.460018157959,-78.591552734375</v>
      </c>
    </row>
    <row r="5250" spans="1:7" ht="15" x14ac:dyDescent="0.3">
      <c r="A5250">
        <v>40.0249298037918</v>
      </c>
      <c r="B5250">
        <v>-75.115633288093505</v>
      </c>
      <c r="C5250" t="s">
        <v>43</v>
      </c>
      <c r="D5250" t="s">
        <v>3301</v>
      </c>
      <c r="F5250" s="21"/>
      <c r="G5250" s="16" t="str">
        <f>HYPERLINK("http://maps.google.com/maps?f=q&amp;hl=en&amp;geocode=&amp;q=40.0249298037918,-75.1156332880935")</f>
        <v>http://maps.google.com/maps?f=q&amp;hl=en&amp;geocode=&amp;q=40.0249298037918,-75.1156332880935</v>
      </c>
    </row>
    <row r="5251" spans="1:7" ht="15" x14ac:dyDescent="0.3">
      <c r="A5251">
        <v>39.457880529144397</v>
      </c>
      <c r="B5251">
        <v>-77.972998541710496</v>
      </c>
      <c r="C5251" t="s">
        <v>43</v>
      </c>
      <c r="D5251" t="s">
        <v>3302</v>
      </c>
      <c r="F5251" s="21"/>
      <c r="G5251" s="16" t="str">
        <f>HYPERLINK("http://maps.google.com/maps?f=q&amp;hl=en&amp;geocode=&amp;q=39.4578805291444,-77.9729985417105")</f>
        <v>http://maps.google.com/maps?f=q&amp;hl=en&amp;geocode=&amp;q=39.4578805291444,-77.9729985417105</v>
      </c>
    </row>
    <row r="5252" spans="1:7" ht="15" x14ac:dyDescent="0.3">
      <c r="A5252">
        <v>48.856765747070298</v>
      </c>
      <c r="B5252">
        <v>-95.7022705078125</v>
      </c>
      <c r="C5252" t="s">
        <v>43</v>
      </c>
      <c r="D5252" t="s">
        <v>1171</v>
      </c>
      <c r="F5252" s="21"/>
      <c r="G5252" s="16" t="str">
        <f>HYPERLINK("http://maps.google.com/maps?f=q&amp;hl=en&amp;geocode=&amp;q=48.8567657470703,-95.7022705078125")</f>
        <v>http://maps.google.com/maps?f=q&amp;hl=en&amp;geocode=&amp;q=48.8567657470703,-95.7022705078125</v>
      </c>
    </row>
    <row r="5253" spans="1:7" ht="15" x14ac:dyDescent="0.3">
      <c r="A5253" t="s">
        <v>44</v>
      </c>
      <c r="B5253" t="s">
        <v>44</v>
      </c>
      <c r="C5253" t="s">
        <v>44</v>
      </c>
      <c r="D5253" t="s">
        <v>203</v>
      </c>
      <c r="F5253" s="21"/>
      <c r="G5253" s="16"/>
    </row>
    <row r="5254" spans="1:7" ht="15" x14ac:dyDescent="0.3">
      <c r="A5254">
        <v>39.531129999999997</v>
      </c>
      <c r="B5254">
        <v>-119.48443</v>
      </c>
      <c r="C5254" t="s">
        <v>42</v>
      </c>
      <c r="D5254" t="s">
        <v>3303</v>
      </c>
      <c r="F5254" s="21"/>
      <c r="G5254" s="16" t="str">
        <f>HYPERLINK("http://maps.google.com/maps?f=q&amp;hl=en&amp;geocode=&amp;q=39.53113,-119.48443")</f>
        <v>http://maps.google.com/maps?f=q&amp;hl=en&amp;geocode=&amp;q=39.53113,-119.48443</v>
      </c>
    </row>
    <row r="5255" spans="1:7" ht="15" x14ac:dyDescent="0.3">
      <c r="A5255">
        <v>32.7229478782439</v>
      </c>
      <c r="B5255">
        <v>-96.832599826110496</v>
      </c>
      <c r="C5255" t="s">
        <v>41</v>
      </c>
      <c r="D5255" t="s">
        <v>1662</v>
      </c>
      <c r="F5255" s="21"/>
      <c r="G5255" s="16" t="str">
        <f>HYPERLINK("http://maps.google.com/maps?f=q&amp;hl=en&amp;geocode=&amp;q=32.7229478782439,-96.8325998261105")</f>
        <v>http://maps.google.com/maps?f=q&amp;hl=en&amp;geocode=&amp;q=32.7229478782439,-96.8325998261105</v>
      </c>
    </row>
    <row r="5256" spans="1:7" ht="15" x14ac:dyDescent="0.3">
      <c r="A5256">
        <v>30.520505209270301</v>
      </c>
      <c r="B5256">
        <v>-85.957755193812204</v>
      </c>
      <c r="C5256" t="s">
        <v>41</v>
      </c>
      <c r="D5256" t="s">
        <v>2560</v>
      </c>
      <c r="F5256" s="21"/>
      <c r="G5256" s="16" t="str">
        <f>HYPERLINK("http://maps.google.com/maps?f=q&amp;hl=en&amp;geocode=&amp;q=30.5205052092703,-85.9577551938122")</f>
        <v>http://maps.google.com/maps?f=q&amp;hl=en&amp;geocode=&amp;q=30.5205052092703,-85.9577551938122</v>
      </c>
    </row>
    <row r="5257" spans="1:7" ht="15" x14ac:dyDescent="0.3">
      <c r="A5257">
        <v>43.559865522286003</v>
      </c>
      <c r="B5257">
        <v>-116.85537781114201</v>
      </c>
      <c r="C5257" t="s">
        <v>41</v>
      </c>
      <c r="D5257" t="s">
        <v>2384</v>
      </c>
      <c r="F5257" s="21"/>
      <c r="G5257" s="16" t="str">
        <f>HYPERLINK("http://maps.google.com/maps?f=q&amp;hl=en&amp;geocode=&amp;q=43.559865522286,-116.855377811142")</f>
        <v>http://maps.google.com/maps?f=q&amp;hl=en&amp;geocode=&amp;q=43.559865522286,-116.855377811142</v>
      </c>
    </row>
    <row r="5258" spans="1:7" ht="15" x14ac:dyDescent="0.3">
      <c r="A5258" t="s">
        <v>44</v>
      </c>
      <c r="B5258" t="s">
        <v>44</v>
      </c>
      <c r="C5258" t="s">
        <v>44</v>
      </c>
      <c r="D5258" t="s">
        <v>1168</v>
      </c>
      <c r="F5258" s="21"/>
      <c r="G5258" s="16"/>
    </row>
    <row r="5259" spans="1:7" ht="15" x14ac:dyDescent="0.3">
      <c r="A5259">
        <v>38.797358423252</v>
      </c>
      <c r="B5259">
        <v>-83.535382232075406</v>
      </c>
      <c r="C5259" t="s">
        <v>43</v>
      </c>
      <c r="D5259" t="s">
        <v>3304</v>
      </c>
      <c r="F5259" s="21"/>
      <c r="G5259" s="16" t="str">
        <f>HYPERLINK("http://maps.google.com/maps?f=q&amp;hl=en&amp;geocode=&amp;q=38.797358423252,-83.5353822320754")</f>
        <v>http://maps.google.com/maps?f=q&amp;hl=en&amp;geocode=&amp;q=38.797358423252,-83.5353822320754</v>
      </c>
    </row>
    <row r="5260" spans="1:7" ht="15" x14ac:dyDescent="0.3">
      <c r="A5260">
        <v>42.365001526459899</v>
      </c>
      <c r="B5260">
        <v>-83.019006845657003</v>
      </c>
      <c r="C5260" t="s">
        <v>41</v>
      </c>
      <c r="D5260" t="s">
        <v>3305</v>
      </c>
      <c r="F5260" s="21"/>
      <c r="G5260" s="16" t="str">
        <f>HYPERLINK("http://maps.google.com/maps?f=q&amp;hl=en&amp;geocode=&amp;q=42.3650015264599,-83.019006845657")</f>
        <v>http://maps.google.com/maps?f=q&amp;hl=en&amp;geocode=&amp;q=42.3650015264599,-83.019006845657</v>
      </c>
    </row>
    <row r="5261" spans="1:7" ht="15" x14ac:dyDescent="0.3">
      <c r="A5261">
        <v>40.032989999999998</v>
      </c>
      <c r="B5261">
        <v>-75.056790000000007</v>
      </c>
      <c r="C5261" t="s">
        <v>41</v>
      </c>
      <c r="D5261" t="s">
        <v>3306</v>
      </c>
      <c r="F5261" s="21"/>
      <c r="G5261" s="16" t="str">
        <f>HYPERLINK("http://maps.google.com/maps?f=q&amp;hl=en&amp;geocode=&amp;q=40.03299,-75.05679")</f>
        <v>http://maps.google.com/maps?f=q&amp;hl=en&amp;geocode=&amp;q=40.03299,-75.05679</v>
      </c>
    </row>
    <row r="5262" spans="1:7" ht="15" x14ac:dyDescent="0.3">
      <c r="A5262">
        <v>51.321887969970703</v>
      </c>
      <c r="B5262">
        <v>0.798633873462677</v>
      </c>
      <c r="C5262" t="s">
        <v>43</v>
      </c>
      <c r="D5262" t="s">
        <v>3307</v>
      </c>
      <c r="F5262" s="21"/>
      <c r="G5262" s="16" t="str">
        <f>HYPERLINK("http://maps.google.com/maps?f=q&amp;hl=en&amp;geocode=&amp;q=51.3218879699707,0.798633873462677")</f>
        <v>http://maps.google.com/maps?f=q&amp;hl=en&amp;geocode=&amp;q=51.3218879699707,0.798633873462677</v>
      </c>
    </row>
    <row r="5263" spans="1:7" ht="15" x14ac:dyDescent="0.3">
      <c r="A5263">
        <v>10.5598154067993</v>
      </c>
      <c r="B5263">
        <v>-69.107070922851605</v>
      </c>
      <c r="C5263" t="s">
        <v>43</v>
      </c>
      <c r="D5263" t="s">
        <v>3308</v>
      </c>
      <c r="F5263" s="21"/>
      <c r="G5263" s="16" t="str">
        <f>HYPERLINK("http://maps.google.com/maps?f=q&amp;hl=en&amp;geocode=&amp;q=10.5598154067993,-69.1070709228516")</f>
        <v>http://maps.google.com/maps?f=q&amp;hl=en&amp;geocode=&amp;q=10.5598154067993,-69.1070709228516</v>
      </c>
    </row>
    <row r="5264" spans="1:7" ht="15" x14ac:dyDescent="0.3">
      <c r="A5264">
        <v>33.851299928920902</v>
      </c>
      <c r="B5264">
        <v>-84.016305850491193</v>
      </c>
      <c r="C5264" t="s">
        <v>42</v>
      </c>
      <c r="D5264" t="s">
        <v>3309</v>
      </c>
      <c r="F5264" s="21"/>
      <c r="G5264" s="16" t="str">
        <f>HYPERLINK("http://maps.google.com/maps?f=q&amp;hl=en&amp;geocode=&amp;q=33.8512999289209,-84.0163058504912")</f>
        <v>http://maps.google.com/maps?f=q&amp;hl=en&amp;geocode=&amp;q=33.8512999289209,-84.0163058504912</v>
      </c>
    </row>
    <row r="5265" spans="1:7" ht="15" x14ac:dyDescent="0.3">
      <c r="A5265">
        <v>40.132370000000002</v>
      </c>
      <c r="B5265">
        <v>-75.007909999999995</v>
      </c>
      <c r="C5265" t="s">
        <v>41</v>
      </c>
      <c r="D5265" t="s">
        <v>55</v>
      </c>
      <c r="F5265" s="21"/>
      <c r="G5265" s="16" t="str">
        <f>HYPERLINK("http://maps.google.com/maps?f=q&amp;hl=en&amp;geocode=&amp;q=40.13237,-75.00791")</f>
        <v>http://maps.google.com/maps?f=q&amp;hl=en&amp;geocode=&amp;q=40.13237,-75.00791</v>
      </c>
    </row>
    <row r="5266" spans="1:7" ht="15" x14ac:dyDescent="0.3">
      <c r="A5266">
        <v>44.266651153564503</v>
      </c>
      <c r="B5266">
        <v>10.117626190185501</v>
      </c>
      <c r="C5266" t="s">
        <v>43</v>
      </c>
      <c r="D5266" t="s">
        <v>3310</v>
      </c>
      <c r="F5266" s="21"/>
      <c r="G5266" s="16" t="str">
        <f>HYPERLINK("http://maps.google.com/maps?f=q&amp;hl=en&amp;geocode=&amp;q=44.2666511535645,10.1176261901855")</f>
        <v>http://maps.google.com/maps?f=q&amp;hl=en&amp;geocode=&amp;q=44.2666511535645,10.1176261901855</v>
      </c>
    </row>
    <row r="5267" spans="1:7" ht="15" x14ac:dyDescent="0.3">
      <c r="A5267">
        <v>42.338748931884801</v>
      </c>
      <c r="B5267">
        <v>-83.890251159667997</v>
      </c>
      <c r="C5267" t="s">
        <v>43</v>
      </c>
      <c r="D5267" t="s">
        <v>3012</v>
      </c>
      <c r="F5267" s="21"/>
      <c r="G5267" s="16" t="str">
        <f>HYPERLINK("http://maps.google.com/maps?f=q&amp;hl=en&amp;geocode=&amp;q=42.3387489318848,-83.890251159668")</f>
        <v>http://maps.google.com/maps?f=q&amp;hl=en&amp;geocode=&amp;q=42.3387489318848,-83.890251159668</v>
      </c>
    </row>
    <row r="5268" spans="1:7" ht="15" x14ac:dyDescent="0.3">
      <c r="A5268">
        <v>40.042850000000001</v>
      </c>
      <c r="B5268">
        <v>-75.127189999999999</v>
      </c>
      <c r="C5268" t="s">
        <v>43</v>
      </c>
      <c r="D5268" t="s">
        <v>3311</v>
      </c>
      <c r="F5268" s="21"/>
      <c r="G5268" s="16" t="str">
        <f>HYPERLINK("http://maps.google.com/maps?f=q&amp;hl=en&amp;geocode=&amp;q=40.04285,-75.12719")</f>
        <v>http://maps.google.com/maps?f=q&amp;hl=en&amp;geocode=&amp;q=40.04285,-75.12719</v>
      </c>
    </row>
    <row r="5269" spans="1:7" ht="15" x14ac:dyDescent="0.3">
      <c r="A5269">
        <v>55.68159</v>
      </c>
      <c r="B5269">
        <v>11.177770000000001</v>
      </c>
      <c r="C5269" t="s">
        <v>43</v>
      </c>
      <c r="D5269" t="s">
        <v>3312</v>
      </c>
      <c r="F5269" s="21"/>
      <c r="G5269" s="16" t="str">
        <f>HYPERLINK("http://maps.google.com/maps?f=q&amp;hl=en&amp;geocode=&amp;q=55.68159,11.17777")</f>
        <v>http://maps.google.com/maps?f=q&amp;hl=en&amp;geocode=&amp;q=55.68159,11.17777</v>
      </c>
    </row>
    <row r="5270" spans="1:7" ht="15" x14ac:dyDescent="0.3">
      <c r="A5270">
        <v>40.5679115067514</v>
      </c>
      <c r="B5270">
        <v>-75.466996736591199</v>
      </c>
      <c r="C5270" t="s">
        <v>41</v>
      </c>
      <c r="D5270" t="s">
        <v>3313</v>
      </c>
      <c r="F5270" s="21"/>
      <c r="G5270" s="16" t="str">
        <f>HYPERLINK("http://maps.google.com/maps?f=q&amp;hl=en&amp;geocode=&amp;q=40.5679115067514,-75.4669967365912")</f>
        <v>http://maps.google.com/maps?f=q&amp;hl=en&amp;geocode=&amp;q=40.5679115067514,-75.4669967365912</v>
      </c>
    </row>
    <row r="5271" spans="1:7" ht="15" x14ac:dyDescent="0.3">
      <c r="A5271">
        <v>40.567958409237797</v>
      </c>
      <c r="B5271">
        <v>-75.467031913219799</v>
      </c>
      <c r="C5271" t="s">
        <v>41</v>
      </c>
      <c r="D5271" t="s">
        <v>3314</v>
      </c>
      <c r="F5271" s="21"/>
      <c r="G5271" s="16" t="str">
        <f>HYPERLINK("http://maps.google.com/maps?f=q&amp;hl=en&amp;geocode=&amp;q=40.5679584092378,-75.4670319132198")</f>
        <v>http://maps.google.com/maps?f=q&amp;hl=en&amp;geocode=&amp;q=40.5679584092378,-75.4670319132198</v>
      </c>
    </row>
    <row r="5272" spans="1:7" ht="15" x14ac:dyDescent="0.3">
      <c r="A5272">
        <v>34.996001559345203</v>
      </c>
      <c r="B5272">
        <v>-106.694440075279</v>
      </c>
      <c r="C5272" t="s">
        <v>41</v>
      </c>
      <c r="D5272" t="s">
        <v>3315</v>
      </c>
      <c r="F5272" s="21"/>
      <c r="G5272" s="16" t="str">
        <f>HYPERLINK("http://maps.google.com/maps?f=q&amp;hl=en&amp;geocode=&amp;q=34.9960015593452,-106.694440075279")</f>
        <v>http://maps.google.com/maps?f=q&amp;hl=en&amp;geocode=&amp;q=34.9960015593452,-106.694440075279</v>
      </c>
    </row>
    <row r="5273" spans="1:7" ht="15" x14ac:dyDescent="0.3">
      <c r="A5273" t="s">
        <v>44</v>
      </c>
      <c r="B5273" t="s">
        <v>44</v>
      </c>
      <c r="C5273" t="s">
        <v>44</v>
      </c>
      <c r="D5273" t="s">
        <v>227</v>
      </c>
      <c r="F5273" s="21"/>
      <c r="G5273" s="16"/>
    </row>
    <row r="5274" spans="1:7" ht="15" x14ac:dyDescent="0.3">
      <c r="A5274">
        <v>48.026901245117202</v>
      </c>
      <c r="B5274">
        <v>3.6677799224853498</v>
      </c>
      <c r="C5274" t="s">
        <v>43</v>
      </c>
      <c r="D5274" t="s">
        <v>3009</v>
      </c>
      <c r="F5274" s="21"/>
      <c r="G5274" s="16" t="str">
        <f>HYPERLINK("http://maps.google.com/maps?f=q&amp;hl=en&amp;geocode=&amp;q=48.0269012451172,3.66777992248535")</f>
        <v>http://maps.google.com/maps?f=q&amp;hl=en&amp;geocode=&amp;q=48.0269012451172,3.66777992248535</v>
      </c>
    </row>
    <row r="5275" spans="1:7" ht="15" x14ac:dyDescent="0.3">
      <c r="A5275">
        <v>32.961689999999997</v>
      </c>
      <c r="B5275">
        <v>-80.018559999999994</v>
      </c>
      <c r="C5275" t="s">
        <v>41</v>
      </c>
      <c r="D5275" t="s">
        <v>3316</v>
      </c>
      <c r="F5275" s="21"/>
      <c r="G5275" s="16" t="str">
        <f>HYPERLINK("http://maps.google.com/maps?f=q&amp;hl=en&amp;geocode=&amp;q=32.96169,-80.01856")</f>
        <v>http://maps.google.com/maps?f=q&amp;hl=en&amp;geocode=&amp;q=32.96169,-80.01856</v>
      </c>
    </row>
    <row r="5276" spans="1:7" ht="15" x14ac:dyDescent="0.3">
      <c r="A5276">
        <v>37.6307527593533</v>
      </c>
      <c r="B5276">
        <v>-80.985487552934401</v>
      </c>
      <c r="C5276" t="s">
        <v>41</v>
      </c>
      <c r="D5276" t="s">
        <v>84</v>
      </c>
      <c r="F5276" s="21"/>
      <c r="G5276" s="16" t="str">
        <f>HYPERLINK("http://maps.google.com/maps?f=q&amp;hl=en&amp;geocode=&amp;q=37.6307527593533,-80.9854875529344")</f>
        <v>http://maps.google.com/maps?f=q&amp;hl=en&amp;geocode=&amp;q=37.6307527593533,-80.9854875529344</v>
      </c>
    </row>
    <row r="5277" spans="1:7" ht="15" x14ac:dyDescent="0.3">
      <c r="A5277">
        <v>-3.0964000225067099</v>
      </c>
      <c r="B5277">
        <v>-79.007461547851605</v>
      </c>
      <c r="C5277" t="s">
        <v>41</v>
      </c>
      <c r="D5277" t="s">
        <v>3317</v>
      </c>
      <c r="F5277" s="21"/>
      <c r="G5277" s="16" t="str">
        <f>HYPERLINK("http://maps.google.com/maps?f=q&amp;hl=en&amp;geocode=&amp;q=-3.09640002250671,-79.0074615478516")</f>
        <v>http://maps.google.com/maps?f=q&amp;hl=en&amp;geocode=&amp;q=-3.09640002250671,-79.0074615478516</v>
      </c>
    </row>
    <row r="5278" spans="1:7" ht="15" x14ac:dyDescent="0.3">
      <c r="A5278">
        <v>54.224514007568402</v>
      </c>
      <c r="B5278">
        <v>-4.56213283538818</v>
      </c>
      <c r="C5278" t="s">
        <v>43</v>
      </c>
      <c r="D5278" t="s">
        <v>275</v>
      </c>
      <c r="F5278" s="21"/>
      <c r="G5278" s="16" t="str">
        <f>HYPERLINK("http://maps.google.com/maps?f=q&amp;hl=en&amp;geocode=&amp;q=54.2245140075684,-4.56213283538818")</f>
        <v>http://maps.google.com/maps?f=q&amp;hl=en&amp;geocode=&amp;q=54.2245140075684,-4.56213283538818</v>
      </c>
    </row>
    <row r="5279" spans="1:7" ht="15" x14ac:dyDescent="0.3">
      <c r="A5279" t="s">
        <v>44</v>
      </c>
      <c r="B5279" t="s">
        <v>44</v>
      </c>
      <c r="C5279" t="s">
        <v>44</v>
      </c>
      <c r="D5279" t="s">
        <v>2424</v>
      </c>
      <c r="F5279" s="21"/>
      <c r="G5279" s="16"/>
    </row>
    <row r="5280" spans="1:7" ht="15" x14ac:dyDescent="0.3">
      <c r="A5280">
        <v>40.647787066904399</v>
      </c>
      <c r="B5280">
        <v>-98.871660585167206</v>
      </c>
      <c r="C5280" t="s">
        <v>41</v>
      </c>
      <c r="D5280" t="s">
        <v>3318</v>
      </c>
      <c r="F5280" s="21"/>
      <c r="G5280" s="16" t="str">
        <f>HYPERLINK("http://maps.google.com/maps?f=q&amp;hl=en&amp;geocode=&amp;q=40.6477870669044,-98.8716605851672")</f>
        <v>http://maps.google.com/maps?f=q&amp;hl=en&amp;geocode=&amp;q=40.6477870669044,-98.8716605851672</v>
      </c>
    </row>
    <row r="5281" spans="1:7" ht="15" x14ac:dyDescent="0.3">
      <c r="A5281">
        <v>42.662842581288501</v>
      </c>
      <c r="B5281">
        <v>-84.645111401189695</v>
      </c>
      <c r="C5281" t="s">
        <v>41</v>
      </c>
      <c r="D5281" t="s">
        <v>3319</v>
      </c>
      <c r="F5281" s="21"/>
      <c r="G5281" s="16" t="str">
        <f>HYPERLINK("http://maps.google.com/maps?f=q&amp;hl=en&amp;geocode=&amp;q=42.6628425812885,-84.6451114011897")</f>
        <v>http://maps.google.com/maps?f=q&amp;hl=en&amp;geocode=&amp;q=42.6628425812885,-84.6451114011897</v>
      </c>
    </row>
    <row r="5282" spans="1:7" ht="15" x14ac:dyDescent="0.3">
      <c r="A5282">
        <v>39.965819822748102</v>
      </c>
      <c r="B5282">
        <v>-75.239371324702901</v>
      </c>
      <c r="C5282" t="s">
        <v>41</v>
      </c>
      <c r="D5282" t="s">
        <v>3320</v>
      </c>
      <c r="F5282" s="21"/>
      <c r="G5282" s="16" t="str">
        <f>HYPERLINK("http://maps.google.com/maps?f=q&amp;hl=en&amp;geocode=&amp;q=39.9658198227481,-75.2393713247029")</f>
        <v>http://maps.google.com/maps?f=q&amp;hl=en&amp;geocode=&amp;q=39.9658198227481,-75.2393713247029</v>
      </c>
    </row>
    <row r="5283" spans="1:7" ht="15" x14ac:dyDescent="0.3">
      <c r="A5283">
        <v>42.157688909717997</v>
      </c>
      <c r="B5283">
        <v>-79.948462386443893</v>
      </c>
      <c r="C5283" t="s">
        <v>41</v>
      </c>
      <c r="D5283" t="s">
        <v>3321</v>
      </c>
      <c r="F5283" s="21"/>
      <c r="G5283" s="16" t="str">
        <f>HYPERLINK("http://maps.google.com/maps?f=q&amp;hl=en&amp;geocode=&amp;q=42.157688909718,-79.9484623864439")</f>
        <v>http://maps.google.com/maps?f=q&amp;hl=en&amp;geocode=&amp;q=42.157688909718,-79.9484623864439</v>
      </c>
    </row>
    <row r="5284" spans="1:7" ht="15" x14ac:dyDescent="0.3">
      <c r="A5284">
        <v>44.721395178934003</v>
      </c>
      <c r="B5284">
        <v>-83.424266769054498</v>
      </c>
      <c r="C5284" t="s">
        <v>43</v>
      </c>
      <c r="D5284" t="s">
        <v>1418</v>
      </c>
      <c r="F5284" s="21"/>
      <c r="G5284" s="16" t="str">
        <f>HYPERLINK("http://maps.google.com/maps?f=q&amp;hl=en&amp;geocode=&amp;q=44.721395178934,-83.4242667690545")</f>
        <v>http://maps.google.com/maps?f=q&amp;hl=en&amp;geocode=&amp;q=44.721395178934,-83.4242667690545</v>
      </c>
    </row>
    <row r="5285" spans="1:7" ht="15" x14ac:dyDescent="0.3">
      <c r="A5285">
        <v>41.660346752916404</v>
      </c>
      <c r="B5285">
        <v>-83.593188229273807</v>
      </c>
      <c r="C5285" t="s">
        <v>41</v>
      </c>
      <c r="D5285" t="s">
        <v>3322</v>
      </c>
      <c r="F5285" s="21"/>
      <c r="G5285" s="16" t="str">
        <f>HYPERLINK("http://maps.google.com/maps?f=q&amp;hl=en&amp;geocode=&amp;q=41.6603467529164,-83.5931882292738")</f>
        <v>http://maps.google.com/maps?f=q&amp;hl=en&amp;geocode=&amp;q=41.6603467529164,-83.5931882292738</v>
      </c>
    </row>
    <row r="5286" spans="1:7" ht="15" x14ac:dyDescent="0.3">
      <c r="A5286">
        <v>55.491008758544901</v>
      </c>
      <c r="B5286">
        <v>9.9075298309326207</v>
      </c>
      <c r="C5286" t="s">
        <v>43</v>
      </c>
      <c r="D5286" t="s">
        <v>3323</v>
      </c>
      <c r="F5286" s="21"/>
      <c r="G5286" s="16" t="str">
        <f>HYPERLINK("http://maps.google.com/maps?f=q&amp;hl=en&amp;geocode=&amp;q=55.4910087585449,9.90752983093262")</f>
        <v>http://maps.google.com/maps?f=q&amp;hl=en&amp;geocode=&amp;q=55.4910087585449,9.90752983093262</v>
      </c>
    </row>
    <row r="5287" spans="1:7" ht="15" x14ac:dyDescent="0.3">
      <c r="A5287">
        <v>40.757724459797899</v>
      </c>
      <c r="B5287">
        <v>-73.936373469478397</v>
      </c>
      <c r="C5287" t="s">
        <v>43</v>
      </c>
      <c r="D5287" t="s">
        <v>3324</v>
      </c>
      <c r="F5287" s="21"/>
      <c r="G5287" s="16" t="str">
        <f>HYPERLINK("http://maps.google.com/maps?f=q&amp;hl=en&amp;geocode=&amp;q=40.7577244597979,-73.9363734694784")</f>
        <v>http://maps.google.com/maps?f=q&amp;hl=en&amp;geocode=&amp;q=40.7577244597979,-73.9363734694784</v>
      </c>
    </row>
    <row r="5288" spans="1:7" ht="15" x14ac:dyDescent="0.3">
      <c r="A5288">
        <v>36.4538383483887</v>
      </c>
      <c r="B5288">
        <v>-94.114013671875</v>
      </c>
      <c r="C5288" t="s">
        <v>43</v>
      </c>
      <c r="D5288" t="s">
        <v>3325</v>
      </c>
      <c r="F5288" s="21"/>
      <c r="G5288" s="16" t="str">
        <f>HYPERLINK("http://maps.google.com/maps?f=q&amp;hl=en&amp;geocode=&amp;q=36.4538383483887,-94.114013671875")</f>
        <v>http://maps.google.com/maps?f=q&amp;hl=en&amp;geocode=&amp;q=36.4538383483887,-94.114013671875</v>
      </c>
    </row>
    <row r="5289" spans="1:7" ht="15" x14ac:dyDescent="0.3">
      <c r="F5289" s="21"/>
      <c r="G5289" s="16"/>
    </row>
    <row r="5290" spans="1:7" ht="15" x14ac:dyDescent="0.3">
      <c r="A5290" t="s">
        <v>44</v>
      </c>
      <c r="B5290" t="s">
        <v>44</v>
      </c>
      <c r="C5290" t="s">
        <v>44</v>
      </c>
      <c r="D5290" t="s">
        <v>3326</v>
      </c>
      <c r="F5290" s="21"/>
      <c r="G5290" s="16"/>
    </row>
    <row r="5291" spans="1:7" ht="15" x14ac:dyDescent="0.3">
      <c r="A5291">
        <v>34.066528683002304</v>
      </c>
      <c r="B5291">
        <v>-118.45326577754</v>
      </c>
      <c r="C5291" t="s">
        <v>43</v>
      </c>
      <c r="D5291" t="s">
        <v>3327</v>
      </c>
      <c r="F5291" s="21"/>
      <c r="G5291" s="16" t="str">
        <f>HYPERLINK("http://maps.google.com/maps?f=q&amp;hl=en&amp;geocode=&amp;q=34.0665286830023,-118.45326577754")</f>
        <v>http://maps.google.com/maps?f=q&amp;hl=en&amp;geocode=&amp;q=34.0665286830023,-118.45326577754</v>
      </c>
    </row>
    <row r="5292" spans="1:7" ht="15" x14ac:dyDescent="0.3">
      <c r="A5292">
        <v>29.94772</v>
      </c>
      <c r="B5292">
        <v>-93.937799999999996</v>
      </c>
      <c r="C5292" t="s">
        <v>41</v>
      </c>
      <c r="D5292" t="s">
        <v>772</v>
      </c>
      <c r="F5292" s="21"/>
      <c r="G5292" s="16" t="str">
        <f>HYPERLINK("http://maps.google.com/maps?f=q&amp;hl=en&amp;geocode=&amp;q=29.94772,-93.9378")</f>
        <v>http://maps.google.com/maps?f=q&amp;hl=en&amp;geocode=&amp;q=29.94772,-93.9378</v>
      </c>
    </row>
    <row r="5293" spans="1:7" ht="15" x14ac:dyDescent="0.3">
      <c r="A5293">
        <v>40.040390000000002</v>
      </c>
      <c r="B5293">
        <v>-75.109629999999996</v>
      </c>
      <c r="C5293" t="s">
        <v>43</v>
      </c>
      <c r="D5293" t="s">
        <v>777</v>
      </c>
      <c r="F5293" s="21"/>
      <c r="G5293" s="16" t="str">
        <f>HYPERLINK("http://maps.google.com/maps?f=q&amp;hl=en&amp;geocode=&amp;q=40.04039,-75.10963")</f>
        <v>http://maps.google.com/maps?f=q&amp;hl=en&amp;geocode=&amp;q=40.04039,-75.10963</v>
      </c>
    </row>
    <row r="5294" spans="1:7" ht="15" x14ac:dyDescent="0.3">
      <c r="A5294" t="s">
        <v>44</v>
      </c>
      <c r="B5294" t="s">
        <v>44</v>
      </c>
      <c r="C5294" t="s">
        <v>44</v>
      </c>
      <c r="D5294" t="s">
        <v>3328</v>
      </c>
      <c r="F5294" s="21"/>
      <c r="G5294" s="16"/>
    </row>
    <row r="5295" spans="1:7" ht="15" x14ac:dyDescent="0.3">
      <c r="A5295">
        <v>40.017766826784701</v>
      </c>
      <c r="B5295">
        <v>-75.082533043290795</v>
      </c>
      <c r="C5295" t="s">
        <v>41</v>
      </c>
      <c r="D5295" t="s">
        <v>2702</v>
      </c>
      <c r="F5295" s="21"/>
      <c r="G5295" s="16" t="str">
        <f>HYPERLINK("http://maps.google.com/maps?f=q&amp;hl=en&amp;geocode=&amp;q=40.0177668267847,-75.0825330432908")</f>
        <v>http://maps.google.com/maps?f=q&amp;hl=en&amp;geocode=&amp;q=40.0177668267847,-75.0825330432908</v>
      </c>
    </row>
    <row r="5296" spans="1:7" ht="15" x14ac:dyDescent="0.3">
      <c r="A5296">
        <v>50.871189999999999</v>
      </c>
      <c r="B5296">
        <v>4.4230400000000003</v>
      </c>
      <c r="C5296" t="s">
        <v>43</v>
      </c>
      <c r="D5296" t="s">
        <v>3329</v>
      </c>
      <c r="F5296" s="21"/>
      <c r="G5296" s="16" t="str">
        <f>HYPERLINK("http://maps.google.com/maps?f=q&amp;hl=en&amp;geocode=&amp;q=50.87119,4.42304")</f>
        <v>http://maps.google.com/maps?f=q&amp;hl=en&amp;geocode=&amp;q=50.87119,4.42304</v>
      </c>
    </row>
    <row r="5297" spans="1:7" ht="15" x14ac:dyDescent="0.3">
      <c r="A5297">
        <v>40.5540171481926</v>
      </c>
      <c r="B5297">
        <v>-79.563172884828205</v>
      </c>
      <c r="C5297" t="s">
        <v>41</v>
      </c>
      <c r="D5297" t="s">
        <v>3330</v>
      </c>
      <c r="F5297" s="21"/>
      <c r="G5297" s="16" t="str">
        <f>HYPERLINK("http://maps.google.com/maps?f=q&amp;hl=en&amp;geocode=&amp;q=40.5540171481926,-79.5631728848282")</f>
        <v>http://maps.google.com/maps?f=q&amp;hl=en&amp;geocode=&amp;q=40.5540171481926,-79.5631728848282</v>
      </c>
    </row>
    <row r="5298" spans="1:7" ht="15" x14ac:dyDescent="0.3">
      <c r="A5298">
        <v>48.341648101806598</v>
      </c>
      <c r="B5298">
        <v>-3.9388399124145499</v>
      </c>
      <c r="C5298" t="s">
        <v>41</v>
      </c>
      <c r="D5298" t="s">
        <v>3331</v>
      </c>
      <c r="F5298" s="21"/>
      <c r="G5298" s="16" t="str">
        <f>HYPERLINK("http://maps.google.com/maps?f=q&amp;hl=en&amp;geocode=&amp;q=48.3416481018066,-3.93883991241455")</f>
        <v>http://maps.google.com/maps?f=q&amp;hl=en&amp;geocode=&amp;q=48.3416481018066,-3.93883991241455</v>
      </c>
    </row>
    <row r="5299" spans="1:7" ht="15" x14ac:dyDescent="0.3">
      <c r="A5299">
        <v>40.309326952462101</v>
      </c>
      <c r="B5299">
        <v>-78.317876013328501</v>
      </c>
      <c r="C5299" t="s">
        <v>41</v>
      </c>
      <c r="D5299" t="s">
        <v>1176</v>
      </c>
      <c r="F5299" s="21"/>
      <c r="G5299" s="16" t="str">
        <f>HYPERLINK("http://maps.google.com/maps?f=q&amp;hl=en&amp;geocode=&amp;q=40.3093269524621,-78.3178760133285")</f>
        <v>http://maps.google.com/maps?f=q&amp;hl=en&amp;geocode=&amp;q=40.3093269524621,-78.3178760133285</v>
      </c>
    </row>
    <row r="5300" spans="1:7" ht="15" x14ac:dyDescent="0.3">
      <c r="A5300">
        <v>40.035719999999998</v>
      </c>
      <c r="B5300">
        <v>-75.070629999999994</v>
      </c>
      <c r="C5300" t="s">
        <v>41</v>
      </c>
      <c r="D5300" t="s">
        <v>760</v>
      </c>
      <c r="F5300" s="21"/>
      <c r="G5300" s="16" t="str">
        <f>HYPERLINK("http://maps.google.com/maps?f=q&amp;hl=en&amp;geocode=&amp;q=40.03572,-75.07063")</f>
        <v>http://maps.google.com/maps?f=q&amp;hl=en&amp;geocode=&amp;q=40.03572,-75.07063</v>
      </c>
    </row>
    <row r="5301" spans="1:7" ht="15" x14ac:dyDescent="0.3">
      <c r="F5301" s="21"/>
      <c r="G5301" s="16"/>
    </row>
    <row r="5302" spans="1:7" ht="15" x14ac:dyDescent="0.3">
      <c r="F5302" s="21"/>
      <c r="G5302" s="16"/>
    </row>
    <row r="5303" spans="1:7" ht="15" x14ac:dyDescent="0.3">
      <c r="A5303">
        <v>41.343601226806598</v>
      </c>
      <c r="B5303">
        <v>-82.459877014160199</v>
      </c>
      <c r="C5303" t="s">
        <v>41</v>
      </c>
      <c r="D5303" t="s">
        <v>3332</v>
      </c>
      <c r="F5303" s="21"/>
      <c r="G5303" s="16" t="str">
        <f>HYPERLINK("http://maps.google.com/maps?f=q&amp;hl=en&amp;geocode=&amp;q=41.3436012268066,-82.4598770141602")</f>
        <v>http://maps.google.com/maps?f=q&amp;hl=en&amp;geocode=&amp;q=41.3436012268066,-82.4598770141602</v>
      </c>
    </row>
    <row r="5304" spans="1:7" ht="15" x14ac:dyDescent="0.3">
      <c r="A5304">
        <v>33.914490000000001</v>
      </c>
      <c r="B5304">
        <v>-86.032839999999993</v>
      </c>
      <c r="C5304" t="s">
        <v>42</v>
      </c>
      <c r="D5304" t="s">
        <v>3333</v>
      </c>
      <c r="F5304" s="21"/>
      <c r="G5304" s="16" t="str">
        <f>HYPERLINK("http://maps.google.com/maps?f=q&amp;hl=en&amp;geocode=&amp;q=33.91449,-86.03284")</f>
        <v>http://maps.google.com/maps?f=q&amp;hl=en&amp;geocode=&amp;q=33.91449,-86.03284</v>
      </c>
    </row>
    <row r="5305" spans="1:7" ht="15" x14ac:dyDescent="0.3">
      <c r="A5305">
        <v>40.045720000000003</v>
      </c>
      <c r="B5305">
        <v>-75.151929999999993</v>
      </c>
      <c r="C5305" t="s">
        <v>41</v>
      </c>
      <c r="D5305" t="s">
        <v>3334</v>
      </c>
      <c r="F5305" s="21"/>
      <c r="G5305" s="16" t="str">
        <f>HYPERLINK("http://maps.google.com/maps?f=q&amp;hl=en&amp;geocode=&amp;q=40.04572,-75.15193")</f>
        <v>http://maps.google.com/maps?f=q&amp;hl=en&amp;geocode=&amp;q=40.04572,-75.15193</v>
      </c>
    </row>
    <row r="5306" spans="1:7" ht="15" x14ac:dyDescent="0.3">
      <c r="A5306">
        <v>42.829813753377501</v>
      </c>
      <c r="B5306">
        <v>-74.491486683752001</v>
      </c>
      <c r="C5306" t="s">
        <v>41</v>
      </c>
      <c r="D5306" t="s">
        <v>3164</v>
      </c>
      <c r="F5306" s="21"/>
      <c r="G5306" s="16" t="str">
        <f>HYPERLINK("http://maps.google.com/maps?f=q&amp;hl=en&amp;geocode=&amp;q=42.8298137533775,-74.491486683752")</f>
        <v>http://maps.google.com/maps?f=q&amp;hl=en&amp;geocode=&amp;q=42.8298137533775,-74.491486683752</v>
      </c>
    </row>
    <row r="5307" spans="1:7" ht="15" x14ac:dyDescent="0.3">
      <c r="A5307">
        <v>31.799755619471501</v>
      </c>
      <c r="B5307">
        <v>-81.650032416613399</v>
      </c>
      <c r="C5307" t="s">
        <v>43</v>
      </c>
      <c r="D5307" t="s">
        <v>3335</v>
      </c>
      <c r="F5307" s="21"/>
      <c r="G5307" s="16" t="str">
        <f>HYPERLINK("http://maps.google.com/maps?f=q&amp;hl=en&amp;geocode=&amp;q=31.7997556194715,-81.6500324166134")</f>
        <v>http://maps.google.com/maps?f=q&amp;hl=en&amp;geocode=&amp;q=31.7997556194715,-81.6500324166134</v>
      </c>
    </row>
    <row r="5308" spans="1:7" ht="15" x14ac:dyDescent="0.3">
      <c r="A5308">
        <v>40.049819999999997</v>
      </c>
      <c r="B5308">
        <v>-75.095699999999994</v>
      </c>
      <c r="C5308" t="s">
        <v>43</v>
      </c>
      <c r="D5308" t="s">
        <v>2496</v>
      </c>
      <c r="F5308" s="21"/>
      <c r="G5308" s="16" t="str">
        <f>HYPERLINK("http://maps.google.com/maps?f=q&amp;hl=en&amp;geocode=&amp;q=40.04982,-75.0957")</f>
        <v>http://maps.google.com/maps?f=q&amp;hl=en&amp;geocode=&amp;q=40.04982,-75.0957</v>
      </c>
    </row>
    <row r="5309" spans="1:7" ht="15" x14ac:dyDescent="0.3">
      <c r="A5309">
        <v>-29.385606765747099</v>
      </c>
      <c r="B5309">
        <v>148.55111694335901</v>
      </c>
      <c r="C5309" t="s">
        <v>41</v>
      </c>
      <c r="D5309" t="s">
        <v>3336</v>
      </c>
      <c r="F5309" s="21"/>
      <c r="G5309" s="16" t="str">
        <f>HYPERLINK("http://maps.google.com/maps?f=q&amp;hl=en&amp;geocode=&amp;q=-29.3856067657471,148.551116943359")</f>
        <v>http://maps.google.com/maps?f=q&amp;hl=en&amp;geocode=&amp;q=-29.3856067657471,148.551116943359</v>
      </c>
    </row>
    <row r="5310" spans="1:7" ht="15" x14ac:dyDescent="0.3">
      <c r="A5310">
        <v>30.00461</v>
      </c>
      <c r="B5310">
        <v>-90.066919999999996</v>
      </c>
      <c r="C5310" t="s">
        <v>41</v>
      </c>
      <c r="D5310" t="s">
        <v>3337</v>
      </c>
      <c r="F5310" s="21"/>
      <c r="G5310" s="16" t="str">
        <f>HYPERLINK("http://maps.google.com/maps?f=q&amp;hl=en&amp;geocode=&amp;q=30.00461,-90.06692")</f>
        <v>http://maps.google.com/maps?f=q&amp;hl=en&amp;geocode=&amp;q=30.00461,-90.06692</v>
      </c>
    </row>
    <row r="5311" spans="1:7" ht="15" x14ac:dyDescent="0.3">
      <c r="A5311">
        <v>41.255760000000002</v>
      </c>
      <c r="B5311">
        <v>-81.447999999999993</v>
      </c>
      <c r="C5311" t="s">
        <v>41</v>
      </c>
      <c r="D5311" t="s">
        <v>3338</v>
      </c>
      <c r="F5311" s="21"/>
      <c r="G5311" s="16" t="str">
        <f>HYPERLINK("http://maps.google.com/maps?f=q&amp;hl=en&amp;geocode=&amp;q=41.25576,-81.448")</f>
        <v>http://maps.google.com/maps?f=q&amp;hl=en&amp;geocode=&amp;q=41.25576,-81.448</v>
      </c>
    </row>
    <row r="5312" spans="1:7" ht="15" x14ac:dyDescent="0.3">
      <c r="A5312">
        <v>41.255760000000002</v>
      </c>
      <c r="B5312">
        <v>-81.447999999999993</v>
      </c>
      <c r="C5312" t="s">
        <v>41</v>
      </c>
      <c r="D5312" t="s">
        <v>3338</v>
      </c>
      <c r="F5312" s="21"/>
      <c r="G5312" s="16" t="str">
        <f>HYPERLINK("http://maps.google.com/maps?f=q&amp;hl=en&amp;geocode=&amp;q=41.25576,-81.448")</f>
        <v>http://maps.google.com/maps?f=q&amp;hl=en&amp;geocode=&amp;q=41.25576,-81.448</v>
      </c>
    </row>
    <row r="5313" spans="1:7" ht="15" x14ac:dyDescent="0.3">
      <c r="F5313" s="21"/>
      <c r="G5313" s="16"/>
    </row>
    <row r="5314" spans="1:7" ht="15" x14ac:dyDescent="0.3">
      <c r="A5314">
        <v>39.859144687642299</v>
      </c>
      <c r="B5314">
        <v>-88.982905782504204</v>
      </c>
      <c r="C5314" t="s">
        <v>41</v>
      </c>
      <c r="D5314" t="s">
        <v>3339</v>
      </c>
      <c r="F5314" s="21"/>
      <c r="G5314" s="16" t="str">
        <f>HYPERLINK("http://maps.google.com/maps?f=q&amp;hl=en&amp;geocode=&amp;q=39.8591446876423,-88.9829057825042")</f>
        <v>http://maps.google.com/maps?f=q&amp;hl=en&amp;geocode=&amp;q=39.8591446876423,-88.9829057825042</v>
      </c>
    </row>
    <row r="5315" spans="1:7" ht="15" x14ac:dyDescent="0.3">
      <c r="A5315">
        <v>39.859144687642299</v>
      </c>
      <c r="B5315">
        <v>-88.982905782504204</v>
      </c>
      <c r="C5315" t="s">
        <v>41</v>
      </c>
      <c r="D5315" t="s">
        <v>3339</v>
      </c>
      <c r="F5315" s="21"/>
      <c r="G5315" s="16" t="str">
        <f>HYPERLINK("http://maps.google.com/maps?f=q&amp;hl=en&amp;geocode=&amp;q=39.8591446876423,-88.9829057825042")</f>
        <v>http://maps.google.com/maps?f=q&amp;hl=en&amp;geocode=&amp;q=39.8591446876423,-88.9829057825042</v>
      </c>
    </row>
    <row r="5316" spans="1:7" ht="15" x14ac:dyDescent="0.3">
      <c r="A5316">
        <v>39.023336748478002</v>
      </c>
      <c r="B5316">
        <v>-94.8271313791534</v>
      </c>
      <c r="C5316" t="s">
        <v>41</v>
      </c>
      <c r="D5316" t="s">
        <v>3340</v>
      </c>
      <c r="F5316" s="21"/>
      <c r="G5316" s="16" t="str">
        <f>HYPERLINK("http://maps.google.com/maps?f=q&amp;hl=en&amp;geocode=&amp;q=39.023336748478,-94.8271313791534")</f>
        <v>http://maps.google.com/maps?f=q&amp;hl=en&amp;geocode=&amp;q=39.023336748478,-94.8271313791534</v>
      </c>
    </row>
    <row r="5317" spans="1:7" ht="15" x14ac:dyDescent="0.3">
      <c r="A5317" t="s">
        <v>44</v>
      </c>
      <c r="B5317" t="s">
        <v>44</v>
      </c>
      <c r="C5317" t="s">
        <v>44</v>
      </c>
      <c r="D5317" t="s">
        <v>3341</v>
      </c>
      <c r="F5317" s="21"/>
      <c r="G5317" s="16"/>
    </row>
    <row r="5318" spans="1:7" ht="15" x14ac:dyDescent="0.3">
      <c r="A5318">
        <v>43.680480000000003</v>
      </c>
      <c r="B5318">
        <v>-86.493219999999994</v>
      </c>
      <c r="C5318" t="s">
        <v>43</v>
      </c>
      <c r="D5318" t="s">
        <v>3342</v>
      </c>
      <c r="F5318" s="21"/>
      <c r="G5318" s="16" t="str">
        <f>HYPERLINK("http://maps.google.com/maps?f=q&amp;hl=en&amp;geocode=&amp;q=43.68048,-86.49322")</f>
        <v>http://maps.google.com/maps?f=q&amp;hl=en&amp;geocode=&amp;q=43.68048,-86.49322</v>
      </c>
    </row>
    <row r="5319" spans="1:7" ht="15" x14ac:dyDescent="0.3">
      <c r="A5319">
        <v>36.404909580767601</v>
      </c>
      <c r="B5319">
        <v>-84.816318685823504</v>
      </c>
      <c r="C5319" t="s">
        <v>41</v>
      </c>
      <c r="D5319" t="s">
        <v>3343</v>
      </c>
      <c r="F5319" s="21"/>
      <c r="G5319" s="16" t="str">
        <f>HYPERLINK("http://maps.google.com/maps?f=q&amp;hl=en&amp;geocode=&amp;q=36.4049095807676,-84.8163186858235")</f>
        <v>http://maps.google.com/maps?f=q&amp;hl=en&amp;geocode=&amp;q=36.4049095807676,-84.8163186858235</v>
      </c>
    </row>
    <row r="5320" spans="1:7" ht="15" x14ac:dyDescent="0.3">
      <c r="A5320">
        <v>35.104619999999997</v>
      </c>
      <c r="B5320">
        <v>-80.803839999999994</v>
      </c>
      <c r="C5320" t="s">
        <v>42</v>
      </c>
      <c r="D5320" t="s">
        <v>3344</v>
      </c>
      <c r="F5320" s="21"/>
      <c r="G5320" s="16" t="str">
        <f>HYPERLINK("http://maps.google.com/maps?f=q&amp;hl=en&amp;geocode=&amp;q=35.10462,-80.80384")</f>
        <v>http://maps.google.com/maps?f=q&amp;hl=en&amp;geocode=&amp;q=35.10462,-80.80384</v>
      </c>
    </row>
    <row r="5321" spans="1:7" ht="15" x14ac:dyDescent="0.3">
      <c r="A5321">
        <v>-31.4363098144531</v>
      </c>
      <c r="B5321">
        <v>152.68077087402301</v>
      </c>
      <c r="C5321" t="s">
        <v>43</v>
      </c>
      <c r="D5321" t="s">
        <v>3345</v>
      </c>
      <c r="F5321" s="21"/>
      <c r="G5321" s="16" t="str">
        <f>HYPERLINK("http://maps.google.com/maps?f=q&amp;hl=en&amp;geocode=&amp;q=-31.4363098144531,152.680770874023")</f>
        <v>http://maps.google.com/maps?f=q&amp;hl=en&amp;geocode=&amp;q=-31.4363098144531,152.680770874023</v>
      </c>
    </row>
    <row r="5322" spans="1:7" ht="15" x14ac:dyDescent="0.3">
      <c r="A5322">
        <v>40.056820000000002</v>
      </c>
      <c r="B5322">
        <v>-75.053579999999997</v>
      </c>
      <c r="C5322" t="s">
        <v>41</v>
      </c>
      <c r="D5322" t="s">
        <v>3346</v>
      </c>
      <c r="F5322" s="21"/>
      <c r="G5322" s="16" t="str">
        <f>HYPERLINK("http://maps.google.com/maps?f=q&amp;hl=en&amp;geocode=&amp;q=40.05682,-75.05358")</f>
        <v>http://maps.google.com/maps?f=q&amp;hl=en&amp;geocode=&amp;q=40.05682,-75.05358</v>
      </c>
    </row>
    <row r="5323" spans="1:7" ht="15" x14ac:dyDescent="0.3">
      <c r="A5323">
        <v>36.382385157353298</v>
      </c>
      <c r="B5323">
        <v>-78.628909711545006</v>
      </c>
      <c r="C5323" t="s">
        <v>41</v>
      </c>
      <c r="D5323" t="s">
        <v>138</v>
      </c>
      <c r="F5323" s="21"/>
      <c r="G5323" s="16" t="str">
        <f>HYPERLINK("http://maps.google.com/maps?f=q&amp;hl=en&amp;geocode=&amp;q=36.3823851573533,-78.628909711545")</f>
        <v>http://maps.google.com/maps?f=q&amp;hl=en&amp;geocode=&amp;q=36.3823851573533,-78.628909711545</v>
      </c>
    </row>
    <row r="5324" spans="1:7" ht="15" x14ac:dyDescent="0.3">
      <c r="A5324">
        <v>36.382385157353298</v>
      </c>
      <c r="B5324">
        <v>-78.628909711545006</v>
      </c>
      <c r="C5324" t="s">
        <v>41</v>
      </c>
      <c r="D5324" t="s">
        <v>138</v>
      </c>
      <c r="F5324" s="21"/>
      <c r="G5324" s="16" t="str">
        <f>HYPERLINK("http://maps.google.com/maps?f=q&amp;hl=en&amp;geocode=&amp;q=36.3823851573533,-78.628909711545")</f>
        <v>http://maps.google.com/maps?f=q&amp;hl=en&amp;geocode=&amp;q=36.3823851573533,-78.628909711545</v>
      </c>
    </row>
    <row r="5325" spans="1:7" ht="15" x14ac:dyDescent="0.3">
      <c r="A5325">
        <v>45.056591033935497</v>
      </c>
      <c r="B5325">
        <v>-77.853340148925795</v>
      </c>
      <c r="C5325" t="s">
        <v>43</v>
      </c>
      <c r="D5325" t="s">
        <v>3347</v>
      </c>
      <c r="F5325" s="21"/>
      <c r="G5325" s="16" t="str">
        <f>HYPERLINK("http://maps.google.com/maps?f=q&amp;hl=en&amp;geocode=&amp;q=45.0565910339355,-77.8533401489258")</f>
        <v>http://maps.google.com/maps?f=q&amp;hl=en&amp;geocode=&amp;q=45.0565910339355,-77.8533401489258</v>
      </c>
    </row>
    <row r="5326" spans="1:7" ht="15" x14ac:dyDescent="0.3">
      <c r="A5326">
        <v>27.613869999999999</v>
      </c>
      <c r="B5326">
        <v>-81.409710000000004</v>
      </c>
      <c r="C5326" t="s">
        <v>43</v>
      </c>
      <c r="D5326" t="s">
        <v>3348</v>
      </c>
      <c r="F5326" s="21"/>
      <c r="G5326" s="16" t="str">
        <f>HYPERLINK("http://maps.google.com/maps?f=q&amp;hl=en&amp;geocode=&amp;q=27.61387,-81.40971")</f>
        <v>http://maps.google.com/maps?f=q&amp;hl=en&amp;geocode=&amp;q=27.61387,-81.40971</v>
      </c>
    </row>
    <row r="5327" spans="1:7" ht="15" x14ac:dyDescent="0.3">
      <c r="A5327">
        <v>1.8428330421447801</v>
      </c>
      <c r="B5327">
        <v>-157.67582702636699</v>
      </c>
      <c r="C5327" t="s">
        <v>41</v>
      </c>
      <c r="D5327" t="s">
        <v>3349</v>
      </c>
      <c r="F5327" s="21"/>
      <c r="G5327" s="16" t="str">
        <f>HYPERLINK("http://maps.google.com/maps?f=q&amp;hl=en&amp;geocode=&amp;q=1.84283304214478,-157.675827026367")</f>
        <v>http://maps.google.com/maps?f=q&amp;hl=en&amp;geocode=&amp;q=1.84283304214478,-157.675827026367</v>
      </c>
    </row>
    <row r="5328" spans="1:7" ht="15" x14ac:dyDescent="0.3">
      <c r="A5328">
        <v>40.612789154052699</v>
      </c>
      <c r="B5328">
        <v>-75.592453002929702</v>
      </c>
      <c r="C5328" t="s">
        <v>41</v>
      </c>
      <c r="D5328" t="s">
        <v>3350</v>
      </c>
      <c r="F5328" s="21"/>
      <c r="G5328" s="16" t="str">
        <f>HYPERLINK("http://maps.google.com/maps?f=q&amp;hl=en&amp;geocode=&amp;q=40.6127891540527,-75.5924530029297")</f>
        <v>http://maps.google.com/maps?f=q&amp;hl=en&amp;geocode=&amp;q=40.6127891540527,-75.5924530029297</v>
      </c>
    </row>
    <row r="5329" spans="1:7" ht="15" x14ac:dyDescent="0.3">
      <c r="A5329" t="s">
        <v>44</v>
      </c>
      <c r="B5329" t="s">
        <v>44</v>
      </c>
      <c r="C5329" t="s">
        <v>44</v>
      </c>
      <c r="D5329" t="s">
        <v>3351</v>
      </c>
      <c r="F5329" s="21"/>
      <c r="G5329" s="16"/>
    </row>
    <row r="5330" spans="1:7" ht="15" x14ac:dyDescent="0.3">
      <c r="A5330">
        <v>39.924329999999998</v>
      </c>
      <c r="B5330">
        <v>-75.234889999999993</v>
      </c>
      <c r="C5330" t="s">
        <v>41</v>
      </c>
      <c r="D5330" t="s">
        <v>3352</v>
      </c>
      <c r="F5330" s="21"/>
      <c r="G5330" s="16" t="str">
        <f>HYPERLINK("http://maps.google.com/maps?f=q&amp;hl=en&amp;geocode=&amp;q=39.92433,-75.23489")</f>
        <v>http://maps.google.com/maps?f=q&amp;hl=en&amp;geocode=&amp;q=39.92433,-75.23489</v>
      </c>
    </row>
    <row r="5331" spans="1:7" ht="15" x14ac:dyDescent="0.3">
      <c r="A5331">
        <v>30.4877605438232</v>
      </c>
      <c r="B5331">
        <v>-87.708351135253906</v>
      </c>
      <c r="C5331" t="s">
        <v>41</v>
      </c>
      <c r="D5331" t="s">
        <v>2808</v>
      </c>
      <c r="F5331" s="21"/>
      <c r="G5331" s="16" t="str">
        <f>HYPERLINK("http://maps.google.com/maps?f=q&amp;hl=en&amp;geocode=&amp;q=30.4877605438232,-87.7083511352539")</f>
        <v>http://maps.google.com/maps?f=q&amp;hl=en&amp;geocode=&amp;q=30.4877605438232,-87.7083511352539</v>
      </c>
    </row>
    <row r="5332" spans="1:7" ht="15" x14ac:dyDescent="0.3">
      <c r="A5332">
        <v>35.907490000000003</v>
      </c>
      <c r="B5332">
        <v>-78.483360000000005</v>
      </c>
      <c r="C5332" t="s">
        <v>42</v>
      </c>
      <c r="D5332" t="s">
        <v>3353</v>
      </c>
      <c r="F5332" s="21"/>
      <c r="G5332" s="16" t="str">
        <f>HYPERLINK("http://maps.google.com/maps?f=q&amp;hl=en&amp;geocode=&amp;q=35.90749,-78.48336")</f>
        <v>http://maps.google.com/maps?f=q&amp;hl=en&amp;geocode=&amp;q=35.90749,-78.48336</v>
      </c>
    </row>
    <row r="5333" spans="1:7" ht="15" x14ac:dyDescent="0.3">
      <c r="A5333">
        <v>40.042740466238598</v>
      </c>
      <c r="B5333">
        <v>-75.082154342856498</v>
      </c>
      <c r="C5333" t="s">
        <v>41</v>
      </c>
      <c r="D5333" t="s">
        <v>3354</v>
      </c>
      <c r="F5333" s="21"/>
      <c r="G5333" s="16" t="str">
        <f>HYPERLINK("http://maps.google.com/maps?f=q&amp;hl=en&amp;geocode=&amp;q=40.0427404662386,-75.0821543428565")</f>
        <v>http://maps.google.com/maps?f=q&amp;hl=en&amp;geocode=&amp;q=40.0427404662386,-75.0821543428565</v>
      </c>
    </row>
    <row r="5334" spans="1:7" ht="15" x14ac:dyDescent="0.3">
      <c r="A5334">
        <v>39.421900000000001</v>
      </c>
      <c r="B5334">
        <v>-75.274190000000004</v>
      </c>
      <c r="C5334" t="s">
        <v>41</v>
      </c>
      <c r="D5334" t="s">
        <v>2648</v>
      </c>
      <c r="F5334" s="21"/>
      <c r="G5334" s="16" t="str">
        <f>HYPERLINK("http://maps.google.com/maps?f=q&amp;hl=en&amp;geocode=&amp;q=39.4219,-75.27419")</f>
        <v>http://maps.google.com/maps?f=q&amp;hl=en&amp;geocode=&amp;q=39.4219,-75.27419</v>
      </c>
    </row>
    <row r="5335" spans="1:7" ht="15" x14ac:dyDescent="0.3">
      <c r="A5335">
        <v>39.421900000000001</v>
      </c>
      <c r="B5335">
        <v>-75.274190000000004</v>
      </c>
      <c r="C5335" t="s">
        <v>41</v>
      </c>
      <c r="D5335" t="s">
        <v>2648</v>
      </c>
      <c r="F5335" s="21"/>
      <c r="G5335" s="16" t="str">
        <f>HYPERLINK("http://maps.google.com/maps?f=q&amp;hl=en&amp;geocode=&amp;q=39.4219,-75.27419")</f>
        <v>http://maps.google.com/maps?f=q&amp;hl=en&amp;geocode=&amp;q=39.4219,-75.27419</v>
      </c>
    </row>
    <row r="5336" spans="1:7" ht="15" x14ac:dyDescent="0.3">
      <c r="A5336">
        <v>42.736513714122502</v>
      </c>
      <c r="B5336">
        <v>-75.218642867432607</v>
      </c>
      <c r="C5336" t="s">
        <v>41</v>
      </c>
      <c r="D5336" t="s">
        <v>1360</v>
      </c>
      <c r="F5336" s="21"/>
      <c r="G5336" s="16" t="str">
        <f>HYPERLINK("http://maps.google.com/maps?f=q&amp;hl=en&amp;geocode=&amp;q=42.7365137141225,-75.2186428674326")</f>
        <v>http://maps.google.com/maps?f=q&amp;hl=en&amp;geocode=&amp;q=42.7365137141225,-75.2186428674326</v>
      </c>
    </row>
    <row r="5337" spans="1:7" ht="15" x14ac:dyDescent="0.3">
      <c r="A5337">
        <v>-40.001163482666001</v>
      </c>
      <c r="B5337">
        <v>176.55967712402301</v>
      </c>
      <c r="C5337" t="s">
        <v>43</v>
      </c>
      <c r="D5337" t="s">
        <v>3355</v>
      </c>
      <c r="F5337" s="21"/>
      <c r="G5337" s="16" t="str">
        <f>HYPERLINK("http://maps.google.com/maps?f=q&amp;hl=en&amp;geocode=&amp;q=-40.001163482666,176.559677124023")</f>
        <v>http://maps.google.com/maps?f=q&amp;hl=en&amp;geocode=&amp;q=-40.001163482666,176.559677124023</v>
      </c>
    </row>
    <row r="5338" spans="1:7" ht="15" x14ac:dyDescent="0.3">
      <c r="A5338">
        <v>-40.001163482666001</v>
      </c>
      <c r="B5338">
        <v>176.55967712402301</v>
      </c>
      <c r="C5338" t="s">
        <v>43</v>
      </c>
      <c r="D5338" t="s">
        <v>3355</v>
      </c>
      <c r="F5338" s="21"/>
      <c r="G5338" s="16" t="str">
        <f>HYPERLINK("http://maps.google.com/maps?f=q&amp;hl=en&amp;geocode=&amp;q=-40.001163482666,176.559677124023")</f>
        <v>http://maps.google.com/maps?f=q&amp;hl=en&amp;geocode=&amp;q=-40.001163482666,176.559677124023</v>
      </c>
    </row>
    <row r="5339" spans="1:7" ht="15" x14ac:dyDescent="0.3">
      <c r="A5339">
        <v>-26.034427642822301</v>
      </c>
      <c r="B5339">
        <v>28.5431098937988</v>
      </c>
      <c r="C5339" t="s">
        <v>43</v>
      </c>
      <c r="D5339" t="s">
        <v>706</v>
      </c>
      <c r="F5339" s="21"/>
      <c r="G5339" s="16" t="str">
        <f>HYPERLINK("http://maps.google.com/maps?f=q&amp;hl=en&amp;geocode=&amp;q=-26.0344276428223,28.5431098937988")</f>
        <v>http://maps.google.com/maps?f=q&amp;hl=en&amp;geocode=&amp;q=-26.0344276428223,28.5431098937988</v>
      </c>
    </row>
    <row r="5340" spans="1:7" ht="15" x14ac:dyDescent="0.3">
      <c r="A5340">
        <v>-26.034427642822301</v>
      </c>
      <c r="B5340">
        <v>28.5431098937988</v>
      </c>
      <c r="C5340" t="s">
        <v>43</v>
      </c>
      <c r="D5340" t="s">
        <v>706</v>
      </c>
      <c r="F5340" s="21"/>
      <c r="G5340" s="16" t="str">
        <f>HYPERLINK("http://maps.google.com/maps?f=q&amp;hl=en&amp;geocode=&amp;q=-26.0344276428223,28.5431098937988")</f>
        <v>http://maps.google.com/maps?f=q&amp;hl=en&amp;geocode=&amp;q=-26.0344276428223,28.5431098937988</v>
      </c>
    </row>
    <row r="5341" spans="1:7" ht="15" x14ac:dyDescent="0.3">
      <c r="A5341">
        <v>-26.034427642822301</v>
      </c>
      <c r="B5341">
        <v>28.5431098937988</v>
      </c>
      <c r="C5341" t="s">
        <v>43</v>
      </c>
      <c r="D5341" t="s">
        <v>706</v>
      </c>
      <c r="F5341" s="21"/>
      <c r="G5341" s="16" t="str">
        <f>HYPERLINK("http://maps.google.com/maps?f=q&amp;hl=en&amp;geocode=&amp;q=-26.0344276428223,28.5431098937988")</f>
        <v>http://maps.google.com/maps?f=q&amp;hl=en&amp;geocode=&amp;q=-26.0344276428223,28.5431098937988</v>
      </c>
    </row>
    <row r="5342" spans="1:7" ht="15" x14ac:dyDescent="0.3">
      <c r="A5342">
        <v>-26.034427642822301</v>
      </c>
      <c r="B5342">
        <v>28.5431098937988</v>
      </c>
      <c r="C5342" t="s">
        <v>43</v>
      </c>
      <c r="D5342" t="s">
        <v>706</v>
      </c>
      <c r="F5342" s="21"/>
      <c r="G5342" s="16" t="str">
        <f>HYPERLINK("http://maps.google.com/maps?f=q&amp;hl=en&amp;geocode=&amp;q=-26.0344276428223,28.5431098937988")</f>
        <v>http://maps.google.com/maps?f=q&amp;hl=en&amp;geocode=&amp;q=-26.0344276428223,28.5431098937988</v>
      </c>
    </row>
    <row r="5343" spans="1:7" ht="15" x14ac:dyDescent="0.3">
      <c r="A5343" t="s">
        <v>44</v>
      </c>
      <c r="B5343" t="s">
        <v>44</v>
      </c>
      <c r="C5343" t="s">
        <v>44</v>
      </c>
      <c r="D5343" t="s">
        <v>3356</v>
      </c>
      <c r="F5343" s="21"/>
      <c r="G5343" s="16"/>
    </row>
    <row r="5344" spans="1:7" ht="15" x14ac:dyDescent="0.3">
      <c r="A5344">
        <v>-26.034427642822301</v>
      </c>
      <c r="B5344">
        <v>28.5431098937988</v>
      </c>
      <c r="C5344" t="s">
        <v>43</v>
      </c>
      <c r="D5344" t="s">
        <v>706</v>
      </c>
      <c r="F5344" s="21"/>
      <c r="G5344" s="16" t="str">
        <f>HYPERLINK("http://maps.google.com/maps?f=q&amp;hl=en&amp;geocode=&amp;q=-26.0344276428223,28.5431098937988")</f>
        <v>http://maps.google.com/maps?f=q&amp;hl=en&amp;geocode=&amp;q=-26.0344276428223,28.5431098937988</v>
      </c>
    </row>
    <row r="5345" spans="1:7" ht="15" x14ac:dyDescent="0.3">
      <c r="A5345">
        <v>35.923939633890399</v>
      </c>
      <c r="B5345">
        <v>-86.926343570667797</v>
      </c>
      <c r="C5345" t="s">
        <v>41</v>
      </c>
      <c r="D5345" t="s">
        <v>3357</v>
      </c>
      <c r="F5345" s="21"/>
      <c r="G5345" s="16" t="str">
        <f>HYPERLINK("http://maps.google.com/maps?f=q&amp;hl=en&amp;geocode=&amp;q=35.9239396338904,-86.9263435706678")</f>
        <v>http://maps.google.com/maps?f=q&amp;hl=en&amp;geocode=&amp;q=35.9239396338904,-86.9263435706678</v>
      </c>
    </row>
    <row r="5346" spans="1:7" ht="15" x14ac:dyDescent="0.3">
      <c r="A5346" t="s">
        <v>44</v>
      </c>
      <c r="B5346" t="s">
        <v>44</v>
      </c>
      <c r="C5346" t="s">
        <v>44</v>
      </c>
      <c r="D5346" t="s">
        <v>3358</v>
      </c>
      <c r="F5346" s="21"/>
      <c r="G5346" s="16"/>
    </row>
    <row r="5347" spans="1:7" ht="15" x14ac:dyDescent="0.3">
      <c r="A5347">
        <v>40.042850000000001</v>
      </c>
      <c r="B5347">
        <v>-75.127189999999999</v>
      </c>
      <c r="C5347" t="s">
        <v>43</v>
      </c>
      <c r="D5347" t="s">
        <v>3311</v>
      </c>
      <c r="F5347" s="21"/>
      <c r="G5347" s="16" t="str">
        <f>HYPERLINK("http://maps.google.com/maps?f=q&amp;hl=en&amp;geocode=&amp;q=40.04285,-75.12719")</f>
        <v>http://maps.google.com/maps?f=q&amp;hl=en&amp;geocode=&amp;q=40.04285,-75.12719</v>
      </c>
    </row>
    <row r="5348" spans="1:7" ht="15" x14ac:dyDescent="0.3">
      <c r="A5348">
        <v>33.687506495244101</v>
      </c>
      <c r="B5348">
        <v>-102.56117362833299</v>
      </c>
      <c r="C5348" t="s">
        <v>41</v>
      </c>
      <c r="D5348" t="s">
        <v>3359</v>
      </c>
      <c r="F5348" s="21"/>
      <c r="G5348" s="16" t="str">
        <f>HYPERLINK("http://maps.google.com/maps?f=q&amp;hl=en&amp;geocode=&amp;q=33.6875064952441,-102.561173628333")</f>
        <v>http://maps.google.com/maps?f=q&amp;hl=en&amp;geocode=&amp;q=33.6875064952441,-102.561173628333</v>
      </c>
    </row>
    <row r="5349" spans="1:7" ht="15" x14ac:dyDescent="0.3">
      <c r="A5349" t="s">
        <v>44</v>
      </c>
      <c r="B5349" t="s">
        <v>44</v>
      </c>
      <c r="C5349" t="s">
        <v>44</v>
      </c>
      <c r="D5349" t="s">
        <v>3360</v>
      </c>
      <c r="F5349" s="21"/>
      <c r="G5349" s="16"/>
    </row>
    <row r="5350" spans="1:7" ht="15" x14ac:dyDescent="0.3">
      <c r="A5350">
        <v>33.687506495244101</v>
      </c>
      <c r="B5350">
        <v>-102.56117362833299</v>
      </c>
      <c r="C5350" t="s">
        <v>41</v>
      </c>
      <c r="D5350" t="s">
        <v>3359</v>
      </c>
      <c r="F5350" s="21"/>
      <c r="G5350" s="16" t="str">
        <f>HYPERLINK("http://maps.google.com/maps?f=q&amp;hl=en&amp;geocode=&amp;q=33.6875064952441,-102.561173628333")</f>
        <v>http://maps.google.com/maps?f=q&amp;hl=en&amp;geocode=&amp;q=33.6875064952441,-102.561173628333</v>
      </c>
    </row>
    <row r="5351" spans="1:7" ht="15" x14ac:dyDescent="0.3">
      <c r="A5351">
        <v>33.687506495244101</v>
      </c>
      <c r="B5351">
        <v>-102.56117362833299</v>
      </c>
      <c r="C5351" t="s">
        <v>41</v>
      </c>
      <c r="D5351" t="s">
        <v>3359</v>
      </c>
      <c r="F5351" s="21"/>
      <c r="G5351" s="16" t="str">
        <f>HYPERLINK("http://maps.google.com/maps?f=q&amp;hl=en&amp;geocode=&amp;q=33.6875064952441,-102.561173628333")</f>
        <v>http://maps.google.com/maps?f=q&amp;hl=en&amp;geocode=&amp;q=33.6875064952441,-102.561173628333</v>
      </c>
    </row>
    <row r="5352" spans="1:7" ht="15" x14ac:dyDescent="0.3">
      <c r="A5352">
        <v>33.687506495244101</v>
      </c>
      <c r="B5352">
        <v>-102.56117362833299</v>
      </c>
      <c r="C5352" t="s">
        <v>41</v>
      </c>
      <c r="D5352" t="s">
        <v>3359</v>
      </c>
      <c r="F5352" s="21"/>
      <c r="G5352" s="16" t="str">
        <f>HYPERLINK("http://maps.google.com/maps?f=q&amp;hl=en&amp;geocode=&amp;q=33.6875064952441,-102.561173628333")</f>
        <v>http://maps.google.com/maps?f=q&amp;hl=en&amp;geocode=&amp;q=33.6875064952441,-102.561173628333</v>
      </c>
    </row>
    <row r="5353" spans="1:7" ht="15" x14ac:dyDescent="0.3">
      <c r="A5353">
        <v>32.993589999999998</v>
      </c>
      <c r="B5353">
        <v>-82.813860000000005</v>
      </c>
      <c r="C5353" t="s">
        <v>42</v>
      </c>
      <c r="D5353" t="s">
        <v>1601</v>
      </c>
      <c r="F5353" s="21"/>
      <c r="G5353" s="16" t="str">
        <f>HYPERLINK("http://maps.google.com/maps?f=q&amp;hl=en&amp;geocode=&amp;q=32.99359,-82.81386")</f>
        <v>http://maps.google.com/maps?f=q&amp;hl=en&amp;geocode=&amp;q=32.99359,-82.81386</v>
      </c>
    </row>
    <row r="5354" spans="1:7" ht="15" x14ac:dyDescent="0.3">
      <c r="A5354">
        <v>33.687506495244101</v>
      </c>
      <c r="B5354">
        <v>-102.56117362833299</v>
      </c>
      <c r="C5354" t="s">
        <v>41</v>
      </c>
      <c r="D5354" t="s">
        <v>3359</v>
      </c>
      <c r="F5354" s="21"/>
      <c r="G5354" s="16" t="str">
        <f>HYPERLINK("http://maps.google.com/maps?f=q&amp;hl=en&amp;geocode=&amp;q=33.6875064952441,-102.561173628333")</f>
        <v>http://maps.google.com/maps?f=q&amp;hl=en&amp;geocode=&amp;q=33.6875064952441,-102.561173628333</v>
      </c>
    </row>
    <row r="5355" spans="1:7" ht="15" x14ac:dyDescent="0.3">
      <c r="A5355">
        <v>40.958779999999997</v>
      </c>
      <c r="B5355">
        <v>-75.97972</v>
      </c>
      <c r="C5355" t="s">
        <v>41</v>
      </c>
      <c r="D5355" t="s">
        <v>2000</v>
      </c>
      <c r="F5355" s="21"/>
      <c r="G5355" s="16" t="str">
        <f>HYPERLINK("http://maps.google.com/maps?f=q&amp;hl=en&amp;geocode=&amp;q=40.95878,-75.97972")</f>
        <v>http://maps.google.com/maps?f=q&amp;hl=en&amp;geocode=&amp;q=40.95878,-75.97972</v>
      </c>
    </row>
    <row r="5356" spans="1:7" ht="15" x14ac:dyDescent="0.3">
      <c r="A5356" t="s">
        <v>44</v>
      </c>
      <c r="B5356" t="s">
        <v>44</v>
      </c>
      <c r="C5356" t="s">
        <v>44</v>
      </c>
      <c r="D5356" t="s">
        <v>3361</v>
      </c>
      <c r="F5356" s="21"/>
      <c r="G5356" s="16"/>
    </row>
    <row r="5357" spans="1:7" ht="15" x14ac:dyDescent="0.3">
      <c r="A5357">
        <v>41.9033253587031</v>
      </c>
      <c r="B5357">
        <v>-111.401486478444</v>
      </c>
      <c r="C5357" t="s">
        <v>41</v>
      </c>
      <c r="D5357" t="s">
        <v>3362</v>
      </c>
      <c r="F5357" s="21"/>
      <c r="G5357" s="16" t="str">
        <f>HYPERLINK("http://maps.google.com/maps?f=q&amp;hl=en&amp;geocode=&amp;q=41.9033253587031,-111.401486478444")</f>
        <v>http://maps.google.com/maps?f=q&amp;hl=en&amp;geocode=&amp;q=41.9033253587031,-111.401486478444</v>
      </c>
    </row>
    <row r="5358" spans="1:7" ht="15" x14ac:dyDescent="0.3">
      <c r="A5358">
        <v>39.972423849390701</v>
      </c>
      <c r="B5358">
        <v>-75.253437150248203</v>
      </c>
      <c r="C5358" t="s">
        <v>41</v>
      </c>
      <c r="D5358" t="s">
        <v>538</v>
      </c>
      <c r="F5358" s="21"/>
      <c r="G5358" s="16" t="str">
        <f>HYPERLINK("http://maps.google.com/maps?f=q&amp;hl=en&amp;geocode=&amp;q=39.9724238493907,-75.2534371502482")</f>
        <v>http://maps.google.com/maps?f=q&amp;hl=en&amp;geocode=&amp;q=39.9724238493907,-75.2534371502482</v>
      </c>
    </row>
    <row r="5359" spans="1:7" ht="15" x14ac:dyDescent="0.3">
      <c r="A5359">
        <v>33.217403048725899</v>
      </c>
      <c r="B5359">
        <v>-90.020058186683997</v>
      </c>
      <c r="C5359" t="s">
        <v>42</v>
      </c>
      <c r="D5359" t="s">
        <v>3363</v>
      </c>
      <c r="F5359" s="21"/>
      <c r="G5359" s="16" t="str">
        <f>HYPERLINK("http://maps.google.com/maps?f=q&amp;hl=en&amp;geocode=&amp;q=33.2174030487259,-90.020058186684")</f>
        <v>http://maps.google.com/maps?f=q&amp;hl=en&amp;geocode=&amp;q=33.2174030487259,-90.020058186684</v>
      </c>
    </row>
    <row r="5360" spans="1:7" ht="15" x14ac:dyDescent="0.3">
      <c r="A5360">
        <v>41.217090033510999</v>
      </c>
      <c r="B5360">
        <v>-79.757956966404095</v>
      </c>
      <c r="C5360" t="s">
        <v>43</v>
      </c>
      <c r="D5360" t="s">
        <v>3364</v>
      </c>
      <c r="F5360" s="21"/>
      <c r="G5360" s="16" t="str">
        <f>HYPERLINK("http://maps.google.com/maps?f=q&amp;hl=en&amp;geocode=&amp;q=41.217090033511,-79.7579569664041")</f>
        <v>http://maps.google.com/maps?f=q&amp;hl=en&amp;geocode=&amp;q=41.217090033511,-79.7579569664041</v>
      </c>
    </row>
    <row r="5361" spans="1:7" ht="15" x14ac:dyDescent="0.3">
      <c r="A5361">
        <v>38.947154998779297</v>
      </c>
      <c r="B5361">
        <v>-8.9184045791625994</v>
      </c>
      <c r="C5361" t="s">
        <v>41</v>
      </c>
      <c r="D5361" t="s">
        <v>446</v>
      </c>
      <c r="F5361" s="21"/>
      <c r="G5361" s="16" t="str">
        <f>HYPERLINK("http://maps.google.com/maps?f=q&amp;hl=en&amp;geocode=&amp;q=38.9471549987793,-8.9184045791626")</f>
        <v>http://maps.google.com/maps?f=q&amp;hl=en&amp;geocode=&amp;q=38.9471549987793,-8.9184045791626</v>
      </c>
    </row>
    <row r="5362" spans="1:7" ht="15" x14ac:dyDescent="0.3">
      <c r="A5362">
        <v>35.5703557132749</v>
      </c>
      <c r="B5362">
        <v>-112.242703367583</v>
      </c>
      <c r="C5362" t="s">
        <v>41</v>
      </c>
      <c r="D5362" t="s">
        <v>2043</v>
      </c>
      <c r="F5362" s="21"/>
      <c r="G5362" s="16" t="str">
        <f>HYPERLINK("http://maps.google.com/maps?f=q&amp;hl=en&amp;geocode=&amp;q=35.5703557132749,-112.242703367583")</f>
        <v>http://maps.google.com/maps?f=q&amp;hl=en&amp;geocode=&amp;q=35.5703557132749,-112.242703367583</v>
      </c>
    </row>
    <row r="5363" spans="1:7" ht="15" x14ac:dyDescent="0.3">
      <c r="A5363">
        <v>39.964741807726398</v>
      </c>
      <c r="B5363">
        <v>-75.231684684514804</v>
      </c>
      <c r="C5363" t="s">
        <v>41</v>
      </c>
      <c r="D5363" t="s">
        <v>1742</v>
      </c>
      <c r="F5363" s="21"/>
      <c r="G5363" s="16" t="str">
        <f>HYPERLINK("http://maps.google.com/maps?f=q&amp;hl=en&amp;geocode=&amp;q=39.9647418077264,-75.2316846845148")</f>
        <v>http://maps.google.com/maps?f=q&amp;hl=en&amp;geocode=&amp;q=39.9647418077264,-75.2316846845148</v>
      </c>
    </row>
    <row r="5364" spans="1:7" ht="15" x14ac:dyDescent="0.3">
      <c r="A5364">
        <v>39.964741807726398</v>
      </c>
      <c r="B5364">
        <v>-75.231684684514804</v>
      </c>
      <c r="C5364" t="s">
        <v>41</v>
      </c>
      <c r="D5364" t="s">
        <v>1742</v>
      </c>
      <c r="F5364" s="21"/>
      <c r="G5364" s="16" t="str">
        <f>HYPERLINK("http://maps.google.com/maps?f=q&amp;hl=en&amp;geocode=&amp;q=39.9647418077264,-75.2316846845148")</f>
        <v>http://maps.google.com/maps?f=q&amp;hl=en&amp;geocode=&amp;q=39.9647418077264,-75.2316846845148</v>
      </c>
    </row>
    <row r="5365" spans="1:7" ht="15" x14ac:dyDescent="0.3">
      <c r="A5365">
        <v>39.964741807726398</v>
      </c>
      <c r="B5365">
        <v>-75.231684684514804</v>
      </c>
      <c r="C5365" t="s">
        <v>41</v>
      </c>
      <c r="D5365" t="s">
        <v>1742</v>
      </c>
      <c r="F5365" s="21"/>
      <c r="G5365" s="16" t="str">
        <f>HYPERLINK("http://maps.google.com/maps?f=q&amp;hl=en&amp;geocode=&amp;q=39.9647418077264,-75.2316846845148")</f>
        <v>http://maps.google.com/maps?f=q&amp;hl=en&amp;geocode=&amp;q=39.9647418077264,-75.2316846845148</v>
      </c>
    </row>
    <row r="5366" spans="1:7" ht="15" x14ac:dyDescent="0.3">
      <c r="A5366">
        <v>-27.295518875122099</v>
      </c>
      <c r="B5366">
        <v>151.86109924316401</v>
      </c>
      <c r="C5366" t="s">
        <v>41</v>
      </c>
      <c r="D5366" t="s">
        <v>3365</v>
      </c>
      <c r="F5366" s="21"/>
      <c r="G5366" s="16" t="str">
        <f>HYPERLINK("http://maps.google.com/maps?f=q&amp;hl=en&amp;geocode=&amp;q=-27.2955188751221,151.861099243164")</f>
        <v>http://maps.google.com/maps?f=q&amp;hl=en&amp;geocode=&amp;q=-27.2955188751221,151.861099243164</v>
      </c>
    </row>
    <row r="5367" spans="1:7" ht="15" x14ac:dyDescent="0.3">
      <c r="A5367">
        <v>43.762551480203697</v>
      </c>
      <c r="B5367">
        <v>-87.726511412615906</v>
      </c>
      <c r="C5367" t="s">
        <v>41</v>
      </c>
      <c r="D5367" t="s">
        <v>3366</v>
      </c>
      <c r="F5367" s="21"/>
      <c r="G5367" s="16" t="str">
        <f>HYPERLINK("http://maps.google.com/maps?f=q&amp;hl=en&amp;geocode=&amp;q=43.7625514802037,-87.7265114126159")</f>
        <v>http://maps.google.com/maps?f=q&amp;hl=en&amp;geocode=&amp;q=43.7625514802037,-87.7265114126159</v>
      </c>
    </row>
    <row r="5368" spans="1:7" ht="15" x14ac:dyDescent="0.3">
      <c r="A5368">
        <v>40.219416000000002</v>
      </c>
      <c r="B5368">
        <v>-75.369495999999998</v>
      </c>
      <c r="C5368" t="s">
        <v>41</v>
      </c>
      <c r="D5368" t="s">
        <v>923</v>
      </c>
      <c r="F5368" s="21"/>
      <c r="G5368" s="16" t="str">
        <f>HYPERLINK("http://maps.google.com/maps?f=q&amp;hl=en&amp;geocode=&amp;q=40.219416,-75.369496")</f>
        <v>http://maps.google.com/maps?f=q&amp;hl=en&amp;geocode=&amp;q=40.219416,-75.369496</v>
      </c>
    </row>
    <row r="5369" spans="1:7" ht="15" x14ac:dyDescent="0.3">
      <c r="F5369" s="21"/>
      <c r="G5369" s="16"/>
    </row>
    <row r="5370" spans="1:7" ht="15" x14ac:dyDescent="0.3">
      <c r="A5370">
        <v>32.399319108937803</v>
      </c>
      <c r="B5370">
        <v>-90.171910739669201</v>
      </c>
      <c r="C5370" t="s">
        <v>41</v>
      </c>
      <c r="D5370" t="s">
        <v>3367</v>
      </c>
      <c r="F5370" s="21"/>
      <c r="G5370" s="16" t="str">
        <f>HYPERLINK("http://maps.google.com/maps?f=q&amp;hl=en&amp;geocode=&amp;q=32.3993191089378,-90.1719107396692")</f>
        <v>http://maps.google.com/maps?f=q&amp;hl=en&amp;geocode=&amp;q=32.3993191089378,-90.1719107396692</v>
      </c>
    </row>
    <row r="5371" spans="1:7" ht="15" x14ac:dyDescent="0.3">
      <c r="A5371">
        <v>42.997422656800801</v>
      </c>
      <c r="B5371">
        <v>-95.623939346082395</v>
      </c>
      <c r="C5371" t="s">
        <v>41</v>
      </c>
      <c r="D5371" t="s">
        <v>71</v>
      </c>
      <c r="F5371" s="21"/>
      <c r="G5371" s="16" t="str">
        <f>HYPERLINK("http://maps.google.com/maps?f=q&amp;hl=en&amp;geocode=&amp;q=42.9974226568008,-95.6239393460824")</f>
        <v>http://maps.google.com/maps?f=q&amp;hl=en&amp;geocode=&amp;q=42.9974226568008,-95.6239393460824</v>
      </c>
    </row>
    <row r="5372" spans="1:7" ht="15" x14ac:dyDescent="0.3">
      <c r="A5372">
        <v>-37.815635681152301</v>
      </c>
      <c r="B5372">
        <v>144.96734619140599</v>
      </c>
      <c r="C5372" t="s">
        <v>43</v>
      </c>
      <c r="D5372" t="s">
        <v>3368</v>
      </c>
      <c r="F5372" s="21"/>
      <c r="G5372" s="16" t="str">
        <f>HYPERLINK("http://maps.google.com/maps?f=q&amp;hl=en&amp;geocode=&amp;q=-37.8156356811523,144.967346191406")</f>
        <v>http://maps.google.com/maps?f=q&amp;hl=en&amp;geocode=&amp;q=-37.8156356811523,144.967346191406</v>
      </c>
    </row>
    <row r="5373" spans="1:7" ht="15" x14ac:dyDescent="0.3">
      <c r="A5373">
        <v>34.066528683002304</v>
      </c>
      <c r="B5373">
        <v>-118.45326577754</v>
      </c>
      <c r="C5373" t="s">
        <v>43</v>
      </c>
      <c r="D5373" t="s">
        <v>3327</v>
      </c>
      <c r="F5373" s="21"/>
      <c r="G5373" s="16" t="str">
        <f>HYPERLINK("http://maps.google.com/maps?f=q&amp;hl=en&amp;geocode=&amp;q=34.0665286830023,-118.45326577754")</f>
        <v>http://maps.google.com/maps?f=q&amp;hl=en&amp;geocode=&amp;q=34.0665286830023,-118.45326577754</v>
      </c>
    </row>
    <row r="5374" spans="1:7" ht="15" x14ac:dyDescent="0.3">
      <c r="A5374">
        <v>50.587699890136697</v>
      </c>
      <c r="B5374">
        <v>4.32674217224121</v>
      </c>
      <c r="C5374" t="s">
        <v>43</v>
      </c>
      <c r="D5374" t="s">
        <v>3369</v>
      </c>
      <c r="F5374" s="21"/>
      <c r="G5374" s="16" t="str">
        <f>HYPERLINK("http://maps.google.com/maps?f=q&amp;hl=en&amp;geocode=&amp;q=50.5876998901367,4.32674217224121")</f>
        <v>http://maps.google.com/maps?f=q&amp;hl=en&amp;geocode=&amp;q=50.5876998901367,4.32674217224121</v>
      </c>
    </row>
    <row r="5375" spans="1:7" ht="15" x14ac:dyDescent="0.3">
      <c r="A5375">
        <v>47.095829010009801</v>
      </c>
      <c r="B5375">
        <v>-122.62953948974599</v>
      </c>
      <c r="C5375" t="s">
        <v>43</v>
      </c>
      <c r="D5375" t="s">
        <v>236</v>
      </c>
      <c r="F5375" s="21"/>
      <c r="G5375" s="16" t="str">
        <f>HYPERLINK("http://maps.google.com/maps?f=q&amp;hl=en&amp;geocode=&amp;q=47.0958290100098,-122.629539489746")</f>
        <v>http://maps.google.com/maps?f=q&amp;hl=en&amp;geocode=&amp;q=47.0958290100098,-122.629539489746</v>
      </c>
    </row>
    <row r="5376" spans="1:7" ht="15" x14ac:dyDescent="0.3">
      <c r="A5376">
        <v>49.585361480712898</v>
      </c>
      <c r="B5376">
        <v>6.1109080314636204</v>
      </c>
      <c r="C5376" t="s">
        <v>41</v>
      </c>
      <c r="D5376" t="s">
        <v>3370</v>
      </c>
      <c r="F5376" s="21"/>
      <c r="G5376" s="16" t="str">
        <f>HYPERLINK("http://maps.google.com/maps?f=q&amp;hl=en&amp;geocode=&amp;q=49.5853614807129,6.11090803146362")</f>
        <v>http://maps.google.com/maps?f=q&amp;hl=en&amp;geocode=&amp;q=49.5853614807129,6.11090803146362</v>
      </c>
    </row>
    <row r="5377" spans="1:7" ht="15" x14ac:dyDescent="0.3">
      <c r="A5377">
        <v>39.95655</v>
      </c>
      <c r="B5377">
        <v>-75.241889999999998</v>
      </c>
      <c r="C5377" t="s">
        <v>43</v>
      </c>
      <c r="D5377" t="s">
        <v>2770</v>
      </c>
      <c r="F5377" s="21"/>
      <c r="G5377" s="16" t="str">
        <f>HYPERLINK("http://maps.google.com/maps?f=q&amp;hl=en&amp;geocode=&amp;q=39.95655,-75.24189")</f>
        <v>http://maps.google.com/maps?f=q&amp;hl=en&amp;geocode=&amp;q=39.95655,-75.24189</v>
      </c>
    </row>
    <row r="5378" spans="1:7" ht="15" x14ac:dyDescent="0.3">
      <c r="A5378">
        <v>39.95655</v>
      </c>
      <c r="B5378">
        <v>-75.241889999999998</v>
      </c>
      <c r="C5378" t="s">
        <v>43</v>
      </c>
      <c r="D5378" t="s">
        <v>2770</v>
      </c>
      <c r="F5378" s="21"/>
      <c r="G5378" s="16" t="str">
        <f>HYPERLINK("http://maps.google.com/maps?f=q&amp;hl=en&amp;geocode=&amp;q=39.95655,-75.24189")</f>
        <v>http://maps.google.com/maps?f=q&amp;hl=en&amp;geocode=&amp;q=39.95655,-75.24189</v>
      </c>
    </row>
    <row r="5379" spans="1:7" ht="15" x14ac:dyDescent="0.3">
      <c r="A5379">
        <v>39.9176176010074</v>
      </c>
      <c r="B5379">
        <v>-75.230809686365106</v>
      </c>
      <c r="C5379" t="s">
        <v>43</v>
      </c>
      <c r="D5379" t="s">
        <v>3371</v>
      </c>
      <c r="F5379" s="21"/>
      <c r="G5379" s="16" t="str">
        <f>HYPERLINK("http://maps.google.com/maps?f=q&amp;hl=en&amp;geocode=&amp;q=39.9176176010074,-75.2308096863651")</f>
        <v>http://maps.google.com/maps?f=q&amp;hl=en&amp;geocode=&amp;q=39.9176176010074,-75.2308096863651</v>
      </c>
    </row>
    <row r="5380" spans="1:7" ht="15" x14ac:dyDescent="0.3">
      <c r="A5380">
        <v>31.939139999999998</v>
      </c>
      <c r="B5380">
        <v>-109.9511</v>
      </c>
      <c r="C5380" t="s">
        <v>41</v>
      </c>
      <c r="D5380" t="s">
        <v>3372</v>
      </c>
      <c r="F5380" s="21"/>
      <c r="G5380" s="16" t="str">
        <f>HYPERLINK("http://maps.google.com/maps?f=q&amp;hl=en&amp;geocode=&amp;q=31.93914,-109.9511")</f>
        <v>http://maps.google.com/maps?f=q&amp;hl=en&amp;geocode=&amp;q=31.93914,-109.9511</v>
      </c>
    </row>
    <row r="5381" spans="1:7" ht="15" x14ac:dyDescent="0.3">
      <c r="A5381">
        <v>19.282154083251999</v>
      </c>
      <c r="B5381">
        <v>-99.246757507324205</v>
      </c>
      <c r="C5381" t="s">
        <v>43</v>
      </c>
      <c r="D5381" t="s">
        <v>3373</v>
      </c>
      <c r="F5381" s="21"/>
      <c r="G5381" s="16" t="str">
        <f>HYPERLINK("http://maps.google.com/maps?f=q&amp;hl=en&amp;geocode=&amp;q=19.282154083252,-99.2467575073242")</f>
        <v>http://maps.google.com/maps?f=q&amp;hl=en&amp;geocode=&amp;q=19.282154083252,-99.2467575073242</v>
      </c>
    </row>
    <row r="5382" spans="1:7" ht="15" x14ac:dyDescent="0.3">
      <c r="A5382">
        <v>43.680480000000003</v>
      </c>
      <c r="B5382">
        <v>-86.493219999999994</v>
      </c>
      <c r="C5382" t="s">
        <v>43</v>
      </c>
      <c r="D5382" t="s">
        <v>3342</v>
      </c>
      <c r="F5382" s="21"/>
      <c r="G5382" s="16" t="str">
        <f>HYPERLINK("http://maps.google.com/maps?f=q&amp;hl=en&amp;geocode=&amp;q=43.68048,-86.49322")</f>
        <v>http://maps.google.com/maps?f=q&amp;hl=en&amp;geocode=&amp;q=43.68048,-86.49322</v>
      </c>
    </row>
    <row r="5383" spans="1:7" ht="15" x14ac:dyDescent="0.3">
      <c r="A5383" t="s">
        <v>44</v>
      </c>
      <c r="B5383" t="s">
        <v>44</v>
      </c>
      <c r="C5383" t="s">
        <v>44</v>
      </c>
      <c r="D5383" t="s">
        <v>3374</v>
      </c>
      <c r="F5383" s="21"/>
      <c r="G5383" s="16"/>
    </row>
    <row r="5384" spans="1:7" ht="15" x14ac:dyDescent="0.3">
      <c r="A5384">
        <v>43.680480000000003</v>
      </c>
      <c r="B5384">
        <v>-86.493219999999994</v>
      </c>
      <c r="C5384" t="s">
        <v>43</v>
      </c>
      <c r="D5384" t="s">
        <v>3342</v>
      </c>
      <c r="F5384" s="21"/>
      <c r="G5384" s="16" t="str">
        <f>HYPERLINK("http://maps.google.com/maps?f=q&amp;hl=en&amp;geocode=&amp;q=43.68048,-86.49322")</f>
        <v>http://maps.google.com/maps?f=q&amp;hl=en&amp;geocode=&amp;q=43.68048,-86.49322</v>
      </c>
    </row>
    <row r="5385" spans="1:7" ht="15" x14ac:dyDescent="0.3">
      <c r="A5385">
        <v>43.680480000000003</v>
      </c>
      <c r="B5385">
        <v>-86.493219999999994</v>
      </c>
      <c r="C5385" t="s">
        <v>43</v>
      </c>
      <c r="D5385" t="s">
        <v>3342</v>
      </c>
      <c r="F5385" s="21"/>
      <c r="G5385" s="16" t="str">
        <f>HYPERLINK("http://maps.google.com/maps?f=q&amp;hl=en&amp;geocode=&amp;q=43.68048,-86.49322")</f>
        <v>http://maps.google.com/maps?f=q&amp;hl=en&amp;geocode=&amp;q=43.68048,-86.49322</v>
      </c>
    </row>
    <row r="5386" spans="1:7" ht="15" x14ac:dyDescent="0.3">
      <c r="A5386">
        <v>40.673670000000001</v>
      </c>
      <c r="B5386">
        <v>-73.588710000000006</v>
      </c>
      <c r="C5386" t="s">
        <v>41</v>
      </c>
      <c r="D5386" t="s">
        <v>3375</v>
      </c>
      <c r="F5386" s="21"/>
      <c r="G5386" s="16" t="str">
        <f>HYPERLINK("http://maps.google.com/maps?f=q&amp;hl=en&amp;geocode=&amp;q=40.67367,-73.58871")</f>
        <v>http://maps.google.com/maps?f=q&amp;hl=en&amp;geocode=&amp;q=40.67367,-73.58871</v>
      </c>
    </row>
    <row r="5387" spans="1:7" ht="15" x14ac:dyDescent="0.3">
      <c r="A5387">
        <v>35.561210000000003</v>
      </c>
      <c r="B5387">
        <v>-90.041780000000003</v>
      </c>
      <c r="C5387" t="s">
        <v>41</v>
      </c>
      <c r="D5387" t="s">
        <v>3376</v>
      </c>
      <c r="F5387" s="21"/>
      <c r="G5387" s="16" t="str">
        <f>HYPERLINK("http://maps.google.com/maps?f=q&amp;hl=en&amp;geocode=&amp;q=35.56121,-90.04178")</f>
        <v>http://maps.google.com/maps?f=q&amp;hl=en&amp;geocode=&amp;q=35.56121,-90.04178</v>
      </c>
    </row>
    <row r="5388" spans="1:7" ht="15" x14ac:dyDescent="0.3">
      <c r="A5388">
        <v>40.673670000000001</v>
      </c>
      <c r="B5388">
        <v>-73.588710000000006</v>
      </c>
      <c r="C5388" t="s">
        <v>41</v>
      </c>
      <c r="D5388" t="s">
        <v>3375</v>
      </c>
      <c r="F5388" s="21"/>
      <c r="G5388" s="16" t="str">
        <f>HYPERLINK("http://maps.google.com/maps?f=q&amp;hl=en&amp;geocode=&amp;q=40.67367,-73.58871")</f>
        <v>http://maps.google.com/maps?f=q&amp;hl=en&amp;geocode=&amp;q=40.67367,-73.58871</v>
      </c>
    </row>
    <row r="5389" spans="1:7" ht="15" x14ac:dyDescent="0.3">
      <c r="A5389" t="s">
        <v>44</v>
      </c>
      <c r="B5389" t="s">
        <v>44</v>
      </c>
      <c r="C5389" t="s">
        <v>44</v>
      </c>
      <c r="D5389" t="s">
        <v>3377</v>
      </c>
      <c r="F5389" s="21"/>
      <c r="G5389" s="16"/>
    </row>
    <row r="5390" spans="1:7" ht="15" x14ac:dyDescent="0.3">
      <c r="A5390">
        <v>37.15155</v>
      </c>
      <c r="B5390">
        <v>-77.300139999999999</v>
      </c>
      <c r="C5390" t="s">
        <v>41</v>
      </c>
      <c r="D5390" t="s">
        <v>329</v>
      </c>
      <c r="F5390" s="21"/>
      <c r="G5390" s="16" t="str">
        <f>HYPERLINK("http://maps.google.com/maps?f=q&amp;hl=en&amp;geocode=&amp;q=37.15155,-77.30014")</f>
        <v>http://maps.google.com/maps?f=q&amp;hl=en&amp;geocode=&amp;q=37.15155,-77.30014</v>
      </c>
    </row>
    <row r="5391" spans="1:7" ht="15" x14ac:dyDescent="0.3">
      <c r="A5391">
        <v>39.531129999999997</v>
      </c>
      <c r="B5391">
        <v>-119.48443</v>
      </c>
      <c r="C5391" t="s">
        <v>42</v>
      </c>
      <c r="D5391" t="s">
        <v>3303</v>
      </c>
      <c r="F5391" s="21"/>
      <c r="G5391" s="16" t="str">
        <f>HYPERLINK("http://maps.google.com/maps?f=q&amp;hl=en&amp;geocode=&amp;q=39.53113,-119.48443")</f>
        <v>http://maps.google.com/maps?f=q&amp;hl=en&amp;geocode=&amp;q=39.53113,-119.48443</v>
      </c>
    </row>
    <row r="5392" spans="1:7" ht="15" x14ac:dyDescent="0.3">
      <c r="A5392">
        <v>27.613869999999999</v>
      </c>
      <c r="B5392">
        <v>-81.409710000000004</v>
      </c>
      <c r="C5392" t="s">
        <v>43</v>
      </c>
      <c r="D5392" t="s">
        <v>3348</v>
      </c>
      <c r="F5392" s="21"/>
      <c r="G5392" s="16" t="str">
        <f>HYPERLINK("http://maps.google.com/maps?f=q&amp;hl=en&amp;geocode=&amp;q=27.61387,-81.40971")</f>
        <v>http://maps.google.com/maps?f=q&amp;hl=en&amp;geocode=&amp;q=27.61387,-81.40971</v>
      </c>
    </row>
    <row r="5393" spans="1:7" ht="15" x14ac:dyDescent="0.3">
      <c r="A5393" t="s">
        <v>44</v>
      </c>
      <c r="B5393" t="s">
        <v>44</v>
      </c>
      <c r="C5393" t="s">
        <v>44</v>
      </c>
      <c r="D5393" t="s">
        <v>3378</v>
      </c>
      <c r="F5393" s="21"/>
      <c r="G5393" s="16"/>
    </row>
    <row r="5394" spans="1:7" ht="15" x14ac:dyDescent="0.3">
      <c r="A5394">
        <v>55.25911</v>
      </c>
      <c r="B5394">
        <v>11.59831</v>
      </c>
      <c r="C5394" t="s">
        <v>41</v>
      </c>
      <c r="D5394" t="s">
        <v>484</v>
      </c>
      <c r="F5394" s="21"/>
      <c r="G5394" s="16" t="str">
        <f>HYPERLINK("http://maps.google.com/maps?f=q&amp;hl=en&amp;geocode=&amp;q=55.25911,11.59831")</f>
        <v>http://maps.google.com/maps?f=q&amp;hl=en&amp;geocode=&amp;q=55.25911,11.59831</v>
      </c>
    </row>
    <row r="5395" spans="1:7" ht="15" x14ac:dyDescent="0.3">
      <c r="A5395">
        <v>39.95655</v>
      </c>
      <c r="B5395">
        <v>-75.241889999999998</v>
      </c>
      <c r="C5395" t="s">
        <v>43</v>
      </c>
      <c r="D5395" t="s">
        <v>2770</v>
      </c>
      <c r="F5395" s="21"/>
      <c r="G5395" s="16" t="str">
        <f>HYPERLINK("http://maps.google.com/maps?f=q&amp;hl=en&amp;geocode=&amp;q=39.95655,-75.24189")</f>
        <v>http://maps.google.com/maps?f=q&amp;hl=en&amp;geocode=&amp;q=39.95655,-75.24189</v>
      </c>
    </row>
    <row r="5396" spans="1:7" ht="15" x14ac:dyDescent="0.3">
      <c r="A5396" t="s">
        <v>44</v>
      </c>
      <c r="B5396" t="s">
        <v>44</v>
      </c>
      <c r="C5396" t="s">
        <v>44</v>
      </c>
      <c r="D5396" t="s">
        <v>3379</v>
      </c>
      <c r="F5396" s="21"/>
      <c r="G5396" s="16"/>
    </row>
    <row r="5397" spans="1:7" ht="15" x14ac:dyDescent="0.3">
      <c r="A5397">
        <v>40.049819999999997</v>
      </c>
      <c r="B5397">
        <v>-75.095699999999994</v>
      </c>
      <c r="C5397" t="s">
        <v>43</v>
      </c>
      <c r="D5397" t="s">
        <v>2496</v>
      </c>
      <c r="F5397" s="21"/>
      <c r="G5397" s="16" t="str">
        <f>HYPERLINK("http://maps.google.com/maps?f=q&amp;hl=en&amp;geocode=&amp;q=40.04982,-75.0957")</f>
        <v>http://maps.google.com/maps?f=q&amp;hl=en&amp;geocode=&amp;q=40.04982,-75.0957</v>
      </c>
    </row>
    <row r="5398" spans="1:7" ht="15" x14ac:dyDescent="0.3">
      <c r="A5398">
        <v>43.746551513671903</v>
      </c>
      <c r="B5398">
        <v>5.3137397766113299</v>
      </c>
      <c r="C5398" t="s">
        <v>43</v>
      </c>
      <c r="D5398" t="s">
        <v>3380</v>
      </c>
      <c r="F5398" s="21"/>
      <c r="G5398" s="16" t="str">
        <f>HYPERLINK("http://maps.google.com/maps?f=q&amp;hl=en&amp;geocode=&amp;q=43.7465515136719,5.31373977661133")</f>
        <v>http://maps.google.com/maps?f=q&amp;hl=en&amp;geocode=&amp;q=43.7465515136719,5.31373977661133</v>
      </c>
    </row>
    <row r="5399" spans="1:7" ht="15" x14ac:dyDescent="0.3">
      <c r="A5399">
        <v>39.043819999999997</v>
      </c>
      <c r="B5399">
        <v>-74.919139999999999</v>
      </c>
      <c r="C5399" t="s">
        <v>43</v>
      </c>
      <c r="D5399" t="s">
        <v>3381</v>
      </c>
      <c r="F5399" s="21"/>
      <c r="G5399" s="16" t="str">
        <f>HYPERLINK("http://maps.google.com/maps?f=q&amp;hl=en&amp;geocode=&amp;q=39.04382,-74.91914")</f>
        <v>http://maps.google.com/maps?f=q&amp;hl=en&amp;geocode=&amp;q=39.04382,-74.91914</v>
      </c>
    </row>
    <row r="5400" spans="1:7" ht="15" x14ac:dyDescent="0.3">
      <c r="A5400">
        <v>29.867819999999998</v>
      </c>
      <c r="B5400">
        <v>-90.595830000000007</v>
      </c>
      <c r="C5400" t="s">
        <v>42</v>
      </c>
      <c r="D5400" t="s">
        <v>3382</v>
      </c>
      <c r="F5400" s="21"/>
      <c r="G5400" s="16" t="str">
        <f>HYPERLINK("http://maps.google.com/maps?f=q&amp;hl=en&amp;geocode=&amp;q=29.86782,-90.59583")</f>
        <v>http://maps.google.com/maps?f=q&amp;hl=en&amp;geocode=&amp;q=29.86782,-90.59583</v>
      </c>
    </row>
    <row r="5401" spans="1:7" ht="15" x14ac:dyDescent="0.3">
      <c r="A5401">
        <v>29.867819999999998</v>
      </c>
      <c r="B5401">
        <v>-90.595830000000007</v>
      </c>
      <c r="C5401" t="s">
        <v>42</v>
      </c>
      <c r="D5401" t="s">
        <v>3382</v>
      </c>
      <c r="F5401" s="21"/>
      <c r="G5401" s="16" t="str">
        <f>HYPERLINK("http://maps.google.com/maps?f=q&amp;hl=en&amp;geocode=&amp;q=29.86782,-90.59583")</f>
        <v>http://maps.google.com/maps?f=q&amp;hl=en&amp;geocode=&amp;q=29.86782,-90.59583</v>
      </c>
    </row>
    <row r="5402" spans="1:7" ht="15" x14ac:dyDescent="0.3">
      <c r="A5402">
        <v>29.867819999999998</v>
      </c>
      <c r="B5402">
        <v>-90.595830000000007</v>
      </c>
      <c r="C5402" t="s">
        <v>42</v>
      </c>
      <c r="D5402" t="s">
        <v>3382</v>
      </c>
      <c r="F5402" s="21"/>
      <c r="G5402" s="16" t="str">
        <f>HYPERLINK("http://maps.google.com/maps?f=q&amp;hl=en&amp;geocode=&amp;q=29.86782,-90.59583")</f>
        <v>http://maps.google.com/maps?f=q&amp;hl=en&amp;geocode=&amp;q=29.86782,-90.59583</v>
      </c>
    </row>
    <row r="5403" spans="1:7" ht="15" x14ac:dyDescent="0.3">
      <c r="A5403">
        <v>42.054851531982401</v>
      </c>
      <c r="B5403">
        <v>-89.030372619628906</v>
      </c>
      <c r="C5403" t="s">
        <v>43</v>
      </c>
      <c r="D5403" t="s">
        <v>3383</v>
      </c>
      <c r="F5403" s="21"/>
      <c r="G5403" s="16" t="str">
        <f>HYPERLINK("http://maps.google.com/maps?f=q&amp;hl=en&amp;geocode=&amp;q=42.0548515319824,-89.0303726196289")</f>
        <v>http://maps.google.com/maps?f=q&amp;hl=en&amp;geocode=&amp;q=42.0548515319824,-89.0303726196289</v>
      </c>
    </row>
    <row r="5404" spans="1:7" ht="15" x14ac:dyDescent="0.3">
      <c r="A5404" t="s">
        <v>44</v>
      </c>
      <c r="B5404" t="s">
        <v>44</v>
      </c>
      <c r="C5404" t="s">
        <v>44</v>
      </c>
      <c r="D5404" t="s">
        <v>3384</v>
      </c>
      <c r="F5404" s="21"/>
      <c r="G5404" s="16"/>
    </row>
    <row r="5405" spans="1:7" ht="15" x14ac:dyDescent="0.3">
      <c r="A5405">
        <v>39.960279999999997</v>
      </c>
      <c r="B5405">
        <v>-75.226830000000007</v>
      </c>
      <c r="C5405" t="s">
        <v>43</v>
      </c>
      <c r="D5405" t="s">
        <v>3385</v>
      </c>
      <c r="F5405" s="21"/>
      <c r="G5405" s="16" t="str">
        <f>HYPERLINK("http://maps.google.com/maps?f=q&amp;hl=en&amp;geocode=&amp;q=39.96028,-75.22683")</f>
        <v>http://maps.google.com/maps?f=q&amp;hl=en&amp;geocode=&amp;q=39.96028,-75.22683</v>
      </c>
    </row>
    <row r="5406" spans="1:7" ht="15" x14ac:dyDescent="0.3">
      <c r="A5406">
        <v>39.960470000000001</v>
      </c>
      <c r="B5406">
        <v>-75.241069999999993</v>
      </c>
      <c r="C5406" t="s">
        <v>43</v>
      </c>
      <c r="D5406" t="s">
        <v>3386</v>
      </c>
      <c r="F5406" s="21"/>
      <c r="G5406" s="16" t="str">
        <f>HYPERLINK("http://maps.google.com/maps?f=q&amp;hl=en&amp;geocode=&amp;q=39.96047,-75.24107")</f>
        <v>http://maps.google.com/maps?f=q&amp;hl=en&amp;geocode=&amp;q=39.96047,-75.24107</v>
      </c>
    </row>
    <row r="5407" spans="1:7" ht="15" x14ac:dyDescent="0.3">
      <c r="A5407">
        <v>39.965036790043797</v>
      </c>
      <c r="B5407">
        <v>-75.234225861874407</v>
      </c>
      <c r="C5407" t="s">
        <v>41</v>
      </c>
      <c r="D5407" t="s">
        <v>2594</v>
      </c>
      <c r="F5407" s="21"/>
      <c r="G5407" s="16" t="str">
        <f>HYPERLINK("http://maps.google.com/maps?f=q&amp;hl=en&amp;geocode=&amp;q=39.9650367900438,-75.2342258618744")</f>
        <v>http://maps.google.com/maps?f=q&amp;hl=en&amp;geocode=&amp;q=39.9650367900438,-75.2342258618744</v>
      </c>
    </row>
    <row r="5408" spans="1:7" ht="15" x14ac:dyDescent="0.3">
      <c r="A5408">
        <v>40.264483869284099</v>
      </c>
      <c r="B5408">
        <v>-74.0491146986394</v>
      </c>
      <c r="C5408" t="s">
        <v>41</v>
      </c>
      <c r="D5408" t="s">
        <v>3387</v>
      </c>
      <c r="F5408" s="21"/>
      <c r="G5408" s="16" t="str">
        <f>HYPERLINK("http://maps.google.com/maps?f=q&amp;hl=en&amp;geocode=&amp;q=40.2644838692841,-74.0491146986394")</f>
        <v>http://maps.google.com/maps?f=q&amp;hl=en&amp;geocode=&amp;q=40.2644838692841,-74.0491146986394</v>
      </c>
    </row>
    <row r="5409" spans="1:7" ht="15" x14ac:dyDescent="0.3">
      <c r="A5409">
        <v>40.264483869284099</v>
      </c>
      <c r="B5409">
        <v>-74.0491146986394</v>
      </c>
      <c r="C5409" t="s">
        <v>41</v>
      </c>
      <c r="D5409" t="s">
        <v>3387</v>
      </c>
      <c r="F5409" s="21"/>
      <c r="G5409" s="16" t="str">
        <f>HYPERLINK("http://maps.google.com/maps?f=q&amp;hl=en&amp;geocode=&amp;q=40.2644838692841,-74.0491146986394")</f>
        <v>http://maps.google.com/maps?f=q&amp;hl=en&amp;geocode=&amp;q=40.2644838692841,-74.0491146986394</v>
      </c>
    </row>
    <row r="5410" spans="1:7" ht="15" x14ac:dyDescent="0.3">
      <c r="F5410" s="21"/>
      <c r="G5410" s="16"/>
    </row>
    <row r="5411" spans="1:7" ht="15" x14ac:dyDescent="0.3">
      <c r="A5411">
        <v>29.9976918315161</v>
      </c>
      <c r="B5411">
        <v>-96.125286147448094</v>
      </c>
      <c r="C5411" t="s">
        <v>41</v>
      </c>
      <c r="D5411" t="s">
        <v>3388</v>
      </c>
      <c r="F5411" s="21"/>
      <c r="G5411" s="16" t="str">
        <f>HYPERLINK("http://maps.google.com/maps?f=q&amp;hl=en&amp;geocode=&amp;q=29.9976918315161,-96.1252861474481")</f>
        <v>http://maps.google.com/maps?f=q&amp;hl=en&amp;geocode=&amp;q=29.9976918315161,-96.1252861474481</v>
      </c>
    </row>
    <row r="5412" spans="1:7" ht="15" x14ac:dyDescent="0.3">
      <c r="A5412">
        <v>36.137649536132798</v>
      </c>
      <c r="B5412">
        <v>45.090461730957003</v>
      </c>
      <c r="C5412" t="s">
        <v>41</v>
      </c>
      <c r="D5412" t="s">
        <v>3389</v>
      </c>
      <c r="F5412" s="21"/>
      <c r="G5412" s="16" t="str">
        <f>HYPERLINK("http://maps.google.com/maps?f=q&amp;hl=en&amp;geocode=&amp;q=36.1376495361328,45.090461730957")</f>
        <v>http://maps.google.com/maps?f=q&amp;hl=en&amp;geocode=&amp;q=36.1376495361328,45.090461730957</v>
      </c>
    </row>
    <row r="5413" spans="1:7" ht="15" x14ac:dyDescent="0.3">
      <c r="A5413">
        <v>40.026519999999998</v>
      </c>
      <c r="B5413">
        <v>-75.1387</v>
      </c>
      <c r="C5413" t="s">
        <v>42</v>
      </c>
      <c r="D5413" t="s">
        <v>3390</v>
      </c>
      <c r="F5413" s="21"/>
      <c r="G5413" s="16" t="str">
        <f>HYPERLINK("http://maps.google.com/maps?f=q&amp;hl=en&amp;geocode=&amp;q=40.02652,-75.1387")</f>
        <v>http://maps.google.com/maps?f=q&amp;hl=en&amp;geocode=&amp;q=40.02652,-75.1387</v>
      </c>
    </row>
    <row r="5414" spans="1:7" ht="15" x14ac:dyDescent="0.3">
      <c r="A5414">
        <v>40.028930000000003</v>
      </c>
      <c r="B5414">
        <v>-75.173519999999996</v>
      </c>
      <c r="C5414" t="s">
        <v>41</v>
      </c>
      <c r="D5414" t="s">
        <v>3391</v>
      </c>
      <c r="F5414" s="21"/>
      <c r="G5414" s="16" t="str">
        <f>HYPERLINK("http://maps.google.com/maps?f=q&amp;hl=en&amp;geocode=&amp;q=40.02893,-75.17352")</f>
        <v>http://maps.google.com/maps?f=q&amp;hl=en&amp;geocode=&amp;q=40.02893,-75.17352</v>
      </c>
    </row>
    <row r="5415" spans="1:7" ht="15" x14ac:dyDescent="0.3">
      <c r="A5415">
        <v>-36.884181976318402</v>
      </c>
      <c r="B5415">
        <v>147.82412719726599</v>
      </c>
      <c r="C5415" t="s">
        <v>43</v>
      </c>
      <c r="D5415" t="s">
        <v>3392</v>
      </c>
      <c r="F5415" s="21"/>
      <c r="G5415" s="16" t="str">
        <f>HYPERLINK("http://maps.google.com/maps?f=q&amp;hl=en&amp;geocode=&amp;q=-36.8841819763184,147.824127197266")</f>
        <v>http://maps.google.com/maps?f=q&amp;hl=en&amp;geocode=&amp;q=-36.8841819763184,147.824127197266</v>
      </c>
    </row>
    <row r="5416" spans="1:7" ht="15" x14ac:dyDescent="0.3">
      <c r="A5416">
        <v>40.031199999999998</v>
      </c>
      <c r="B5416">
        <v>-75.172359999999998</v>
      </c>
      <c r="C5416" t="s">
        <v>41</v>
      </c>
      <c r="D5416" t="s">
        <v>3393</v>
      </c>
      <c r="F5416" s="21"/>
      <c r="G5416" s="16" t="str">
        <f>HYPERLINK("http://maps.google.com/maps?f=q&amp;hl=en&amp;geocode=&amp;q=40.0312,-75.17236")</f>
        <v>http://maps.google.com/maps?f=q&amp;hl=en&amp;geocode=&amp;q=40.0312,-75.17236</v>
      </c>
    </row>
    <row r="5417" spans="1:7" ht="15" x14ac:dyDescent="0.3">
      <c r="A5417">
        <v>40.360440780806996</v>
      </c>
      <c r="B5417">
        <v>-85.959536208283595</v>
      </c>
      <c r="C5417" t="s">
        <v>41</v>
      </c>
      <c r="D5417" t="s">
        <v>3394</v>
      </c>
      <c r="F5417" s="21"/>
      <c r="G5417" s="16" t="str">
        <f>HYPERLINK("http://maps.google.com/maps?f=q&amp;hl=en&amp;geocode=&amp;q=40.360440780807,-85.9595362082836")</f>
        <v>http://maps.google.com/maps?f=q&amp;hl=en&amp;geocode=&amp;q=40.360440780807,-85.9595362082836</v>
      </c>
    </row>
    <row r="5418" spans="1:7" ht="15" x14ac:dyDescent="0.3">
      <c r="A5418">
        <v>39.403060000000004</v>
      </c>
      <c r="B5418">
        <v>-83.982119999999995</v>
      </c>
      <c r="C5418" t="s">
        <v>43</v>
      </c>
      <c r="D5418" t="s">
        <v>3129</v>
      </c>
      <c r="F5418" s="21"/>
      <c r="G5418" s="16" t="str">
        <f>HYPERLINK("http://maps.google.com/maps?f=q&amp;hl=en&amp;geocode=&amp;q=39.40306,-83.98212")</f>
        <v>http://maps.google.com/maps?f=q&amp;hl=en&amp;geocode=&amp;q=39.40306,-83.98212</v>
      </c>
    </row>
    <row r="5419" spans="1:7" ht="15" x14ac:dyDescent="0.3">
      <c r="A5419">
        <v>39.919530000000002</v>
      </c>
      <c r="B5419">
        <v>-75.162109999999998</v>
      </c>
      <c r="C5419" t="s">
        <v>43</v>
      </c>
      <c r="D5419" t="s">
        <v>3395</v>
      </c>
      <c r="F5419" s="21"/>
      <c r="G5419" s="16" t="str">
        <f>HYPERLINK("http://maps.google.com/maps?f=q&amp;hl=en&amp;geocode=&amp;q=39.91953,-75.16211")</f>
        <v>http://maps.google.com/maps?f=q&amp;hl=en&amp;geocode=&amp;q=39.91953,-75.16211</v>
      </c>
    </row>
    <row r="5420" spans="1:7" ht="15" x14ac:dyDescent="0.3">
      <c r="A5420">
        <v>39.987336506266601</v>
      </c>
      <c r="B5420">
        <v>-75.098128812827298</v>
      </c>
      <c r="C5420" t="s">
        <v>41</v>
      </c>
      <c r="D5420" t="s">
        <v>1452</v>
      </c>
      <c r="F5420" s="21"/>
      <c r="G5420" s="16" t="str">
        <f>HYPERLINK("http://maps.google.com/maps?f=q&amp;hl=en&amp;geocode=&amp;q=39.9873365062666,-75.0981288128273")</f>
        <v>http://maps.google.com/maps?f=q&amp;hl=en&amp;geocode=&amp;q=39.9873365062666,-75.0981288128273</v>
      </c>
    </row>
    <row r="5421" spans="1:7" ht="15" x14ac:dyDescent="0.3">
      <c r="A5421">
        <v>42.736513714122502</v>
      </c>
      <c r="B5421">
        <v>-75.218642867432607</v>
      </c>
      <c r="C5421" t="s">
        <v>41</v>
      </c>
      <c r="D5421" t="s">
        <v>1360</v>
      </c>
      <c r="F5421" s="21"/>
      <c r="G5421" s="16" t="str">
        <f>HYPERLINK("http://maps.google.com/maps?f=q&amp;hl=en&amp;geocode=&amp;q=42.7365137141225,-75.2186428674326")</f>
        <v>http://maps.google.com/maps?f=q&amp;hl=en&amp;geocode=&amp;q=42.7365137141225,-75.2186428674326</v>
      </c>
    </row>
    <row r="5422" spans="1:7" ht="15" x14ac:dyDescent="0.3">
      <c r="A5422">
        <v>39.527152665285897</v>
      </c>
      <c r="B5422">
        <v>-84.065231025410995</v>
      </c>
      <c r="C5422" t="s">
        <v>41</v>
      </c>
      <c r="D5422" t="s">
        <v>3396</v>
      </c>
      <c r="F5422" s="21"/>
      <c r="G5422" s="16" t="str">
        <f>HYPERLINK("http://maps.google.com/maps?f=q&amp;hl=en&amp;geocode=&amp;q=39.5271526652859,-84.065231025411")</f>
        <v>http://maps.google.com/maps?f=q&amp;hl=en&amp;geocode=&amp;q=39.5271526652859,-84.065231025411</v>
      </c>
    </row>
    <row r="5423" spans="1:7" ht="15" x14ac:dyDescent="0.3">
      <c r="A5423">
        <v>36.2476279259959</v>
      </c>
      <c r="B5423">
        <v>-119.315118818627</v>
      </c>
      <c r="C5423" t="s">
        <v>41</v>
      </c>
      <c r="D5423" t="s">
        <v>3397</v>
      </c>
      <c r="F5423" s="21"/>
      <c r="G5423" s="16" t="str">
        <f>HYPERLINK("http://maps.google.com/maps?f=q&amp;hl=en&amp;geocode=&amp;q=36.2476279259959,-119.315118818627")</f>
        <v>http://maps.google.com/maps?f=q&amp;hl=en&amp;geocode=&amp;q=36.2476279259959,-119.315118818627</v>
      </c>
    </row>
    <row r="5424" spans="1:7" ht="15" x14ac:dyDescent="0.3">
      <c r="A5424">
        <v>54.901432037353501</v>
      </c>
      <c r="B5424">
        <v>10.7508296966553</v>
      </c>
      <c r="C5424" t="s">
        <v>43</v>
      </c>
      <c r="D5424" t="s">
        <v>1186</v>
      </c>
      <c r="F5424" s="21"/>
      <c r="G5424" s="16" t="str">
        <f>HYPERLINK("http://maps.google.com/maps?f=q&amp;hl=en&amp;geocode=&amp;q=54.9014320373535,10.7508296966553")</f>
        <v>http://maps.google.com/maps?f=q&amp;hl=en&amp;geocode=&amp;q=54.9014320373535,10.7508296966553</v>
      </c>
    </row>
    <row r="5425" spans="1:7" ht="15" x14ac:dyDescent="0.3">
      <c r="A5425">
        <v>39.979939999999999</v>
      </c>
      <c r="B5425">
        <v>-75.125230000000002</v>
      </c>
      <c r="C5425" t="s">
        <v>41</v>
      </c>
      <c r="D5425" t="s">
        <v>3398</v>
      </c>
      <c r="F5425" s="21"/>
      <c r="G5425" s="16" t="str">
        <f>HYPERLINK("http://maps.google.com/maps?f=q&amp;hl=en&amp;geocode=&amp;q=39.97994,-75.12523")</f>
        <v>http://maps.google.com/maps?f=q&amp;hl=en&amp;geocode=&amp;q=39.97994,-75.12523</v>
      </c>
    </row>
    <row r="5426" spans="1:7" ht="15" x14ac:dyDescent="0.3">
      <c r="A5426">
        <v>40.984580000000001</v>
      </c>
      <c r="B5426">
        <v>-81.435839999999999</v>
      </c>
      <c r="C5426" t="s">
        <v>42</v>
      </c>
      <c r="D5426" t="s">
        <v>3399</v>
      </c>
      <c r="F5426" s="21"/>
      <c r="G5426" s="16" t="str">
        <f>HYPERLINK("http://maps.google.com/maps?f=q&amp;hl=en&amp;geocode=&amp;q=40.98458,-81.43584")</f>
        <v>http://maps.google.com/maps?f=q&amp;hl=en&amp;geocode=&amp;q=40.98458,-81.43584</v>
      </c>
    </row>
    <row r="5427" spans="1:7" ht="15" x14ac:dyDescent="0.3">
      <c r="A5427">
        <v>39.935220000000001</v>
      </c>
      <c r="B5427">
        <v>-75.172290000000004</v>
      </c>
      <c r="C5427" t="s">
        <v>43</v>
      </c>
      <c r="D5427" t="s">
        <v>3400</v>
      </c>
      <c r="F5427" s="21"/>
      <c r="G5427" s="16" t="str">
        <f>HYPERLINK("http://maps.google.com/maps?f=q&amp;hl=en&amp;geocode=&amp;q=39.93522,-75.17229")</f>
        <v>http://maps.google.com/maps?f=q&amp;hl=en&amp;geocode=&amp;q=39.93522,-75.17229</v>
      </c>
    </row>
    <row r="5428" spans="1:7" ht="15" x14ac:dyDescent="0.3">
      <c r="A5428">
        <v>39.8710272208844</v>
      </c>
      <c r="B5428">
        <v>-95.4150217084443</v>
      </c>
      <c r="C5428" t="s">
        <v>41</v>
      </c>
      <c r="D5428" t="s">
        <v>3401</v>
      </c>
      <c r="F5428" s="21"/>
      <c r="G5428" s="16" t="str">
        <f>HYPERLINK("http://maps.google.com/maps?f=q&amp;hl=en&amp;geocode=&amp;q=39.8710272208844,-95.4150217084443")</f>
        <v>http://maps.google.com/maps?f=q&amp;hl=en&amp;geocode=&amp;q=39.8710272208844,-95.4150217084443</v>
      </c>
    </row>
    <row r="5429" spans="1:7" ht="15" x14ac:dyDescent="0.3">
      <c r="A5429">
        <v>42.832415529968998</v>
      </c>
      <c r="B5429">
        <v>-77.381095667409696</v>
      </c>
      <c r="C5429" t="s">
        <v>41</v>
      </c>
      <c r="D5429" t="s">
        <v>221</v>
      </c>
      <c r="F5429" s="21"/>
      <c r="G5429" s="16" t="str">
        <f>HYPERLINK("http://maps.google.com/maps?f=q&amp;hl=en&amp;geocode=&amp;q=42.832415529969,-77.3810956674097")</f>
        <v>http://maps.google.com/maps?f=q&amp;hl=en&amp;geocode=&amp;q=42.832415529969,-77.3810956674097</v>
      </c>
    </row>
    <row r="5430" spans="1:7" ht="15" x14ac:dyDescent="0.3">
      <c r="A5430">
        <v>40.239060000000002</v>
      </c>
      <c r="B5430">
        <v>-76.787999999999997</v>
      </c>
      <c r="C5430" t="s">
        <v>42</v>
      </c>
      <c r="D5430" t="s">
        <v>3402</v>
      </c>
      <c r="F5430" s="21"/>
      <c r="G5430" s="16" t="str">
        <f>HYPERLINK("http://maps.google.com/maps?f=q&amp;hl=en&amp;geocode=&amp;q=40.23906,-76.788")</f>
        <v>http://maps.google.com/maps?f=q&amp;hl=en&amp;geocode=&amp;q=40.23906,-76.788</v>
      </c>
    </row>
    <row r="5431" spans="1:7" ht="15" x14ac:dyDescent="0.3">
      <c r="A5431">
        <v>43.013640000000002</v>
      </c>
      <c r="B5431">
        <v>-89.486230000000006</v>
      </c>
      <c r="C5431" t="s">
        <v>41</v>
      </c>
      <c r="D5431" t="s">
        <v>3403</v>
      </c>
      <c r="F5431" s="21"/>
      <c r="G5431" s="16" t="str">
        <f>HYPERLINK("http://maps.google.com/maps?f=q&amp;hl=en&amp;geocode=&amp;q=43.01364,-89.48623")</f>
        <v>http://maps.google.com/maps?f=q&amp;hl=en&amp;geocode=&amp;q=43.01364,-89.48623</v>
      </c>
    </row>
    <row r="5432" spans="1:7" ht="15" x14ac:dyDescent="0.3">
      <c r="A5432">
        <v>34.884329999999999</v>
      </c>
      <c r="B5432">
        <v>-84.31438</v>
      </c>
      <c r="C5432" t="s">
        <v>42</v>
      </c>
      <c r="D5432" t="s">
        <v>3404</v>
      </c>
      <c r="F5432" s="21"/>
      <c r="G5432" s="16" t="str">
        <f>HYPERLINK("http://maps.google.com/maps?f=q&amp;hl=en&amp;geocode=&amp;q=34.88433,-84.31438")</f>
        <v>http://maps.google.com/maps?f=q&amp;hl=en&amp;geocode=&amp;q=34.88433,-84.31438</v>
      </c>
    </row>
    <row r="5433" spans="1:7" ht="15" x14ac:dyDescent="0.3">
      <c r="A5433">
        <v>36.084150000000001</v>
      </c>
      <c r="B5433">
        <v>-86.632599999999996</v>
      </c>
      <c r="C5433" t="s">
        <v>41</v>
      </c>
      <c r="D5433" t="s">
        <v>2895</v>
      </c>
      <c r="F5433" s="21"/>
      <c r="G5433" s="16" t="str">
        <f>HYPERLINK("http://maps.google.com/maps?f=q&amp;hl=en&amp;geocode=&amp;q=36.08415,-86.6326")</f>
        <v>http://maps.google.com/maps?f=q&amp;hl=en&amp;geocode=&amp;q=36.08415,-86.6326</v>
      </c>
    </row>
    <row r="5434" spans="1:7" ht="15" x14ac:dyDescent="0.3">
      <c r="A5434" t="s">
        <v>44</v>
      </c>
      <c r="B5434" t="s">
        <v>44</v>
      </c>
      <c r="C5434" t="s">
        <v>44</v>
      </c>
      <c r="D5434" t="s">
        <v>3405</v>
      </c>
      <c r="F5434" s="21"/>
      <c r="G5434" s="16"/>
    </row>
    <row r="5435" spans="1:7" ht="15" x14ac:dyDescent="0.3">
      <c r="A5435">
        <v>27.508464966161</v>
      </c>
      <c r="B5435">
        <v>-99.483305371816698</v>
      </c>
      <c r="C5435" t="s">
        <v>43</v>
      </c>
      <c r="D5435" t="s">
        <v>699</v>
      </c>
      <c r="F5435" s="21"/>
      <c r="G5435" s="16" t="str">
        <f>HYPERLINK("http://maps.google.com/maps?f=q&amp;hl=en&amp;geocode=&amp;q=27.508464966161,-99.4833053718167")</f>
        <v>http://maps.google.com/maps?f=q&amp;hl=en&amp;geocode=&amp;q=27.508464966161,-99.4833053718167</v>
      </c>
    </row>
    <row r="5436" spans="1:7" ht="15" x14ac:dyDescent="0.3">
      <c r="A5436">
        <v>44.091279999999998</v>
      </c>
      <c r="B5436">
        <v>-87.689800000000005</v>
      </c>
      <c r="C5436" t="s">
        <v>42</v>
      </c>
      <c r="D5436" t="s">
        <v>1392</v>
      </c>
      <c r="F5436" s="21"/>
      <c r="G5436" s="16" t="str">
        <f>HYPERLINK("http://maps.google.com/maps?f=q&amp;hl=en&amp;geocode=&amp;q=44.09128,-87.6898")</f>
        <v>http://maps.google.com/maps?f=q&amp;hl=en&amp;geocode=&amp;q=44.09128,-87.6898</v>
      </c>
    </row>
    <row r="5437" spans="1:7" ht="15" x14ac:dyDescent="0.3">
      <c r="A5437">
        <v>39.849059281199096</v>
      </c>
      <c r="B5437">
        <v>-81.866461465864106</v>
      </c>
      <c r="C5437" t="s">
        <v>43</v>
      </c>
      <c r="D5437" t="s">
        <v>3406</v>
      </c>
      <c r="F5437" s="21"/>
      <c r="G5437" s="16" t="str">
        <f>HYPERLINK("http://maps.google.com/maps?f=q&amp;hl=en&amp;geocode=&amp;q=39.8490592811991,-81.8664614658641")</f>
        <v>http://maps.google.com/maps?f=q&amp;hl=en&amp;geocode=&amp;q=39.8490592811991,-81.8664614658641</v>
      </c>
    </row>
    <row r="5438" spans="1:7" ht="15" x14ac:dyDescent="0.3">
      <c r="A5438">
        <v>32.681400299072301</v>
      </c>
      <c r="B5438">
        <v>-92.985183715820298</v>
      </c>
      <c r="C5438" t="s">
        <v>43</v>
      </c>
      <c r="D5438" t="s">
        <v>3407</v>
      </c>
      <c r="F5438" s="21"/>
      <c r="G5438" s="16" t="str">
        <f>HYPERLINK("http://maps.google.com/maps?f=q&amp;hl=en&amp;geocode=&amp;q=32.6814002990723,-92.9851837158203")</f>
        <v>http://maps.google.com/maps?f=q&amp;hl=en&amp;geocode=&amp;q=32.6814002990723,-92.9851837158203</v>
      </c>
    </row>
    <row r="5439" spans="1:7" ht="15" x14ac:dyDescent="0.3">
      <c r="A5439">
        <v>33.824049219774302</v>
      </c>
      <c r="B5439">
        <v>-102.28193889152899</v>
      </c>
      <c r="C5439" t="s">
        <v>41</v>
      </c>
      <c r="D5439" t="s">
        <v>3408</v>
      </c>
      <c r="F5439" s="21"/>
      <c r="G5439" s="16" t="str">
        <f>HYPERLINK("http://maps.google.com/maps?f=q&amp;hl=en&amp;geocode=&amp;q=33.8240492197743,-102.281938891529")</f>
        <v>http://maps.google.com/maps?f=q&amp;hl=en&amp;geocode=&amp;q=33.8240492197743,-102.281938891529</v>
      </c>
    </row>
    <row r="5440" spans="1:7" ht="15" x14ac:dyDescent="0.3">
      <c r="A5440">
        <v>40.121519999999997</v>
      </c>
      <c r="B5440">
        <v>-75.035120000000006</v>
      </c>
      <c r="C5440" t="s">
        <v>41</v>
      </c>
      <c r="D5440" t="s">
        <v>1876</v>
      </c>
      <c r="F5440" s="21"/>
      <c r="G5440" s="16" t="str">
        <f>HYPERLINK("http://maps.google.com/maps?f=q&amp;hl=en&amp;geocode=&amp;q=40.12152,-75.03512")</f>
        <v>http://maps.google.com/maps?f=q&amp;hl=en&amp;geocode=&amp;q=40.12152,-75.03512</v>
      </c>
    </row>
    <row r="5441" spans="1:7" ht="15" x14ac:dyDescent="0.3">
      <c r="A5441">
        <v>39.197755620662697</v>
      </c>
      <c r="B5441">
        <v>-81.167459756853503</v>
      </c>
      <c r="C5441" t="s">
        <v>41</v>
      </c>
      <c r="D5441" t="s">
        <v>3409</v>
      </c>
      <c r="F5441" s="21"/>
      <c r="G5441" s="16" t="str">
        <f>HYPERLINK("http://maps.google.com/maps?f=q&amp;hl=en&amp;geocode=&amp;q=39.1977556206627,-81.1674597568535")</f>
        <v>http://maps.google.com/maps?f=q&amp;hl=en&amp;geocode=&amp;q=39.1977556206627,-81.1674597568535</v>
      </c>
    </row>
    <row r="5442" spans="1:7" ht="15" x14ac:dyDescent="0.3">
      <c r="A5442">
        <v>35.321916428819399</v>
      </c>
      <c r="B5442">
        <v>-82.6866264349581</v>
      </c>
      <c r="C5442" t="s">
        <v>41</v>
      </c>
      <c r="D5442" t="s">
        <v>3100</v>
      </c>
      <c r="F5442" s="21"/>
      <c r="G5442" s="16" t="str">
        <f>HYPERLINK("http://maps.google.com/maps?f=q&amp;hl=en&amp;geocode=&amp;q=35.3219164288194,-82.6866264349581")</f>
        <v>http://maps.google.com/maps?f=q&amp;hl=en&amp;geocode=&amp;q=35.3219164288194,-82.6866264349581</v>
      </c>
    </row>
    <row r="5443" spans="1:7" ht="15" x14ac:dyDescent="0.3">
      <c r="A5443" t="s">
        <v>44</v>
      </c>
      <c r="B5443" t="s">
        <v>44</v>
      </c>
      <c r="C5443" t="s">
        <v>44</v>
      </c>
      <c r="D5443" t="s">
        <v>2037</v>
      </c>
      <c r="F5443" s="21"/>
      <c r="G5443" s="16"/>
    </row>
    <row r="5444" spans="1:7" ht="15" x14ac:dyDescent="0.3">
      <c r="A5444">
        <v>39.4432563781738</v>
      </c>
      <c r="B5444">
        <v>-98.957336425781307</v>
      </c>
      <c r="C5444" t="s">
        <v>43</v>
      </c>
      <c r="D5444" t="s">
        <v>3410</v>
      </c>
      <c r="F5444" s="21"/>
      <c r="G5444" s="16" t="str">
        <f>HYPERLINK("http://maps.google.com/maps?f=q&amp;hl=en&amp;geocode=&amp;q=39.4432563781738,-98.9573364257813")</f>
        <v>http://maps.google.com/maps?f=q&amp;hl=en&amp;geocode=&amp;q=39.4432563781738,-98.9573364257813</v>
      </c>
    </row>
    <row r="5445" spans="1:7" ht="15" x14ac:dyDescent="0.3">
      <c r="A5445" t="s">
        <v>44</v>
      </c>
      <c r="B5445" t="s">
        <v>44</v>
      </c>
      <c r="C5445" t="s">
        <v>44</v>
      </c>
      <c r="D5445" t="s">
        <v>3411</v>
      </c>
      <c r="F5445" s="21"/>
      <c r="G5445" s="16"/>
    </row>
    <row r="5446" spans="1:7" ht="15" x14ac:dyDescent="0.3">
      <c r="A5446">
        <v>29.694665620011701</v>
      </c>
      <c r="B5446">
        <v>-95.352223177386094</v>
      </c>
      <c r="C5446" t="s">
        <v>41</v>
      </c>
      <c r="D5446" t="s">
        <v>3412</v>
      </c>
      <c r="F5446" s="21"/>
      <c r="G5446" s="16" t="str">
        <f>HYPERLINK("http://maps.google.com/maps?f=q&amp;hl=en&amp;geocode=&amp;q=29.6946656200117,-95.3522231773861")</f>
        <v>http://maps.google.com/maps?f=q&amp;hl=en&amp;geocode=&amp;q=29.6946656200117,-95.3522231773861</v>
      </c>
    </row>
    <row r="5447" spans="1:7" ht="15" x14ac:dyDescent="0.3">
      <c r="A5447">
        <v>9.4014501571655291</v>
      </c>
      <c r="B5447">
        <v>16.3006801605225</v>
      </c>
      <c r="C5447" t="s">
        <v>43</v>
      </c>
      <c r="D5447" t="s">
        <v>3413</v>
      </c>
      <c r="F5447" s="21"/>
      <c r="G5447" s="16" t="str">
        <f>HYPERLINK("http://maps.google.com/maps?f=q&amp;hl=en&amp;geocode=&amp;q=9.40145015716553,16.3006801605225")</f>
        <v>http://maps.google.com/maps?f=q&amp;hl=en&amp;geocode=&amp;q=9.40145015716553,16.3006801605225</v>
      </c>
    </row>
    <row r="5448" spans="1:7" ht="15" x14ac:dyDescent="0.3">
      <c r="A5448">
        <v>40.036918640136697</v>
      </c>
      <c r="B5448">
        <v>-75.510437011718807</v>
      </c>
      <c r="C5448" t="s">
        <v>43</v>
      </c>
      <c r="D5448" t="s">
        <v>3414</v>
      </c>
      <c r="F5448" s="21"/>
      <c r="G5448" s="16" t="str">
        <f>HYPERLINK("http://maps.google.com/maps?f=q&amp;hl=en&amp;geocode=&amp;q=40.0369186401367,-75.5104370117188")</f>
        <v>http://maps.google.com/maps?f=q&amp;hl=en&amp;geocode=&amp;q=40.0369186401367,-75.5104370117188</v>
      </c>
    </row>
    <row r="5449" spans="1:7" ht="15" x14ac:dyDescent="0.3">
      <c r="A5449">
        <v>41.628614198072697</v>
      </c>
      <c r="B5449">
        <v>-77.287382742058497</v>
      </c>
      <c r="C5449" t="s">
        <v>42</v>
      </c>
      <c r="D5449" t="s">
        <v>3415</v>
      </c>
      <c r="F5449" s="21"/>
      <c r="G5449" s="16" t="str">
        <f>HYPERLINK("http://maps.google.com/maps?f=q&amp;hl=en&amp;geocode=&amp;q=41.6286141980727,-77.2873827420585")</f>
        <v>http://maps.google.com/maps?f=q&amp;hl=en&amp;geocode=&amp;q=41.6286141980727,-77.2873827420585</v>
      </c>
    </row>
    <row r="5450" spans="1:7" ht="15" x14ac:dyDescent="0.3">
      <c r="A5450">
        <v>40.264483869284099</v>
      </c>
      <c r="B5450">
        <v>-74.0491146986394</v>
      </c>
      <c r="C5450" t="s">
        <v>41</v>
      </c>
      <c r="D5450" t="s">
        <v>3387</v>
      </c>
      <c r="F5450" s="21"/>
      <c r="G5450" s="16" t="str">
        <f>HYPERLINK("http://maps.google.com/maps?f=q&amp;hl=en&amp;geocode=&amp;q=40.2644838692841,-74.0491146986394")</f>
        <v>http://maps.google.com/maps?f=q&amp;hl=en&amp;geocode=&amp;q=40.2644838692841,-74.0491146986394</v>
      </c>
    </row>
    <row r="5451" spans="1:7" ht="15" x14ac:dyDescent="0.3">
      <c r="A5451">
        <v>-33.684800000000003</v>
      </c>
      <c r="B5451">
        <v>136.92784</v>
      </c>
      <c r="C5451" t="s">
        <v>41</v>
      </c>
      <c r="D5451" t="s">
        <v>3416</v>
      </c>
      <c r="F5451" s="21"/>
      <c r="G5451" s="16" t="str">
        <f>HYPERLINK("http://maps.google.com/maps?f=q&amp;hl=en&amp;geocode=&amp;q=-33.6848,136.92784")</f>
        <v>http://maps.google.com/maps?f=q&amp;hl=en&amp;geocode=&amp;q=-33.6848,136.92784</v>
      </c>
    </row>
    <row r="5452" spans="1:7" ht="15" x14ac:dyDescent="0.3">
      <c r="A5452">
        <v>36.580077932587301</v>
      </c>
      <c r="B5452">
        <v>-76.107553997900993</v>
      </c>
      <c r="C5452" t="s">
        <v>43</v>
      </c>
      <c r="D5452" t="s">
        <v>2030</v>
      </c>
      <c r="F5452" s="21"/>
      <c r="G5452" s="16" t="str">
        <f>HYPERLINK("http://maps.google.com/maps?f=q&amp;hl=en&amp;geocode=&amp;q=36.5800779325873,-76.107553997901")</f>
        <v>http://maps.google.com/maps?f=q&amp;hl=en&amp;geocode=&amp;q=36.5800779325873,-76.107553997901</v>
      </c>
    </row>
    <row r="5453" spans="1:7" ht="15" x14ac:dyDescent="0.3">
      <c r="F5453" s="21"/>
      <c r="G5453" s="16"/>
    </row>
    <row r="5454" spans="1:7" ht="15" x14ac:dyDescent="0.3">
      <c r="F5454" s="21"/>
      <c r="G5454" s="16"/>
    </row>
    <row r="5455" spans="1:7" ht="15" x14ac:dyDescent="0.3">
      <c r="A5455">
        <v>39.684371948242202</v>
      </c>
      <c r="B5455">
        <v>21.8974094390869</v>
      </c>
      <c r="C5455" t="s">
        <v>41</v>
      </c>
      <c r="D5455" t="s">
        <v>809</v>
      </c>
      <c r="F5455" s="21"/>
      <c r="G5455" s="16" t="str">
        <f>HYPERLINK("http://maps.google.com/maps?f=q&amp;hl=en&amp;geocode=&amp;q=39.6843719482422,21.8974094390869")</f>
        <v>http://maps.google.com/maps?f=q&amp;hl=en&amp;geocode=&amp;q=39.6843719482422,21.8974094390869</v>
      </c>
    </row>
    <row r="5456" spans="1:7" ht="15" x14ac:dyDescent="0.3">
      <c r="A5456">
        <v>40.673670000000001</v>
      </c>
      <c r="B5456">
        <v>-73.588710000000006</v>
      </c>
      <c r="C5456" t="s">
        <v>41</v>
      </c>
      <c r="D5456" t="s">
        <v>3375</v>
      </c>
      <c r="F5456" s="21"/>
      <c r="G5456" s="16" t="str">
        <f>HYPERLINK("http://maps.google.com/maps?f=q&amp;hl=en&amp;geocode=&amp;q=40.67367,-73.58871")</f>
        <v>http://maps.google.com/maps?f=q&amp;hl=en&amp;geocode=&amp;q=40.67367,-73.58871</v>
      </c>
    </row>
    <row r="5457" spans="1:7" ht="15" x14ac:dyDescent="0.3">
      <c r="A5457">
        <v>40.026890141445598</v>
      </c>
      <c r="B5457">
        <v>-74.306936361856799</v>
      </c>
      <c r="C5457" t="s">
        <v>41</v>
      </c>
      <c r="D5457" t="s">
        <v>3417</v>
      </c>
      <c r="F5457" s="21"/>
      <c r="G5457" s="16" t="str">
        <f>HYPERLINK("http://maps.google.com/maps?f=q&amp;hl=en&amp;geocode=&amp;q=40.0268901414456,-74.3069363618568")</f>
        <v>http://maps.google.com/maps?f=q&amp;hl=en&amp;geocode=&amp;q=40.0268901414456,-74.3069363618568</v>
      </c>
    </row>
    <row r="5458" spans="1:7" ht="15" x14ac:dyDescent="0.3">
      <c r="A5458">
        <v>35.561210000000003</v>
      </c>
      <c r="B5458">
        <v>-90.041780000000003</v>
      </c>
      <c r="C5458" t="s">
        <v>41</v>
      </c>
      <c r="D5458" t="s">
        <v>3376</v>
      </c>
      <c r="F5458" s="21"/>
      <c r="G5458" s="16" t="str">
        <f>HYPERLINK("http://maps.google.com/maps?f=q&amp;hl=en&amp;geocode=&amp;q=35.56121,-90.04178")</f>
        <v>http://maps.google.com/maps?f=q&amp;hl=en&amp;geocode=&amp;q=35.56121,-90.04178</v>
      </c>
    </row>
    <row r="5459" spans="1:7" ht="15" x14ac:dyDescent="0.3">
      <c r="A5459">
        <v>-5.0306301116943404</v>
      </c>
      <c r="B5459">
        <v>32.819759368896499</v>
      </c>
      <c r="C5459" t="s">
        <v>41</v>
      </c>
      <c r="D5459" t="s">
        <v>3418</v>
      </c>
      <c r="F5459" s="21"/>
      <c r="G5459" s="16" t="str">
        <f>HYPERLINK("http://maps.google.com/maps?f=q&amp;hl=en&amp;geocode=&amp;q=-5.03063011169434,32.8197593688965")</f>
        <v>http://maps.google.com/maps?f=q&amp;hl=en&amp;geocode=&amp;q=-5.03063011169434,32.8197593688965</v>
      </c>
    </row>
    <row r="5460" spans="1:7" ht="15" x14ac:dyDescent="0.3">
      <c r="A5460">
        <v>42.660042760353598</v>
      </c>
      <c r="B5460">
        <v>-84.645531837810097</v>
      </c>
      <c r="C5460" t="s">
        <v>41</v>
      </c>
      <c r="D5460" t="s">
        <v>3419</v>
      </c>
      <c r="F5460" s="21"/>
      <c r="G5460" s="16" t="str">
        <f>HYPERLINK("http://maps.google.com/maps?f=q&amp;hl=en&amp;geocode=&amp;q=42.6600427603536,-84.6455318378101")</f>
        <v>http://maps.google.com/maps?f=q&amp;hl=en&amp;geocode=&amp;q=42.6600427603536,-84.6455318378101</v>
      </c>
    </row>
    <row r="5461" spans="1:7" ht="15" x14ac:dyDescent="0.3">
      <c r="A5461">
        <v>41.919337962236497</v>
      </c>
      <c r="B5461">
        <v>-87.677867139289802</v>
      </c>
      <c r="C5461" t="s">
        <v>41</v>
      </c>
      <c r="D5461" t="s">
        <v>3420</v>
      </c>
      <c r="F5461" s="21"/>
      <c r="G5461" s="16" t="str">
        <f>HYPERLINK("http://maps.google.com/maps?f=q&amp;hl=en&amp;geocode=&amp;q=41.9193379622365,-87.6778671392898")</f>
        <v>http://maps.google.com/maps?f=q&amp;hl=en&amp;geocode=&amp;q=41.9193379622365,-87.6778671392898</v>
      </c>
    </row>
    <row r="5462" spans="1:7" ht="15" x14ac:dyDescent="0.3">
      <c r="A5462" t="s">
        <v>44</v>
      </c>
      <c r="B5462" t="s">
        <v>44</v>
      </c>
      <c r="C5462" t="s">
        <v>44</v>
      </c>
      <c r="D5462" t="s">
        <v>3421</v>
      </c>
      <c r="F5462" s="21"/>
      <c r="G5462" s="16"/>
    </row>
    <row r="5463" spans="1:7" ht="15" x14ac:dyDescent="0.3">
      <c r="A5463" t="s">
        <v>44</v>
      </c>
      <c r="B5463" t="s">
        <v>44</v>
      </c>
      <c r="C5463" t="s">
        <v>44</v>
      </c>
      <c r="D5463" t="s">
        <v>3421</v>
      </c>
      <c r="F5463" s="21"/>
      <c r="G5463" s="16"/>
    </row>
    <row r="5464" spans="1:7" ht="15" x14ac:dyDescent="0.3">
      <c r="A5464">
        <v>40.010309999999997</v>
      </c>
      <c r="B5464">
        <v>-75.103440000000006</v>
      </c>
      <c r="C5464" t="s">
        <v>41</v>
      </c>
      <c r="D5464" t="s">
        <v>3422</v>
      </c>
      <c r="F5464" s="21"/>
      <c r="G5464" s="16" t="str">
        <f>HYPERLINK("http://maps.google.com/maps?f=q&amp;hl=en&amp;geocode=&amp;q=40.01031,-75.10344")</f>
        <v>http://maps.google.com/maps?f=q&amp;hl=en&amp;geocode=&amp;q=40.01031,-75.10344</v>
      </c>
    </row>
    <row r="5465" spans="1:7" ht="15" x14ac:dyDescent="0.3">
      <c r="A5465">
        <v>39.955100000000002</v>
      </c>
      <c r="B5465">
        <v>-75.219840000000005</v>
      </c>
      <c r="C5465" t="s">
        <v>43</v>
      </c>
      <c r="D5465" t="s">
        <v>2905</v>
      </c>
      <c r="F5465" s="21"/>
      <c r="G5465" s="16" t="str">
        <f>HYPERLINK("http://maps.google.com/maps?f=q&amp;hl=en&amp;geocode=&amp;q=39.9551,-75.21984")</f>
        <v>http://maps.google.com/maps?f=q&amp;hl=en&amp;geocode=&amp;q=39.9551,-75.21984</v>
      </c>
    </row>
    <row r="5466" spans="1:7" ht="15" x14ac:dyDescent="0.3">
      <c r="A5466">
        <v>39.955100000000002</v>
      </c>
      <c r="B5466">
        <v>-75.219840000000005</v>
      </c>
      <c r="C5466" t="s">
        <v>43</v>
      </c>
      <c r="D5466" t="s">
        <v>2905</v>
      </c>
      <c r="F5466" s="21"/>
      <c r="G5466" s="16" t="str">
        <f>HYPERLINK("http://maps.google.com/maps?f=q&amp;hl=en&amp;geocode=&amp;q=39.9551,-75.21984")</f>
        <v>http://maps.google.com/maps?f=q&amp;hl=en&amp;geocode=&amp;q=39.9551,-75.21984</v>
      </c>
    </row>
    <row r="5467" spans="1:7" ht="15" x14ac:dyDescent="0.3">
      <c r="A5467">
        <v>37.079883384829699</v>
      </c>
      <c r="B5467">
        <v>-93.290170894337706</v>
      </c>
      <c r="C5467" t="s">
        <v>43</v>
      </c>
      <c r="D5467" t="s">
        <v>3423</v>
      </c>
      <c r="F5467" s="21"/>
      <c r="G5467" s="16" t="str">
        <f>HYPERLINK("http://maps.google.com/maps?f=q&amp;hl=en&amp;geocode=&amp;q=37.0798833848297,-93.2901708943377")</f>
        <v>http://maps.google.com/maps?f=q&amp;hl=en&amp;geocode=&amp;q=37.0798833848297,-93.2901708943377</v>
      </c>
    </row>
    <row r="5468" spans="1:7" ht="15" x14ac:dyDescent="0.3">
      <c r="A5468">
        <v>53.007888793945298</v>
      </c>
      <c r="B5468">
        <v>-70.9957275390625</v>
      </c>
      <c r="C5468" t="s">
        <v>41</v>
      </c>
      <c r="D5468" t="s">
        <v>2297</v>
      </c>
      <c r="F5468" s="21"/>
      <c r="G5468" s="16" t="str">
        <f>HYPERLINK("http://maps.google.com/maps?f=q&amp;hl=en&amp;geocode=&amp;q=53.0078887939453,-70.9957275390625")</f>
        <v>http://maps.google.com/maps?f=q&amp;hl=en&amp;geocode=&amp;q=53.0078887939453,-70.9957275390625</v>
      </c>
    </row>
    <row r="5469" spans="1:7" ht="15" x14ac:dyDescent="0.3">
      <c r="A5469" t="s">
        <v>44</v>
      </c>
      <c r="B5469" t="s">
        <v>44</v>
      </c>
      <c r="C5469" t="s">
        <v>44</v>
      </c>
      <c r="D5469" t="s">
        <v>3424</v>
      </c>
      <c r="F5469" s="21"/>
      <c r="G5469" s="16"/>
    </row>
    <row r="5470" spans="1:7" ht="15" x14ac:dyDescent="0.3">
      <c r="A5470">
        <v>40.015673540799</v>
      </c>
      <c r="B5470">
        <v>-75.140275258600496</v>
      </c>
      <c r="C5470" t="s">
        <v>43</v>
      </c>
      <c r="D5470" t="s">
        <v>2004</v>
      </c>
      <c r="F5470" s="21"/>
      <c r="G5470" s="16" t="str">
        <f>HYPERLINK("http://maps.google.com/maps?f=q&amp;hl=en&amp;geocode=&amp;q=40.015673540799,-75.1402752586005")</f>
        <v>http://maps.google.com/maps?f=q&amp;hl=en&amp;geocode=&amp;q=40.015673540799,-75.1402752586005</v>
      </c>
    </row>
    <row r="5471" spans="1:7" ht="15" x14ac:dyDescent="0.3">
      <c r="A5471">
        <v>50.780136108398402</v>
      </c>
      <c r="B5471">
        <v>4.2288222312927202</v>
      </c>
      <c r="C5471" t="s">
        <v>43</v>
      </c>
      <c r="D5471" t="s">
        <v>3425</v>
      </c>
      <c r="F5471" s="21"/>
      <c r="G5471" s="16" t="str">
        <f>HYPERLINK("http://maps.google.com/maps?f=q&amp;hl=en&amp;geocode=&amp;q=50.7801361083984,4.22882223129272")</f>
        <v>http://maps.google.com/maps?f=q&amp;hl=en&amp;geocode=&amp;q=50.7801361083984,4.22882223129272</v>
      </c>
    </row>
    <row r="5472" spans="1:7" ht="15" x14ac:dyDescent="0.3">
      <c r="A5472">
        <v>40.037979125976598</v>
      </c>
      <c r="B5472">
        <v>-75.223060607910199</v>
      </c>
      <c r="C5472" t="s">
        <v>41</v>
      </c>
      <c r="D5472" t="s">
        <v>2505</v>
      </c>
      <c r="F5472" s="21"/>
      <c r="G5472" s="16" t="str">
        <f>HYPERLINK("http://maps.google.com/maps?f=q&amp;hl=en&amp;geocode=&amp;q=40.0379791259766,-75.2230606079102")</f>
        <v>http://maps.google.com/maps?f=q&amp;hl=en&amp;geocode=&amp;q=40.0379791259766,-75.2230606079102</v>
      </c>
    </row>
    <row r="5473" spans="1:7" ht="15" x14ac:dyDescent="0.3">
      <c r="A5473">
        <v>40.024738311767599</v>
      </c>
      <c r="B5473">
        <v>-75.213882446289105</v>
      </c>
      <c r="C5473" t="s">
        <v>43</v>
      </c>
      <c r="D5473" t="s">
        <v>141</v>
      </c>
      <c r="F5473" s="21"/>
      <c r="G5473" s="16" t="str">
        <f>HYPERLINK("http://maps.google.com/maps?f=q&amp;hl=en&amp;geocode=&amp;q=40.0247383117676,-75.2138824462891")</f>
        <v>http://maps.google.com/maps?f=q&amp;hl=en&amp;geocode=&amp;q=40.0247383117676,-75.2138824462891</v>
      </c>
    </row>
    <row r="5474" spans="1:7" ht="15" x14ac:dyDescent="0.3">
      <c r="A5474">
        <v>40.024738311767599</v>
      </c>
      <c r="B5474">
        <v>-75.213882446289105</v>
      </c>
      <c r="C5474" t="s">
        <v>43</v>
      </c>
      <c r="D5474" t="s">
        <v>2344</v>
      </c>
      <c r="F5474" s="21"/>
      <c r="G5474" s="16" t="str">
        <f>HYPERLINK("http://maps.google.com/maps?f=q&amp;hl=en&amp;geocode=&amp;q=40.0247383117676,-75.2138824462891")</f>
        <v>http://maps.google.com/maps?f=q&amp;hl=en&amp;geocode=&amp;q=40.0247383117676,-75.2138824462891</v>
      </c>
    </row>
    <row r="5475" spans="1:7" ht="15" x14ac:dyDescent="0.3">
      <c r="A5475">
        <v>35.597170694730401</v>
      </c>
      <c r="B5475">
        <v>-78.128278981646005</v>
      </c>
      <c r="C5475" t="s">
        <v>41</v>
      </c>
      <c r="D5475" t="s">
        <v>3426</v>
      </c>
      <c r="F5475" s="21"/>
      <c r="G5475" s="16" t="str">
        <f>HYPERLINK("http://maps.google.com/maps?f=q&amp;hl=en&amp;geocode=&amp;q=35.5971706947304,-78.128278981646")</f>
        <v>http://maps.google.com/maps?f=q&amp;hl=en&amp;geocode=&amp;q=35.5971706947304,-78.128278981646</v>
      </c>
    </row>
    <row r="5476" spans="1:7" ht="15" x14ac:dyDescent="0.3">
      <c r="A5476">
        <v>42.808570000000003</v>
      </c>
      <c r="B5476">
        <v>-83.294489999999996</v>
      </c>
      <c r="C5476" t="s">
        <v>41</v>
      </c>
      <c r="D5476" t="s">
        <v>3427</v>
      </c>
      <c r="F5476" s="21"/>
      <c r="G5476" s="16" t="str">
        <f>HYPERLINK("http://maps.google.com/maps?f=q&amp;hl=en&amp;geocode=&amp;q=42.80857,-83.29449")</f>
        <v>http://maps.google.com/maps?f=q&amp;hl=en&amp;geocode=&amp;q=42.80857,-83.29449</v>
      </c>
    </row>
    <row r="5477" spans="1:7" ht="15" x14ac:dyDescent="0.3">
      <c r="A5477">
        <v>42.66046</v>
      </c>
      <c r="B5477">
        <v>-73.769710000000003</v>
      </c>
      <c r="C5477" t="s">
        <v>42</v>
      </c>
      <c r="D5477" t="s">
        <v>3428</v>
      </c>
      <c r="F5477" s="21"/>
      <c r="G5477" s="16" t="str">
        <f>HYPERLINK("http://maps.google.com/maps?f=q&amp;hl=en&amp;geocode=&amp;q=42.66046,-73.76971")</f>
        <v>http://maps.google.com/maps?f=q&amp;hl=en&amp;geocode=&amp;q=42.66046,-73.76971</v>
      </c>
    </row>
    <row r="5478" spans="1:7" ht="15" x14ac:dyDescent="0.3">
      <c r="A5478">
        <v>47.202430725097699</v>
      </c>
      <c r="B5478">
        <v>19.835624694824201</v>
      </c>
      <c r="C5478" t="s">
        <v>43</v>
      </c>
      <c r="D5478" t="s">
        <v>3429</v>
      </c>
      <c r="F5478" s="21"/>
      <c r="G5478" s="16" t="str">
        <f>HYPERLINK("http://maps.google.com/maps?f=q&amp;hl=en&amp;geocode=&amp;q=47.2024307250977,19.8356246948242")</f>
        <v>http://maps.google.com/maps?f=q&amp;hl=en&amp;geocode=&amp;q=47.2024307250977,19.8356246948242</v>
      </c>
    </row>
    <row r="5479" spans="1:7" ht="15" x14ac:dyDescent="0.3">
      <c r="A5479">
        <v>38.947154998779297</v>
      </c>
      <c r="B5479">
        <v>-8.9184045791625994</v>
      </c>
      <c r="C5479" t="s">
        <v>41</v>
      </c>
      <c r="D5479" t="s">
        <v>1228</v>
      </c>
      <c r="F5479" s="21"/>
      <c r="G5479" s="16" t="str">
        <f>HYPERLINK("http://maps.google.com/maps?f=q&amp;hl=en&amp;geocode=&amp;q=38.9471549987793,-8.9184045791626")</f>
        <v>http://maps.google.com/maps?f=q&amp;hl=en&amp;geocode=&amp;q=38.9471549987793,-8.9184045791626</v>
      </c>
    </row>
    <row r="5480" spans="1:7" ht="15" x14ac:dyDescent="0.3">
      <c r="A5480">
        <v>40.042850000000001</v>
      </c>
      <c r="B5480">
        <v>-75.127189999999999</v>
      </c>
      <c r="C5480" t="s">
        <v>43</v>
      </c>
      <c r="D5480" t="s">
        <v>3311</v>
      </c>
      <c r="F5480" s="21"/>
      <c r="G5480" s="16" t="str">
        <f>HYPERLINK("http://maps.google.com/maps?f=q&amp;hl=en&amp;geocode=&amp;q=40.04285,-75.12719")</f>
        <v>http://maps.google.com/maps?f=q&amp;hl=en&amp;geocode=&amp;q=40.04285,-75.12719</v>
      </c>
    </row>
    <row r="5481" spans="1:7" ht="15" x14ac:dyDescent="0.3">
      <c r="A5481">
        <v>29.7082328796387</v>
      </c>
      <c r="B5481">
        <v>-90.006401062011705</v>
      </c>
      <c r="C5481" t="s">
        <v>43</v>
      </c>
      <c r="D5481" t="s">
        <v>3430</v>
      </c>
      <c r="F5481" s="21"/>
      <c r="G5481" s="16" t="str">
        <f>HYPERLINK("http://maps.google.com/maps?f=q&amp;hl=en&amp;geocode=&amp;q=29.7082328796387,-90.0064010620117")</f>
        <v>http://maps.google.com/maps?f=q&amp;hl=en&amp;geocode=&amp;q=29.7082328796387,-90.0064010620117</v>
      </c>
    </row>
    <row r="5482" spans="1:7" ht="15" x14ac:dyDescent="0.3">
      <c r="A5482">
        <v>29.7082328796387</v>
      </c>
      <c r="B5482">
        <v>-90.006401062011705</v>
      </c>
      <c r="C5482" t="s">
        <v>43</v>
      </c>
      <c r="D5482" t="s">
        <v>3430</v>
      </c>
      <c r="F5482" s="21"/>
      <c r="G5482" s="16" t="str">
        <f>HYPERLINK("http://maps.google.com/maps?f=q&amp;hl=en&amp;geocode=&amp;q=29.7082328796387,-90.0064010620117")</f>
        <v>http://maps.google.com/maps?f=q&amp;hl=en&amp;geocode=&amp;q=29.7082328796387,-90.0064010620117</v>
      </c>
    </row>
    <row r="5483" spans="1:7" ht="15" x14ac:dyDescent="0.3">
      <c r="A5483">
        <v>40.024738311767599</v>
      </c>
      <c r="B5483">
        <v>-75.213882446289105</v>
      </c>
      <c r="C5483" t="s">
        <v>43</v>
      </c>
      <c r="D5483" t="s">
        <v>2343</v>
      </c>
      <c r="F5483" s="21"/>
      <c r="G5483" s="16" t="str">
        <f>HYPERLINK("http://maps.google.com/maps?f=q&amp;hl=en&amp;geocode=&amp;q=40.0247383117676,-75.2138824462891")</f>
        <v>http://maps.google.com/maps?f=q&amp;hl=en&amp;geocode=&amp;q=40.0247383117676,-75.2138824462891</v>
      </c>
    </row>
    <row r="5484" spans="1:7" ht="15" x14ac:dyDescent="0.3">
      <c r="A5484">
        <v>33.672056381324801</v>
      </c>
      <c r="B5484">
        <v>-102.561453241688</v>
      </c>
      <c r="C5484" t="s">
        <v>41</v>
      </c>
      <c r="D5484" t="s">
        <v>951</v>
      </c>
      <c r="F5484" s="21"/>
      <c r="G5484" s="16" t="str">
        <f>HYPERLINK("http://maps.google.com/maps?f=q&amp;hl=en&amp;geocode=&amp;q=33.6720563813248,-102.561453241688")</f>
        <v>http://maps.google.com/maps?f=q&amp;hl=en&amp;geocode=&amp;q=33.6720563813248,-102.561453241688</v>
      </c>
    </row>
    <row r="5485" spans="1:7" ht="15" x14ac:dyDescent="0.3">
      <c r="A5485">
        <v>41.740640112089999</v>
      </c>
      <c r="B5485">
        <v>-111.81466358090999</v>
      </c>
      <c r="C5485" t="s">
        <v>41</v>
      </c>
      <c r="D5485" t="s">
        <v>1285</v>
      </c>
      <c r="F5485" s="21"/>
      <c r="G5485" s="16" t="str">
        <f>HYPERLINK("http://maps.google.com/maps?f=q&amp;hl=en&amp;geocode=&amp;q=41.74064011209,-111.81466358091")</f>
        <v>http://maps.google.com/maps?f=q&amp;hl=en&amp;geocode=&amp;q=41.74064011209,-111.81466358091</v>
      </c>
    </row>
    <row r="5486" spans="1:7" ht="15" x14ac:dyDescent="0.3">
      <c r="A5486">
        <v>39.927619999999997</v>
      </c>
      <c r="B5486">
        <v>-75.178780000000003</v>
      </c>
      <c r="C5486" t="s">
        <v>43</v>
      </c>
      <c r="D5486" t="s">
        <v>3431</v>
      </c>
      <c r="F5486" s="21"/>
      <c r="G5486" s="16" t="str">
        <f>HYPERLINK("http://maps.google.com/maps?f=q&amp;hl=en&amp;geocode=&amp;q=39.92762,-75.17878")</f>
        <v>http://maps.google.com/maps?f=q&amp;hl=en&amp;geocode=&amp;q=39.92762,-75.17878</v>
      </c>
    </row>
    <row r="5487" spans="1:7" ht="15" x14ac:dyDescent="0.3">
      <c r="A5487">
        <v>37.6307527593533</v>
      </c>
      <c r="B5487">
        <v>-80.985487552934401</v>
      </c>
      <c r="C5487" t="s">
        <v>41</v>
      </c>
      <c r="D5487" t="s">
        <v>84</v>
      </c>
      <c r="F5487" s="21"/>
      <c r="G5487" s="16" t="str">
        <f>HYPERLINK("http://maps.google.com/maps?f=q&amp;hl=en&amp;geocode=&amp;q=37.6307527593533,-80.9854875529344")</f>
        <v>http://maps.google.com/maps?f=q&amp;hl=en&amp;geocode=&amp;q=37.6307527593533,-80.9854875529344</v>
      </c>
    </row>
    <row r="5488" spans="1:7" ht="15" x14ac:dyDescent="0.3">
      <c r="A5488">
        <v>48.026901245117202</v>
      </c>
      <c r="B5488">
        <v>3.6677799224853498</v>
      </c>
      <c r="C5488" t="s">
        <v>43</v>
      </c>
      <c r="D5488" t="s">
        <v>3009</v>
      </c>
      <c r="F5488" s="21"/>
      <c r="G5488" s="16" t="str">
        <f>HYPERLINK("http://maps.google.com/maps?f=q&amp;hl=en&amp;geocode=&amp;q=48.0269012451172,3.66777992248535")</f>
        <v>http://maps.google.com/maps?f=q&amp;hl=en&amp;geocode=&amp;q=48.0269012451172,3.66777992248535</v>
      </c>
    </row>
    <row r="5489" spans="1:7" ht="15" x14ac:dyDescent="0.3">
      <c r="A5489">
        <v>43.680480000000003</v>
      </c>
      <c r="B5489">
        <v>-86.493219999999994</v>
      </c>
      <c r="C5489" t="s">
        <v>43</v>
      </c>
      <c r="D5489" t="s">
        <v>3342</v>
      </c>
      <c r="F5489" s="21"/>
      <c r="G5489" s="16" t="str">
        <f>HYPERLINK("http://maps.google.com/maps?f=q&amp;hl=en&amp;geocode=&amp;q=43.68048,-86.49322")</f>
        <v>http://maps.google.com/maps?f=q&amp;hl=en&amp;geocode=&amp;q=43.68048,-86.49322</v>
      </c>
    </row>
    <row r="5490" spans="1:7" ht="15" x14ac:dyDescent="0.3">
      <c r="A5490">
        <v>41.073360562887501</v>
      </c>
      <c r="B5490">
        <v>-111.96744032199901</v>
      </c>
      <c r="C5490" t="s">
        <v>41</v>
      </c>
      <c r="D5490" t="s">
        <v>3432</v>
      </c>
      <c r="F5490" s="21"/>
      <c r="G5490" s="16" t="str">
        <f>HYPERLINK("http://maps.google.com/maps?f=q&amp;hl=en&amp;geocode=&amp;q=41.0733605628875,-111.967440321999")</f>
        <v>http://maps.google.com/maps?f=q&amp;hl=en&amp;geocode=&amp;q=41.0733605628875,-111.967440321999</v>
      </c>
    </row>
    <row r="5491" spans="1:7" ht="15" x14ac:dyDescent="0.3">
      <c r="A5491">
        <v>43.680480000000003</v>
      </c>
      <c r="B5491">
        <v>-86.493219999999994</v>
      </c>
      <c r="C5491" t="s">
        <v>43</v>
      </c>
      <c r="D5491" t="s">
        <v>3342</v>
      </c>
      <c r="F5491" s="21"/>
      <c r="G5491" s="16" t="str">
        <f>HYPERLINK("http://maps.google.com/maps?f=q&amp;hl=en&amp;geocode=&amp;q=43.68048,-86.49322")</f>
        <v>http://maps.google.com/maps?f=q&amp;hl=en&amp;geocode=&amp;q=43.68048,-86.49322</v>
      </c>
    </row>
    <row r="5492" spans="1:7" ht="15" x14ac:dyDescent="0.3">
      <c r="A5492" t="s">
        <v>44</v>
      </c>
      <c r="B5492" t="s">
        <v>44</v>
      </c>
      <c r="C5492" t="s">
        <v>44</v>
      </c>
      <c r="D5492" t="s">
        <v>3433</v>
      </c>
      <c r="F5492" s="21"/>
      <c r="G5492" s="16"/>
    </row>
    <row r="5493" spans="1:7" ht="15" x14ac:dyDescent="0.3">
      <c r="A5493">
        <v>-26.034427642822301</v>
      </c>
      <c r="B5493">
        <v>28.5431098937988</v>
      </c>
      <c r="C5493" t="s">
        <v>43</v>
      </c>
      <c r="D5493" t="s">
        <v>2747</v>
      </c>
      <c r="F5493" s="21"/>
      <c r="G5493" s="16" t="str">
        <f>HYPERLINK("http://maps.google.com/maps?f=q&amp;hl=en&amp;geocode=&amp;q=-26.0344276428223,28.5431098937988")</f>
        <v>http://maps.google.com/maps?f=q&amp;hl=en&amp;geocode=&amp;q=-26.0344276428223,28.5431098937988</v>
      </c>
    </row>
    <row r="5494" spans="1:7" ht="15" x14ac:dyDescent="0.3">
      <c r="A5494">
        <v>-26.034427642822301</v>
      </c>
      <c r="B5494">
        <v>28.5431098937988</v>
      </c>
      <c r="C5494" t="s">
        <v>43</v>
      </c>
      <c r="D5494" t="s">
        <v>2747</v>
      </c>
      <c r="F5494" s="21"/>
      <c r="G5494" s="16" t="str">
        <f>HYPERLINK("http://maps.google.com/maps?f=q&amp;hl=en&amp;geocode=&amp;q=-26.0344276428223,28.5431098937988")</f>
        <v>http://maps.google.com/maps?f=q&amp;hl=en&amp;geocode=&amp;q=-26.0344276428223,28.5431098937988</v>
      </c>
    </row>
    <row r="5495" spans="1:7" ht="15" x14ac:dyDescent="0.3">
      <c r="A5495">
        <v>47.202430725097699</v>
      </c>
      <c r="B5495">
        <v>19.835624694824201</v>
      </c>
      <c r="C5495" t="s">
        <v>43</v>
      </c>
      <c r="D5495" t="s">
        <v>3434</v>
      </c>
      <c r="F5495" s="21"/>
      <c r="G5495" s="16" t="str">
        <f>HYPERLINK("http://maps.google.com/maps?f=q&amp;hl=en&amp;geocode=&amp;q=47.2024307250977,19.8356246948242")</f>
        <v>http://maps.google.com/maps?f=q&amp;hl=en&amp;geocode=&amp;q=47.2024307250977,19.8356246948242</v>
      </c>
    </row>
    <row r="5496" spans="1:7" ht="15" x14ac:dyDescent="0.3">
      <c r="A5496">
        <v>-33.299518585205099</v>
      </c>
      <c r="B5496">
        <v>149.01606750488301</v>
      </c>
      <c r="C5496" t="s">
        <v>43</v>
      </c>
      <c r="D5496" t="s">
        <v>3435</v>
      </c>
      <c r="F5496" s="21"/>
      <c r="G5496" s="16" t="str">
        <f>HYPERLINK("http://maps.google.com/maps?f=q&amp;hl=en&amp;geocode=&amp;q=-33.2995185852051,149.016067504883")</f>
        <v>http://maps.google.com/maps?f=q&amp;hl=en&amp;geocode=&amp;q=-33.2995185852051,149.016067504883</v>
      </c>
    </row>
    <row r="5497" spans="1:7" ht="15" x14ac:dyDescent="0.3">
      <c r="A5497">
        <v>40.002512085838298</v>
      </c>
      <c r="B5497">
        <v>-86.180620227777197</v>
      </c>
      <c r="C5497" t="s">
        <v>41</v>
      </c>
      <c r="D5497" t="s">
        <v>3436</v>
      </c>
      <c r="F5497" s="21"/>
      <c r="G5497" s="16" t="str">
        <f>HYPERLINK("http://maps.google.com/maps?f=q&amp;hl=en&amp;geocode=&amp;q=40.0025120858383,-86.1806202277772")</f>
        <v>http://maps.google.com/maps?f=q&amp;hl=en&amp;geocode=&amp;q=40.0025120858383,-86.1806202277772</v>
      </c>
    </row>
    <row r="5498" spans="1:7" ht="15" x14ac:dyDescent="0.3">
      <c r="A5498">
        <v>35.008839999999999</v>
      </c>
      <c r="B5498">
        <v>-86.968400000000003</v>
      </c>
      <c r="C5498" t="s">
        <v>42</v>
      </c>
      <c r="D5498" t="s">
        <v>3437</v>
      </c>
      <c r="F5498" s="21"/>
      <c r="G5498" s="16" t="str">
        <f>HYPERLINK("http://maps.google.com/maps?f=q&amp;hl=en&amp;geocode=&amp;q=35.00884,-86.9684")</f>
        <v>http://maps.google.com/maps?f=q&amp;hl=en&amp;geocode=&amp;q=35.00884,-86.9684</v>
      </c>
    </row>
    <row r="5499" spans="1:7" ht="15" x14ac:dyDescent="0.3">
      <c r="A5499">
        <v>41.903089999999999</v>
      </c>
      <c r="B5499">
        <v>-111.40125999999999</v>
      </c>
      <c r="C5499" t="s">
        <v>42</v>
      </c>
      <c r="D5499" t="s">
        <v>2969</v>
      </c>
      <c r="F5499" s="21"/>
      <c r="G5499" s="16" t="str">
        <f>HYPERLINK("http://maps.google.com/maps?f=q&amp;hl=en&amp;geocode=&amp;q=41.90309,-111.40126")</f>
        <v>http://maps.google.com/maps?f=q&amp;hl=en&amp;geocode=&amp;q=41.90309,-111.40126</v>
      </c>
    </row>
    <row r="5500" spans="1:7" ht="15" x14ac:dyDescent="0.3">
      <c r="A5500">
        <v>35.260640000000002</v>
      </c>
      <c r="B5500">
        <v>-114.01861</v>
      </c>
      <c r="C5500" t="s">
        <v>41</v>
      </c>
      <c r="D5500" t="s">
        <v>3438</v>
      </c>
      <c r="F5500" s="21"/>
      <c r="G5500" s="16" t="str">
        <f>HYPERLINK("http://maps.google.com/maps?f=q&amp;hl=en&amp;geocode=&amp;q=35.26064,-114.01861")</f>
        <v>http://maps.google.com/maps?f=q&amp;hl=en&amp;geocode=&amp;q=35.26064,-114.01861</v>
      </c>
    </row>
    <row r="5501" spans="1:7" ht="15" x14ac:dyDescent="0.3">
      <c r="A5501">
        <v>40.045969999999997</v>
      </c>
      <c r="B5501">
        <v>-75.096500000000006</v>
      </c>
      <c r="C5501" t="s">
        <v>41</v>
      </c>
      <c r="D5501" t="s">
        <v>3439</v>
      </c>
      <c r="F5501" s="21"/>
      <c r="G5501" s="16" t="str">
        <f>HYPERLINK("http://maps.google.com/maps?f=q&amp;hl=en&amp;geocode=&amp;q=40.04597,-75.0965")</f>
        <v>http://maps.google.com/maps?f=q&amp;hl=en&amp;geocode=&amp;q=40.04597,-75.0965</v>
      </c>
    </row>
    <row r="5502" spans="1:7" ht="15" x14ac:dyDescent="0.3">
      <c r="A5502" t="s">
        <v>44</v>
      </c>
      <c r="B5502" t="s">
        <v>44</v>
      </c>
      <c r="C5502" t="s">
        <v>44</v>
      </c>
      <c r="D5502" t="s">
        <v>1004</v>
      </c>
      <c r="F5502" s="21"/>
      <c r="G5502" s="16"/>
    </row>
    <row r="5503" spans="1:7" ht="15" x14ac:dyDescent="0.3">
      <c r="A5503">
        <v>40.019970000000001</v>
      </c>
      <c r="B5503">
        <v>-75.117239999999995</v>
      </c>
      <c r="C5503" t="s">
        <v>41</v>
      </c>
      <c r="D5503" t="s">
        <v>3440</v>
      </c>
      <c r="F5503" s="21"/>
      <c r="G5503" s="16" t="str">
        <f>HYPERLINK("http://maps.google.com/maps?f=q&amp;hl=en&amp;geocode=&amp;q=40.01997,-75.11724")</f>
        <v>http://maps.google.com/maps?f=q&amp;hl=en&amp;geocode=&amp;q=40.01997,-75.11724</v>
      </c>
    </row>
    <row r="5504" spans="1:7" ht="15" x14ac:dyDescent="0.3">
      <c r="A5504">
        <v>41.355917495052701</v>
      </c>
      <c r="B5504">
        <v>-98.400822396597803</v>
      </c>
      <c r="C5504" t="s">
        <v>41</v>
      </c>
      <c r="D5504" t="s">
        <v>3441</v>
      </c>
      <c r="F5504" s="21"/>
      <c r="G5504" s="16" t="str">
        <f>HYPERLINK("http://maps.google.com/maps?f=q&amp;hl=en&amp;geocode=&amp;q=41.3559174950527,-98.4008223965978")</f>
        <v>http://maps.google.com/maps?f=q&amp;hl=en&amp;geocode=&amp;q=41.3559174950527,-98.4008223965978</v>
      </c>
    </row>
    <row r="5505" spans="1:7" ht="15" x14ac:dyDescent="0.3">
      <c r="A5505" t="s">
        <v>44</v>
      </c>
      <c r="B5505" t="s">
        <v>44</v>
      </c>
      <c r="C5505" t="s">
        <v>44</v>
      </c>
      <c r="D5505" t="s">
        <v>3255</v>
      </c>
      <c r="F5505" s="21"/>
      <c r="G5505" s="16"/>
    </row>
    <row r="5506" spans="1:7" ht="15" x14ac:dyDescent="0.3">
      <c r="A5506">
        <v>-26.034427642822301</v>
      </c>
      <c r="B5506">
        <v>28.5431098937988</v>
      </c>
      <c r="C5506" t="s">
        <v>43</v>
      </c>
      <c r="D5506" t="s">
        <v>706</v>
      </c>
      <c r="F5506" s="21"/>
      <c r="G5506" s="16" t="str">
        <f>HYPERLINK("http://maps.google.com/maps?f=q&amp;hl=en&amp;geocode=&amp;q=-26.0344276428223,28.5431098937988")</f>
        <v>http://maps.google.com/maps?f=q&amp;hl=en&amp;geocode=&amp;q=-26.0344276428223,28.5431098937988</v>
      </c>
    </row>
    <row r="5507" spans="1:7" ht="15" x14ac:dyDescent="0.3">
      <c r="A5507">
        <v>59.4226264953613</v>
      </c>
      <c r="B5507">
        <v>5.2866048812866202</v>
      </c>
      <c r="C5507" t="s">
        <v>43</v>
      </c>
      <c r="D5507" t="s">
        <v>3442</v>
      </c>
      <c r="F5507" s="21"/>
      <c r="G5507" s="16" t="str">
        <f>HYPERLINK("http://maps.google.com/maps?f=q&amp;hl=en&amp;geocode=&amp;q=59.4226264953613,5.28660488128662")</f>
        <v>http://maps.google.com/maps?f=q&amp;hl=en&amp;geocode=&amp;q=59.4226264953613,5.28660488128662</v>
      </c>
    </row>
    <row r="5508" spans="1:7" ht="15" x14ac:dyDescent="0.3">
      <c r="A5508">
        <v>39.220829010009801</v>
      </c>
      <c r="B5508">
        <v>-87.636940002441406</v>
      </c>
      <c r="C5508" t="s">
        <v>43</v>
      </c>
      <c r="D5508" t="s">
        <v>3244</v>
      </c>
      <c r="F5508" s="21"/>
      <c r="G5508" s="16" t="str">
        <f>HYPERLINK("http://maps.google.com/maps?f=q&amp;hl=en&amp;geocode=&amp;q=39.2208290100098,-87.6369400024414")</f>
        <v>http://maps.google.com/maps?f=q&amp;hl=en&amp;geocode=&amp;q=39.2208290100098,-87.6369400024414</v>
      </c>
    </row>
    <row r="5509" spans="1:7" ht="15" x14ac:dyDescent="0.3">
      <c r="A5509">
        <v>39.220829010009801</v>
      </c>
      <c r="B5509">
        <v>-87.636940002441406</v>
      </c>
      <c r="C5509" t="s">
        <v>43</v>
      </c>
      <c r="D5509" t="s">
        <v>3443</v>
      </c>
      <c r="F5509" s="21"/>
      <c r="G5509" s="16" t="str">
        <f>HYPERLINK("http://maps.google.com/maps?f=q&amp;hl=en&amp;geocode=&amp;q=39.2208290100098,-87.6369400024414")</f>
        <v>http://maps.google.com/maps?f=q&amp;hl=en&amp;geocode=&amp;q=39.2208290100098,-87.6369400024414</v>
      </c>
    </row>
    <row r="5510" spans="1:7" ht="15" x14ac:dyDescent="0.3">
      <c r="A5510">
        <v>34.995820000000002</v>
      </c>
      <c r="B5510">
        <v>-81.136610000000005</v>
      </c>
      <c r="C5510" t="s">
        <v>41</v>
      </c>
      <c r="D5510" t="s">
        <v>2888</v>
      </c>
      <c r="F5510" s="21"/>
      <c r="G5510" s="16" t="str">
        <f>HYPERLINK("http://maps.google.com/maps?f=q&amp;hl=en&amp;geocode=&amp;q=34.99582,-81.13661")</f>
        <v>http://maps.google.com/maps?f=q&amp;hl=en&amp;geocode=&amp;q=34.99582,-81.13661</v>
      </c>
    </row>
    <row r="5511" spans="1:7" ht="15" x14ac:dyDescent="0.3">
      <c r="A5511">
        <v>35.912851874818202</v>
      </c>
      <c r="B5511">
        <v>-87.3827199517211</v>
      </c>
      <c r="C5511" t="s">
        <v>41</v>
      </c>
      <c r="D5511" t="s">
        <v>565</v>
      </c>
      <c r="F5511" s="21"/>
      <c r="G5511" s="16" t="str">
        <f>HYPERLINK("http://maps.google.com/maps?f=q&amp;hl=en&amp;geocode=&amp;q=35.9128518748182,-87.3827199517211")</f>
        <v>http://maps.google.com/maps?f=q&amp;hl=en&amp;geocode=&amp;q=35.9128518748182,-87.3827199517211</v>
      </c>
    </row>
    <row r="5512" spans="1:7" ht="15" x14ac:dyDescent="0.3">
      <c r="A5512" t="s">
        <v>44</v>
      </c>
      <c r="B5512" t="s">
        <v>44</v>
      </c>
      <c r="C5512" t="s">
        <v>44</v>
      </c>
      <c r="D5512" t="s">
        <v>3444</v>
      </c>
      <c r="F5512" s="21"/>
      <c r="G5512" s="16"/>
    </row>
    <row r="5513" spans="1:7" ht="15" x14ac:dyDescent="0.3">
      <c r="A5513" t="s">
        <v>44</v>
      </c>
      <c r="B5513" t="s">
        <v>44</v>
      </c>
      <c r="C5513" t="s">
        <v>44</v>
      </c>
      <c r="D5513" t="s">
        <v>3445</v>
      </c>
      <c r="F5513" s="21"/>
      <c r="G5513" s="16"/>
    </row>
    <row r="5514" spans="1:7" ht="15" x14ac:dyDescent="0.3">
      <c r="A5514">
        <v>36.431640625</v>
      </c>
      <c r="B5514">
        <v>-99.373382568359403</v>
      </c>
      <c r="C5514" t="s">
        <v>43</v>
      </c>
      <c r="D5514" t="s">
        <v>3446</v>
      </c>
      <c r="F5514" s="21"/>
      <c r="G5514" s="16" t="str">
        <f>HYPERLINK("http://maps.google.com/maps?f=q&amp;hl=en&amp;geocode=&amp;q=36.431640625,-99.3733825683594")</f>
        <v>http://maps.google.com/maps?f=q&amp;hl=en&amp;geocode=&amp;q=36.431640625,-99.3733825683594</v>
      </c>
    </row>
    <row r="5515" spans="1:7" ht="15" x14ac:dyDescent="0.3">
      <c r="A5515">
        <v>39.852049999999998</v>
      </c>
      <c r="B5515">
        <v>-86.322310000000002</v>
      </c>
      <c r="C5515" t="s">
        <v>43</v>
      </c>
      <c r="D5515" t="s">
        <v>3447</v>
      </c>
      <c r="F5515" s="21"/>
      <c r="G5515" s="16" t="str">
        <f>HYPERLINK("http://maps.google.com/maps?f=q&amp;hl=en&amp;geocode=&amp;q=39.85205,-86.32231")</f>
        <v>http://maps.google.com/maps?f=q&amp;hl=en&amp;geocode=&amp;q=39.85205,-86.32231</v>
      </c>
    </row>
    <row r="5516" spans="1:7" ht="15" x14ac:dyDescent="0.3">
      <c r="A5516">
        <v>39.926830000000002</v>
      </c>
      <c r="B5516">
        <v>-75.225729999999999</v>
      </c>
      <c r="C5516" t="s">
        <v>43</v>
      </c>
      <c r="D5516" t="s">
        <v>588</v>
      </c>
      <c r="F5516" s="21"/>
      <c r="G5516" s="16" t="str">
        <f>HYPERLINK("http://maps.google.com/maps?f=q&amp;hl=en&amp;geocode=&amp;q=39.92683,-75.22573")</f>
        <v>http://maps.google.com/maps?f=q&amp;hl=en&amp;geocode=&amp;q=39.92683,-75.22573</v>
      </c>
    </row>
    <row r="5517" spans="1:7" ht="15" x14ac:dyDescent="0.3">
      <c r="A5517">
        <v>42.322071075439503</v>
      </c>
      <c r="B5517">
        <v>-83.176292419433594</v>
      </c>
      <c r="C5517" t="s">
        <v>43</v>
      </c>
      <c r="D5517" t="s">
        <v>3448</v>
      </c>
      <c r="F5517" s="21"/>
      <c r="G5517" s="16" t="str">
        <f>HYPERLINK("http://maps.google.com/maps?f=q&amp;hl=en&amp;geocode=&amp;q=42.3220710754395,-83.1762924194336")</f>
        <v>http://maps.google.com/maps?f=q&amp;hl=en&amp;geocode=&amp;q=42.3220710754395,-83.1762924194336</v>
      </c>
    </row>
    <row r="5518" spans="1:7" ht="15" x14ac:dyDescent="0.3">
      <c r="A5518">
        <v>31.7996674108199</v>
      </c>
      <c r="B5518">
        <v>-81.649656385510596</v>
      </c>
      <c r="C5518" t="s">
        <v>41</v>
      </c>
      <c r="D5518" t="s">
        <v>1438</v>
      </c>
      <c r="F5518" s="21"/>
      <c r="G5518" s="16" t="str">
        <f>HYPERLINK("http://maps.google.com/maps?f=q&amp;hl=en&amp;geocode=&amp;q=31.7996674108199,-81.6496563855106")</f>
        <v>http://maps.google.com/maps?f=q&amp;hl=en&amp;geocode=&amp;q=31.7996674108199,-81.6496563855106</v>
      </c>
    </row>
    <row r="5519" spans="1:7" ht="15" x14ac:dyDescent="0.3">
      <c r="A5519">
        <v>36.580077932587301</v>
      </c>
      <c r="B5519">
        <v>-76.107553997900993</v>
      </c>
      <c r="C5519" t="s">
        <v>43</v>
      </c>
      <c r="D5519" t="s">
        <v>2030</v>
      </c>
      <c r="F5519" s="21"/>
      <c r="G5519" s="16" t="str">
        <f>HYPERLINK("http://maps.google.com/maps?f=q&amp;hl=en&amp;geocode=&amp;q=36.5800779325873,-76.107553997901")</f>
        <v>http://maps.google.com/maps?f=q&amp;hl=en&amp;geocode=&amp;q=36.5800779325873,-76.107553997901</v>
      </c>
    </row>
    <row r="5520" spans="1:7" ht="15" x14ac:dyDescent="0.3">
      <c r="A5520">
        <v>-27.669080000000001</v>
      </c>
      <c r="B5520">
        <v>152.92021</v>
      </c>
      <c r="C5520" t="s">
        <v>41</v>
      </c>
      <c r="D5520" t="s">
        <v>3449</v>
      </c>
      <c r="F5520" s="21"/>
      <c r="G5520" s="16" t="str">
        <f>HYPERLINK("http://maps.google.com/maps?f=q&amp;hl=en&amp;geocode=&amp;q=-27.66908,152.92021")</f>
        <v>http://maps.google.com/maps?f=q&amp;hl=en&amp;geocode=&amp;q=-27.66908,152.92021</v>
      </c>
    </row>
    <row r="5521" spans="1:7" ht="15" x14ac:dyDescent="0.3">
      <c r="A5521">
        <v>39.182571411132798</v>
      </c>
      <c r="B5521">
        <v>-77.270347595214801</v>
      </c>
      <c r="C5521" t="s">
        <v>41</v>
      </c>
      <c r="D5521" t="s">
        <v>3450</v>
      </c>
      <c r="F5521" s="21"/>
      <c r="G5521" s="16" t="str">
        <f>HYPERLINK("http://maps.google.com/maps?f=q&amp;hl=en&amp;geocode=&amp;q=39.1825714111328,-77.2703475952148")</f>
        <v>http://maps.google.com/maps?f=q&amp;hl=en&amp;geocode=&amp;q=39.1825714111328,-77.2703475952148</v>
      </c>
    </row>
    <row r="5522" spans="1:7" ht="15" x14ac:dyDescent="0.3">
      <c r="A5522">
        <v>39.953099999999999</v>
      </c>
      <c r="B5522">
        <v>-75.214129999999997</v>
      </c>
      <c r="C5522" t="s">
        <v>43</v>
      </c>
      <c r="D5522" t="s">
        <v>3451</v>
      </c>
      <c r="F5522" s="21"/>
      <c r="G5522" s="16" t="str">
        <f>HYPERLINK("http://maps.google.com/maps?f=q&amp;hl=en&amp;geocode=&amp;q=39.9531,-75.21413")</f>
        <v>http://maps.google.com/maps?f=q&amp;hl=en&amp;geocode=&amp;q=39.9531,-75.21413</v>
      </c>
    </row>
    <row r="5523" spans="1:7" ht="15" x14ac:dyDescent="0.3">
      <c r="A5523">
        <v>33.794615813196401</v>
      </c>
      <c r="B5523">
        <v>-98.413164158309897</v>
      </c>
      <c r="C5523" t="s">
        <v>42</v>
      </c>
      <c r="D5523" t="s">
        <v>3452</v>
      </c>
      <c r="F5523" s="21"/>
      <c r="G5523" s="16" t="str">
        <f>HYPERLINK("http://maps.google.com/maps?f=q&amp;hl=en&amp;geocode=&amp;q=33.7946158131964,-98.4131641583099")</f>
        <v>http://maps.google.com/maps?f=q&amp;hl=en&amp;geocode=&amp;q=33.7946158131964,-98.4131641583099</v>
      </c>
    </row>
    <row r="5524" spans="1:7" ht="15" x14ac:dyDescent="0.3">
      <c r="A5524">
        <v>34.7920669787107</v>
      </c>
      <c r="B5524">
        <v>-81.143619018681605</v>
      </c>
      <c r="C5524" t="s">
        <v>41</v>
      </c>
      <c r="D5524" t="s">
        <v>3453</v>
      </c>
      <c r="F5524" s="21"/>
      <c r="G5524" s="16" t="str">
        <f>HYPERLINK("http://maps.google.com/maps?f=q&amp;hl=en&amp;geocode=&amp;q=34.7920669787107,-81.1436190186816")</f>
        <v>http://maps.google.com/maps?f=q&amp;hl=en&amp;geocode=&amp;q=34.7920669787107,-81.1436190186816</v>
      </c>
    </row>
    <row r="5525" spans="1:7" ht="15" x14ac:dyDescent="0.3">
      <c r="A5525">
        <v>34.7920669787107</v>
      </c>
      <c r="B5525">
        <v>-81.143619018681605</v>
      </c>
      <c r="C5525" t="s">
        <v>41</v>
      </c>
      <c r="D5525" t="s">
        <v>3453</v>
      </c>
      <c r="F5525" s="21"/>
      <c r="G5525" s="16" t="str">
        <f>HYPERLINK("http://maps.google.com/maps?f=q&amp;hl=en&amp;geocode=&amp;q=34.7920669787107,-81.1436190186816")</f>
        <v>http://maps.google.com/maps?f=q&amp;hl=en&amp;geocode=&amp;q=34.7920669787107,-81.1436190186816</v>
      </c>
    </row>
    <row r="5526" spans="1:7" ht="15" x14ac:dyDescent="0.3">
      <c r="A5526">
        <v>39.955100000000002</v>
      </c>
      <c r="B5526">
        <v>-75.219840000000005</v>
      </c>
      <c r="C5526" t="s">
        <v>43</v>
      </c>
      <c r="D5526" t="s">
        <v>2905</v>
      </c>
      <c r="F5526" s="21"/>
      <c r="G5526" s="16" t="str">
        <f>HYPERLINK("http://maps.google.com/maps?f=q&amp;hl=en&amp;geocode=&amp;q=39.9551,-75.21984")</f>
        <v>http://maps.google.com/maps?f=q&amp;hl=en&amp;geocode=&amp;q=39.9551,-75.21984</v>
      </c>
    </row>
    <row r="5527" spans="1:7" ht="15" x14ac:dyDescent="0.3">
      <c r="A5527">
        <v>39.955100000000002</v>
      </c>
      <c r="B5527">
        <v>-75.219840000000005</v>
      </c>
      <c r="C5527" t="s">
        <v>43</v>
      </c>
      <c r="D5527" t="s">
        <v>2905</v>
      </c>
      <c r="F5527" s="21"/>
      <c r="G5527" s="16" t="str">
        <f>HYPERLINK("http://maps.google.com/maps?f=q&amp;hl=en&amp;geocode=&amp;q=39.9551,-75.21984")</f>
        <v>http://maps.google.com/maps?f=q&amp;hl=en&amp;geocode=&amp;q=39.9551,-75.21984</v>
      </c>
    </row>
    <row r="5528" spans="1:7" ht="15" x14ac:dyDescent="0.3">
      <c r="A5528">
        <v>36.572644966322699</v>
      </c>
      <c r="B5528">
        <v>-119.628890770651</v>
      </c>
      <c r="C5528" t="s">
        <v>41</v>
      </c>
      <c r="D5528" t="s">
        <v>3454</v>
      </c>
      <c r="F5528" s="21"/>
      <c r="G5528" s="16" t="str">
        <f>HYPERLINK("http://maps.google.com/maps?f=q&amp;hl=en&amp;geocode=&amp;q=36.5726449663227,-119.628890770651")</f>
        <v>http://maps.google.com/maps?f=q&amp;hl=en&amp;geocode=&amp;q=36.5726449663227,-119.628890770651</v>
      </c>
    </row>
    <row r="5529" spans="1:7" ht="15" x14ac:dyDescent="0.3">
      <c r="A5529">
        <v>39.974530000000001</v>
      </c>
      <c r="B5529">
        <v>-75.260499999999993</v>
      </c>
      <c r="C5529" t="s">
        <v>41</v>
      </c>
      <c r="D5529" t="s">
        <v>2563</v>
      </c>
      <c r="F5529" s="21"/>
      <c r="G5529" s="16" t="str">
        <f>HYPERLINK("http://maps.google.com/maps?f=q&amp;hl=en&amp;geocode=&amp;q=39.97453,-75.2605")</f>
        <v>http://maps.google.com/maps?f=q&amp;hl=en&amp;geocode=&amp;q=39.97453,-75.2605</v>
      </c>
    </row>
    <row r="5530" spans="1:7" ht="15" x14ac:dyDescent="0.3">
      <c r="A5530">
        <v>39.974530000000001</v>
      </c>
      <c r="B5530">
        <v>-75.260499999999993</v>
      </c>
      <c r="C5530" t="s">
        <v>41</v>
      </c>
      <c r="D5530" t="s">
        <v>2563</v>
      </c>
      <c r="F5530" s="21"/>
      <c r="G5530" s="16" t="str">
        <f>HYPERLINK("http://maps.google.com/maps?f=q&amp;hl=en&amp;geocode=&amp;q=39.97453,-75.2605")</f>
        <v>http://maps.google.com/maps?f=q&amp;hl=en&amp;geocode=&amp;q=39.97453,-75.2605</v>
      </c>
    </row>
    <row r="5531" spans="1:7" ht="15" x14ac:dyDescent="0.3">
      <c r="A5531">
        <v>39.974530000000001</v>
      </c>
      <c r="B5531">
        <v>-75.260499999999993</v>
      </c>
      <c r="C5531" t="s">
        <v>41</v>
      </c>
      <c r="D5531" t="s">
        <v>2563</v>
      </c>
      <c r="F5531" s="21"/>
      <c r="G5531" s="16" t="str">
        <f>HYPERLINK("http://maps.google.com/maps?f=q&amp;hl=en&amp;geocode=&amp;q=39.97453,-75.2605")</f>
        <v>http://maps.google.com/maps?f=q&amp;hl=en&amp;geocode=&amp;q=39.97453,-75.2605</v>
      </c>
    </row>
    <row r="5532" spans="1:7" ht="15" x14ac:dyDescent="0.3">
      <c r="A5532">
        <v>41.197807908839202</v>
      </c>
      <c r="B5532">
        <v>-95.991425117140906</v>
      </c>
      <c r="C5532" t="s">
        <v>41</v>
      </c>
      <c r="D5532" t="s">
        <v>3455</v>
      </c>
      <c r="F5532" s="21"/>
      <c r="G5532" s="16" t="str">
        <f>HYPERLINK("http://maps.google.com/maps?f=q&amp;hl=en&amp;geocode=&amp;q=41.1978079088392,-95.9914251171409")</f>
        <v>http://maps.google.com/maps?f=q&amp;hl=en&amp;geocode=&amp;q=41.1978079088392,-95.9914251171409</v>
      </c>
    </row>
    <row r="5533" spans="1:7" ht="15" x14ac:dyDescent="0.3">
      <c r="A5533">
        <v>40.031280000000002</v>
      </c>
      <c r="B5533">
        <v>-75.130020000000002</v>
      </c>
      <c r="C5533" t="s">
        <v>41</v>
      </c>
      <c r="D5533" t="s">
        <v>3456</v>
      </c>
      <c r="F5533" s="21"/>
      <c r="G5533" s="16" t="str">
        <f>HYPERLINK("http://maps.google.com/maps?f=q&amp;hl=en&amp;geocode=&amp;q=40.03128,-75.13002")</f>
        <v>http://maps.google.com/maps?f=q&amp;hl=en&amp;geocode=&amp;q=40.03128,-75.13002</v>
      </c>
    </row>
    <row r="5534" spans="1:7" ht="15" x14ac:dyDescent="0.3">
      <c r="A5534">
        <v>46.4886283874512</v>
      </c>
      <c r="B5534">
        <v>-87.669349670410199</v>
      </c>
      <c r="C5534" t="s">
        <v>41</v>
      </c>
      <c r="D5534" t="s">
        <v>3036</v>
      </c>
      <c r="F5534" s="21"/>
      <c r="G5534" s="16" t="str">
        <f>HYPERLINK("http://maps.google.com/maps?f=q&amp;hl=en&amp;geocode=&amp;q=46.4886283874512,-87.6693496704102")</f>
        <v>http://maps.google.com/maps?f=q&amp;hl=en&amp;geocode=&amp;q=46.4886283874512,-87.6693496704102</v>
      </c>
    </row>
    <row r="5535" spans="1:7" ht="15" x14ac:dyDescent="0.3">
      <c r="A5535">
        <v>41.092313487596797</v>
      </c>
      <c r="B5535">
        <v>-85.112541453908094</v>
      </c>
      <c r="C5535" t="s">
        <v>41</v>
      </c>
      <c r="D5535" t="s">
        <v>3457</v>
      </c>
      <c r="F5535" s="21"/>
      <c r="G5535" s="16" t="str">
        <f>HYPERLINK("http://maps.google.com/maps?f=q&amp;hl=en&amp;geocode=&amp;q=41.0923134875968,-85.1125414539081")</f>
        <v>http://maps.google.com/maps?f=q&amp;hl=en&amp;geocode=&amp;q=41.0923134875968,-85.1125414539081</v>
      </c>
    </row>
    <row r="5536" spans="1:7" ht="15" x14ac:dyDescent="0.3">
      <c r="A5536">
        <v>35.6268501281738</v>
      </c>
      <c r="B5536">
        <v>44.130088806152301</v>
      </c>
      <c r="C5536" t="s">
        <v>41</v>
      </c>
      <c r="D5536" t="s">
        <v>3458</v>
      </c>
      <c r="F5536" s="21"/>
      <c r="G5536" s="16" t="str">
        <f>HYPERLINK("http://maps.google.com/maps?f=q&amp;hl=en&amp;geocode=&amp;q=35.6268501281738,44.1300888061523")</f>
        <v>http://maps.google.com/maps?f=q&amp;hl=en&amp;geocode=&amp;q=35.6268501281738,44.1300888061523</v>
      </c>
    </row>
    <row r="5537" spans="1:7" ht="15" x14ac:dyDescent="0.3">
      <c r="A5537">
        <v>40.037979125976598</v>
      </c>
      <c r="B5537">
        <v>-75.223060607910199</v>
      </c>
      <c r="C5537" t="s">
        <v>41</v>
      </c>
      <c r="D5537" t="s">
        <v>3459</v>
      </c>
      <c r="F5537" s="21"/>
      <c r="G5537" s="16" t="str">
        <f>HYPERLINK("http://maps.google.com/maps?f=q&amp;hl=en&amp;geocode=&amp;q=40.0379791259766,-75.2230606079102")</f>
        <v>http://maps.google.com/maps?f=q&amp;hl=en&amp;geocode=&amp;q=40.0379791259766,-75.2230606079102</v>
      </c>
    </row>
    <row r="5538" spans="1:7" ht="15" x14ac:dyDescent="0.3">
      <c r="A5538">
        <v>37.6307527593533</v>
      </c>
      <c r="B5538">
        <v>-80.985487552934401</v>
      </c>
      <c r="C5538" t="s">
        <v>41</v>
      </c>
      <c r="D5538" t="s">
        <v>84</v>
      </c>
      <c r="F5538" s="21"/>
      <c r="G5538" s="16" t="str">
        <f>HYPERLINK("http://maps.google.com/maps?f=q&amp;hl=en&amp;geocode=&amp;q=37.6307527593533,-80.9854875529344")</f>
        <v>http://maps.google.com/maps?f=q&amp;hl=en&amp;geocode=&amp;q=37.6307527593533,-80.9854875529344</v>
      </c>
    </row>
    <row r="5539" spans="1:7" ht="15" x14ac:dyDescent="0.3">
      <c r="A5539">
        <v>37.6307527593533</v>
      </c>
      <c r="B5539">
        <v>-80.985487552934401</v>
      </c>
      <c r="C5539" t="s">
        <v>41</v>
      </c>
      <c r="D5539" t="s">
        <v>84</v>
      </c>
      <c r="F5539" s="21"/>
      <c r="G5539" s="16" t="str">
        <f>HYPERLINK("http://maps.google.com/maps?f=q&amp;hl=en&amp;geocode=&amp;q=37.6307527593533,-80.9854875529344")</f>
        <v>http://maps.google.com/maps?f=q&amp;hl=en&amp;geocode=&amp;q=37.6307527593533,-80.9854875529344</v>
      </c>
    </row>
    <row r="5540" spans="1:7" ht="15" x14ac:dyDescent="0.3">
      <c r="A5540">
        <v>35.4066756861626</v>
      </c>
      <c r="B5540">
        <v>-89.387352629615805</v>
      </c>
      <c r="C5540" t="s">
        <v>41</v>
      </c>
      <c r="D5540" t="s">
        <v>1197</v>
      </c>
      <c r="F5540" s="21"/>
      <c r="G5540" s="16" t="str">
        <f>HYPERLINK("http://maps.google.com/maps?f=q&amp;hl=en&amp;geocode=&amp;q=35.4066756861626,-89.3873526296158")</f>
        <v>http://maps.google.com/maps?f=q&amp;hl=en&amp;geocode=&amp;q=35.4066756861626,-89.3873526296158</v>
      </c>
    </row>
    <row r="5541" spans="1:7" ht="15" x14ac:dyDescent="0.3">
      <c r="A5541">
        <v>45.855116566016697</v>
      </c>
      <c r="B5541">
        <v>-93.300747050468203</v>
      </c>
      <c r="C5541" t="s">
        <v>41</v>
      </c>
      <c r="D5541" t="s">
        <v>1639</v>
      </c>
      <c r="F5541" s="21"/>
      <c r="G5541" s="16" t="str">
        <f>HYPERLINK("http://maps.google.com/maps?f=q&amp;hl=en&amp;geocode=&amp;q=45.8551165660167,-93.3007470504682")</f>
        <v>http://maps.google.com/maps?f=q&amp;hl=en&amp;geocode=&amp;q=45.8551165660167,-93.3007470504682</v>
      </c>
    </row>
    <row r="5542" spans="1:7" ht="15" x14ac:dyDescent="0.3">
      <c r="A5542">
        <v>42.333000183105497</v>
      </c>
      <c r="B5542">
        <v>-72.833000183105497</v>
      </c>
      <c r="C5542" t="s">
        <v>41</v>
      </c>
      <c r="D5542" t="s">
        <v>3460</v>
      </c>
      <c r="F5542" s="21"/>
      <c r="G5542" s="16" t="str">
        <f>HYPERLINK("http://maps.google.com/maps?f=q&amp;hl=en&amp;geocode=&amp;q=42.3330001831055,-72.8330001831055")</f>
        <v>http://maps.google.com/maps?f=q&amp;hl=en&amp;geocode=&amp;q=42.3330001831055,-72.8330001831055</v>
      </c>
    </row>
    <row r="5543" spans="1:7" ht="15" x14ac:dyDescent="0.3">
      <c r="A5543">
        <v>35.644151533729001</v>
      </c>
      <c r="B5543">
        <v>-101.451423614281</v>
      </c>
      <c r="C5543" t="s">
        <v>41</v>
      </c>
      <c r="D5543" t="s">
        <v>3461</v>
      </c>
      <c r="F5543" s="21"/>
      <c r="G5543" s="16" t="str">
        <f>HYPERLINK("http://maps.google.com/maps?f=q&amp;hl=en&amp;geocode=&amp;q=35.644151533729,-101.451423614281")</f>
        <v>http://maps.google.com/maps?f=q&amp;hl=en&amp;geocode=&amp;q=35.644151533729,-101.451423614281</v>
      </c>
    </row>
    <row r="5544" spans="1:7" ht="15" x14ac:dyDescent="0.3">
      <c r="A5544">
        <v>47.163969802670799</v>
      </c>
      <c r="B5544">
        <v>-122.01281725002001</v>
      </c>
      <c r="C5544" t="s">
        <v>41</v>
      </c>
      <c r="D5544" t="s">
        <v>3462</v>
      </c>
      <c r="F5544" s="21"/>
      <c r="G5544" s="16" t="str">
        <f>HYPERLINK("http://maps.google.com/maps?f=q&amp;hl=en&amp;geocode=&amp;q=47.1639698026708,-122.01281725002")</f>
        <v>http://maps.google.com/maps?f=q&amp;hl=en&amp;geocode=&amp;q=47.1639698026708,-122.01281725002</v>
      </c>
    </row>
    <row r="5545" spans="1:7" ht="15" x14ac:dyDescent="0.3">
      <c r="A5545">
        <v>59.922351837158203</v>
      </c>
      <c r="B5545">
        <v>11.178321838378899</v>
      </c>
      <c r="C5545" t="s">
        <v>43</v>
      </c>
      <c r="D5545" t="s">
        <v>3463</v>
      </c>
      <c r="F5545" s="21"/>
      <c r="G5545" s="16" t="str">
        <f>HYPERLINK("http://maps.google.com/maps?f=q&amp;hl=en&amp;geocode=&amp;q=59.9223518371582,11.1783218383789")</f>
        <v>http://maps.google.com/maps?f=q&amp;hl=en&amp;geocode=&amp;q=59.9223518371582,11.1783218383789</v>
      </c>
    </row>
    <row r="5546" spans="1:7" ht="15" x14ac:dyDescent="0.3">
      <c r="A5546">
        <v>59.922351837158203</v>
      </c>
      <c r="B5546">
        <v>11.178321838378899</v>
      </c>
      <c r="C5546" t="s">
        <v>43</v>
      </c>
      <c r="D5546" t="s">
        <v>3463</v>
      </c>
      <c r="F5546" s="21"/>
      <c r="G5546" s="16" t="str">
        <f>HYPERLINK("http://maps.google.com/maps?f=q&amp;hl=en&amp;geocode=&amp;q=59.9223518371582,11.1783218383789")</f>
        <v>http://maps.google.com/maps?f=q&amp;hl=en&amp;geocode=&amp;q=59.9223518371582,11.1783218383789</v>
      </c>
    </row>
    <row r="5547" spans="1:7" ht="15" x14ac:dyDescent="0.3">
      <c r="A5547">
        <v>41.261600302581797</v>
      </c>
      <c r="B5547">
        <v>-79.715834608581702</v>
      </c>
      <c r="C5547" t="s">
        <v>41</v>
      </c>
      <c r="D5547" t="s">
        <v>3464</v>
      </c>
      <c r="F5547" s="21"/>
      <c r="G5547" s="16" t="str">
        <f>HYPERLINK("http://maps.google.com/maps?f=q&amp;hl=en&amp;geocode=&amp;q=41.2616003025818,-79.7158346085817")</f>
        <v>http://maps.google.com/maps?f=q&amp;hl=en&amp;geocode=&amp;q=41.2616003025818,-79.7158346085817</v>
      </c>
    </row>
    <row r="5548" spans="1:7" ht="15" x14ac:dyDescent="0.3">
      <c r="A5548">
        <v>40.0947508033749</v>
      </c>
      <c r="B5548">
        <v>-81.887253139709202</v>
      </c>
      <c r="C5548" t="s">
        <v>41</v>
      </c>
      <c r="D5548" t="s">
        <v>3465</v>
      </c>
      <c r="F5548" s="21"/>
      <c r="G5548" s="16" t="str">
        <f>HYPERLINK("http://maps.google.com/maps?f=q&amp;hl=en&amp;geocode=&amp;q=40.0947508033749,-81.8872531397092")</f>
        <v>http://maps.google.com/maps?f=q&amp;hl=en&amp;geocode=&amp;q=40.0947508033749,-81.8872531397092</v>
      </c>
    </row>
    <row r="5549" spans="1:7" ht="15" x14ac:dyDescent="0.3">
      <c r="A5549">
        <v>29.7082328796387</v>
      </c>
      <c r="B5549">
        <v>-90.006401062011705</v>
      </c>
      <c r="C5549" t="s">
        <v>43</v>
      </c>
      <c r="D5549" t="s">
        <v>3466</v>
      </c>
      <c r="F5549" s="21"/>
      <c r="G5549" s="16" t="str">
        <f>HYPERLINK("http://maps.google.com/maps?f=q&amp;hl=en&amp;geocode=&amp;q=29.7082328796387,-90.0064010620117")</f>
        <v>http://maps.google.com/maps?f=q&amp;hl=en&amp;geocode=&amp;q=29.7082328796387,-90.0064010620117</v>
      </c>
    </row>
    <row r="5550" spans="1:7" ht="15" x14ac:dyDescent="0.3">
      <c r="A5550">
        <v>39.983278349835402</v>
      </c>
      <c r="B5550">
        <v>-75.145926231741598</v>
      </c>
      <c r="C5550" t="s">
        <v>41</v>
      </c>
      <c r="D5550" t="s">
        <v>3467</v>
      </c>
      <c r="F5550" s="21"/>
      <c r="G5550" s="16" t="str">
        <f>HYPERLINK("http://maps.google.com/maps?f=q&amp;hl=en&amp;geocode=&amp;q=39.9832783498354,-75.1459262317416")</f>
        <v>http://maps.google.com/maps?f=q&amp;hl=en&amp;geocode=&amp;q=39.9832783498354,-75.1459262317416</v>
      </c>
    </row>
    <row r="5551" spans="1:7" ht="15" x14ac:dyDescent="0.3">
      <c r="A5551">
        <v>49.518180847167997</v>
      </c>
      <c r="B5551">
        <v>5.8978409767150897</v>
      </c>
      <c r="C5551" t="s">
        <v>41</v>
      </c>
      <c r="D5551" t="s">
        <v>2510</v>
      </c>
      <c r="F5551" s="21"/>
      <c r="G5551" s="16" t="str">
        <f>HYPERLINK("http://maps.google.com/maps?f=q&amp;hl=en&amp;geocode=&amp;q=49.518180847168,5.89784097671509")</f>
        <v>http://maps.google.com/maps?f=q&amp;hl=en&amp;geocode=&amp;q=49.518180847168,5.89784097671509</v>
      </c>
    </row>
    <row r="5552" spans="1:7" ht="15" x14ac:dyDescent="0.3">
      <c r="A5552">
        <v>28.452256872769699</v>
      </c>
      <c r="B5552">
        <v>-82.566391143418798</v>
      </c>
      <c r="C5552" t="s">
        <v>41</v>
      </c>
      <c r="D5552" t="s">
        <v>3468</v>
      </c>
      <c r="F5552" s="21"/>
      <c r="G5552" s="16" t="str">
        <f>HYPERLINK("http://maps.google.com/maps?f=q&amp;hl=en&amp;geocode=&amp;q=28.4522568727697,-82.5663911434188")</f>
        <v>http://maps.google.com/maps?f=q&amp;hl=en&amp;geocode=&amp;q=28.4522568727697,-82.5663911434188</v>
      </c>
    </row>
    <row r="5553" spans="1:7" ht="15" x14ac:dyDescent="0.3">
      <c r="A5553">
        <v>29.94772</v>
      </c>
      <c r="B5553">
        <v>-93.937799999999996</v>
      </c>
      <c r="C5553" t="s">
        <v>41</v>
      </c>
      <c r="D5553" t="s">
        <v>772</v>
      </c>
      <c r="F5553" s="21"/>
      <c r="G5553" s="16" t="str">
        <f>HYPERLINK("http://maps.google.com/maps?f=q&amp;hl=en&amp;geocode=&amp;q=29.94772,-93.9378")</f>
        <v>http://maps.google.com/maps?f=q&amp;hl=en&amp;geocode=&amp;q=29.94772,-93.9378</v>
      </c>
    </row>
    <row r="5554" spans="1:7" ht="15" x14ac:dyDescent="0.3">
      <c r="A5554">
        <v>42.659824371337898</v>
      </c>
      <c r="B5554">
        <v>23.607048034668001</v>
      </c>
      <c r="C5554" t="s">
        <v>43</v>
      </c>
      <c r="D5554" t="s">
        <v>3469</v>
      </c>
      <c r="F5554" s="21"/>
      <c r="G5554" s="16" t="str">
        <f>HYPERLINK("http://maps.google.com/maps?f=q&amp;hl=en&amp;geocode=&amp;q=42.6598243713379,23.607048034668")</f>
        <v>http://maps.google.com/maps?f=q&amp;hl=en&amp;geocode=&amp;q=42.6598243713379,23.607048034668</v>
      </c>
    </row>
    <row r="5555" spans="1:7" ht="15" x14ac:dyDescent="0.3">
      <c r="A5555">
        <v>42.951878438351002</v>
      </c>
      <c r="B5555">
        <v>-83.402641075572703</v>
      </c>
      <c r="C5555" t="s">
        <v>41</v>
      </c>
      <c r="D5555" t="s">
        <v>2175</v>
      </c>
      <c r="F5555" s="21"/>
      <c r="G5555" s="16" t="str">
        <f>HYPERLINK("http://maps.google.com/maps?f=q&amp;hl=en&amp;geocode=&amp;q=42.951878438351,-83.4026410755727")</f>
        <v>http://maps.google.com/maps?f=q&amp;hl=en&amp;geocode=&amp;q=42.951878438351,-83.4026410755727</v>
      </c>
    </row>
    <row r="5556" spans="1:7" ht="15" x14ac:dyDescent="0.3">
      <c r="A5556">
        <v>40.743331357612803</v>
      </c>
      <c r="B5556">
        <v>-111.83393064589499</v>
      </c>
      <c r="C5556" t="s">
        <v>41</v>
      </c>
      <c r="D5556" t="s">
        <v>3470</v>
      </c>
      <c r="F5556" s="21"/>
      <c r="G5556" s="16" t="str">
        <f>HYPERLINK("http://maps.google.com/maps?f=q&amp;hl=en&amp;geocode=&amp;q=40.7433313576128,-111.833930645895")</f>
        <v>http://maps.google.com/maps?f=q&amp;hl=en&amp;geocode=&amp;q=40.7433313576128,-111.833930645895</v>
      </c>
    </row>
    <row r="5557" spans="1:7" ht="15" x14ac:dyDescent="0.3">
      <c r="A5557">
        <v>40.040390000000002</v>
      </c>
      <c r="B5557">
        <v>-75.109629999999996</v>
      </c>
      <c r="C5557" t="s">
        <v>43</v>
      </c>
      <c r="D5557" t="s">
        <v>777</v>
      </c>
      <c r="F5557" s="21"/>
      <c r="G5557" s="16" t="str">
        <f>HYPERLINK("http://maps.google.com/maps?f=q&amp;hl=en&amp;geocode=&amp;q=40.04039,-75.10963")</f>
        <v>http://maps.google.com/maps?f=q&amp;hl=en&amp;geocode=&amp;q=40.04039,-75.10963</v>
      </c>
    </row>
    <row r="5558" spans="1:7" ht="15" x14ac:dyDescent="0.3">
      <c r="A5558">
        <v>49.518180847167997</v>
      </c>
      <c r="B5558">
        <v>5.8978409767150897</v>
      </c>
      <c r="C5558" t="s">
        <v>41</v>
      </c>
      <c r="D5558" t="s">
        <v>2510</v>
      </c>
      <c r="F5558" s="21"/>
      <c r="G5558" s="16" t="str">
        <f>HYPERLINK("http://maps.google.com/maps?f=q&amp;hl=en&amp;geocode=&amp;q=49.518180847168,5.89784097671509")</f>
        <v>http://maps.google.com/maps?f=q&amp;hl=en&amp;geocode=&amp;q=49.518180847168,5.89784097671509</v>
      </c>
    </row>
    <row r="5559" spans="1:7" ht="15" x14ac:dyDescent="0.3">
      <c r="A5559">
        <v>32.8340744270117</v>
      </c>
      <c r="B5559">
        <v>-96.764017016522303</v>
      </c>
      <c r="C5559" t="s">
        <v>41</v>
      </c>
      <c r="D5559" t="s">
        <v>581</v>
      </c>
      <c r="F5559" s="21"/>
      <c r="G5559" s="16" t="str">
        <f>HYPERLINK("http://maps.google.com/maps?f=q&amp;hl=en&amp;geocode=&amp;q=32.8340744270117,-96.7640170165223")</f>
        <v>http://maps.google.com/maps?f=q&amp;hl=en&amp;geocode=&amp;q=32.8340744270117,-96.7640170165223</v>
      </c>
    </row>
    <row r="5560" spans="1:7" ht="15" x14ac:dyDescent="0.3">
      <c r="A5560">
        <v>-31.943359999999998</v>
      </c>
      <c r="B5560">
        <v>115.86732000000001</v>
      </c>
      <c r="C5560" t="s">
        <v>41</v>
      </c>
      <c r="D5560" t="s">
        <v>621</v>
      </c>
      <c r="F5560" s="21"/>
      <c r="G5560" s="16" t="str">
        <f>HYPERLINK("http://maps.google.com/maps?f=q&amp;hl=en&amp;geocode=&amp;q=-31.94336,115.86732")</f>
        <v>http://maps.google.com/maps?f=q&amp;hl=en&amp;geocode=&amp;q=-31.94336,115.86732</v>
      </c>
    </row>
    <row r="5561" spans="1:7" ht="15" x14ac:dyDescent="0.3">
      <c r="A5561">
        <v>39.431184966839503</v>
      </c>
      <c r="B5561">
        <v>-94.205043240522699</v>
      </c>
      <c r="C5561" t="s">
        <v>42</v>
      </c>
      <c r="D5561" t="s">
        <v>3471</v>
      </c>
      <c r="F5561" s="21"/>
      <c r="G5561" s="16" t="str">
        <f>HYPERLINK("http://maps.google.com/maps?f=q&amp;hl=en&amp;geocode=&amp;q=39.4311849668395,-94.2050432405227")</f>
        <v>http://maps.google.com/maps?f=q&amp;hl=en&amp;geocode=&amp;q=39.4311849668395,-94.2050432405227</v>
      </c>
    </row>
    <row r="5562" spans="1:7" ht="15" x14ac:dyDescent="0.3">
      <c r="A5562" t="s">
        <v>44</v>
      </c>
      <c r="B5562" t="s">
        <v>44</v>
      </c>
      <c r="C5562" t="s">
        <v>44</v>
      </c>
      <c r="D5562" t="s">
        <v>235</v>
      </c>
      <c r="F5562" s="21"/>
      <c r="G5562" s="16"/>
    </row>
    <row r="5563" spans="1:7" ht="15" x14ac:dyDescent="0.3">
      <c r="A5563" t="s">
        <v>44</v>
      </c>
      <c r="B5563" t="s">
        <v>44</v>
      </c>
      <c r="C5563" t="s">
        <v>44</v>
      </c>
      <c r="D5563" t="s">
        <v>235</v>
      </c>
      <c r="F5563" s="21"/>
      <c r="G5563" s="16"/>
    </row>
    <row r="5564" spans="1:7" ht="15" x14ac:dyDescent="0.3">
      <c r="A5564">
        <v>42.7151023303798</v>
      </c>
      <c r="B5564">
        <v>-77.649098984073206</v>
      </c>
      <c r="C5564" t="s">
        <v>41</v>
      </c>
      <c r="D5564" t="s">
        <v>3472</v>
      </c>
      <c r="F5564" s="21"/>
      <c r="G5564" s="16" t="str">
        <f>HYPERLINK("http://maps.google.com/maps?f=q&amp;hl=en&amp;geocode=&amp;q=42.7151023303798,-77.6490989840732")</f>
        <v>http://maps.google.com/maps?f=q&amp;hl=en&amp;geocode=&amp;q=42.7151023303798,-77.6490989840732</v>
      </c>
    </row>
    <row r="5565" spans="1:7" ht="15" x14ac:dyDescent="0.3">
      <c r="A5565">
        <v>-33.795013900000001</v>
      </c>
      <c r="B5565">
        <v>150.6698739</v>
      </c>
      <c r="C5565" t="s">
        <v>41</v>
      </c>
      <c r="D5565" t="s">
        <v>3473</v>
      </c>
      <c r="F5565" s="21"/>
      <c r="G5565" s="16" t="str">
        <f>HYPERLINK("http://maps.google.com/maps?f=q&amp;hl=en&amp;geocode=&amp;q=-33.7950139,150.6698739")</f>
        <v>http://maps.google.com/maps?f=q&amp;hl=en&amp;geocode=&amp;q=-33.7950139,150.6698739</v>
      </c>
    </row>
    <row r="5566" spans="1:7" ht="15" x14ac:dyDescent="0.3">
      <c r="A5566">
        <v>31.028939999999999</v>
      </c>
      <c r="B5566">
        <v>-87.526110000000003</v>
      </c>
      <c r="C5566" t="s">
        <v>41</v>
      </c>
      <c r="D5566" t="s">
        <v>3474</v>
      </c>
      <c r="F5566" s="21"/>
      <c r="G5566" s="16" t="str">
        <f>HYPERLINK("http://maps.google.com/maps?f=q&amp;hl=en&amp;geocode=&amp;q=31.02894,-87.52611")</f>
        <v>http://maps.google.com/maps?f=q&amp;hl=en&amp;geocode=&amp;q=31.02894,-87.52611</v>
      </c>
    </row>
    <row r="5567" spans="1:7" ht="15" x14ac:dyDescent="0.3">
      <c r="A5567">
        <v>37.843829999999997</v>
      </c>
      <c r="B5567">
        <v>-122.27504999999999</v>
      </c>
      <c r="C5567" t="s">
        <v>43</v>
      </c>
      <c r="D5567" t="s">
        <v>3475</v>
      </c>
      <c r="F5567" s="21"/>
      <c r="G5567" s="16" t="str">
        <f>HYPERLINK("http://maps.google.com/maps?f=q&amp;hl=en&amp;geocode=&amp;q=37.84383,-122.27505")</f>
        <v>http://maps.google.com/maps?f=q&amp;hl=en&amp;geocode=&amp;q=37.84383,-122.27505</v>
      </c>
    </row>
    <row r="5568" spans="1:7" ht="15" x14ac:dyDescent="0.3">
      <c r="A5568">
        <v>39.918750000000003</v>
      </c>
      <c r="B5568">
        <v>-75.175880000000006</v>
      </c>
      <c r="C5568" t="s">
        <v>43</v>
      </c>
      <c r="D5568" t="s">
        <v>3476</v>
      </c>
      <c r="F5568" s="21"/>
      <c r="G5568" s="16" t="str">
        <f>HYPERLINK("http://maps.google.com/maps?f=q&amp;hl=en&amp;geocode=&amp;q=39.91875,-75.17588")</f>
        <v>http://maps.google.com/maps?f=q&amp;hl=en&amp;geocode=&amp;q=39.91875,-75.17588</v>
      </c>
    </row>
    <row r="5569" spans="1:7" ht="15" x14ac:dyDescent="0.3">
      <c r="A5569">
        <v>33.802951812744098</v>
      </c>
      <c r="B5569">
        <v>-117.99623870849599</v>
      </c>
      <c r="C5569" t="s">
        <v>43</v>
      </c>
      <c r="D5569" t="s">
        <v>3477</v>
      </c>
      <c r="F5569" s="21"/>
      <c r="G5569" s="16" t="str">
        <f>HYPERLINK("http://maps.google.com/maps?f=q&amp;hl=en&amp;geocode=&amp;q=33.8029518127441,-117.996238708496")</f>
        <v>http://maps.google.com/maps?f=q&amp;hl=en&amp;geocode=&amp;q=33.8029518127441,-117.996238708496</v>
      </c>
    </row>
    <row r="5570" spans="1:7" ht="15" x14ac:dyDescent="0.3">
      <c r="A5570">
        <v>45.268642425537102</v>
      </c>
      <c r="B5570">
        <v>-110.023239135742</v>
      </c>
      <c r="C5570" t="s">
        <v>41</v>
      </c>
      <c r="D5570" t="s">
        <v>3478</v>
      </c>
      <c r="F5570" s="21"/>
      <c r="G5570" s="16" t="str">
        <f>HYPERLINK("http://maps.google.com/maps?f=q&amp;hl=en&amp;geocode=&amp;q=45.2686424255371,-110.023239135742")</f>
        <v>http://maps.google.com/maps?f=q&amp;hl=en&amp;geocode=&amp;q=45.2686424255371,-110.023239135742</v>
      </c>
    </row>
    <row r="5571" spans="1:7" ht="15" x14ac:dyDescent="0.3">
      <c r="A5571">
        <v>45.268642425537102</v>
      </c>
      <c r="B5571">
        <v>-110.023239135742</v>
      </c>
      <c r="C5571" t="s">
        <v>41</v>
      </c>
      <c r="D5571" t="s">
        <v>3478</v>
      </c>
      <c r="F5571" s="21"/>
      <c r="G5571" s="16" t="str">
        <f>HYPERLINK("http://maps.google.com/maps?f=q&amp;hl=en&amp;geocode=&amp;q=45.2686424255371,-110.023239135742")</f>
        <v>http://maps.google.com/maps?f=q&amp;hl=en&amp;geocode=&amp;q=45.2686424255371,-110.023239135742</v>
      </c>
    </row>
    <row r="5572" spans="1:7" ht="15" x14ac:dyDescent="0.3">
      <c r="A5572">
        <v>45.268642425537102</v>
      </c>
      <c r="B5572">
        <v>-110.023239135742</v>
      </c>
      <c r="C5572" t="s">
        <v>41</v>
      </c>
      <c r="D5572" t="s">
        <v>3479</v>
      </c>
      <c r="F5572" s="21"/>
      <c r="G5572" s="16" t="str">
        <f>HYPERLINK("http://maps.google.com/maps?f=q&amp;hl=en&amp;geocode=&amp;q=45.2686424255371,-110.023239135742")</f>
        <v>http://maps.google.com/maps?f=q&amp;hl=en&amp;geocode=&amp;q=45.2686424255371,-110.023239135742</v>
      </c>
    </row>
    <row r="5573" spans="1:7" ht="15" x14ac:dyDescent="0.3">
      <c r="A5573">
        <v>36.799280000000003</v>
      </c>
      <c r="B5573">
        <v>-76.502009999999999</v>
      </c>
      <c r="C5573" t="s">
        <v>42</v>
      </c>
      <c r="D5573" t="s">
        <v>3480</v>
      </c>
      <c r="F5573" s="21"/>
      <c r="G5573" s="16" t="str">
        <f>HYPERLINK("http://maps.google.com/maps?f=q&amp;hl=en&amp;geocode=&amp;q=36.79928,-76.50201")</f>
        <v>http://maps.google.com/maps?f=q&amp;hl=en&amp;geocode=&amp;q=36.79928,-76.50201</v>
      </c>
    </row>
    <row r="5574" spans="1:7" ht="15" x14ac:dyDescent="0.3">
      <c r="A5574">
        <v>40.839390000000002</v>
      </c>
      <c r="B5574">
        <v>-73.843639999999994</v>
      </c>
      <c r="C5574" t="s">
        <v>42</v>
      </c>
      <c r="D5574" t="s">
        <v>3481</v>
      </c>
      <c r="F5574" s="21"/>
      <c r="G5574" s="16" t="str">
        <f>HYPERLINK("http://maps.google.com/maps?f=q&amp;hl=en&amp;geocode=&amp;q=40.83939,-73.84364")</f>
        <v>http://maps.google.com/maps?f=q&amp;hl=en&amp;geocode=&amp;q=40.83939,-73.84364</v>
      </c>
    </row>
    <row r="5575" spans="1:7" ht="15" x14ac:dyDescent="0.3">
      <c r="A5575">
        <v>39.954340000000002</v>
      </c>
      <c r="B5575">
        <v>-75.224029999999999</v>
      </c>
      <c r="C5575" t="s">
        <v>43</v>
      </c>
      <c r="D5575" t="s">
        <v>1551</v>
      </c>
      <c r="F5575" s="21"/>
      <c r="G5575" s="16" t="str">
        <f>HYPERLINK("http://maps.google.com/maps?f=q&amp;hl=en&amp;geocode=&amp;q=39.95434,-75.22403")</f>
        <v>http://maps.google.com/maps?f=q&amp;hl=en&amp;geocode=&amp;q=39.95434,-75.22403</v>
      </c>
    </row>
    <row r="5576" spans="1:7" ht="15" x14ac:dyDescent="0.3">
      <c r="A5576">
        <v>43.301578521728501</v>
      </c>
      <c r="B5576">
        <v>-103.825149536133</v>
      </c>
      <c r="C5576" t="s">
        <v>41</v>
      </c>
      <c r="D5576" t="s">
        <v>3482</v>
      </c>
      <c r="F5576" s="21"/>
      <c r="G5576" s="16" t="str">
        <f>HYPERLINK("http://maps.google.com/maps?f=q&amp;hl=en&amp;geocode=&amp;q=43.3015785217285,-103.825149536133")</f>
        <v>http://maps.google.com/maps?f=q&amp;hl=en&amp;geocode=&amp;q=43.3015785217285,-103.825149536133</v>
      </c>
    </row>
    <row r="5577" spans="1:7" ht="15" x14ac:dyDescent="0.3">
      <c r="A5577">
        <v>39.955559999999998</v>
      </c>
      <c r="B5577">
        <v>-75.223780000000005</v>
      </c>
      <c r="C5577" t="s">
        <v>43</v>
      </c>
      <c r="D5577" t="s">
        <v>2944</v>
      </c>
      <c r="F5577" s="21"/>
      <c r="G5577" s="16" t="str">
        <f>HYPERLINK("http://maps.google.com/maps?f=q&amp;hl=en&amp;geocode=&amp;q=39.95556,-75.22378")</f>
        <v>http://maps.google.com/maps?f=q&amp;hl=en&amp;geocode=&amp;q=39.95556,-75.22378</v>
      </c>
    </row>
    <row r="5578" spans="1:7" ht="15" x14ac:dyDescent="0.3">
      <c r="A5578">
        <v>-32.7033500671387</v>
      </c>
      <c r="B5578">
        <v>137.70617675781301</v>
      </c>
      <c r="C5578" t="s">
        <v>41</v>
      </c>
      <c r="D5578" t="s">
        <v>2204</v>
      </c>
      <c r="F5578" s="21"/>
      <c r="G5578" s="16" t="str">
        <f>HYPERLINK("http://maps.google.com/maps?f=q&amp;hl=en&amp;geocode=&amp;q=-32.7033500671387,137.706176757813")</f>
        <v>http://maps.google.com/maps?f=q&amp;hl=en&amp;geocode=&amp;q=-32.7033500671387,137.706176757813</v>
      </c>
    </row>
    <row r="5579" spans="1:7" ht="15" x14ac:dyDescent="0.3">
      <c r="A5579">
        <v>34.0799749664966</v>
      </c>
      <c r="B5579">
        <v>-117.68501441572801</v>
      </c>
      <c r="C5579" t="s">
        <v>41</v>
      </c>
      <c r="D5579" t="s">
        <v>671</v>
      </c>
      <c r="F5579" s="21"/>
      <c r="G5579" s="16" t="str">
        <f>HYPERLINK("http://maps.google.com/maps?f=q&amp;hl=en&amp;geocode=&amp;q=34.0799749664966,-117.685014415728")</f>
        <v>http://maps.google.com/maps?f=q&amp;hl=en&amp;geocode=&amp;q=34.0799749664966,-117.685014415728</v>
      </c>
    </row>
    <row r="5580" spans="1:7" ht="15" x14ac:dyDescent="0.3">
      <c r="A5580">
        <v>39.958019999999998</v>
      </c>
      <c r="B5580">
        <v>-75.243600000000001</v>
      </c>
      <c r="C5580" t="s">
        <v>43</v>
      </c>
      <c r="D5580" t="s">
        <v>3483</v>
      </c>
      <c r="F5580" s="21"/>
      <c r="G5580" s="16" t="str">
        <f>HYPERLINK("http://maps.google.com/maps?f=q&amp;hl=en&amp;geocode=&amp;q=39.95802,-75.2436")</f>
        <v>http://maps.google.com/maps?f=q&amp;hl=en&amp;geocode=&amp;q=39.95802,-75.2436</v>
      </c>
    </row>
    <row r="5581" spans="1:7" ht="15" x14ac:dyDescent="0.3">
      <c r="A5581">
        <v>39.955100000000002</v>
      </c>
      <c r="B5581">
        <v>-75.219840000000005</v>
      </c>
      <c r="C5581" t="s">
        <v>43</v>
      </c>
      <c r="D5581" t="s">
        <v>2905</v>
      </c>
      <c r="F5581" s="21"/>
      <c r="G5581" s="16" t="str">
        <f>HYPERLINK("http://maps.google.com/maps?f=q&amp;hl=en&amp;geocode=&amp;q=39.9551,-75.21984")</f>
        <v>http://maps.google.com/maps?f=q&amp;hl=en&amp;geocode=&amp;q=39.9551,-75.21984</v>
      </c>
    </row>
    <row r="5582" spans="1:7" ht="15" x14ac:dyDescent="0.3">
      <c r="A5582">
        <v>39.526998751294997</v>
      </c>
      <c r="B5582">
        <v>-84.065234977763197</v>
      </c>
      <c r="C5582" t="s">
        <v>41</v>
      </c>
      <c r="D5582" t="s">
        <v>3484</v>
      </c>
      <c r="F5582" s="21"/>
      <c r="G5582" s="16" t="str">
        <f>HYPERLINK("http://maps.google.com/maps?f=q&amp;hl=en&amp;geocode=&amp;q=39.526998751295,-84.0652349777632")</f>
        <v>http://maps.google.com/maps?f=q&amp;hl=en&amp;geocode=&amp;q=39.526998751295,-84.0652349777632</v>
      </c>
    </row>
    <row r="5583" spans="1:7" ht="15" x14ac:dyDescent="0.3">
      <c r="A5583">
        <v>50.723228454589801</v>
      </c>
      <c r="B5583">
        <v>4.6152939796447798</v>
      </c>
      <c r="C5583" t="s">
        <v>43</v>
      </c>
      <c r="D5583" t="s">
        <v>3485</v>
      </c>
      <c r="F5583" s="21"/>
      <c r="G5583" s="16" t="str">
        <f>HYPERLINK("http://maps.google.com/maps?f=q&amp;hl=en&amp;geocode=&amp;q=50.7232284545898,4.61529397964478")</f>
        <v>http://maps.google.com/maps?f=q&amp;hl=en&amp;geocode=&amp;q=50.7232284545898,4.61529397964478</v>
      </c>
    </row>
    <row r="5584" spans="1:7" ht="15" x14ac:dyDescent="0.3">
      <c r="A5584">
        <v>50.723228454589801</v>
      </c>
      <c r="B5584">
        <v>4.6152939796447798</v>
      </c>
      <c r="C5584" t="s">
        <v>43</v>
      </c>
      <c r="D5584" t="s">
        <v>3485</v>
      </c>
      <c r="F5584" s="21"/>
      <c r="G5584" s="16" t="str">
        <f>HYPERLINK("http://maps.google.com/maps?f=q&amp;hl=en&amp;geocode=&amp;q=50.7232284545898,4.61529397964478")</f>
        <v>http://maps.google.com/maps?f=q&amp;hl=en&amp;geocode=&amp;q=50.7232284545898,4.61529397964478</v>
      </c>
    </row>
    <row r="5585" spans="1:7" ht="15" x14ac:dyDescent="0.3">
      <c r="A5585">
        <v>35.158396757966997</v>
      </c>
      <c r="B5585">
        <v>-90.045376222310097</v>
      </c>
      <c r="C5585" t="s">
        <v>41</v>
      </c>
      <c r="D5585" t="s">
        <v>154</v>
      </c>
      <c r="F5585" s="21"/>
      <c r="G5585" s="16" t="str">
        <f>HYPERLINK("http://maps.google.com/maps?f=q&amp;hl=en&amp;geocode=&amp;q=35.158396757967,-90.0453762223101")</f>
        <v>http://maps.google.com/maps?f=q&amp;hl=en&amp;geocode=&amp;q=35.158396757967,-90.0453762223101</v>
      </c>
    </row>
    <row r="5586" spans="1:7" ht="15" x14ac:dyDescent="0.3">
      <c r="A5586">
        <v>33.752352999999999</v>
      </c>
      <c r="B5586">
        <v>-86.710181000000006</v>
      </c>
      <c r="C5586" t="s">
        <v>41</v>
      </c>
      <c r="D5586" t="s">
        <v>1251</v>
      </c>
      <c r="F5586" s="21"/>
      <c r="G5586" s="16" t="str">
        <f>HYPERLINK("http://maps.google.com/maps?f=q&amp;hl=en&amp;geocode=&amp;q=33.752353,-86.710181")</f>
        <v>http://maps.google.com/maps?f=q&amp;hl=en&amp;geocode=&amp;q=33.752353,-86.710181</v>
      </c>
    </row>
    <row r="5587" spans="1:7" ht="15" x14ac:dyDescent="0.3">
      <c r="A5587">
        <v>40.217579999999998</v>
      </c>
      <c r="B5587">
        <v>-78.255319999999998</v>
      </c>
      <c r="C5587" t="s">
        <v>43</v>
      </c>
      <c r="D5587" t="s">
        <v>3486</v>
      </c>
      <c r="F5587" s="21"/>
      <c r="G5587" s="16" t="str">
        <f>HYPERLINK("http://maps.google.com/maps?f=q&amp;hl=en&amp;geocode=&amp;q=40.21758,-78.25532")</f>
        <v>http://maps.google.com/maps?f=q&amp;hl=en&amp;geocode=&amp;q=40.21758,-78.25532</v>
      </c>
    </row>
    <row r="5588" spans="1:7" ht="15" x14ac:dyDescent="0.3">
      <c r="A5588">
        <v>40.207157135009801</v>
      </c>
      <c r="B5588">
        <v>-100.59903717041</v>
      </c>
      <c r="C5588" t="s">
        <v>41</v>
      </c>
      <c r="D5588" t="s">
        <v>3487</v>
      </c>
      <c r="F5588" s="21"/>
      <c r="G5588" s="16" t="str">
        <f>HYPERLINK("http://maps.google.com/maps?f=q&amp;hl=en&amp;geocode=&amp;q=40.2071571350098,-100.59903717041")</f>
        <v>http://maps.google.com/maps?f=q&amp;hl=en&amp;geocode=&amp;q=40.2071571350098,-100.59903717041</v>
      </c>
    </row>
    <row r="5589" spans="1:7" ht="15" x14ac:dyDescent="0.3">
      <c r="A5589">
        <v>39.97878</v>
      </c>
      <c r="B5589">
        <v>-75.235749999999996</v>
      </c>
      <c r="C5589" t="s">
        <v>43</v>
      </c>
      <c r="D5589" t="s">
        <v>3488</v>
      </c>
      <c r="F5589" s="21"/>
      <c r="G5589" s="16" t="str">
        <f>HYPERLINK("http://maps.google.com/maps?f=q&amp;hl=en&amp;geocode=&amp;q=39.97878,-75.23575")</f>
        <v>http://maps.google.com/maps?f=q&amp;hl=en&amp;geocode=&amp;q=39.97878,-75.23575</v>
      </c>
    </row>
    <row r="5590" spans="1:7" ht="15" x14ac:dyDescent="0.3">
      <c r="F5590" s="21"/>
      <c r="G5590" s="16"/>
    </row>
    <row r="5591" spans="1:7" ht="15" x14ac:dyDescent="0.3">
      <c r="A5591">
        <v>40.218069999999997</v>
      </c>
      <c r="B5591">
        <v>-78.255979999999994</v>
      </c>
      <c r="C5591" t="s">
        <v>43</v>
      </c>
      <c r="D5591" t="s">
        <v>3489</v>
      </c>
      <c r="F5591" s="21"/>
      <c r="G5591" s="16" t="str">
        <f>HYPERLINK("http://maps.google.com/maps?f=q&amp;hl=en&amp;geocode=&amp;q=40.21807,-78.25598")</f>
        <v>http://maps.google.com/maps?f=q&amp;hl=en&amp;geocode=&amp;q=40.21807,-78.25598</v>
      </c>
    </row>
    <row r="5592" spans="1:7" ht="15" x14ac:dyDescent="0.3">
      <c r="A5592">
        <v>33.674864966525398</v>
      </c>
      <c r="B5592">
        <v>-90.953794800068593</v>
      </c>
      <c r="C5592" t="s">
        <v>41</v>
      </c>
      <c r="D5592" t="s">
        <v>2831</v>
      </c>
      <c r="F5592" s="21"/>
      <c r="G5592" s="16" t="str">
        <f>HYPERLINK("http://maps.google.com/maps?f=q&amp;hl=en&amp;geocode=&amp;q=33.6748649665254,-90.9537948000686")</f>
        <v>http://maps.google.com/maps?f=q&amp;hl=en&amp;geocode=&amp;q=33.6748649665254,-90.9537948000686</v>
      </c>
    </row>
    <row r="5593" spans="1:7" ht="15" x14ac:dyDescent="0.3">
      <c r="A5593">
        <v>-41.232181549072301</v>
      </c>
      <c r="B5593">
        <v>146.22793579101599</v>
      </c>
      <c r="C5593" t="s">
        <v>43</v>
      </c>
      <c r="D5593" t="s">
        <v>3490</v>
      </c>
      <c r="F5593" s="21"/>
      <c r="G5593" s="16" t="str">
        <f>HYPERLINK("http://maps.google.com/maps?f=q&amp;hl=en&amp;geocode=&amp;q=-41.2321815490723,146.227935791016")</f>
        <v>http://maps.google.com/maps?f=q&amp;hl=en&amp;geocode=&amp;q=-41.2321815490723,146.227935791016</v>
      </c>
    </row>
    <row r="5594" spans="1:7" ht="15" x14ac:dyDescent="0.3">
      <c r="A5594">
        <v>31.5838623046875</v>
      </c>
      <c r="B5594">
        <v>-102.906044006348</v>
      </c>
      <c r="C5594" t="s">
        <v>41</v>
      </c>
      <c r="D5594" t="s">
        <v>3491</v>
      </c>
      <c r="F5594" s="21"/>
      <c r="G5594" s="16" t="str">
        <f>HYPERLINK("http://maps.google.com/maps?f=q&amp;hl=en&amp;geocode=&amp;q=31.5838623046875,-102.906044006348")</f>
        <v>http://maps.google.com/maps?f=q&amp;hl=en&amp;geocode=&amp;q=31.5838623046875,-102.906044006348</v>
      </c>
    </row>
    <row r="5595" spans="1:7" ht="15" x14ac:dyDescent="0.3">
      <c r="A5595">
        <v>32.045459999999999</v>
      </c>
      <c r="B5595">
        <v>-81.109200000000001</v>
      </c>
      <c r="C5595" t="s">
        <v>43</v>
      </c>
      <c r="D5595" t="s">
        <v>3492</v>
      </c>
      <c r="F5595" s="21"/>
      <c r="G5595" s="16" t="str">
        <f>HYPERLINK("http://maps.google.com/maps?f=q&amp;hl=en&amp;geocode=&amp;q=32.04546,-81.1092")</f>
        <v>http://maps.google.com/maps?f=q&amp;hl=en&amp;geocode=&amp;q=32.04546,-81.1092</v>
      </c>
    </row>
    <row r="5596" spans="1:7" ht="15" x14ac:dyDescent="0.3">
      <c r="A5596">
        <v>52.487190246582003</v>
      </c>
      <c r="B5596">
        <v>0.679989993572235</v>
      </c>
      <c r="C5596" t="s">
        <v>41</v>
      </c>
      <c r="D5596" t="s">
        <v>3493</v>
      </c>
      <c r="F5596" s="21"/>
      <c r="G5596" s="16" t="str">
        <f>HYPERLINK("http://maps.google.com/maps?f=q&amp;hl=en&amp;geocode=&amp;q=52.487190246582,0.679989993572235")</f>
        <v>http://maps.google.com/maps?f=q&amp;hl=en&amp;geocode=&amp;q=52.487190246582,0.679989993572235</v>
      </c>
    </row>
    <row r="5597" spans="1:7" ht="15" x14ac:dyDescent="0.3">
      <c r="A5597">
        <v>40.039924943345298</v>
      </c>
      <c r="B5597">
        <v>-75.068126182652705</v>
      </c>
      <c r="C5597" t="s">
        <v>43</v>
      </c>
      <c r="D5597" t="s">
        <v>3494</v>
      </c>
      <c r="F5597" s="21"/>
      <c r="G5597" s="16" t="str">
        <f>HYPERLINK("http://maps.google.com/maps?f=q&amp;hl=en&amp;geocode=&amp;q=40.0399249433453,-75.0681261826527")</f>
        <v>http://maps.google.com/maps?f=q&amp;hl=en&amp;geocode=&amp;q=40.0399249433453,-75.0681261826527</v>
      </c>
    </row>
    <row r="5598" spans="1:7" ht="15" x14ac:dyDescent="0.3">
      <c r="A5598">
        <v>37.741671855997197</v>
      </c>
      <c r="B5598">
        <v>-88.917199508930494</v>
      </c>
      <c r="C5598" t="s">
        <v>41</v>
      </c>
      <c r="D5598" t="s">
        <v>3495</v>
      </c>
      <c r="F5598" s="21"/>
      <c r="G5598" s="16" t="str">
        <f>HYPERLINK("http://maps.google.com/maps?f=q&amp;hl=en&amp;geocode=&amp;q=37.7416718559972,-88.9171995089305")</f>
        <v>http://maps.google.com/maps?f=q&amp;hl=en&amp;geocode=&amp;q=37.7416718559972,-88.9171995089305</v>
      </c>
    </row>
    <row r="5599" spans="1:7" ht="15" x14ac:dyDescent="0.3">
      <c r="A5599">
        <v>39.976695999999997</v>
      </c>
      <c r="B5599">
        <v>-75.127547000000007</v>
      </c>
      <c r="C5599" t="s">
        <v>41</v>
      </c>
      <c r="D5599" t="s">
        <v>2869</v>
      </c>
      <c r="F5599" s="21"/>
      <c r="G5599" s="16" t="str">
        <f>HYPERLINK("http://maps.google.com/maps?f=q&amp;hl=en&amp;geocode=&amp;q=39.976696,-75.127547")</f>
        <v>http://maps.google.com/maps?f=q&amp;hl=en&amp;geocode=&amp;q=39.976696,-75.127547</v>
      </c>
    </row>
    <row r="5600" spans="1:7" ht="15" x14ac:dyDescent="0.3">
      <c r="A5600">
        <v>37.606030924042898</v>
      </c>
      <c r="B5600">
        <v>-97.285234864641595</v>
      </c>
      <c r="C5600" t="s">
        <v>41</v>
      </c>
      <c r="D5600" t="s">
        <v>3496</v>
      </c>
      <c r="F5600" s="21"/>
      <c r="G5600" s="16" t="str">
        <f>HYPERLINK("http://maps.google.com/maps?f=q&amp;hl=en&amp;geocode=&amp;q=37.6060309240429,-97.2852348646416")</f>
        <v>http://maps.google.com/maps?f=q&amp;hl=en&amp;geocode=&amp;q=37.6060309240429,-97.2852348646416</v>
      </c>
    </row>
    <row r="5601" spans="1:7" ht="15" x14ac:dyDescent="0.3">
      <c r="A5601">
        <v>39.922400000000003</v>
      </c>
      <c r="B5601">
        <v>-75.083200000000005</v>
      </c>
      <c r="C5601" t="s">
        <v>42</v>
      </c>
      <c r="D5601" t="s">
        <v>2945</v>
      </c>
      <c r="F5601" s="21"/>
      <c r="G5601" s="16" t="str">
        <f>HYPERLINK("http://maps.google.com/maps?f=q&amp;hl=en&amp;geocode=&amp;q=39.9224,-75.0832")</f>
        <v>http://maps.google.com/maps?f=q&amp;hl=en&amp;geocode=&amp;q=39.9224,-75.0832</v>
      </c>
    </row>
    <row r="5602" spans="1:7" ht="15" x14ac:dyDescent="0.3">
      <c r="A5602">
        <v>29.884035458008999</v>
      </c>
      <c r="B5602">
        <v>-90.106702914194997</v>
      </c>
      <c r="C5602" t="s">
        <v>41</v>
      </c>
      <c r="D5602" t="s">
        <v>3497</v>
      </c>
      <c r="F5602" s="21"/>
      <c r="G5602" s="16" t="str">
        <f>HYPERLINK("http://maps.google.com/maps?f=q&amp;hl=en&amp;geocode=&amp;q=29.884035458009,-90.106702914195")</f>
        <v>http://maps.google.com/maps?f=q&amp;hl=en&amp;geocode=&amp;q=29.884035458009,-90.106702914195</v>
      </c>
    </row>
    <row r="5603" spans="1:7" ht="15" x14ac:dyDescent="0.3">
      <c r="A5603">
        <v>34.458467011744901</v>
      </c>
      <c r="B5603">
        <v>-92.896624502608802</v>
      </c>
      <c r="C5603" t="s">
        <v>41</v>
      </c>
      <c r="D5603" t="s">
        <v>3498</v>
      </c>
      <c r="F5603" s="21"/>
      <c r="G5603" s="16" t="str">
        <f>HYPERLINK("http://maps.google.com/maps?f=q&amp;hl=en&amp;geocode=&amp;q=34.4584670117449,-92.8966245026088")</f>
        <v>http://maps.google.com/maps?f=q&amp;hl=en&amp;geocode=&amp;q=34.4584670117449,-92.8966245026088</v>
      </c>
    </row>
    <row r="5604" spans="1:7" ht="15" x14ac:dyDescent="0.3">
      <c r="A5604" t="s">
        <v>44</v>
      </c>
      <c r="B5604" t="s">
        <v>44</v>
      </c>
      <c r="C5604" t="s">
        <v>44</v>
      </c>
      <c r="D5604" t="s">
        <v>1017</v>
      </c>
      <c r="F5604" s="21"/>
      <c r="G5604" s="16"/>
    </row>
    <row r="5605" spans="1:7" ht="15" x14ac:dyDescent="0.3">
      <c r="A5605">
        <v>39.925638964859402</v>
      </c>
      <c r="B5605">
        <v>-75.154546194767605</v>
      </c>
      <c r="C5605" t="s">
        <v>41</v>
      </c>
      <c r="D5605" t="s">
        <v>3499</v>
      </c>
      <c r="F5605" s="21"/>
      <c r="G5605" s="16" t="str">
        <f>HYPERLINK("http://maps.google.com/maps?f=q&amp;hl=en&amp;geocode=&amp;q=39.9256389648594,-75.1545461947676")</f>
        <v>http://maps.google.com/maps?f=q&amp;hl=en&amp;geocode=&amp;q=39.9256389648594,-75.1545461947676</v>
      </c>
    </row>
    <row r="5606" spans="1:7" ht="15" x14ac:dyDescent="0.3">
      <c r="A5606">
        <v>37.6307527593533</v>
      </c>
      <c r="B5606">
        <v>-80.985487552934401</v>
      </c>
      <c r="C5606" t="s">
        <v>41</v>
      </c>
      <c r="D5606" t="s">
        <v>84</v>
      </c>
      <c r="F5606" s="21"/>
      <c r="G5606" s="16" t="str">
        <f>HYPERLINK("http://maps.google.com/maps?f=q&amp;hl=en&amp;geocode=&amp;q=37.6307527593533,-80.9854875529344")</f>
        <v>http://maps.google.com/maps?f=q&amp;hl=en&amp;geocode=&amp;q=37.6307527593533,-80.9854875529344</v>
      </c>
    </row>
    <row r="5607" spans="1:7" ht="15" x14ac:dyDescent="0.3">
      <c r="A5607">
        <v>37.6307527593533</v>
      </c>
      <c r="B5607">
        <v>-80.985487552934401</v>
      </c>
      <c r="C5607" t="s">
        <v>41</v>
      </c>
      <c r="D5607" t="s">
        <v>84</v>
      </c>
      <c r="F5607" s="21"/>
      <c r="G5607" s="16" t="str">
        <f>HYPERLINK("http://maps.google.com/maps?f=q&amp;hl=en&amp;geocode=&amp;q=37.6307527593533,-80.9854875529344")</f>
        <v>http://maps.google.com/maps?f=q&amp;hl=en&amp;geocode=&amp;q=37.6307527593533,-80.9854875529344</v>
      </c>
    </row>
    <row r="5608" spans="1:7" ht="15" x14ac:dyDescent="0.3">
      <c r="A5608">
        <v>29.751573023678102</v>
      </c>
      <c r="B5608">
        <v>-95.391962720235</v>
      </c>
      <c r="C5608" t="s">
        <v>41</v>
      </c>
      <c r="D5608" t="s">
        <v>3500</v>
      </c>
      <c r="F5608" s="21"/>
      <c r="G5608" s="16" t="str">
        <f>HYPERLINK("http://maps.google.com/maps?f=q&amp;hl=en&amp;geocode=&amp;q=29.7515730236781,-95.391962720235")</f>
        <v>http://maps.google.com/maps?f=q&amp;hl=en&amp;geocode=&amp;q=29.7515730236781,-95.391962720235</v>
      </c>
    </row>
    <row r="5609" spans="1:7" ht="15" x14ac:dyDescent="0.3">
      <c r="A5609">
        <v>46.408790588378899</v>
      </c>
      <c r="B5609">
        <v>12.017880439758301</v>
      </c>
      <c r="C5609" t="s">
        <v>41</v>
      </c>
      <c r="D5609" t="s">
        <v>3501</v>
      </c>
      <c r="F5609" s="21"/>
      <c r="G5609" s="16" t="str">
        <f>HYPERLINK("http://maps.google.com/maps?f=q&amp;hl=en&amp;geocode=&amp;q=46.4087905883789,12.0178804397583")</f>
        <v>http://maps.google.com/maps?f=q&amp;hl=en&amp;geocode=&amp;q=46.4087905883789,12.0178804397583</v>
      </c>
    </row>
    <row r="5610" spans="1:7" ht="15" x14ac:dyDescent="0.3">
      <c r="A5610" t="s">
        <v>44</v>
      </c>
      <c r="B5610" t="s">
        <v>44</v>
      </c>
      <c r="C5610" t="s">
        <v>44</v>
      </c>
      <c r="D5610" t="s">
        <v>3225</v>
      </c>
      <c r="F5610" s="21"/>
      <c r="G5610" s="16"/>
    </row>
    <row r="5611" spans="1:7" ht="15" x14ac:dyDescent="0.3">
      <c r="A5611">
        <v>26.30077</v>
      </c>
      <c r="B5611">
        <v>-80.093519999999998</v>
      </c>
      <c r="C5611" t="s">
        <v>42</v>
      </c>
      <c r="D5611" t="s">
        <v>3502</v>
      </c>
      <c r="F5611" s="21"/>
      <c r="G5611" s="16" t="str">
        <f>HYPERLINK("http://maps.google.com/maps?f=q&amp;hl=en&amp;geocode=&amp;q=26.30077,-80.09352")</f>
        <v>http://maps.google.com/maps?f=q&amp;hl=en&amp;geocode=&amp;q=26.30077,-80.09352</v>
      </c>
    </row>
    <row r="5612" spans="1:7" ht="15" x14ac:dyDescent="0.3">
      <c r="A5612" t="s">
        <v>44</v>
      </c>
      <c r="B5612" t="s">
        <v>44</v>
      </c>
      <c r="C5612" t="s">
        <v>44</v>
      </c>
      <c r="D5612" t="s">
        <v>3503</v>
      </c>
      <c r="F5612" s="21"/>
      <c r="G5612" s="16"/>
    </row>
    <row r="5613" spans="1:7" ht="15" x14ac:dyDescent="0.3">
      <c r="A5613">
        <v>33.269960182528102</v>
      </c>
      <c r="B5613">
        <v>-115.953881084049</v>
      </c>
      <c r="C5613" t="s">
        <v>41</v>
      </c>
      <c r="D5613" t="s">
        <v>2229</v>
      </c>
      <c r="F5613" s="21"/>
      <c r="G5613" s="16" t="str">
        <f>HYPERLINK("http://maps.google.com/maps?f=q&amp;hl=en&amp;geocode=&amp;q=33.2699601825281,-115.953881084049")</f>
        <v>http://maps.google.com/maps?f=q&amp;hl=en&amp;geocode=&amp;q=33.2699601825281,-115.953881084049</v>
      </c>
    </row>
    <row r="5614" spans="1:7" ht="15" x14ac:dyDescent="0.3">
      <c r="A5614">
        <v>33.269960182528102</v>
      </c>
      <c r="B5614">
        <v>-115.953881084049</v>
      </c>
      <c r="C5614" t="s">
        <v>41</v>
      </c>
      <c r="D5614" t="s">
        <v>2229</v>
      </c>
      <c r="F5614" s="21"/>
      <c r="G5614" s="16" t="str">
        <f>HYPERLINK("http://maps.google.com/maps?f=q&amp;hl=en&amp;geocode=&amp;q=33.2699601825281,-115.953881084049")</f>
        <v>http://maps.google.com/maps?f=q&amp;hl=en&amp;geocode=&amp;q=33.2699601825281,-115.953881084049</v>
      </c>
    </row>
    <row r="5615" spans="1:7" ht="15" x14ac:dyDescent="0.3">
      <c r="A5615" t="s">
        <v>44</v>
      </c>
      <c r="B5615" t="s">
        <v>44</v>
      </c>
      <c r="C5615" t="s">
        <v>44</v>
      </c>
      <c r="D5615" t="s">
        <v>1778</v>
      </c>
      <c r="F5615" s="21"/>
      <c r="G5615" s="16"/>
    </row>
    <row r="5616" spans="1:7" ht="15" x14ac:dyDescent="0.3">
      <c r="A5616" t="s">
        <v>44</v>
      </c>
      <c r="B5616" t="s">
        <v>44</v>
      </c>
      <c r="C5616" t="s">
        <v>44</v>
      </c>
      <c r="D5616" t="s">
        <v>1778</v>
      </c>
      <c r="F5616" s="21"/>
      <c r="G5616" s="16"/>
    </row>
    <row r="5617" spans="1:7" ht="15" x14ac:dyDescent="0.3">
      <c r="A5617">
        <v>40.460018157958999</v>
      </c>
      <c r="B5617">
        <v>-78.591552734375</v>
      </c>
      <c r="C5617" t="s">
        <v>43</v>
      </c>
      <c r="D5617" t="s">
        <v>3504</v>
      </c>
      <c r="F5617" s="21"/>
      <c r="G5617" s="16" t="str">
        <f>HYPERLINK("http://maps.google.com/maps?f=q&amp;hl=en&amp;geocode=&amp;q=40.460018157959,-78.591552734375")</f>
        <v>http://maps.google.com/maps?f=q&amp;hl=en&amp;geocode=&amp;q=40.460018157959,-78.591552734375</v>
      </c>
    </row>
    <row r="5618" spans="1:7" ht="15" x14ac:dyDescent="0.3">
      <c r="A5618">
        <v>30.017420000000001</v>
      </c>
      <c r="B5618">
        <v>-90.177009999999996</v>
      </c>
      <c r="C5618" t="s">
        <v>41</v>
      </c>
      <c r="D5618" t="s">
        <v>2307</v>
      </c>
      <c r="F5618" s="21"/>
      <c r="G5618" s="16" t="str">
        <f>HYPERLINK("http://maps.google.com/maps?f=q&amp;hl=en&amp;geocode=&amp;q=30.01742,-90.17701")</f>
        <v>http://maps.google.com/maps?f=q&amp;hl=en&amp;geocode=&amp;q=30.01742,-90.17701</v>
      </c>
    </row>
    <row r="5619" spans="1:7" ht="15" x14ac:dyDescent="0.3">
      <c r="A5619">
        <v>32.348249058451302</v>
      </c>
      <c r="B5619">
        <v>-83.886466052892899</v>
      </c>
      <c r="C5619" t="s">
        <v>41</v>
      </c>
      <c r="D5619" t="s">
        <v>3505</v>
      </c>
      <c r="F5619" s="21"/>
      <c r="G5619" s="16" t="str">
        <f>HYPERLINK("http://maps.google.com/maps?f=q&amp;hl=en&amp;geocode=&amp;q=32.3482490584513,-83.8864660528929")</f>
        <v>http://maps.google.com/maps?f=q&amp;hl=en&amp;geocode=&amp;q=32.3482490584513,-83.8864660528929</v>
      </c>
    </row>
    <row r="5620" spans="1:7" ht="15" x14ac:dyDescent="0.3">
      <c r="A5620">
        <v>35.553759999999997</v>
      </c>
      <c r="B5620">
        <v>-89.646860000000004</v>
      </c>
      <c r="C5620" t="s">
        <v>43</v>
      </c>
      <c r="D5620" t="s">
        <v>3506</v>
      </c>
      <c r="F5620" s="21"/>
      <c r="G5620" s="16" t="str">
        <f>HYPERLINK("http://maps.google.com/maps?f=q&amp;hl=en&amp;geocode=&amp;q=35.55376,-89.64686")</f>
        <v>http://maps.google.com/maps?f=q&amp;hl=en&amp;geocode=&amp;q=35.55376,-89.64686</v>
      </c>
    </row>
    <row r="5621" spans="1:7" ht="15" x14ac:dyDescent="0.3">
      <c r="A5621">
        <v>39.898059844970703</v>
      </c>
      <c r="B5621">
        <v>-75.211669921875</v>
      </c>
      <c r="C5621" t="s">
        <v>41</v>
      </c>
      <c r="D5621" t="s">
        <v>3507</v>
      </c>
      <c r="F5621" s="21"/>
      <c r="G5621" s="16" t="str">
        <f>HYPERLINK("http://maps.google.com/maps?f=q&amp;hl=en&amp;geocode=&amp;q=39.8980598449707,-75.211669921875")</f>
        <v>http://maps.google.com/maps?f=q&amp;hl=en&amp;geocode=&amp;q=39.8980598449707,-75.211669921875</v>
      </c>
    </row>
    <row r="5622" spans="1:7" ht="15" x14ac:dyDescent="0.3">
      <c r="A5622">
        <v>48.856765747070298</v>
      </c>
      <c r="B5622">
        <v>-95.7022705078125</v>
      </c>
      <c r="C5622" t="s">
        <v>43</v>
      </c>
      <c r="D5622" t="s">
        <v>1171</v>
      </c>
      <c r="F5622" s="21"/>
      <c r="G5622" s="16" t="str">
        <f>HYPERLINK("http://maps.google.com/maps?f=q&amp;hl=en&amp;geocode=&amp;q=48.8567657470703,-95.7022705078125")</f>
        <v>http://maps.google.com/maps?f=q&amp;hl=en&amp;geocode=&amp;q=48.8567657470703,-95.7022705078125</v>
      </c>
    </row>
    <row r="5623" spans="1:7" ht="15" x14ac:dyDescent="0.3">
      <c r="A5623">
        <v>30.081711973057999</v>
      </c>
      <c r="B5623">
        <v>-90.497200829962495</v>
      </c>
      <c r="C5623" t="s">
        <v>41</v>
      </c>
      <c r="D5623" t="s">
        <v>992</v>
      </c>
      <c r="F5623" s="21"/>
      <c r="G5623" s="16" t="str">
        <f>HYPERLINK("http://maps.google.com/maps?f=q&amp;hl=en&amp;geocode=&amp;q=30.081711973058,-90.4972008299625")</f>
        <v>http://maps.google.com/maps?f=q&amp;hl=en&amp;geocode=&amp;q=30.081711973058,-90.4972008299625</v>
      </c>
    </row>
    <row r="5624" spans="1:7" ht="15" x14ac:dyDescent="0.3">
      <c r="A5624">
        <v>30.081711973057999</v>
      </c>
      <c r="B5624">
        <v>-90.497200829962495</v>
      </c>
      <c r="C5624" t="s">
        <v>41</v>
      </c>
      <c r="D5624" t="s">
        <v>992</v>
      </c>
      <c r="F5624" s="21"/>
      <c r="G5624" s="16" t="str">
        <f>HYPERLINK("http://maps.google.com/maps?f=q&amp;hl=en&amp;geocode=&amp;q=30.081711973058,-90.4972008299625")</f>
        <v>http://maps.google.com/maps?f=q&amp;hl=en&amp;geocode=&amp;q=30.081711973058,-90.4972008299625</v>
      </c>
    </row>
    <row r="5625" spans="1:7" ht="15" x14ac:dyDescent="0.3">
      <c r="A5625">
        <v>30.081711973057999</v>
      </c>
      <c r="B5625">
        <v>-90.497200829962495</v>
      </c>
      <c r="C5625" t="s">
        <v>41</v>
      </c>
      <c r="D5625" t="s">
        <v>992</v>
      </c>
      <c r="F5625" s="21"/>
      <c r="G5625" s="16" t="str">
        <f>HYPERLINK("http://maps.google.com/maps?f=q&amp;hl=en&amp;geocode=&amp;q=30.081711973058,-90.4972008299625")</f>
        <v>http://maps.google.com/maps?f=q&amp;hl=en&amp;geocode=&amp;q=30.081711973058,-90.4972008299625</v>
      </c>
    </row>
    <row r="5626" spans="1:7" ht="15" x14ac:dyDescent="0.3">
      <c r="A5626">
        <v>30.081711973057999</v>
      </c>
      <c r="B5626">
        <v>-90.497200829962495</v>
      </c>
      <c r="C5626" t="s">
        <v>41</v>
      </c>
      <c r="D5626" t="s">
        <v>992</v>
      </c>
      <c r="F5626" s="21"/>
      <c r="G5626" s="16" t="str">
        <f>HYPERLINK("http://maps.google.com/maps?f=q&amp;hl=en&amp;geocode=&amp;q=30.081711973058,-90.4972008299625")</f>
        <v>http://maps.google.com/maps?f=q&amp;hl=en&amp;geocode=&amp;q=30.081711973058,-90.4972008299625</v>
      </c>
    </row>
    <row r="5627" spans="1:7" ht="15" x14ac:dyDescent="0.3">
      <c r="A5627">
        <v>30.081711973057999</v>
      </c>
      <c r="B5627">
        <v>-90.497200829962495</v>
      </c>
      <c r="C5627" t="s">
        <v>41</v>
      </c>
      <c r="D5627" t="s">
        <v>992</v>
      </c>
      <c r="F5627" s="21"/>
      <c r="G5627" s="16" t="str">
        <f>HYPERLINK("http://maps.google.com/maps?f=q&amp;hl=en&amp;geocode=&amp;q=30.081711973058,-90.4972008299625")</f>
        <v>http://maps.google.com/maps?f=q&amp;hl=en&amp;geocode=&amp;q=30.081711973058,-90.4972008299625</v>
      </c>
    </row>
    <row r="5628" spans="1:7" ht="15" x14ac:dyDescent="0.3">
      <c r="A5628">
        <v>30.081711973057999</v>
      </c>
      <c r="B5628">
        <v>-90.497200829962495</v>
      </c>
      <c r="C5628" t="s">
        <v>41</v>
      </c>
      <c r="D5628" t="s">
        <v>992</v>
      </c>
      <c r="F5628" s="21"/>
      <c r="G5628" s="16" t="str">
        <f>HYPERLINK("http://maps.google.com/maps?f=q&amp;hl=en&amp;geocode=&amp;q=30.081711973058,-90.4972008299625")</f>
        <v>http://maps.google.com/maps?f=q&amp;hl=en&amp;geocode=&amp;q=30.081711973058,-90.4972008299625</v>
      </c>
    </row>
    <row r="5629" spans="1:7" ht="15" x14ac:dyDescent="0.3">
      <c r="A5629">
        <v>39.93282</v>
      </c>
      <c r="B5629">
        <v>-75.157570000000007</v>
      </c>
      <c r="C5629" t="s">
        <v>43</v>
      </c>
      <c r="D5629" t="s">
        <v>3508</v>
      </c>
      <c r="F5629" s="21"/>
      <c r="G5629" s="16" t="str">
        <f>HYPERLINK("http://maps.google.com/maps?f=q&amp;hl=en&amp;geocode=&amp;q=39.93282,-75.15757")</f>
        <v>http://maps.google.com/maps?f=q&amp;hl=en&amp;geocode=&amp;q=39.93282,-75.15757</v>
      </c>
    </row>
    <row r="5630" spans="1:7" ht="15" x14ac:dyDescent="0.3">
      <c r="A5630">
        <v>42.484782000000003</v>
      </c>
      <c r="B5630">
        <v>-71.164288999999997</v>
      </c>
      <c r="C5630" t="s">
        <v>41</v>
      </c>
      <c r="D5630" t="s">
        <v>3509</v>
      </c>
      <c r="F5630" s="21"/>
      <c r="G5630" s="16" t="str">
        <f>HYPERLINK("http://maps.google.com/maps?f=q&amp;hl=en&amp;geocode=&amp;q=42.484782,-71.164289")</f>
        <v>http://maps.google.com/maps?f=q&amp;hl=en&amp;geocode=&amp;q=42.484782,-71.164289</v>
      </c>
    </row>
    <row r="5631" spans="1:7" ht="15" x14ac:dyDescent="0.3">
      <c r="A5631">
        <v>36.264324988896803</v>
      </c>
      <c r="B5631">
        <v>-87.366783350203093</v>
      </c>
      <c r="C5631" t="s">
        <v>42</v>
      </c>
      <c r="D5631" t="s">
        <v>3510</v>
      </c>
      <c r="F5631" s="21"/>
      <c r="G5631" s="16" t="str">
        <f>HYPERLINK("http://maps.google.com/maps?f=q&amp;hl=en&amp;geocode=&amp;q=36.2643249888968,-87.3667833502031")</f>
        <v>http://maps.google.com/maps?f=q&amp;hl=en&amp;geocode=&amp;q=36.2643249888968,-87.3667833502031</v>
      </c>
    </row>
    <row r="5632" spans="1:7" ht="15" x14ac:dyDescent="0.3">
      <c r="A5632">
        <v>38.205227146380302</v>
      </c>
      <c r="B5632">
        <v>-97.520512776783093</v>
      </c>
      <c r="C5632" t="s">
        <v>41</v>
      </c>
      <c r="D5632" t="s">
        <v>1744</v>
      </c>
      <c r="F5632" s="21"/>
      <c r="G5632" s="16" t="str">
        <f>HYPERLINK("http://maps.google.com/maps?f=q&amp;hl=en&amp;geocode=&amp;q=38.2052271463803,-97.5205127767831")</f>
        <v>http://maps.google.com/maps?f=q&amp;hl=en&amp;geocode=&amp;q=38.2052271463803,-97.5205127767831</v>
      </c>
    </row>
    <row r="5633" spans="1:7" ht="15" x14ac:dyDescent="0.3">
      <c r="A5633">
        <v>29.140590667724599</v>
      </c>
      <c r="B5633">
        <v>-8.9533882141113299</v>
      </c>
      <c r="C5633" t="s">
        <v>41</v>
      </c>
      <c r="D5633" t="s">
        <v>2759</v>
      </c>
      <c r="F5633" s="21"/>
      <c r="G5633" s="16" t="str">
        <f>HYPERLINK("http://maps.google.com/maps?f=q&amp;hl=en&amp;geocode=&amp;q=29.1405906677246,-8.95338821411133")</f>
        <v>http://maps.google.com/maps?f=q&amp;hl=en&amp;geocode=&amp;q=29.1405906677246,-8.95338821411133</v>
      </c>
    </row>
    <row r="5634" spans="1:7" ht="15" x14ac:dyDescent="0.3">
      <c r="A5634">
        <v>42.374380000000002</v>
      </c>
      <c r="B5634">
        <v>-71.23751</v>
      </c>
      <c r="C5634" t="s">
        <v>43</v>
      </c>
      <c r="D5634" t="s">
        <v>3511</v>
      </c>
      <c r="F5634" s="21"/>
      <c r="G5634" s="16" t="str">
        <f>HYPERLINK("http://maps.google.com/maps?f=q&amp;hl=en&amp;geocode=&amp;q=42.37438,-71.23751")</f>
        <v>http://maps.google.com/maps?f=q&amp;hl=en&amp;geocode=&amp;q=42.37438,-71.23751</v>
      </c>
    </row>
    <row r="5635" spans="1:7" ht="15" x14ac:dyDescent="0.3">
      <c r="A5635">
        <v>41.28398</v>
      </c>
      <c r="B5635">
        <v>-112.01392</v>
      </c>
      <c r="C5635" t="s">
        <v>43</v>
      </c>
      <c r="D5635" t="s">
        <v>3512</v>
      </c>
      <c r="F5635" s="21"/>
      <c r="G5635" s="16" t="str">
        <f>HYPERLINK("http://maps.google.com/maps?f=q&amp;hl=en&amp;geocode=&amp;q=41.28398,-112.01392")</f>
        <v>http://maps.google.com/maps?f=q&amp;hl=en&amp;geocode=&amp;q=41.28398,-112.01392</v>
      </c>
    </row>
    <row r="5636" spans="1:7" ht="15" x14ac:dyDescent="0.3">
      <c r="A5636">
        <v>31.469460000000002</v>
      </c>
      <c r="B5636">
        <v>-84.127660000000006</v>
      </c>
      <c r="C5636" t="s">
        <v>43</v>
      </c>
      <c r="D5636" t="s">
        <v>3513</v>
      </c>
      <c r="F5636" s="21"/>
      <c r="G5636" s="16" t="str">
        <f>HYPERLINK("http://maps.google.com/maps?f=q&amp;hl=en&amp;geocode=&amp;q=31.46946,-84.12766")</f>
        <v>http://maps.google.com/maps?f=q&amp;hl=en&amp;geocode=&amp;q=31.46946,-84.12766</v>
      </c>
    </row>
    <row r="5637" spans="1:7" ht="15" x14ac:dyDescent="0.3">
      <c r="A5637">
        <v>36.178058624267599</v>
      </c>
      <c r="B5637">
        <v>51.865829467773402</v>
      </c>
      <c r="C5637" t="s">
        <v>41</v>
      </c>
      <c r="D5637" t="s">
        <v>3514</v>
      </c>
      <c r="F5637" s="21"/>
      <c r="G5637" s="16" t="str">
        <f>HYPERLINK("http://maps.google.com/maps?f=q&amp;hl=en&amp;geocode=&amp;q=36.1780586242676,51.8658294677734")</f>
        <v>http://maps.google.com/maps?f=q&amp;hl=en&amp;geocode=&amp;q=36.1780586242676,51.8658294677734</v>
      </c>
    </row>
    <row r="5638" spans="1:7" ht="15" x14ac:dyDescent="0.3">
      <c r="A5638">
        <v>36.638316988687002</v>
      </c>
      <c r="B5638">
        <v>-78.179647832822795</v>
      </c>
      <c r="C5638" t="s">
        <v>41</v>
      </c>
      <c r="D5638" t="s">
        <v>3515</v>
      </c>
      <c r="F5638" s="21"/>
      <c r="G5638" s="16" t="str">
        <f>HYPERLINK("http://maps.google.com/maps?f=q&amp;hl=en&amp;geocode=&amp;q=36.638316988687,-78.1796478328228")</f>
        <v>http://maps.google.com/maps?f=q&amp;hl=en&amp;geocode=&amp;q=36.638316988687,-78.1796478328228</v>
      </c>
    </row>
    <row r="5639" spans="1:7" ht="15" x14ac:dyDescent="0.3">
      <c r="F5639" s="21"/>
      <c r="G5639" s="16"/>
    </row>
    <row r="5640" spans="1:7" ht="15" x14ac:dyDescent="0.3">
      <c r="A5640">
        <v>40.032229999999998</v>
      </c>
      <c r="B5640">
        <v>-75.143919999999994</v>
      </c>
      <c r="C5640" t="s">
        <v>43</v>
      </c>
      <c r="D5640" t="s">
        <v>3516</v>
      </c>
      <c r="F5640" s="21"/>
      <c r="G5640" s="16" t="str">
        <f>HYPERLINK("http://maps.google.com/maps?f=q&amp;hl=en&amp;geocode=&amp;q=40.03223,-75.14392")</f>
        <v>http://maps.google.com/maps?f=q&amp;hl=en&amp;geocode=&amp;q=40.03223,-75.14392</v>
      </c>
    </row>
    <row r="5641" spans="1:7" ht="15" x14ac:dyDescent="0.3">
      <c r="A5641">
        <v>34.347145757981899</v>
      </c>
      <c r="B5641">
        <v>-110.00089609430201</v>
      </c>
      <c r="C5641" t="s">
        <v>43</v>
      </c>
      <c r="D5641" t="s">
        <v>3517</v>
      </c>
      <c r="F5641" s="21"/>
      <c r="G5641" s="16" t="str">
        <f>HYPERLINK("http://maps.google.com/maps?f=q&amp;hl=en&amp;geocode=&amp;q=34.3471457579819,-110.000896094302")</f>
        <v>http://maps.google.com/maps?f=q&amp;hl=en&amp;geocode=&amp;q=34.3471457579819,-110.000896094302</v>
      </c>
    </row>
    <row r="5642" spans="1:7" ht="15" x14ac:dyDescent="0.3">
      <c r="A5642" t="s">
        <v>44</v>
      </c>
      <c r="B5642" t="s">
        <v>44</v>
      </c>
      <c r="C5642" t="s">
        <v>44</v>
      </c>
      <c r="D5642" t="s">
        <v>3518</v>
      </c>
      <c r="F5642" s="21"/>
      <c r="G5642" s="16"/>
    </row>
    <row r="5643" spans="1:7" ht="15" x14ac:dyDescent="0.3">
      <c r="A5643" t="s">
        <v>44</v>
      </c>
      <c r="B5643" t="s">
        <v>44</v>
      </c>
      <c r="C5643" t="s">
        <v>44</v>
      </c>
      <c r="D5643" t="s">
        <v>456</v>
      </c>
      <c r="F5643" s="21"/>
      <c r="G5643" s="16"/>
    </row>
    <row r="5644" spans="1:7" ht="15" x14ac:dyDescent="0.3">
      <c r="A5644">
        <v>37.016419999999997</v>
      </c>
      <c r="B5644">
        <v>-97.041730000000001</v>
      </c>
      <c r="C5644" t="s">
        <v>42</v>
      </c>
      <c r="D5644" t="s">
        <v>717</v>
      </c>
      <c r="F5644" s="21"/>
      <c r="G5644" s="16" t="str">
        <f>HYPERLINK("http://maps.google.com/maps?f=q&amp;hl=en&amp;geocode=&amp;q=37.01642,-97.04173")</f>
        <v>http://maps.google.com/maps?f=q&amp;hl=en&amp;geocode=&amp;q=37.01642,-97.04173</v>
      </c>
    </row>
    <row r="5645" spans="1:7" ht="15" x14ac:dyDescent="0.3">
      <c r="A5645">
        <v>33.370913004113198</v>
      </c>
      <c r="B5645">
        <v>-117.22996744842</v>
      </c>
      <c r="C5645" t="s">
        <v>41</v>
      </c>
      <c r="D5645" t="s">
        <v>3519</v>
      </c>
      <c r="F5645" s="21"/>
      <c r="G5645" s="16" t="str">
        <f>HYPERLINK("http://maps.google.com/maps?f=q&amp;hl=en&amp;geocode=&amp;q=33.3709130041132,-117.22996744842")</f>
        <v>http://maps.google.com/maps?f=q&amp;hl=en&amp;geocode=&amp;q=33.3709130041132,-117.22996744842</v>
      </c>
    </row>
    <row r="5646" spans="1:7" ht="15" x14ac:dyDescent="0.3">
      <c r="A5646">
        <v>41.649540000000002</v>
      </c>
      <c r="B5646">
        <v>-83.585999999999999</v>
      </c>
      <c r="C5646" t="s">
        <v>41</v>
      </c>
      <c r="D5646" t="s">
        <v>1083</v>
      </c>
      <c r="F5646" s="21"/>
      <c r="G5646" s="16" t="str">
        <f>HYPERLINK("http://maps.google.com/maps?f=q&amp;hl=en&amp;geocode=&amp;q=41.64954,-83.586")</f>
        <v>http://maps.google.com/maps?f=q&amp;hl=en&amp;geocode=&amp;q=41.64954,-83.586</v>
      </c>
    </row>
    <row r="5647" spans="1:7" ht="15" x14ac:dyDescent="0.3">
      <c r="A5647">
        <v>38.766411589082097</v>
      </c>
      <c r="B5647">
        <v>-90.591846957956406</v>
      </c>
      <c r="C5647" t="s">
        <v>43</v>
      </c>
      <c r="D5647" t="s">
        <v>401</v>
      </c>
      <c r="F5647" s="21"/>
      <c r="G5647" s="16" t="str">
        <f>HYPERLINK("http://maps.google.com/maps?f=q&amp;hl=en&amp;geocode=&amp;q=38.7664115890821,-90.5918469579564")</f>
        <v>http://maps.google.com/maps?f=q&amp;hl=en&amp;geocode=&amp;q=38.7664115890821,-90.5918469579564</v>
      </c>
    </row>
    <row r="5648" spans="1:7" ht="15" x14ac:dyDescent="0.3">
      <c r="A5648">
        <v>23.406011581420898</v>
      </c>
      <c r="B5648">
        <v>79.458091735839801</v>
      </c>
      <c r="C5648" t="s">
        <v>41</v>
      </c>
      <c r="D5648" t="s">
        <v>3520</v>
      </c>
      <c r="F5648" s="21"/>
      <c r="G5648" s="16" t="str">
        <f>HYPERLINK("http://maps.google.com/maps?f=q&amp;hl=en&amp;geocode=&amp;q=23.4060115814209,79.4580917358398")</f>
        <v>http://maps.google.com/maps?f=q&amp;hl=en&amp;geocode=&amp;q=23.4060115814209,79.4580917358398</v>
      </c>
    </row>
    <row r="5649" spans="1:7" ht="15" x14ac:dyDescent="0.3">
      <c r="A5649">
        <v>39.93562</v>
      </c>
      <c r="B5649">
        <v>-75.175430000000006</v>
      </c>
      <c r="C5649" t="s">
        <v>43</v>
      </c>
      <c r="D5649" t="s">
        <v>3521</v>
      </c>
      <c r="F5649" s="21"/>
      <c r="G5649" s="16" t="str">
        <f>HYPERLINK("http://maps.google.com/maps?f=q&amp;hl=en&amp;geocode=&amp;q=39.93562,-75.17543")</f>
        <v>http://maps.google.com/maps?f=q&amp;hl=en&amp;geocode=&amp;q=39.93562,-75.17543</v>
      </c>
    </row>
    <row r="5650" spans="1:7" ht="15" x14ac:dyDescent="0.3">
      <c r="A5650">
        <v>40.347160000000002</v>
      </c>
      <c r="B5650">
        <v>-76.41225</v>
      </c>
      <c r="C5650" t="s">
        <v>43</v>
      </c>
      <c r="D5650" t="s">
        <v>2021</v>
      </c>
      <c r="F5650" s="21"/>
      <c r="G5650" s="16" t="str">
        <f>HYPERLINK("http://maps.google.com/maps?f=q&amp;hl=en&amp;geocode=&amp;q=40.34716,-76.41225")</f>
        <v>http://maps.google.com/maps?f=q&amp;hl=en&amp;geocode=&amp;q=40.34716,-76.41225</v>
      </c>
    </row>
    <row r="5651" spans="1:7" ht="15" x14ac:dyDescent="0.3">
      <c r="A5651">
        <v>46.284141540527301</v>
      </c>
      <c r="B5651">
        <v>7.5034499168395996</v>
      </c>
      <c r="C5651" t="s">
        <v>43</v>
      </c>
      <c r="D5651" t="s">
        <v>3522</v>
      </c>
      <c r="F5651" s="21"/>
      <c r="G5651" s="16" t="str">
        <f>HYPERLINK("http://maps.google.com/maps?f=q&amp;hl=en&amp;geocode=&amp;q=46.2841415405273,7.5034499168396")</f>
        <v>http://maps.google.com/maps?f=q&amp;hl=en&amp;geocode=&amp;q=46.2841415405273,7.5034499168396</v>
      </c>
    </row>
    <row r="5652" spans="1:7" ht="15" x14ac:dyDescent="0.3">
      <c r="A5652">
        <v>51.516223907470703</v>
      </c>
      <c r="B5652">
        <v>-0.13301253318786599</v>
      </c>
      <c r="C5652" t="s">
        <v>41</v>
      </c>
      <c r="D5652" t="s">
        <v>3523</v>
      </c>
      <c r="F5652" s="21"/>
      <c r="G5652" s="16" t="str">
        <f>HYPERLINK("http://maps.google.com/maps?f=q&amp;hl=en&amp;geocode=&amp;q=51.5162239074707,-0.133012533187866")</f>
        <v>http://maps.google.com/maps?f=q&amp;hl=en&amp;geocode=&amp;q=51.5162239074707,-0.133012533187866</v>
      </c>
    </row>
    <row r="5653" spans="1:7" ht="15" x14ac:dyDescent="0.3">
      <c r="F5653" s="21"/>
      <c r="G5653" s="16"/>
    </row>
    <row r="5654" spans="1:7" ht="15" x14ac:dyDescent="0.3">
      <c r="A5654">
        <v>51.616310119628899</v>
      </c>
      <c r="B5654">
        <v>12.4903001785278</v>
      </c>
      <c r="C5654" t="s">
        <v>41</v>
      </c>
      <c r="D5654" t="s">
        <v>3524</v>
      </c>
      <c r="F5654" s="21"/>
      <c r="G5654" s="16" t="str">
        <f>HYPERLINK("http://maps.google.com/maps?f=q&amp;hl=en&amp;geocode=&amp;q=51.6163101196289,12.4903001785278")</f>
        <v>http://maps.google.com/maps?f=q&amp;hl=en&amp;geocode=&amp;q=51.6163101196289,12.4903001785278</v>
      </c>
    </row>
    <row r="5655" spans="1:7" ht="15" x14ac:dyDescent="0.3">
      <c r="A5655">
        <v>-34.450752258300803</v>
      </c>
      <c r="B5655">
        <v>138.66142272949199</v>
      </c>
      <c r="C5655" t="s">
        <v>41</v>
      </c>
      <c r="D5655" t="s">
        <v>3525</v>
      </c>
      <c r="F5655" s="21"/>
      <c r="G5655" s="16" t="str">
        <f>HYPERLINK("http://maps.google.com/maps?f=q&amp;hl=en&amp;geocode=&amp;q=-34.4507522583008,138.661422729492")</f>
        <v>http://maps.google.com/maps?f=q&amp;hl=en&amp;geocode=&amp;q=-34.4507522583008,138.661422729492</v>
      </c>
    </row>
    <row r="5656" spans="1:7" ht="15" x14ac:dyDescent="0.3">
      <c r="A5656">
        <v>29.775194103928399</v>
      </c>
      <c r="B5656">
        <v>-94.617259980714806</v>
      </c>
      <c r="C5656" t="s">
        <v>41</v>
      </c>
      <c r="D5656" t="s">
        <v>3526</v>
      </c>
      <c r="F5656" s="21"/>
      <c r="G5656" s="16" t="str">
        <f>HYPERLINK("http://maps.google.com/maps?f=q&amp;hl=en&amp;geocode=&amp;q=29.7751941039284,-94.6172599807148")</f>
        <v>http://maps.google.com/maps?f=q&amp;hl=en&amp;geocode=&amp;q=29.7751941039284,-94.6172599807148</v>
      </c>
    </row>
    <row r="5657" spans="1:7" ht="15" x14ac:dyDescent="0.3">
      <c r="A5657">
        <v>58.133331298828097</v>
      </c>
      <c r="B5657">
        <v>-92.849998474121094</v>
      </c>
      <c r="C5657" t="s">
        <v>43</v>
      </c>
      <c r="D5657" t="s">
        <v>3105</v>
      </c>
      <c r="F5657" s="21"/>
      <c r="G5657" s="16" t="str">
        <f>HYPERLINK("http://maps.google.com/maps?f=q&amp;hl=en&amp;geocode=&amp;q=58.1333312988281,-92.8499984741211")</f>
        <v>http://maps.google.com/maps?f=q&amp;hl=en&amp;geocode=&amp;q=58.1333312988281,-92.8499984741211</v>
      </c>
    </row>
    <row r="5658" spans="1:7" ht="15" x14ac:dyDescent="0.3">
      <c r="A5658" t="s">
        <v>44</v>
      </c>
      <c r="B5658" t="s">
        <v>44</v>
      </c>
      <c r="C5658" t="s">
        <v>44</v>
      </c>
      <c r="D5658" t="s">
        <v>3527</v>
      </c>
      <c r="F5658" s="21"/>
      <c r="G5658" s="16"/>
    </row>
    <row r="5659" spans="1:7" ht="15" x14ac:dyDescent="0.3">
      <c r="A5659">
        <v>-41.232181549072301</v>
      </c>
      <c r="B5659">
        <v>146.22793579101599</v>
      </c>
      <c r="C5659" t="s">
        <v>43</v>
      </c>
      <c r="D5659" t="s">
        <v>3528</v>
      </c>
      <c r="F5659" s="21"/>
      <c r="G5659" s="16" t="str">
        <f>HYPERLINK("http://maps.google.com/maps?f=q&amp;hl=en&amp;geocode=&amp;q=-41.2321815490723,146.227935791016")</f>
        <v>http://maps.google.com/maps?f=q&amp;hl=en&amp;geocode=&amp;q=-41.2321815490723,146.227935791016</v>
      </c>
    </row>
    <row r="5660" spans="1:7" ht="15" x14ac:dyDescent="0.3">
      <c r="A5660">
        <v>55.25911</v>
      </c>
      <c r="B5660">
        <v>11.59831</v>
      </c>
      <c r="C5660" t="s">
        <v>41</v>
      </c>
      <c r="D5660" t="s">
        <v>484</v>
      </c>
      <c r="F5660" s="21"/>
      <c r="G5660" s="16" t="str">
        <f>HYPERLINK("http://maps.google.com/maps?f=q&amp;hl=en&amp;geocode=&amp;q=55.25911,11.59831")</f>
        <v>http://maps.google.com/maps?f=q&amp;hl=en&amp;geocode=&amp;q=55.25911,11.59831</v>
      </c>
    </row>
    <row r="5661" spans="1:7" ht="15" x14ac:dyDescent="0.3">
      <c r="A5661">
        <v>30.013597252129799</v>
      </c>
      <c r="B5661">
        <v>-90.178112333309699</v>
      </c>
      <c r="C5661" t="s">
        <v>41</v>
      </c>
      <c r="D5661" t="s">
        <v>176</v>
      </c>
      <c r="F5661" s="21"/>
      <c r="G5661" s="16" t="str">
        <f>HYPERLINK("http://maps.google.com/maps?f=q&amp;hl=en&amp;geocode=&amp;q=30.0135972521298,-90.1781123333097")</f>
        <v>http://maps.google.com/maps?f=q&amp;hl=en&amp;geocode=&amp;q=30.0135972521298,-90.1781123333097</v>
      </c>
    </row>
    <row r="5662" spans="1:7" ht="15" x14ac:dyDescent="0.3">
      <c r="A5662">
        <v>44.590053046271102</v>
      </c>
      <c r="B5662">
        <v>-88.135161422423195</v>
      </c>
      <c r="C5662" t="s">
        <v>41</v>
      </c>
      <c r="D5662" t="s">
        <v>3529</v>
      </c>
      <c r="F5662" s="21"/>
      <c r="G5662" s="16" t="str">
        <f>HYPERLINK("http://maps.google.com/maps?f=q&amp;hl=en&amp;geocode=&amp;q=44.5900530462711,-88.1351614224232")</f>
        <v>http://maps.google.com/maps?f=q&amp;hl=en&amp;geocode=&amp;q=44.5900530462711,-88.1351614224232</v>
      </c>
    </row>
    <row r="5663" spans="1:7" ht="15" x14ac:dyDescent="0.3">
      <c r="A5663">
        <v>44.590053046271102</v>
      </c>
      <c r="B5663">
        <v>-88.135161422423195</v>
      </c>
      <c r="C5663" t="s">
        <v>41</v>
      </c>
      <c r="D5663" t="s">
        <v>3529</v>
      </c>
      <c r="F5663" s="21"/>
      <c r="G5663" s="16" t="str">
        <f>HYPERLINK("http://maps.google.com/maps?f=q&amp;hl=en&amp;geocode=&amp;q=44.5900530462711,-88.1351614224232")</f>
        <v>http://maps.google.com/maps?f=q&amp;hl=en&amp;geocode=&amp;q=44.5900530462711,-88.1351614224232</v>
      </c>
    </row>
    <row r="5664" spans="1:7" ht="15" x14ac:dyDescent="0.3">
      <c r="A5664">
        <v>41.222000000000001</v>
      </c>
      <c r="B5664">
        <v>-85.318989999999999</v>
      </c>
      <c r="C5664" t="s">
        <v>43</v>
      </c>
      <c r="D5664" t="s">
        <v>3530</v>
      </c>
      <c r="F5664" s="21"/>
      <c r="G5664" s="16" t="str">
        <f>HYPERLINK("http://maps.google.com/maps?f=q&amp;hl=en&amp;geocode=&amp;q=41.222,-85.31899")</f>
        <v>http://maps.google.com/maps?f=q&amp;hl=en&amp;geocode=&amp;q=41.222,-85.31899</v>
      </c>
    </row>
    <row r="5665" spans="1:7" ht="15" x14ac:dyDescent="0.3">
      <c r="A5665">
        <v>50.587699890136697</v>
      </c>
      <c r="B5665">
        <v>4.32674217224121</v>
      </c>
      <c r="C5665" t="s">
        <v>43</v>
      </c>
      <c r="D5665" t="s">
        <v>3531</v>
      </c>
      <c r="F5665" s="21"/>
      <c r="G5665" s="16" t="str">
        <f>HYPERLINK("http://maps.google.com/maps?f=q&amp;hl=en&amp;geocode=&amp;q=50.5876998901367,4.32674217224121")</f>
        <v>http://maps.google.com/maps?f=q&amp;hl=en&amp;geocode=&amp;q=50.5876998901367,4.32674217224121</v>
      </c>
    </row>
    <row r="5666" spans="1:7" ht="15" x14ac:dyDescent="0.3">
      <c r="A5666">
        <v>49.609222412109403</v>
      </c>
      <c r="B5666">
        <v>6.1103181838989302</v>
      </c>
      <c r="C5666" t="s">
        <v>43</v>
      </c>
      <c r="D5666" t="s">
        <v>3532</v>
      </c>
      <c r="F5666" s="21"/>
      <c r="G5666" s="16" t="str">
        <f>HYPERLINK("http://maps.google.com/maps?f=q&amp;hl=en&amp;geocode=&amp;q=49.6092224121094,6.11031818389893")</f>
        <v>http://maps.google.com/maps?f=q&amp;hl=en&amp;geocode=&amp;q=49.6092224121094,6.11031818389893</v>
      </c>
    </row>
    <row r="5667" spans="1:7" ht="15" x14ac:dyDescent="0.3">
      <c r="A5667">
        <v>44.773998260497997</v>
      </c>
      <c r="B5667">
        <v>-117.829887390137</v>
      </c>
      <c r="C5667" t="s">
        <v>43</v>
      </c>
      <c r="D5667" t="s">
        <v>2336</v>
      </c>
      <c r="F5667" s="21"/>
      <c r="G5667" s="16" t="str">
        <f>HYPERLINK("http://maps.google.com/maps?f=q&amp;hl=en&amp;geocode=&amp;q=44.773998260498,-117.829887390137")</f>
        <v>http://maps.google.com/maps?f=q&amp;hl=en&amp;geocode=&amp;q=44.773998260498,-117.829887390137</v>
      </c>
    </row>
    <row r="5668" spans="1:7" ht="15" x14ac:dyDescent="0.3">
      <c r="A5668">
        <v>39.955100000000002</v>
      </c>
      <c r="B5668">
        <v>-75.219840000000005</v>
      </c>
      <c r="C5668" t="s">
        <v>43</v>
      </c>
      <c r="D5668" t="s">
        <v>2905</v>
      </c>
      <c r="F5668" s="21"/>
      <c r="G5668" s="16" t="str">
        <f>HYPERLINK("http://maps.google.com/maps?f=q&amp;hl=en&amp;geocode=&amp;q=39.9551,-75.21984")</f>
        <v>http://maps.google.com/maps?f=q&amp;hl=en&amp;geocode=&amp;q=39.9551,-75.21984</v>
      </c>
    </row>
    <row r="5669" spans="1:7" ht="15" x14ac:dyDescent="0.3">
      <c r="A5669">
        <v>47.155059814453097</v>
      </c>
      <c r="B5669">
        <v>8.5326128005981392</v>
      </c>
      <c r="C5669" t="s">
        <v>43</v>
      </c>
      <c r="D5669" t="s">
        <v>903</v>
      </c>
      <c r="F5669" s="21"/>
      <c r="G5669" s="16" t="str">
        <f>HYPERLINK("http://maps.google.com/maps?f=q&amp;hl=en&amp;geocode=&amp;q=47.1550598144531,8.53261280059814")</f>
        <v>http://maps.google.com/maps?f=q&amp;hl=en&amp;geocode=&amp;q=47.1550598144531,8.53261280059814</v>
      </c>
    </row>
    <row r="5670" spans="1:7" ht="15" x14ac:dyDescent="0.3">
      <c r="A5670">
        <v>35.260855036395697</v>
      </c>
      <c r="B5670">
        <v>-114.01168796303701</v>
      </c>
      <c r="C5670" t="s">
        <v>41</v>
      </c>
      <c r="D5670" t="s">
        <v>1791</v>
      </c>
      <c r="F5670" s="21"/>
      <c r="G5670" s="16" t="str">
        <f>HYPERLINK("http://maps.google.com/maps?f=q&amp;hl=en&amp;geocode=&amp;q=35.2608550363957,-114.011687963037")</f>
        <v>http://maps.google.com/maps?f=q&amp;hl=en&amp;geocode=&amp;q=35.2608550363957,-114.011687963037</v>
      </c>
    </row>
    <row r="5671" spans="1:7" ht="15" x14ac:dyDescent="0.3">
      <c r="A5671">
        <v>41.099310000000003</v>
      </c>
      <c r="B5671">
        <v>-111.93442</v>
      </c>
      <c r="C5671" t="s">
        <v>42</v>
      </c>
      <c r="D5671" t="s">
        <v>3533</v>
      </c>
      <c r="F5671" s="21"/>
      <c r="G5671" s="16" t="str">
        <f>HYPERLINK("http://maps.google.com/maps?f=q&amp;hl=en&amp;geocode=&amp;q=41.09931,-111.93442")</f>
        <v>http://maps.google.com/maps?f=q&amp;hl=en&amp;geocode=&amp;q=41.09931,-111.93442</v>
      </c>
    </row>
    <row r="5672" spans="1:7" ht="15" x14ac:dyDescent="0.3">
      <c r="A5672">
        <v>30.308219999999999</v>
      </c>
      <c r="B5672">
        <v>-95.459254999999999</v>
      </c>
      <c r="C5672" t="s">
        <v>43</v>
      </c>
      <c r="D5672" t="s">
        <v>3534</v>
      </c>
      <c r="F5672" s="21"/>
      <c r="G5672" s="16" t="str">
        <f>HYPERLINK("http://maps.google.com/maps?f=q&amp;hl=en&amp;geocode=&amp;q=30.30822,-95.459255")</f>
        <v>http://maps.google.com/maps?f=q&amp;hl=en&amp;geocode=&amp;q=30.30822,-95.459255</v>
      </c>
    </row>
    <row r="5673" spans="1:7" ht="15" x14ac:dyDescent="0.3">
      <c r="A5673">
        <v>41.5089111328125</v>
      </c>
      <c r="B5673">
        <v>-87.073318481445298</v>
      </c>
      <c r="C5673" t="s">
        <v>43</v>
      </c>
      <c r="D5673" t="s">
        <v>3535</v>
      </c>
      <c r="F5673" s="21"/>
      <c r="G5673" s="16" t="str">
        <f>HYPERLINK("http://maps.google.com/maps?f=q&amp;hl=en&amp;geocode=&amp;q=41.5089111328125,-87.0733184814453")</f>
        <v>http://maps.google.com/maps?f=q&amp;hl=en&amp;geocode=&amp;q=41.5089111328125,-87.0733184814453</v>
      </c>
    </row>
    <row r="5674" spans="1:7" ht="15" x14ac:dyDescent="0.3">
      <c r="A5674">
        <v>40.024738311767599</v>
      </c>
      <c r="B5674">
        <v>-75.213882446289105</v>
      </c>
      <c r="C5674" t="s">
        <v>43</v>
      </c>
      <c r="D5674" t="s">
        <v>3536</v>
      </c>
      <c r="F5674" s="21"/>
      <c r="G5674" s="16" t="str">
        <f>HYPERLINK("http://maps.google.com/maps?f=q&amp;hl=en&amp;geocode=&amp;q=40.0247383117676,-75.2138824462891")</f>
        <v>http://maps.google.com/maps?f=q&amp;hl=en&amp;geocode=&amp;q=40.0247383117676,-75.2138824462891</v>
      </c>
    </row>
    <row r="5675" spans="1:7" ht="15" x14ac:dyDescent="0.3">
      <c r="A5675" t="s">
        <v>44</v>
      </c>
      <c r="B5675" t="s">
        <v>44</v>
      </c>
      <c r="C5675" t="s">
        <v>44</v>
      </c>
      <c r="D5675" t="s">
        <v>229</v>
      </c>
      <c r="F5675" s="21"/>
      <c r="G5675" s="16"/>
    </row>
    <row r="5676" spans="1:7" ht="15" x14ac:dyDescent="0.3">
      <c r="A5676" t="s">
        <v>44</v>
      </c>
      <c r="B5676" t="s">
        <v>44</v>
      </c>
      <c r="C5676" t="s">
        <v>44</v>
      </c>
      <c r="D5676" t="s">
        <v>75</v>
      </c>
      <c r="F5676" s="21"/>
      <c r="G5676" s="16"/>
    </row>
    <row r="5677" spans="1:7" ht="15" x14ac:dyDescent="0.3">
      <c r="A5677">
        <v>7.3835182189941397</v>
      </c>
      <c r="B5677">
        <v>-12.2588081359863</v>
      </c>
      <c r="C5677" t="s">
        <v>41</v>
      </c>
      <c r="D5677" t="s">
        <v>202</v>
      </c>
      <c r="F5677" s="21"/>
      <c r="G5677" s="16" t="str">
        <f>HYPERLINK("http://maps.google.com/maps?f=q&amp;hl=en&amp;geocode=&amp;q=7.38351821899414,-12.2588081359863")</f>
        <v>http://maps.google.com/maps?f=q&amp;hl=en&amp;geocode=&amp;q=7.38351821899414,-12.2588081359863</v>
      </c>
    </row>
    <row r="5678" spans="1:7" ht="15" x14ac:dyDescent="0.3">
      <c r="A5678">
        <v>36.220359802246101</v>
      </c>
      <c r="B5678">
        <v>-81.686958312988295</v>
      </c>
      <c r="C5678" t="s">
        <v>43</v>
      </c>
      <c r="D5678" t="s">
        <v>3537</v>
      </c>
      <c r="F5678" s="21"/>
      <c r="G5678" s="16" t="str">
        <f>HYPERLINK("http://maps.google.com/maps?f=q&amp;hl=en&amp;geocode=&amp;q=36.2203598022461,-81.6869583129883")</f>
        <v>http://maps.google.com/maps?f=q&amp;hl=en&amp;geocode=&amp;q=36.2203598022461,-81.6869583129883</v>
      </c>
    </row>
    <row r="5679" spans="1:7" ht="15" x14ac:dyDescent="0.3">
      <c r="A5679">
        <v>37.6307527593533</v>
      </c>
      <c r="B5679">
        <v>-80.985487552934401</v>
      </c>
      <c r="C5679" t="s">
        <v>41</v>
      </c>
      <c r="D5679" t="s">
        <v>84</v>
      </c>
      <c r="F5679" s="21"/>
      <c r="G5679" s="16" t="str">
        <f>HYPERLINK("http://maps.google.com/maps?f=q&amp;hl=en&amp;geocode=&amp;q=37.6307527593533,-80.9854875529344")</f>
        <v>http://maps.google.com/maps?f=q&amp;hl=en&amp;geocode=&amp;q=37.6307527593533,-80.9854875529344</v>
      </c>
    </row>
    <row r="5680" spans="1:7" ht="15" x14ac:dyDescent="0.3">
      <c r="A5680">
        <v>37.6307527593533</v>
      </c>
      <c r="B5680">
        <v>-80.985487552934401</v>
      </c>
      <c r="C5680" t="s">
        <v>41</v>
      </c>
      <c r="D5680" t="s">
        <v>84</v>
      </c>
      <c r="F5680" s="21"/>
      <c r="G5680" s="16" t="str">
        <f>HYPERLINK("http://maps.google.com/maps?f=q&amp;hl=en&amp;geocode=&amp;q=37.6307527593533,-80.9854875529344")</f>
        <v>http://maps.google.com/maps?f=q&amp;hl=en&amp;geocode=&amp;q=37.6307527593533,-80.9854875529344</v>
      </c>
    </row>
    <row r="5681" spans="1:7" ht="15" x14ac:dyDescent="0.3">
      <c r="A5681">
        <v>37.6307527593533</v>
      </c>
      <c r="B5681">
        <v>-80.985487552934401</v>
      </c>
      <c r="C5681" t="s">
        <v>41</v>
      </c>
      <c r="D5681" t="s">
        <v>84</v>
      </c>
      <c r="F5681" s="21"/>
      <c r="G5681" s="16" t="str">
        <f>HYPERLINK("http://maps.google.com/maps?f=q&amp;hl=en&amp;geocode=&amp;q=37.6307527593533,-80.9854875529344")</f>
        <v>http://maps.google.com/maps?f=q&amp;hl=en&amp;geocode=&amp;q=37.6307527593533,-80.9854875529344</v>
      </c>
    </row>
    <row r="5682" spans="1:7" ht="15" x14ac:dyDescent="0.3">
      <c r="A5682">
        <v>37.6307527593533</v>
      </c>
      <c r="B5682">
        <v>-80.985487552934401</v>
      </c>
      <c r="C5682" t="s">
        <v>41</v>
      </c>
      <c r="D5682" t="s">
        <v>84</v>
      </c>
      <c r="F5682" s="21"/>
      <c r="G5682" s="16" t="str">
        <f>HYPERLINK("http://maps.google.com/maps?f=q&amp;hl=en&amp;geocode=&amp;q=37.6307527593533,-80.9854875529344")</f>
        <v>http://maps.google.com/maps?f=q&amp;hl=en&amp;geocode=&amp;q=37.6307527593533,-80.9854875529344</v>
      </c>
    </row>
    <row r="5683" spans="1:7" ht="15" x14ac:dyDescent="0.3">
      <c r="A5683">
        <v>37.6307527593533</v>
      </c>
      <c r="B5683">
        <v>-80.985487552934401</v>
      </c>
      <c r="C5683" t="s">
        <v>41</v>
      </c>
      <c r="D5683" t="s">
        <v>84</v>
      </c>
      <c r="F5683" s="21"/>
      <c r="G5683" s="16" t="str">
        <f>HYPERLINK("http://maps.google.com/maps?f=q&amp;hl=en&amp;geocode=&amp;q=37.6307527593533,-80.9854875529344")</f>
        <v>http://maps.google.com/maps?f=q&amp;hl=en&amp;geocode=&amp;q=37.6307527593533,-80.9854875529344</v>
      </c>
    </row>
    <row r="5684" spans="1:7" ht="15" x14ac:dyDescent="0.3">
      <c r="A5684">
        <v>-37.040729522705099</v>
      </c>
      <c r="B5684">
        <v>174.87356567382801</v>
      </c>
      <c r="C5684" t="s">
        <v>41</v>
      </c>
      <c r="D5684" t="s">
        <v>2142</v>
      </c>
      <c r="F5684" s="21"/>
      <c r="G5684" s="16" t="str">
        <f>HYPERLINK("http://maps.google.com/maps?f=q&amp;hl=en&amp;geocode=&amp;q=-37.0407295227051,174.873565673828")</f>
        <v>http://maps.google.com/maps?f=q&amp;hl=en&amp;geocode=&amp;q=-37.0407295227051,174.873565673828</v>
      </c>
    </row>
    <row r="5685" spans="1:7" ht="15" x14ac:dyDescent="0.3">
      <c r="A5685">
        <v>39.931432553449</v>
      </c>
      <c r="B5685">
        <v>-75.157047806880101</v>
      </c>
      <c r="C5685" t="s">
        <v>41</v>
      </c>
      <c r="D5685" t="s">
        <v>3538</v>
      </c>
      <c r="F5685" s="21"/>
      <c r="G5685" s="16" t="str">
        <f>HYPERLINK("http://maps.google.com/maps?f=q&amp;hl=en&amp;geocode=&amp;q=39.931432553449,-75.1570478068801")</f>
        <v>http://maps.google.com/maps?f=q&amp;hl=en&amp;geocode=&amp;q=39.931432553449,-75.1570478068801</v>
      </c>
    </row>
    <row r="5686" spans="1:7" ht="15" x14ac:dyDescent="0.3">
      <c r="A5686">
        <v>39.931432553449</v>
      </c>
      <c r="B5686">
        <v>-75.157047806880101</v>
      </c>
      <c r="C5686" t="s">
        <v>41</v>
      </c>
      <c r="D5686" t="s">
        <v>3538</v>
      </c>
      <c r="F5686" s="21"/>
      <c r="G5686" s="16" t="str">
        <f>HYPERLINK("http://maps.google.com/maps?f=q&amp;hl=en&amp;geocode=&amp;q=39.931432553449,-75.1570478068801")</f>
        <v>http://maps.google.com/maps?f=q&amp;hl=en&amp;geocode=&amp;q=39.931432553449,-75.1570478068801</v>
      </c>
    </row>
    <row r="5687" spans="1:7" ht="15" x14ac:dyDescent="0.3">
      <c r="A5687">
        <v>35.25123</v>
      </c>
      <c r="B5687">
        <v>-80.758679999999998</v>
      </c>
      <c r="C5687" t="s">
        <v>42</v>
      </c>
      <c r="D5687" t="s">
        <v>3539</v>
      </c>
      <c r="F5687" s="21"/>
      <c r="G5687" s="16" t="str">
        <f>HYPERLINK("http://maps.google.com/maps?f=q&amp;hl=en&amp;geocode=&amp;q=35.25123,-80.75868")</f>
        <v>http://maps.google.com/maps?f=q&amp;hl=en&amp;geocode=&amp;q=35.25123,-80.75868</v>
      </c>
    </row>
    <row r="5688" spans="1:7" ht="15" x14ac:dyDescent="0.3">
      <c r="A5688">
        <v>32.082029226416701</v>
      </c>
      <c r="B5688">
        <v>-83.800633091073095</v>
      </c>
      <c r="C5688" t="s">
        <v>41</v>
      </c>
      <c r="D5688" t="s">
        <v>3540</v>
      </c>
      <c r="F5688" s="21"/>
      <c r="G5688" s="16" t="str">
        <f>HYPERLINK("http://maps.google.com/maps?f=q&amp;hl=en&amp;geocode=&amp;q=32.0820292264167,-83.8006330910731")</f>
        <v>http://maps.google.com/maps?f=q&amp;hl=en&amp;geocode=&amp;q=32.0820292264167,-83.8006330910731</v>
      </c>
    </row>
    <row r="5689" spans="1:7" ht="15" x14ac:dyDescent="0.3">
      <c r="A5689">
        <v>42.464682309141402</v>
      </c>
      <c r="B5689">
        <v>-85.131490146739694</v>
      </c>
      <c r="C5689" t="s">
        <v>41</v>
      </c>
      <c r="D5689" t="s">
        <v>3541</v>
      </c>
      <c r="F5689" s="21"/>
      <c r="G5689" s="16" t="str">
        <f>HYPERLINK("http://maps.google.com/maps?f=q&amp;hl=en&amp;geocode=&amp;q=42.4646823091414,-85.1314901467397")</f>
        <v>http://maps.google.com/maps?f=q&amp;hl=en&amp;geocode=&amp;q=42.4646823091414,-85.1314901467397</v>
      </c>
    </row>
    <row r="5690" spans="1:7" ht="15" x14ac:dyDescent="0.3">
      <c r="A5690">
        <v>40.073340000000002</v>
      </c>
      <c r="B5690">
        <v>-75.187550000000002</v>
      </c>
      <c r="C5690" t="s">
        <v>41</v>
      </c>
      <c r="D5690" t="s">
        <v>3542</v>
      </c>
      <c r="F5690" s="21"/>
      <c r="G5690" s="16" t="str">
        <f>HYPERLINK("http://maps.google.com/maps?f=q&amp;hl=en&amp;geocode=&amp;q=40.07334,-75.18755")</f>
        <v>http://maps.google.com/maps?f=q&amp;hl=en&amp;geocode=&amp;q=40.07334,-75.18755</v>
      </c>
    </row>
    <row r="5691" spans="1:7" ht="15" x14ac:dyDescent="0.3">
      <c r="A5691">
        <v>39.969520568847699</v>
      </c>
      <c r="B5691">
        <v>-79.613929748535199</v>
      </c>
      <c r="C5691" t="s">
        <v>43</v>
      </c>
      <c r="D5691" t="s">
        <v>3543</v>
      </c>
      <c r="F5691" s="21"/>
      <c r="G5691" s="16" t="str">
        <f>HYPERLINK("http://maps.google.com/maps?f=q&amp;hl=en&amp;geocode=&amp;q=39.9695205688477,-79.6139297485352")</f>
        <v>http://maps.google.com/maps?f=q&amp;hl=en&amp;geocode=&amp;q=39.9695205688477,-79.6139297485352</v>
      </c>
    </row>
    <row r="5692" spans="1:7" ht="15" x14ac:dyDescent="0.3">
      <c r="A5692">
        <v>36.265250000000002</v>
      </c>
      <c r="B5692">
        <v>-115.1215</v>
      </c>
      <c r="C5692" t="s">
        <v>43</v>
      </c>
      <c r="D5692" t="s">
        <v>3544</v>
      </c>
      <c r="F5692" s="21"/>
      <c r="G5692" s="16" t="str">
        <f>HYPERLINK("http://maps.google.com/maps?f=q&amp;hl=en&amp;geocode=&amp;q=36.26525,-115.1215")</f>
        <v>http://maps.google.com/maps?f=q&amp;hl=en&amp;geocode=&amp;q=36.26525,-115.1215</v>
      </c>
    </row>
    <row r="5693" spans="1:7" ht="15" x14ac:dyDescent="0.3">
      <c r="A5693">
        <v>40.858529160013902</v>
      </c>
      <c r="B5693">
        <v>-79.9006494190578</v>
      </c>
      <c r="C5693" t="s">
        <v>41</v>
      </c>
      <c r="D5693" t="s">
        <v>3545</v>
      </c>
      <c r="F5693" s="21"/>
      <c r="G5693" s="16" t="str">
        <f>HYPERLINK("http://maps.google.com/maps?f=q&amp;hl=en&amp;geocode=&amp;q=40.8585291600139,-79.9006494190578")</f>
        <v>http://maps.google.com/maps?f=q&amp;hl=en&amp;geocode=&amp;q=40.8585291600139,-79.9006494190578</v>
      </c>
    </row>
    <row r="5694" spans="1:7" ht="15" x14ac:dyDescent="0.3">
      <c r="A5694">
        <v>40.5088500976563</v>
      </c>
      <c r="B5694">
        <v>-78.637031555175795</v>
      </c>
      <c r="C5694" t="s">
        <v>43</v>
      </c>
      <c r="D5694" t="s">
        <v>3546</v>
      </c>
      <c r="F5694" s="21"/>
      <c r="G5694" s="16" t="str">
        <f>HYPERLINK("http://maps.google.com/maps?f=q&amp;hl=en&amp;geocode=&amp;q=40.5088500976563,-78.6370315551758")</f>
        <v>http://maps.google.com/maps?f=q&amp;hl=en&amp;geocode=&amp;q=40.5088500976563,-78.6370315551758</v>
      </c>
    </row>
    <row r="5695" spans="1:7" ht="15" x14ac:dyDescent="0.3">
      <c r="A5695">
        <v>-26.034427642822301</v>
      </c>
      <c r="B5695">
        <v>28.5431098937988</v>
      </c>
      <c r="C5695" t="s">
        <v>43</v>
      </c>
      <c r="D5695" t="s">
        <v>3002</v>
      </c>
      <c r="F5695" s="21"/>
      <c r="G5695" s="16" t="str">
        <f>HYPERLINK("http://maps.google.com/maps?f=q&amp;hl=en&amp;geocode=&amp;q=-26.0344276428223,28.5431098937988")</f>
        <v>http://maps.google.com/maps?f=q&amp;hl=en&amp;geocode=&amp;q=-26.0344276428223,28.5431098937988</v>
      </c>
    </row>
    <row r="5696" spans="1:7" ht="15" x14ac:dyDescent="0.3">
      <c r="A5696">
        <v>49.622024536132798</v>
      </c>
      <c r="B5696">
        <v>6.1695809364318803</v>
      </c>
      <c r="C5696" t="s">
        <v>41</v>
      </c>
      <c r="D5696" t="s">
        <v>3547</v>
      </c>
      <c r="F5696" s="21"/>
      <c r="G5696" s="16" t="str">
        <f>HYPERLINK("http://maps.google.com/maps?f=q&amp;hl=en&amp;geocode=&amp;q=49.6220245361328,6.16958093643188")</f>
        <v>http://maps.google.com/maps?f=q&amp;hl=en&amp;geocode=&amp;q=49.6220245361328,6.16958093643188</v>
      </c>
    </row>
    <row r="5697" spans="1:7" ht="15" x14ac:dyDescent="0.3">
      <c r="A5697">
        <v>39.628340000000001</v>
      </c>
      <c r="B5697">
        <v>-74.812309999999997</v>
      </c>
      <c r="C5697" t="s">
        <v>43</v>
      </c>
      <c r="D5697" t="s">
        <v>3548</v>
      </c>
      <c r="F5697" s="21"/>
      <c r="G5697" s="16" t="str">
        <f>HYPERLINK("http://maps.google.com/maps?f=q&amp;hl=en&amp;geocode=&amp;q=39.62834,-74.81231")</f>
        <v>http://maps.google.com/maps?f=q&amp;hl=en&amp;geocode=&amp;q=39.62834,-74.81231</v>
      </c>
    </row>
    <row r="5698" spans="1:7" ht="15" x14ac:dyDescent="0.3">
      <c r="A5698">
        <v>41.355802384938002</v>
      </c>
      <c r="B5698">
        <v>-88.855240024518594</v>
      </c>
      <c r="C5698" t="s">
        <v>41</v>
      </c>
      <c r="D5698" t="s">
        <v>3549</v>
      </c>
      <c r="F5698" s="21"/>
      <c r="G5698" s="16" t="str">
        <f>HYPERLINK("http://maps.google.com/maps?f=q&amp;hl=en&amp;geocode=&amp;q=41.355802384938,-88.8552400245186")</f>
        <v>http://maps.google.com/maps?f=q&amp;hl=en&amp;geocode=&amp;q=41.355802384938,-88.8552400245186</v>
      </c>
    </row>
    <row r="5699" spans="1:7" ht="15" x14ac:dyDescent="0.3">
      <c r="A5699">
        <v>30.081711973057999</v>
      </c>
      <c r="B5699">
        <v>-90.497200829962495</v>
      </c>
      <c r="C5699" t="s">
        <v>41</v>
      </c>
      <c r="D5699" t="s">
        <v>992</v>
      </c>
      <c r="F5699" s="21"/>
      <c r="G5699" s="16" t="str">
        <f>HYPERLINK("http://maps.google.com/maps?f=q&amp;hl=en&amp;geocode=&amp;q=30.081711973058,-90.4972008299625")</f>
        <v>http://maps.google.com/maps?f=q&amp;hl=en&amp;geocode=&amp;q=30.081711973058,-90.4972008299625</v>
      </c>
    </row>
    <row r="5700" spans="1:7" ht="15" x14ac:dyDescent="0.3">
      <c r="A5700" t="s">
        <v>44</v>
      </c>
      <c r="B5700" t="s">
        <v>44</v>
      </c>
      <c r="C5700" t="s">
        <v>44</v>
      </c>
      <c r="D5700" t="s">
        <v>3550</v>
      </c>
      <c r="F5700" s="21"/>
      <c r="G5700" s="16"/>
    </row>
    <row r="5701" spans="1:7" ht="15" x14ac:dyDescent="0.3">
      <c r="A5701">
        <v>-34.701614379882798</v>
      </c>
      <c r="B5701">
        <v>147.20159912109401</v>
      </c>
      <c r="C5701" t="s">
        <v>41</v>
      </c>
      <c r="D5701" t="s">
        <v>3551</v>
      </c>
      <c r="F5701" s="21"/>
      <c r="G5701" s="16" t="str">
        <f>HYPERLINK("http://maps.google.com/maps?f=q&amp;hl=en&amp;geocode=&amp;q=-34.7016143798828,147.201599121094")</f>
        <v>http://maps.google.com/maps?f=q&amp;hl=en&amp;geocode=&amp;q=-34.7016143798828,147.201599121094</v>
      </c>
    </row>
    <row r="5702" spans="1:7" ht="15" x14ac:dyDescent="0.3">
      <c r="A5702">
        <v>46.5690727233887</v>
      </c>
      <c r="B5702">
        <v>12.1998739242554</v>
      </c>
      <c r="C5702" t="s">
        <v>41</v>
      </c>
      <c r="D5702" t="s">
        <v>3552</v>
      </c>
      <c r="F5702" s="21"/>
      <c r="G5702" s="16" t="str">
        <f>HYPERLINK("http://maps.google.com/maps?f=q&amp;hl=en&amp;geocode=&amp;q=46.5690727233887,12.1998739242554")</f>
        <v>http://maps.google.com/maps?f=q&amp;hl=en&amp;geocode=&amp;q=46.5690727233887,12.1998739242554</v>
      </c>
    </row>
    <row r="5703" spans="1:7" ht="15" x14ac:dyDescent="0.3">
      <c r="A5703">
        <v>49.6719970703125</v>
      </c>
      <c r="B5703">
        <v>6.1263070106506303</v>
      </c>
      <c r="C5703" t="s">
        <v>41</v>
      </c>
      <c r="D5703" t="s">
        <v>3553</v>
      </c>
      <c r="F5703" s="21"/>
      <c r="G5703" s="16" t="str">
        <f>HYPERLINK("http://maps.google.com/maps?f=q&amp;hl=en&amp;geocode=&amp;q=49.6719970703125,6.12630701065063")</f>
        <v>http://maps.google.com/maps?f=q&amp;hl=en&amp;geocode=&amp;q=49.6719970703125,6.12630701065063</v>
      </c>
    </row>
    <row r="5704" spans="1:7" ht="15" x14ac:dyDescent="0.3">
      <c r="A5704">
        <v>40.040390000000002</v>
      </c>
      <c r="B5704">
        <v>-75.109629999999996</v>
      </c>
      <c r="C5704" t="s">
        <v>43</v>
      </c>
      <c r="D5704" t="s">
        <v>777</v>
      </c>
      <c r="F5704" s="21"/>
      <c r="G5704" s="16" t="str">
        <f>HYPERLINK("http://maps.google.com/maps?f=q&amp;hl=en&amp;geocode=&amp;q=40.04039,-75.10963")</f>
        <v>http://maps.google.com/maps?f=q&amp;hl=en&amp;geocode=&amp;q=40.04039,-75.10963</v>
      </c>
    </row>
    <row r="5705" spans="1:7" ht="15" x14ac:dyDescent="0.3">
      <c r="A5705">
        <v>52.321403503417997</v>
      </c>
      <c r="B5705">
        <v>5.1038408279418901</v>
      </c>
      <c r="C5705" t="s">
        <v>43</v>
      </c>
      <c r="D5705" t="s">
        <v>3554</v>
      </c>
      <c r="F5705" s="21"/>
      <c r="G5705" s="16" t="str">
        <f>HYPERLINK("http://maps.google.com/maps?f=q&amp;hl=en&amp;geocode=&amp;q=52.321403503418,5.10384082794189")</f>
        <v>http://maps.google.com/maps?f=q&amp;hl=en&amp;geocode=&amp;q=52.321403503418,5.10384082794189</v>
      </c>
    </row>
    <row r="5706" spans="1:7" ht="15" x14ac:dyDescent="0.3">
      <c r="A5706">
        <v>39.994509000000001</v>
      </c>
      <c r="B5706">
        <v>-75.092248999999995</v>
      </c>
      <c r="C5706" t="s">
        <v>41</v>
      </c>
      <c r="D5706" t="s">
        <v>553</v>
      </c>
      <c r="F5706" s="21"/>
      <c r="G5706" s="16" t="str">
        <f>HYPERLINK("http://maps.google.com/maps?f=q&amp;hl=en&amp;geocode=&amp;q=39.994509,-75.092249")</f>
        <v>http://maps.google.com/maps?f=q&amp;hl=en&amp;geocode=&amp;q=39.994509,-75.092249</v>
      </c>
    </row>
    <row r="5707" spans="1:7" ht="15" x14ac:dyDescent="0.3">
      <c r="A5707">
        <v>38.79927</v>
      </c>
      <c r="B5707">
        <v>-121.34208</v>
      </c>
      <c r="C5707" t="s">
        <v>41</v>
      </c>
      <c r="D5707" t="s">
        <v>3555</v>
      </c>
      <c r="F5707" s="21"/>
      <c r="G5707" s="16" t="str">
        <f>HYPERLINK("http://maps.google.com/maps?f=q&amp;hl=en&amp;geocode=&amp;q=38.79927,-121.34208")</f>
        <v>http://maps.google.com/maps?f=q&amp;hl=en&amp;geocode=&amp;q=38.79927,-121.34208</v>
      </c>
    </row>
    <row r="5708" spans="1:7" ht="15" x14ac:dyDescent="0.3">
      <c r="A5708">
        <v>49.518180847167997</v>
      </c>
      <c r="B5708">
        <v>5.8978409767150897</v>
      </c>
      <c r="C5708" t="s">
        <v>41</v>
      </c>
      <c r="D5708" t="s">
        <v>2510</v>
      </c>
      <c r="F5708" s="21"/>
      <c r="G5708" s="16" t="str">
        <f>HYPERLINK("http://maps.google.com/maps?f=q&amp;hl=en&amp;geocode=&amp;q=49.518180847168,5.89784097671509")</f>
        <v>http://maps.google.com/maps?f=q&amp;hl=en&amp;geocode=&amp;q=49.518180847168,5.89784097671509</v>
      </c>
    </row>
    <row r="5709" spans="1:7" ht="15" x14ac:dyDescent="0.3">
      <c r="A5709">
        <v>-31.943090000000002</v>
      </c>
      <c r="B5709">
        <v>115.87672000000001</v>
      </c>
      <c r="C5709" t="s">
        <v>41</v>
      </c>
      <c r="D5709" t="s">
        <v>3556</v>
      </c>
      <c r="F5709" s="21"/>
      <c r="G5709" s="16" t="str">
        <f>HYPERLINK("http://maps.google.com/maps?f=q&amp;hl=en&amp;geocode=&amp;q=-31.94309,115.87672")</f>
        <v>http://maps.google.com/maps?f=q&amp;hl=en&amp;geocode=&amp;q=-31.94309,115.87672</v>
      </c>
    </row>
    <row r="5710" spans="1:7" ht="15" x14ac:dyDescent="0.3">
      <c r="A5710">
        <v>15.397199630737299</v>
      </c>
      <c r="B5710">
        <v>39.087188720703097</v>
      </c>
      <c r="C5710" t="s">
        <v>43</v>
      </c>
      <c r="D5710" t="s">
        <v>3557</v>
      </c>
      <c r="F5710" s="21"/>
      <c r="G5710" s="16" t="str">
        <f>HYPERLINK("http://maps.google.com/maps?f=q&amp;hl=en&amp;geocode=&amp;q=15.3971996307373,39.0871887207031")</f>
        <v>http://maps.google.com/maps?f=q&amp;hl=en&amp;geocode=&amp;q=15.3971996307373,39.0871887207031</v>
      </c>
    </row>
    <row r="5711" spans="1:7" ht="15" x14ac:dyDescent="0.3">
      <c r="A5711">
        <v>49.518180847167997</v>
      </c>
      <c r="B5711">
        <v>5.8978409767150897</v>
      </c>
      <c r="C5711" t="s">
        <v>41</v>
      </c>
      <c r="D5711" t="s">
        <v>2510</v>
      </c>
      <c r="F5711" s="21"/>
      <c r="G5711" s="16" t="str">
        <f>HYPERLINK("http://maps.google.com/maps?f=q&amp;hl=en&amp;geocode=&amp;q=49.518180847168,5.89784097671509")</f>
        <v>http://maps.google.com/maps?f=q&amp;hl=en&amp;geocode=&amp;q=49.518180847168,5.89784097671509</v>
      </c>
    </row>
    <row r="5712" spans="1:7" ht="15" x14ac:dyDescent="0.3">
      <c r="A5712">
        <v>40.748956401093899</v>
      </c>
      <c r="B5712">
        <v>-82.531510400821006</v>
      </c>
      <c r="C5712" t="s">
        <v>43</v>
      </c>
      <c r="D5712" t="s">
        <v>3558</v>
      </c>
      <c r="F5712" s="21"/>
      <c r="G5712" s="16" t="str">
        <f>HYPERLINK("http://maps.google.com/maps?f=q&amp;hl=en&amp;geocode=&amp;q=40.7489564010939,-82.531510400821")</f>
        <v>http://maps.google.com/maps?f=q&amp;hl=en&amp;geocode=&amp;q=40.7489564010939,-82.531510400821</v>
      </c>
    </row>
    <row r="5713" spans="1:7" ht="15" x14ac:dyDescent="0.3">
      <c r="A5713">
        <v>49.518180847167997</v>
      </c>
      <c r="B5713">
        <v>5.8978409767150897</v>
      </c>
      <c r="C5713" t="s">
        <v>41</v>
      </c>
      <c r="D5713" t="s">
        <v>2510</v>
      </c>
      <c r="F5713" s="21"/>
      <c r="G5713" s="16" t="str">
        <f>HYPERLINK("http://maps.google.com/maps?f=q&amp;hl=en&amp;geocode=&amp;q=49.518180847168,5.89784097671509")</f>
        <v>http://maps.google.com/maps?f=q&amp;hl=en&amp;geocode=&amp;q=49.518180847168,5.89784097671509</v>
      </c>
    </row>
    <row r="5714" spans="1:7" ht="15" x14ac:dyDescent="0.3">
      <c r="A5714">
        <v>33.9535568200589</v>
      </c>
      <c r="B5714">
        <v>-117.467131209409</v>
      </c>
      <c r="C5714" t="s">
        <v>41</v>
      </c>
      <c r="D5714" t="s">
        <v>3559</v>
      </c>
      <c r="F5714" s="21"/>
      <c r="G5714" s="16" t="str">
        <f>HYPERLINK("http://maps.google.com/maps?f=q&amp;hl=en&amp;geocode=&amp;q=33.9535568200589,-117.467131209409")</f>
        <v>http://maps.google.com/maps?f=q&amp;hl=en&amp;geocode=&amp;q=33.9535568200589,-117.467131209409</v>
      </c>
    </row>
    <row r="5715" spans="1:7" ht="15" x14ac:dyDescent="0.3">
      <c r="A5715">
        <v>36.218767149082502</v>
      </c>
      <c r="B5715">
        <v>-82.349757211940201</v>
      </c>
      <c r="C5715" t="s">
        <v>41</v>
      </c>
      <c r="D5715" t="s">
        <v>3560</v>
      </c>
      <c r="F5715" s="21"/>
      <c r="G5715" s="16" t="str">
        <f>HYPERLINK("http://maps.google.com/maps?f=q&amp;hl=en&amp;geocode=&amp;q=36.2187671490825,-82.3497572119402")</f>
        <v>http://maps.google.com/maps?f=q&amp;hl=en&amp;geocode=&amp;q=36.2187671490825,-82.3497572119402</v>
      </c>
    </row>
    <row r="5716" spans="1:7" ht="15" x14ac:dyDescent="0.3">
      <c r="A5716">
        <v>40.290394999999997</v>
      </c>
      <c r="B5716">
        <v>-76.834059999999994</v>
      </c>
      <c r="C5716" t="s">
        <v>41</v>
      </c>
      <c r="D5716" t="s">
        <v>3561</v>
      </c>
      <c r="F5716" s="21"/>
      <c r="G5716" s="16" t="str">
        <f>HYPERLINK("http://maps.google.com/maps?f=q&amp;hl=en&amp;geocode=&amp;q=40.290395,-76.83406")</f>
        <v>http://maps.google.com/maps?f=q&amp;hl=en&amp;geocode=&amp;q=40.290395,-76.83406</v>
      </c>
    </row>
    <row r="5717" spans="1:7" ht="15" x14ac:dyDescent="0.3">
      <c r="A5717">
        <v>-37.815635681152301</v>
      </c>
      <c r="B5717">
        <v>144.96734619140599</v>
      </c>
      <c r="C5717" t="s">
        <v>43</v>
      </c>
      <c r="D5717" t="s">
        <v>3562</v>
      </c>
      <c r="F5717" s="21"/>
      <c r="G5717" s="16" t="str">
        <f>HYPERLINK("http://maps.google.com/maps?f=q&amp;hl=en&amp;geocode=&amp;q=-37.8156356811523,144.967346191406")</f>
        <v>http://maps.google.com/maps?f=q&amp;hl=en&amp;geocode=&amp;q=-37.8156356811523,144.967346191406</v>
      </c>
    </row>
    <row r="5718" spans="1:7" ht="15" x14ac:dyDescent="0.3">
      <c r="A5718">
        <v>39.131929884186697</v>
      </c>
      <c r="B5718">
        <v>-85.120071324193702</v>
      </c>
      <c r="C5718" t="s">
        <v>41</v>
      </c>
      <c r="D5718" t="s">
        <v>3563</v>
      </c>
      <c r="F5718" s="21"/>
      <c r="G5718" s="16" t="str">
        <f>HYPERLINK("http://maps.google.com/maps?f=q&amp;hl=en&amp;geocode=&amp;q=39.1319298841867,-85.1200713241937")</f>
        <v>http://maps.google.com/maps?f=q&amp;hl=en&amp;geocode=&amp;q=39.1319298841867,-85.1200713241937</v>
      </c>
    </row>
    <row r="5719" spans="1:7" ht="15" x14ac:dyDescent="0.3">
      <c r="A5719">
        <v>41.233863218392898</v>
      </c>
      <c r="B5719">
        <v>-92.525928747020799</v>
      </c>
      <c r="C5719" t="s">
        <v>41</v>
      </c>
      <c r="D5719" t="s">
        <v>233</v>
      </c>
      <c r="F5719" s="21"/>
      <c r="G5719" s="16" t="str">
        <f>HYPERLINK("http://maps.google.com/maps?f=q&amp;hl=en&amp;geocode=&amp;q=41.2338632183929,-92.5259287470208")</f>
        <v>http://maps.google.com/maps?f=q&amp;hl=en&amp;geocode=&amp;q=41.2338632183929,-92.5259287470208</v>
      </c>
    </row>
    <row r="5720" spans="1:7" ht="15" x14ac:dyDescent="0.3">
      <c r="A5720">
        <v>40.657483749384902</v>
      </c>
      <c r="B5720">
        <v>-73.530575021065602</v>
      </c>
      <c r="C5720" t="s">
        <v>43</v>
      </c>
      <c r="D5720" t="s">
        <v>3564</v>
      </c>
      <c r="F5720" s="21"/>
      <c r="G5720" s="16" t="str">
        <f>HYPERLINK("http://maps.google.com/maps?f=q&amp;hl=en&amp;geocode=&amp;q=40.6574837493849,-73.5305750210656")</f>
        <v>http://maps.google.com/maps?f=q&amp;hl=en&amp;geocode=&amp;q=40.6574837493849,-73.5305750210656</v>
      </c>
    </row>
    <row r="5721" spans="1:7" ht="15" x14ac:dyDescent="0.3">
      <c r="A5721">
        <v>49.622024536132798</v>
      </c>
      <c r="B5721">
        <v>6.1695809364318803</v>
      </c>
      <c r="C5721" t="s">
        <v>41</v>
      </c>
      <c r="D5721" t="s">
        <v>3547</v>
      </c>
      <c r="F5721" s="21"/>
      <c r="G5721" s="16" t="str">
        <f>HYPERLINK("http://maps.google.com/maps?f=q&amp;hl=en&amp;geocode=&amp;q=49.6220245361328,6.16958093643188")</f>
        <v>http://maps.google.com/maps?f=q&amp;hl=en&amp;geocode=&amp;q=49.6220245361328,6.16958093643188</v>
      </c>
    </row>
    <row r="5722" spans="1:7" ht="15" x14ac:dyDescent="0.3">
      <c r="A5722">
        <v>45.0852551948377</v>
      </c>
      <c r="B5722">
        <v>-93.522052770160599</v>
      </c>
      <c r="C5722" t="s">
        <v>41</v>
      </c>
      <c r="D5722" t="s">
        <v>1615</v>
      </c>
      <c r="F5722" s="21"/>
      <c r="G5722" s="16" t="str">
        <f>HYPERLINK("http://maps.google.com/maps?f=q&amp;hl=en&amp;geocode=&amp;q=45.0852551948377,-93.5220527701606")</f>
        <v>http://maps.google.com/maps?f=q&amp;hl=en&amp;geocode=&amp;q=45.0852551948377,-93.5220527701606</v>
      </c>
    </row>
    <row r="5723" spans="1:7" ht="15" x14ac:dyDescent="0.3">
      <c r="A5723">
        <v>40.051740000000002</v>
      </c>
      <c r="B5723">
        <v>-75.095820000000003</v>
      </c>
      <c r="C5723" t="s">
        <v>41</v>
      </c>
      <c r="D5723" t="s">
        <v>3565</v>
      </c>
      <c r="F5723" s="21"/>
      <c r="G5723" s="16" t="str">
        <f>HYPERLINK("http://maps.google.com/maps?f=q&amp;hl=en&amp;geocode=&amp;q=40.05174,-75.09582")</f>
        <v>http://maps.google.com/maps?f=q&amp;hl=en&amp;geocode=&amp;q=40.05174,-75.09582</v>
      </c>
    </row>
    <row r="5724" spans="1:7" ht="15" x14ac:dyDescent="0.3">
      <c r="A5724" t="s">
        <v>44</v>
      </c>
      <c r="B5724" t="s">
        <v>44</v>
      </c>
      <c r="C5724" t="s">
        <v>44</v>
      </c>
      <c r="D5724" t="s">
        <v>2885</v>
      </c>
      <c r="F5724" s="21"/>
      <c r="G5724" s="16"/>
    </row>
    <row r="5725" spans="1:7" ht="15" x14ac:dyDescent="0.3">
      <c r="A5725">
        <v>42.7791938781738</v>
      </c>
      <c r="B5725">
        <v>-73.691421508789105</v>
      </c>
      <c r="C5725" t="s">
        <v>43</v>
      </c>
      <c r="D5725" t="s">
        <v>1559</v>
      </c>
      <c r="F5725" s="21"/>
      <c r="G5725" s="16" t="str">
        <f>HYPERLINK("http://maps.google.com/maps?f=q&amp;hl=en&amp;geocode=&amp;q=42.7791938781738,-73.6914215087891")</f>
        <v>http://maps.google.com/maps?f=q&amp;hl=en&amp;geocode=&amp;q=42.7791938781738,-73.6914215087891</v>
      </c>
    </row>
    <row r="5726" spans="1:7" ht="15" x14ac:dyDescent="0.3">
      <c r="A5726">
        <v>39.151271820068402</v>
      </c>
      <c r="B5726">
        <v>-76.764373779296903</v>
      </c>
      <c r="C5726" t="s">
        <v>43</v>
      </c>
      <c r="D5726" t="s">
        <v>1200</v>
      </c>
      <c r="F5726" s="21"/>
      <c r="G5726" s="16" t="str">
        <f>HYPERLINK("http://maps.google.com/maps?f=q&amp;hl=en&amp;geocode=&amp;q=39.1512718200684,-76.7643737792969")</f>
        <v>http://maps.google.com/maps?f=q&amp;hl=en&amp;geocode=&amp;q=39.1512718200684,-76.7643737792969</v>
      </c>
    </row>
    <row r="5727" spans="1:7" ht="15" x14ac:dyDescent="0.3">
      <c r="A5727">
        <v>39.151271820068402</v>
      </c>
      <c r="B5727">
        <v>-76.764373779296903</v>
      </c>
      <c r="C5727" t="s">
        <v>43</v>
      </c>
      <c r="D5727" t="s">
        <v>869</v>
      </c>
      <c r="F5727" s="21"/>
      <c r="G5727" s="16" t="str">
        <f>HYPERLINK("http://maps.google.com/maps?f=q&amp;hl=en&amp;geocode=&amp;q=39.1512718200684,-76.7643737792969")</f>
        <v>http://maps.google.com/maps?f=q&amp;hl=en&amp;geocode=&amp;q=39.1512718200684,-76.7643737792969</v>
      </c>
    </row>
    <row r="5728" spans="1:7" ht="15" x14ac:dyDescent="0.3">
      <c r="A5728">
        <v>39.151271820068402</v>
      </c>
      <c r="B5728">
        <v>-76.764373779296903</v>
      </c>
      <c r="C5728" t="s">
        <v>43</v>
      </c>
      <c r="D5728" t="s">
        <v>1200</v>
      </c>
      <c r="F5728" s="21"/>
      <c r="G5728" s="16" t="str">
        <f>HYPERLINK("http://maps.google.com/maps?f=q&amp;hl=en&amp;geocode=&amp;q=39.1512718200684,-76.7643737792969")</f>
        <v>http://maps.google.com/maps?f=q&amp;hl=en&amp;geocode=&amp;q=39.1512718200684,-76.7643737792969</v>
      </c>
    </row>
    <row r="5729" spans="1:7" ht="15" x14ac:dyDescent="0.3">
      <c r="A5729">
        <v>39.151271820068402</v>
      </c>
      <c r="B5729">
        <v>-76.764373779296903</v>
      </c>
      <c r="C5729" t="s">
        <v>43</v>
      </c>
      <c r="D5729" t="s">
        <v>869</v>
      </c>
      <c r="F5729" s="21"/>
      <c r="G5729" s="16" t="str">
        <f>HYPERLINK("http://maps.google.com/maps?f=q&amp;hl=en&amp;geocode=&amp;q=39.1512718200684,-76.7643737792969")</f>
        <v>http://maps.google.com/maps?f=q&amp;hl=en&amp;geocode=&amp;q=39.1512718200684,-76.7643737792969</v>
      </c>
    </row>
    <row r="5730" spans="1:7" ht="15" x14ac:dyDescent="0.3">
      <c r="A5730">
        <v>40.00121</v>
      </c>
      <c r="B5730">
        <v>-75.118830000000003</v>
      </c>
      <c r="C5730" t="s">
        <v>41</v>
      </c>
      <c r="D5730" t="s">
        <v>3566</v>
      </c>
      <c r="F5730" s="21"/>
      <c r="G5730" s="16" t="str">
        <f>HYPERLINK("http://maps.google.com/maps?f=q&amp;hl=en&amp;geocode=&amp;q=40.00121,-75.11883")</f>
        <v>http://maps.google.com/maps?f=q&amp;hl=en&amp;geocode=&amp;q=40.00121,-75.11883</v>
      </c>
    </row>
    <row r="5731" spans="1:7" ht="15" x14ac:dyDescent="0.3">
      <c r="A5731">
        <v>41.141154094657303</v>
      </c>
      <c r="B5731">
        <v>-93.829406578559698</v>
      </c>
      <c r="C5731" t="s">
        <v>41</v>
      </c>
      <c r="D5731" t="s">
        <v>3567</v>
      </c>
      <c r="F5731" s="21"/>
      <c r="G5731" s="16" t="str">
        <f>HYPERLINK("http://maps.google.com/maps?f=q&amp;hl=en&amp;geocode=&amp;q=41.1411540946573,-93.8294065785597")</f>
        <v>http://maps.google.com/maps?f=q&amp;hl=en&amp;geocode=&amp;q=41.1411540946573,-93.8294065785597</v>
      </c>
    </row>
    <row r="5732" spans="1:7" ht="15" x14ac:dyDescent="0.3">
      <c r="A5732">
        <v>-31.964845657348601</v>
      </c>
      <c r="B5732">
        <v>115.895874023438</v>
      </c>
      <c r="C5732" t="s">
        <v>41</v>
      </c>
      <c r="D5732" t="s">
        <v>3568</v>
      </c>
      <c r="F5732" s="21"/>
      <c r="G5732" s="16" t="str">
        <f>HYPERLINK("http://maps.google.com/maps?f=q&amp;hl=en&amp;geocode=&amp;q=-31.9648456573486,115.895874023438")</f>
        <v>http://maps.google.com/maps?f=q&amp;hl=en&amp;geocode=&amp;q=-31.9648456573486,115.895874023438</v>
      </c>
    </row>
    <row r="5733" spans="1:7" ht="15" x14ac:dyDescent="0.3">
      <c r="A5733">
        <v>49.5966987609863</v>
      </c>
      <c r="B5733">
        <v>6.1406278610229501</v>
      </c>
      <c r="C5733" t="s">
        <v>41</v>
      </c>
      <c r="D5733" t="s">
        <v>3569</v>
      </c>
      <c r="F5733" s="21"/>
      <c r="G5733" s="16" t="str">
        <f>HYPERLINK("http://maps.google.com/maps?f=q&amp;hl=en&amp;geocode=&amp;q=49.5966987609863,6.14062786102295")</f>
        <v>http://maps.google.com/maps?f=q&amp;hl=en&amp;geocode=&amp;q=49.5966987609863,6.14062786102295</v>
      </c>
    </row>
    <row r="5734" spans="1:7" ht="15" x14ac:dyDescent="0.3">
      <c r="A5734">
        <v>-26.0563659667969</v>
      </c>
      <c r="B5734">
        <v>28.236719131469702</v>
      </c>
      <c r="C5734" t="s">
        <v>43</v>
      </c>
      <c r="D5734" t="s">
        <v>3570</v>
      </c>
      <c r="F5734" s="21"/>
      <c r="G5734" s="16" t="str">
        <f>HYPERLINK("http://maps.google.com/maps?f=q&amp;hl=en&amp;geocode=&amp;q=-26.0563659667969,28.2367191314697")</f>
        <v>http://maps.google.com/maps?f=q&amp;hl=en&amp;geocode=&amp;q=-26.0563659667969,28.2367191314697</v>
      </c>
    </row>
    <row r="5735" spans="1:7" ht="15" x14ac:dyDescent="0.3">
      <c r="A5735">
        <v>39.952644999999997</v>
      </c>
      <c r="B5735">
        <v>-75.218329999999995</v>
      </c>
      <c r="C5735" t="s">
        <v>43</v>
      </c>
      <c r="D5735" t="s">
        <v>3571</v>
      </c>
      <c r="F5735" s="21"/>
      <c r="G5735" s="16" t="str">
        <f>HYPERLINK("http://maps.google.com/maps?f=q&amp;hl=en&amp;geocode=&amp;q=39.952645,-75.21833")</f>
        <v>http://maps.google.com/maps?f=q&amp;hl=en&amp;geocode=&amp;q=39.952645,-75.21833</v>
      </c>
    </row>
    <row r="5736" spans="1:7" ht="15" x14ac:dyDescent="0.3">
      <c r="A5736">
        <v>32.481140000000003</v>
      </c>
      <c r="B5736">
        <v>-90.138509999999997</v>
      </c>
      <c r="C5736" t="s">
        <v>41</v>
      </c>
      <c r="D5736" t="s">
        <v>3572</v>
      </c>
      <c r="F5736" s="21"/>
      <c r="G5736" s="16" t="str">
        <f>HYPERLINK("http://maps.google.com/maps?f=q&amp;hl=en&amp;geocode=&amp;q=32.48114,-90.13851")</f>
        <v>http://maps.google.com/maps?f=q&amp;hl=en&amp;geocode=&amp;q=32.48114,-90.13851</v>
      </c>
    </row>
    <row r="5737" spans="1:7" ht="15" x14ac:dyDescent="0.3">
      <c r="A5737">
        <v>45.089379999999998</v>
      </c>
      <c r="B5737">
        <v>-93.024690000000007</v>
      </c>
      <c r="C5737" t="s">
        <v>41</v>
      </c>
      <c r="D5737" t="s">
        <v>3573</v>
      </c>
      <c r="F5737" s="21"/>
      <c r="G5737" s="16" t="str">
        <f>HYPERLINK("http://maps.google.com/maps?f=q&amp;hl=en&amp;geocode=&amp;q=45.08938,-93.02469")</f>
        <v>http://maps.google.com/maps?f=q&amp;hl=en&amp;geocode=&amp;q=45.08938,-93.02469</v>
      </c>
    </row>
    <row r="5738" spans="1:7" ht="15" x14ac:dyDescent="0.3">
      <c r="A5738">
        <v>45.089379999999998</v>
      </c>
      <c r="B5738">
        <v>-93.024690000000007</v>
      </c>
      <c r="C5738" t="s">
        <v>41</v>
      </c>
      <c r="D5738" t="s">
        <v>3573</v>
      </c>
      <c r="F5738" s="21"/>
      <c r="G5738" s="16" t="str">
        <f>HYPERLINK("http://maps.google.com/maps?f=q&amp;hl=en&amp;geocode=&amp;q=45.08938,-93.02469")</f>
        <v>http://maps.google.com/maps?f=q&amp;hl=en&amp;geocode=&amp;q=45.08938,-93.02469</v>
      </c>
    </row>
    <row r="5739" spans="1:7" ht="15" x14ac:dyDescent="0.3">
      <c r="A5739">
        <v>39.457880529144397</v>
      </c>
      <c r="B5739">
        <v>-77.972998541710496</v>
      </c>
      <c r="C5739" t="s">
        <v>43</v>
      </c>
      <c r="D5739" t="s">
        <v>3302</v>
      </c>
      <c r="F5739" s="21"/>
      <c r="G5739" s="16" t="str">
        <f>HYPERLINK("http://maps.google.com/maps?f=q&amp;hl=en&amp;geocode=&amp;q=39.4578805291444,-77.9729985417105")</f>
        <v>http://maps.google.com/maps?f=q&amp;hl=en&amp;geocode=&amp;q=39.4578805291444,-77.9729985417105</v>
      </c>
    </row>
    <row r="5740" spans="1:7" ht="15" x14ac:dyDescent="0.3">
      <c r="A5740">
        <v>39.859144687642299</v>
      </c>
      <c r="B5740">
        <v>-88.982905782504204</v>
      </c>
      <c r="C5740" t="s">
        <v>41</v>
      </c>
      <c r="D5740" t="s">
        <v>3339</v>
      </c>
      <c r="F5740" s="21"/>
      <c r="G5740" s="16" t="str">
        <f>HYPERLINK("http://maps.google.com/maps?f=q&amp;hl=en&amp;geocode=&amp;q=39.8591446876423,-88.9829057825042")</f>
        <v>http://maps.google.com/maps?f=q&amp;hl=en&amp;geocode=&amp;q=39.8591446876423,-88.9829057825042</v>
      </c>
    </row>
    <row r="5741" spans="1:7" ht="15" x14ac:dyDescent="0.3">
      <c r="A5741">
        <v>39.921219999999998</v>
      </c>
      <c r="B5741">
        <v>-75.164969999999997</v>
      </c>
      <c r="C5741" t="s">
        <v>43</v>
      </c>
      <c r="D5741" t="s">
        <v>2524</v>
      </c>
      <c r="F5741" s="21"/>
      <c r="G5741" s="16" t="str">
        <f>HYPERLINK("http://maps.google.com/maps?f=q&amp;hl=en&amp;geocode=&amp;q=39.92122,-75.16497")</f>
        <v>http://maps.google.com/maps?f=q&amp;hl=en&amp;geocode=&amp;q=39.92122,-75.16497</v>
      </c>
    </row>
    <row r="5742" spans="1:7" ht="15" x14ac:dyDescent="0.3">
      <c r="A5742">
        <v>37.739128368272702</v>
      </c>
      <c r="B5742">
        <v>-81.266882110882193</v>
      </c>
      <c r="C5742" t="s">
        <v>41</v>
      </c>
      <c r="D5742" t="s">
        <v>3574</v>
      </c>
      <c r="F5742" s="21"/>
      <c r="G5742" s="16" t="str">
        <f>HYPERLINK("http://maps.google.com/maps?f=q&amp;hl=en&amp;geocode=&amp;q=37.7391283682727,-81.2668821108822")</f>
        <v>http://maps.google.com/maps?f=q&amp;hl=en&amp;geocode=&amp;q=37.7391283682727,-81.2668821108822</v>
      </c>
    </row>
    <row r="5743" spans="1:7" ht="15" x14ac:dyDescent="0.3">
      <c r="A5743">
        <v>40.041088753523901</v>
      </c>
      <c r="B5743">
        <v>-75.0682593606046</v>
      </c>
      <c r="C5743" t="s">
        <v>41</v>
      </c>
      <c r="D5743" t="s">
        <v>3575</v>
      </c>
      <c r="F5743" s="21"/>
      <c r="G5743" s="16" t="str">
        <f>HYPERLINK("http://maps.google.com/maps?f=q&amp;hl=en&amp;geocode=&amp;q=40.0410887535239,-75.0682593606046")</f>
        <v>http://maps.google.com/maps?f=q&amp;hl=en&amp;geocode=&amp;q=40.0410887535239,-75.0682593606046</v>
      </c>
    </row>
    <row r="5744" spans="1:7" ht="15" x14ac:dyDescent="0.3">
      <c r="A5744">
        <v>39.996519999999997</v>
      </c>
      <c r="B5744">
        <v>-75.078249999999997</v>
      </c>
      <c r="C5744" t="s">
        <v>41</v>
      </c>
      <c r="D5744" t="s">
        <v>3576</v>
      </c>
      <c r="F5744" s="21"/>
      <c r="G5744" s="16" t="str">
        <f>HYPERLINK("http://maps.google.com/maps?f=q&amp;hl=en&amp;geocode=&amp;q=39.99652,-75.07825")</f>
        <v>http://maps.google.com/maps?f=q&amp;hl=en&amp;geocode=&amp;q=39.99652,-75.07825</v>
      </c>
    </row>
    <row r="5745" spans="1:7" ht="15" x14ac:dyDescent="0.3">
      <c r="A5745">
        <v>32.377391572108301</v>
      </c>
      <c r="B5745">
        <v>-94.251221722087095</v>
      </c>
      <c r="C5745" t="s">
        <v>41</v>
      </c>
      <c r="D5745" t="s">
        <v>3577</v>
      </c>
      <c r="F5745" s="21"/>
      <c r="G5745" s="16" t="str">
        <f>HYPERLINK("http://maps.google.com/maps?f=q&amp;hl=en&amp;geocode=&amp;q=32.3773915721083,-94.2512217220871")</f>
        <v>http://maps.google.com/maps?f=q&amp;hl=en&amp;geocode=&amp;q=32.3773915721083,-94.2512217220871</v>
      </c>
    </row>
    <row r="5746" spans="1:7" ht="15" x14ac:dyDescent="0.3">
      <c r="A5746">
        <v>32.787501937256202</v>
      </c>
      <c r="B5746">
        <v>-88.384253047172706</v>
      </c>
      <c r="C5746" t="s">
        <v>41</v>
      </c>
      <c r="D5746" t="s">
        <v>3578</v>
      </c>
      <c r="F5746" s="21"/>
      <c r="G5746" s="16" t="str">
        <f>HYPERLINK("http://maps.google.com/maps?f=q&amp;hl=en&amp;geocode=&amp;q=32.7875019372562,-88.3842530471727")</f>
        <v>http://maps.google.com/maps?f=q&amp;hl=en&amp;geocode=&amp;q=32.7875019372562,-88.3842530471727</v>
      </c>
    </row>
    <row r="5747" spans="1:7" ht="15" x14ac:dyDescent="0.3">
      <c r="A5747">
        <v>35.4997635509473</v>
      </c>
      <c r="B5747">
        <v>-92.220770000698494</v>
      </c>
      <c r="C5747" t="s">
        <v>41</v>
      </c>
      <c r="D5747" t="s">
        <v>3579</v>
      </c>
      <c r="F5747" s="21"/>
      <c r="G5747" s="16" t="str">
        <f>HYPERLINK("http://maps.google.com/maps?f=q&amp;hl=en&amp;geocode=&amp;q=35.4997635509473,-92.2207700006985")</f>
        <v>http://maps.google.com/maps?f=q&amp;hl=en&amp;geocode=&amp;q=35.4997635509473,-92.2207700006985</v>
      </c>
    </row>
    <row r="5748" spans="1:7" ht="15" x14ac:dyDescent="0.3">
      <c r="A5748">
        <v>35.197429999999997</v>
      </c>
      <c r="B5748">
        <v>-89.84348</v>
      </c>
      <c r="C5748" t="s">
        <v>41</v>
      </c>
      <c r="D5748" t="s">
        <v>3580</v>
      </c>
      <c r="F5748" s="21"/>
      <c r="G5748" s="16" t="str">
        <f>HYPERLINK("http://maps.google.com/maps?f=q&amp;hl=en&amp;geocode=&amp;q=35.19743,-89.84348")</f>
        <v>http://maps.google.com/maps?f=q&amp;hl=en&amp;geocode=&amp;q=35.19743,-89.84348</v>
      </c>
    </row>
    <row r="5749" spans="1:7" ht="15" x14ac:dyDescent="0.3">
      <c r="A5749">
        <v>39.982322710324198</v>
      </c>
      <c r="B5749">
        <v>-75.107711965104798</v>
      </c>
      <c r="C5749" t="s">
        <v>41</v>
      </c>
      <c r="D5749" t="s">
        <v>1388</v>
      </c>
      <c r="F5749" s="21"/>
      <c r="G5749" s="16" t="str">
        <f>HYPERLINK("http://maps.google.com/maps?f=q&amp;hl=en&amp;geocode=&amp;q=39.9823227103242,-75.1077119651048")</f>
        <v>http://maps.google.com/maps?f=q&amp;hl=en&amp;geocode=&amp;q=39.9823227103242,-75.1077119651048</v>
      </c>
    </row>
    <row r="5750" spans="1:7" ht="15" x14ac:dyDescent="0.3">
      <c r="A5750">
        <v>40.024738311767599</v>
      </c>
      <c r="B5750">
        <v>-75.213882446289105</v>
      </c>
      <c r="C5750" t="s">
        <v>43</v>
      </c>
      <c r="D5750" t="s">
        <v>3581</v>
      </c>
      <c r="F5750" s="21"/>
      <c r="G5750" s="16" t="str">
        <f>HYPERLINK("http://maps.google.com/maps?f=q&amp;hl=en&amp;geocode=&amp;q=40.0247383117676,-75.2138824462891")</f>
        <v>http://maps.google.com/maps?f=q&amp;hl=en&amp;geocode=&amp;q=40.0247383117676,-75.2138824462891</v>
      </c>
    </row>
    <row r="5751" spans="1:7" ht="15" x14ac:dyDescent="0.3">
      <c r="A5751">
        <v>32.990949999999998</v>
      </c>
      <c r="B5751">
        <v>-97.446380000000005</v>
      </c>
      <c r="C5751" t="s">
        <v>43</v>
      </c>
      <c r="D5751" t="s">
        <v>3582</v>
      </c>
      <c r="F5751" s="21"/>
      <c r="G5751" s="16" t="str">
        <f>HYPERLINK("http://maps.google.com/maps?f=q&amp;hl=en&amp;geocode=&amp;q=32.99095,-97.44638")</f>
        <v>http://maps.google.com/maps?f=q&amp;hl=en&amp;geocode=&amp;q=32.99095,-97.44638</v>
      </c>
    </row>
    <row r="5752" spans="1:7" ht="15" x14ac:dyDescent="0.3">
      <c r="A5752" t="s">
        <v>44</v>
      </c>
      <c r="B5752" t="s">
        <v>44</v>
      </c>
      <c r="C5752" t="s">
        <v>44</v>
      </c>
      <c r="D5752" t="s">
        <v>346</v>
      </c>
      <c r="F5752" s="21"/>
      <c r="G5752" s="16"/>
    </row>
    <row r="5753" spans="1:7" ht="15" x14ac:dyDescent="0.3">
      <c r="A5753">
        <v>39.955100000000002</v>
      </c>
      <c r="B5753">
        <v>-75.219840000000005</v>
      </c>
      <c r="C5753" t="s">
        <v>43</v>
      </c>
      <c r="D5753" t="s">
        <v>2905</v>
      </c>
      <c r="F5753" s="21"/>
      <c r="G5753" s="16" t="str">
        <f>HYPERLINK("http://maps.google.com/maps?f=q&amp;hl=en&amp;geocode=&amp;q=39.9551,-75.21984")</f>
        <v>http://maps.google.com/maps?f=q&amp;hl=en&amp;geocode=&amp;q=39.9551,-75.21984</v>
      </c>
    </row>
    <row r="5754" spans="1:7" ht="15" x14ac:dyDescent="0.3">
      <c r="A5754">
        <v>39.97645</v>
      </c>
      <c r="B5754">
        <v>-75.235320000000002</v>
      </c>
      <c r="C5754" t="s">
        <v>43</v>
      </c>
      <c r="D5754" t="s">
        <v>3583</v>
      </c>
      <c r="F5754" s="21"/>
      <c r="G5754" s="16" t="str">
        <f>HYPERLINK("http://maps.google.com/maps?f=q&amp;hl=en&amp;geocode=&amp;q=39.97645,-75.23532")</f>
        <v>http://maps.google.com/maps?f=q&amp;hl=en&amp;geocode=&amp;q=39.97645,-75.23532</v>
      </c>
    </row>
    <row r="5755" spans="1:7" ht="15" x14ac:dyDescent="0.3">
      <c r="A5755" t="s">
        <v>44</v>
      </c>
      <c r="B5755" t="s">
        <v>44</v>
      </c>
      <c r="C5755" t="s">
        <v>44</v>
      </c>
      <c r="D5755" t="s">
        <v>3584</v>
      </c>
      <c r="F5755" s="21"/>
      <c r="G5755" s="16"/>
    </row>
    <row r="5756" spans="1:7" ht="15" x14ac:dyDescent="0.3">
      <c r="A5756">
        <v>49.603610992431598</v>
      </c>
      <c r="B5756">
        <v>6.1350297927856401</v>
      </c>
      <c r="C5756" t="s">
        <v>43</v>
      </c>
      <c r="D5756" t="s">
        <v>3585</v>
      </c>
      <c r="F5756" s="21"/>
      <c r="G5756" s="16" t="str">
        <f>HYPERLINK("http://maps.google.com/maps?f=q&amp;hl=en&amp;geocode=&amp;q=49.6036109924316,6.13502979278564")</f>
        <v>http://maps.google.com/maps?f=q&amp;hl=en&amp;geocode=&amp;q=49.6036109924316,6.13502979278564</v>
      </c>
    </row>
    <row r="5757" spans="1:7" ht="15" x14ac:dyDescent="0.3">
      <c r="A5757">
        <v>35.958046935190303</v>
      </c>
      <c r="B5757">
        <v>-77.473397765092201</v>
      </c>
      <c r="C5757" t="s">
        <v>41</v>
      </c>
      <c r="D5757" t="s">
        <v>3222</v>
      </c>
      <c r="F5757" s="21"/>
      <c r="G5757" s="16" t="str">
        <f>HYPERLINK("http://maps.google.com/maps?f=q&amp;hl=en&amp;geocode=&amp;q=35.9580469351903,-77.4733977650922")</f>
        <v>http://maps.google.com/maps?f=q&amp;hl=en&amp;geocode=&amp;q=35.9580469351903,-77.4733977650922</v>
      </c>
    </row>
    <row r="5758" spans="1:7" ht="15" x14ac:dyDescent="0.3">
      <c r="A5758" t="s">
        <v>44</v>
      </c>
      <c r="B5758" t="s">
        <v>44</v>
      </c>
      <c r="C5758" t="s">
        <v>44</v>
      </c>
      <c r="D5758" t="s">
        <v>3586</v>
      </c>
      <c r="F5758" s="21"/>
      <c r="G5758" s="16"/>
    </row>
    <row r="5759" spans="1:7" ht="15" x14ac:dyDescent="0.3">
      <c r="A5759">
        <v>39.975490000000001</v>
      </c>
      <c r="B5759">
        <v>-75.264080000000007</v>
      </c>
      <c r="C5759" t="s">
        <v>41</v>
      </c>
      <c r="D5759" t="s">
        <v>212</v>
      </c>
      <c r="F5759" s="21"/>
      <c r="G5759" s="16" t="str">
        <f>HYPERLINK("http://maps.google.com/maps?f=q&amp;hl=en&amp;geocode=&amp;q=39.97549,-75.26408")</f>
        <v>http://maps.google.com/maps?f=q&amp;hl=en&amp;geocode=&amp;q=39.97549,-75.26408</v>
      </c>
    </row>
    <row r="5760" spans="1:7" ht="15" x14ac:dyDescent="0.3">
      <c r="A5760">
        <v>40.351619720458999</v>
      </c>
      <c r="B5760">
        <v>-88.764068603515597</v>
      </c>
      <c r="C5760" t="s">
        <v>43</v>
      </c>
      <c r="D5760" t="s">
        <v>3587</v>
      </c>
      <c r="F5760" s="21"/>
      <c r="G5760" s="16" t="str">
        <f>HYPERLINK("http://maps.google.com/maps?f=q&amp;hl=en&amp;geocode=&amp;q=40.351619720459,-88.7640686035156")</f>
        <v>http://maps.google.com/maps?f=q&amp;hl=en&amp;geocode=&amp;q=40.351619720459,-88.7640686035156</v>
      </c>
    </row>
    <row r="5761" spans="1:7" ht="15" x14ac:dyDescent="0.3">
      <c r="A5761">
        <v>40.037979125976598</v>
      </c>
      <c r="B5761">
        <v>-75.223060607910199</v>
      </c>
      <c r="C5761" t="s">
        <v>41</v>
      </c>
      <c r="D5761" t="s">
        <v>3459</v>
      </c>
      <c r="F5761" s="21"/>
      <c r="G5761" s="16" t="str">
        <f>HYPERLINK("http://maps.google.com/maps?f=q&amp;hl=en&amp;geocode=&amp;q=40.0379791259766,-75.2230606079102")</f>
        <v>http://maps.google.com/maps?f=q&amp;hl=en&amp;geocode=&amp;q=40.0379791259766,-75.2230606079102</v>
      </c>
    </row>
    <row r="5762" spans="1:7" ht="15" x14ac:dyDescent="0.3">
      <c r="A5762">
        <v>40.024738311767599</v>
      </c>
      <c r="B5762">
        <v>-75.213882446289105</v>
      </c>
      <c r="C5762" t="s">
        <v>43</v>
      </c>
      <c r="D5762" t="s">
        <v>3588</v>
      </c>
      <c r="F5762" s="21"/>
      <c r="G5762" s="16" t="str">
        <f>HYPERLINK("http://maps.google.com/maps?f=q&amp;hl=en&amp;geocode=&amp;q=40.0247383117676,-75.2138824462891")</f>
        <v>http://maps.google.com/maps?f=q&amp;hl=en&amp;geocode=&amp;q=40.0247383117676,-75.2138824462891</v>
      </c>
    </row>
    <row r="5763" spans="1:7" ht="15" x14ac:dyDescent="0.3">
      <c r="A5763">
        <v>48.9502928594504</v>
      </c>
      <c r="B5763">
        <v>-117.76160125272401</v>
      </c>
      <c r="C5763" t="s">
        <v>41</v>
      </c>
      <c r="D5763" t="s">
        <v>3589</v>
      </c>
      <c r="F5763" s="21"/>
      <c r="G5763" s="16" t="str">
        <f>HYPERLINK("http://maps.google.com/maps?f=q&amp;hl=en&amp;geocode=&amp;q=48.9502928594504,-117.761601252724")</f>
        <v>http://maps.google.com/maps?f=q&amp;hl=en&amp;geocode=&amp;q=48.9502928594504,-117.761601252724</v>
      </c>
    </row>
    <row r="5764" spans="1:7" ht="15" x14ac:dyDescent="0.3">
      <c r="A5764">
        <v>37.420108586910601</v>
      </c>
      <c r="B5764">
        <v>-97.204909247010306</v>
      </c>
      <c r="C5764" t="s">
        <v>41</v>
      </c>
      <c r="D5764" t="s">
        <v>3188</v>
      </c>
      <c r="F5764" s="21"/>
      <c r="G5764" s="16" t="str">
        <f>HYPERLINK("http://maps.google.com/maps?f=q&amp;hl=en&amp;geocode=&amp;q=37.4201085869106,-97.2049092470103")</f>
        <v>http://maps.google.com/maps?f=q&amp;hl=en&amp;geocode=&amp;q=37.4201085869106,-97.2049092470103</v>
      </c>
    </row>
    <row r="5765" spans="1:7" ht="15" x14ac:dyDescent="0.3">
      <c r="A5765">
        <v>43.293369293212898</v>
      </c>
      <c r="B5765">
        <v>5.3713002204895002</v>
      </c>
      <c r="C5765" t="s">
        <v>43</v>
      </c>
      <c r="D5765" t="s">
        <v>3003</v>
      </c>
      <c r="F5765" s="21"/>
      <c r="G5765" s="16" t="str">
        <f>HYPERLINK("http://maps.google.com/maps?f=q&amp;hl=en&amp;geocode=&amp;q=43.2933692932129,5.3713002204895")</f>
        <v>http://maps.google.com/maps?f=q&amp;hl=en&amp;geocode=&amp;q=43.2933692932129,5.3713002204895</v>
      </c>
    </row>
    <row r="5766" spans="1:7" ht="15" x14ac:dyDescent="0.3">
      <c r="A5766">
        <v>43.293369293212898</v>
      </c>
      <c r="B5766">
        <v>5.3713002204895002</v>
      </c>
      <c r="C5766" t="s">
        <v>43</v>
      </c>
      <c r="D5766" t="s">
        <v>3003</v>
      </c>
      <c r="F5766" s="21"/>
      <c r="G5766" s="16" t="str">
        <f>HYPERLINK("http://maps.google.com/maps?f=q&amp;hl=en&amp;geocode=&amp;q=43.2933692932129,5.3713002204895")</f>
        <v>http://maps.google.com/maps?f=q&amp;hl=en&amp;geocode=&amp;q=43.2933692932129,5.3713002204895</v>
      </c>
    </row>
    <row r="5767" spans="1:7" ht="15" x14ac:dyDescent="0.3">
      <c r="A5767">
        <v>43.293369293212898</v>
      </c>
      <c r="B5767">
        <v>5.3713002204895002</v>
      </c>
      <c r="C5767" t="s">
        <v>43</v>
      </c>
      <c r="D5767" t="s">
        <v>3003</v>
      </c>
      <c r="F5767" s="21"/>
      <c r="G5767" s="16" t="str">
        <f>HYPERLINK("http://maps.google.com/maps?f=q&amp;hl=en&amp;geocode=&amp;q=43.2933692932129,5.3713002204895")</f>
        <v>http://maps.google.com/maps?f=q&amp;hl=en&amp;geocode=&amp;q=43.2933692932129,5.3713002204895</v>
      </c>
    </row>
    <row r="5768" spans="1:7" ht="15" x14ac:dyDescent="0.3">
      <c r="A5768">
        <v>43.293369293212898</v>
      </c>
      <c r="B5768">
        <v>5.3713002204895002</v>
      </c>
      <c r="C5768" t="s">
        <v>43</v>
      </c>
      <c r="D5768" t="s">
        <v>3003</v>
      </c>
      <c r="F5768" s="21"/>
      <c r="G5768" s="16" t="str">
        <f>HYPERLINK("http://maps.google.com/maps?f=q&amp;hl=en&amp;geocode=&amp;q=43.2933692932129,5.3713002204895")</f>
        <v>http://maps.google.com/maps?f=q&amp;hl=en&amp;geocode=&amp;q=43.2933692932129,5.3713002204895</v>
      </c>
    </row>
    <row r="5769" spans="1:7" ht="15" x14ac:dyDescent="0.3">
      <c r="A5769">
        <v>37.420108586910601</v>
      </c>
      <c r="B5769">
        <v>-97.204909247010306</v>
      </c>
      <c r="C5769" t="s">
        <v>41</v>
      </c>
      <c r="D5769" t="s">
        <v>3188</v>
      </c>
      <c r="F5769" s="21"/>
      <c r="G5769" s="16" t="str">
        <f>HYPERLINK("http://maps.google.com/maps?f=q&amp;hl=en&amp;geocode=&amp;q=37.4201085869106,-97.2049092470103")</f>
        <v>http://maps.google.com/maps?f=q&amp;hl=en&amp;geocode=&amp;q=37.4201085869106,-97.2049092470103</v>
      </c>
    </row>
    <row r="5770" spans="1:7" ht="15" x14ac:dyDescent="0.3">
      <c r="A5770">
        <v>37.6307527593533</v>
      </c>
      <c r="B5770">
        <v>-80.985487552934401</v>
      </c>
      <c r="C5770" t="s">
        <v>41</v>
      </c>
      <c r="D5770" t="s">
        <v>84</v>
      </c>
      <c r="F5770" s="21"/>
      <c r="G5770" s="16" t="str">
        <f>HYPERLINK("http://maps.google.com/maps?f=q&amp;hl=en&amp;geocode=&amp;q=37.6307527593533,-80.9854875529344")</f>
        <v>http://maps.google.com/maps?f=q&amp;hl=en&amp;geocode=&amp;q=37.6307527593533,-80.9854875529344</v>
      </c>
    </row>
    <row r="5771" spans="1:7" ht="15" x14ac:dyDescent="0.3">
      <c r="A5771">
        <v>49.4726371765137</v>
      </c>
      <c r="B5771">
        <v>-2.4496390819549601</v>
      </c>
      <c r="C5771" t="s">
        <v>41</v>
      </c>
      <c r="D5771" t="s">
        <v>1433</v>
      </c>
      <c r="F5771" s="21"/>
      <c r="G5771" s="16" t="str">
        <f>HYPERLINK("http://maps.google.com/maps?f=q&amp;hl=en&amp;geocode=&amp;q=49.4726371765137,-2.44963908195496")</f>
        <v>http://maps.google.com/maps?f=q&amp;hl=en&amp;geocode=&amp;q=49.4726371765137,-2.44963908195496</v>
      </c>
    </row>
    <row r="5772" spans="1:7" ht="15" x14ac:dyDescent="0.3">
      <c r="A5772">
        <v>41.932369232177699</v>
      </c>
      <c r="B5772">
        <v>-89.068351745605497</v>
      </c>
      <c r="C5772" t="s">
        <v>43</v>
      </c>
      <c r="D5772" t="s">
        <v>3590</v>
      </c>
      <c r="F5772" s="21"/>
      <c r="G5772" s="16" t="str">
        <f>HYPERLINK("http://maps.google.com/maps?f=q&amp;hl=en&amp;geocode=&amp;q=41.9323692321777,-89.0683517456055")</f>
        <v>http://maps.google.com/maps?f=q&amp;hl=en&amp;geocode=&amp;q=41.9323692321777,-89.0683517456055</v>
      </c>
    </row>
    <row r="5773" spans="1:7" ht="15" x14ac:dyDescent="0.3">
      <c r="A5773">
        <v>5.9482669830322301</v>
      </c>
      <c r="B5773">
        <v>47.473606109619098</v>
      </c>
      <c r="C5773" t="s">
        <v>41</v>
      </c>
      <c r="D5773" t="s">
        <v>3591</v>
      </c>
      <c r="F5773" s="21"/>
      <c r="G5773" s="16" t="str">
        <f>HYPERLINK("http://maps.google.com/maps?f=q&amp;hl=en&amp;geocode=&amp;q=5.94826698303223,47.4736061096191")</f>
        <v>http://maps.google.com/maps?f=q&amp;hl=en&amp;geocode=&amp;q=5.94826698303223,47.4736061096191</v>
      </c>
    </row>
    <row r="5774" spans="1:7" ht="15" x14ac:dyDescent="0.3">
      <c r="A5774">
        <v>29.94772</v>
      </c>
      <c r="B5774">
        <v>-93.937799999999996</v>
      </c>
      <c r="C5774" t="s">
        <v>41</v>
      </c>
      <c r="D5774" t="s">
        <v>772</v>
      </c>
      <c r="F5774" s="21"/>
      <c r="G5774" s="16" t="str">
        <f>HYPERLINK("http://maps.google.com/maps?f=q&amp;hl=en&amp;geocode=&amp;q=29.94772,-93.9378")</f>
        <v>http://maps.google.com/maps?f=q&amp;hl=en&amp;geocode=&amp;q=29.94772,-93.9378</v>
      </c>
    </row>
    <row r="5775" spans="1:7" ht="15" x14ac:dyDescent="0.3">
      <c r="A5775" t="s">
        <v>44</v>
      </c>
      <c r="B5775" t="s">
        <v>44</v>
      </c>
      <c r="C5775" t="s">
        <v>44</v>
      </c>
      <c r="D5775" t="s">
        <v>75</v>
      </c>
      <c r="F5775" s="21"/>
      <c r="G5775" s="16"/>
    </row>
    <row r="5776" spans="1:7" ht="15" x14ac:dyDescent="0.3">
      <c r="A5776" t="s">
        <v>44</v>
      </c>
      <c r="B5776" t="s">
        <v>44</v>
      </c>
      <c r="C5776" t="s">
        <v>44</v>
      </c>
      <c r="D5776" t="s">
        <v>3592</v>
      </c>
      <c r="F5776" s="21"/>
      <c r="G5776" s="16"/>
    </row>
    <row r="5777" spans="1:7" ht="15" x14ac:dyDescent="0.3">
      <c r="A5777">
        <v>29.94772</v>
      </c>
      <c r="B5777">
        <v>-93.937799999999996</v>
      </c>
      <c r="C5777" t="s">
        <v>41</v>
      </c>
      <c r="D5777" t="s">
        <v>772</v>
      </c>
      <c r="F5777" s="21"/>
      <c r="G5777" s="16" t="str">
        <f>HYPERLINK("http://maps.google.com/maps?f=q&amp;hl=en&amp;geocode=&amp;q=29.94772,-93.9378")</f>
        <v>http://maps.google.com/maps?f=q&amp;hl=en&amp;geocode=&amp;q=29.94772,-93.9378</v>
      </c>
    </row>
    <row r="5778" spans="1:7" ht="15" x14ac:dyDescent="0.3">
      <c r="A5778">
        <v>40.035719999999998</v>
      </c>
      <c r="B5778">
        <v>-75.070629999999994</v>
      </c>
      <c r="C5778" t="s">
        <v>41</v>
      </c>
      <c r="D5778" t="s">
        <v>760</v>
      </c>
      <c r="F5778" s="21"/>
      <c r="G5778" s="16" t="str">
        <f>HYPERLINK("http://maps.google.com/maps?f=q&amp;hl=en&amp;geocode=&amp;q=40.03572,-75.07063")</f>
        <v>http://maps.google.com/maps?f=q&amp;hl=en&amp;geocode=&amp;q=40.03572,-75.07063</v>
      </c>
    </row>
    <row r="5779" spans="1:7" ht="15" x14ac:dyDescent="0.3">
      <c r="A5779">
        <v>35.604880000000001</v>
      </c>
      <c r="B5779">
        <v>-86.751009999999994</v>
      </c>
      <c r="C5779" t="s">
        <v>41</v>
      </c>
      <c r="D5779" t="s">
        <v>3593</v>
      </c>
      <c r="F5779" s="21"/>
      <c r="G5779" s="16" t="str">
        <f>HYPERLINK("http://maps.google.com/maps?f=q&amp;hl=en&amp;geocode=&amp;q=35.60488,-86.75101")</f>
        <v>http://maps.google.com/maps?f=q&amp;hl=en&amp;geocode=&amp;q=35.60488,-86.75101</v>
      </c>
    </row>
    <row r="5780" spans="1:7" ht="15" x14ac:dyDescent="0.3">
      <c r="A5780">
        <v>35.604880000000001</v>
      </c>
      <c r="B5780">
        <v>-86.751009999999994</v>
      </c>
      <c r="C5780" t="s">
        <v>41</v>
      </c>
      <c r="D5780" t="s">
        <v>3593</v>
      </c>
      <c r="F5780" s="21"/>
      <c r="G5780" s="16" t="str">
        <f>HYPERLINK("http://maps.google.com/maps?f=q&amp;hl=en&amp;geocode=&amp;q=35.60488,-86.75101")</f>
        <v>http://maps.google.com/maps?f=q&amp;hl=en&amp;geocode=&amp;q=35.60488,-86.75101</v>
      </c>
    </row>
    <row r="5781" spans="1:7" ht="15" x14ac:dyDescent="0.3">
      <c r="A5781">
        <v>39.930599999999998</v>
      </c>
      <c r="B5781">
        <v>-75.163259999999994</v>
      </c>
      <c r="C5781" t="s">
        <v>41</v>
      </c>
      <c r="D5781" t="s">
        <v>3594</v>
      </c>
      <c r="F5781" s="21"/>
      <c r="G5781" s="16" t="str">
        <f>HYPERLINK("http://maps.google.com/maps?f=q&amp;hl=en&amp;geocode=&amp;q=39.9306,-75.16326")</f>
        <v>http://maps.google.com/maps?f=q&amp;hl=en&amp;geocode=&amp;q=39.9306,-75.16326</v>
      </c>
    </row>
    <row r="5782" spans="1:7" ht="15" x14ac:dyDescent="0.3">
      <c r="A5782">
        <v>39.990549999999999</v>
      </c>
      <c r="B5782">
        <v>-75.100309999999993</v>
      </c>
      <c r="C5782" t="s">
        <v>41</v>
      </c>
      <c r="D5782" t="s">
        <v>1630</v>
      </c>
      <c r="F5782" s="21"/>
      <c r="G5782" s="16" t="str">
        <f>HYPERLINK("http://maps.google.com/maps?f=q&amp;hl=en&amp;geocode=&amp;q=39.99055,-75.10031")</f>
        <v>http://maps.google.com/maps?f=q&amp;hl=en&amp;geocode=&amp;q=39.99055,-75.10031</v>
      </c>
    </row>
    <row r="5783" spans="1:7" ht="15" x14ac:dyDescent="0.3">
      <c r="A5783">
        <v>39.930790000000002</v>
      </c>
      <c r="B5783">
        <v>-75.163430000000005</v>
      </c>
      <c r="C5783" t="s">
        <v>41</v>
      </c>
      <c r="D5783" t="s">
        <v>3595</v>
      </c>
      <c r="F5783" s="21"/>
      <c r="G5783" s="16" t="str">
        <f>HYPERLINK("http://maps.google.com/maps?f=q&amp;hl=en&amp;geocode=&amp;q=39.93079,-75.16343")</f>
        <v>http://maps.google.com/maps?f=q&amp;hl=en&amp;geocode=&amp;q=39.93079,-75.16343</v>
      </c>
    </row>
    <row r="5784" spans="1:7" ht="15" x14ac:dyDescent="0.3">
      <c r="A5784">
        <v>27.508363550377201</v>
      </c>
      <c r="B5784">
        <v>-99.475065930329706</v>
      </c>
      <c r="C5784" t="s">
        <v>43</v>
      </c>
      <c r="D5784" t="s">
        <v>3596</v>
      </c>
      <c r="F5784" s="21"/>
      <c r="G5784" s="16" t="str">
        <f>HYPERLINK("http://maps.google.com/maps?f=q&amp;hl=en&amp;geocode=&amp;q=27.5083635503772,-99.4750659303297")</f>
        <v>http://maps.google.com/maps?f=q&amp;hl=en&amp;geocode=&amp;q=27.5083635503772,-99.4750659303297</v>
      </c>
    </row>
    <row r="5785" spans="1:7" ht="15" x14ac:dyDescent="0.3">
      <c r="A5785">
        <v>29.697649999999999</v>
      </c>
      <c r="B5785">
        <v>-95.35727</v>
      </c>
      <c r="C5785" t="s">
        <v>41</v>
      </c>
      <c r="D5785" t="s">
        <v>2938</v>
      </c>
      <c r="F5785" s="21"/>
      <c r="G5785" s="16" t="str">
        <f>HYPERLINK("http://maps.google.com/maps?f=q&amp;hl=en&amp;geocode=&amp;q=29.69765,-95.35727")</f>
        <v>http://maps.google.com/maps?f=q&amp;hl=en&amp;geocode=&amp;q=29.69765,-95.35727</v>
      </c>
    </row>
    <row r="5786" spans="1:7" ht="15" x14ac:dyDescent="0.3">
      <c r="A5786">
        <v>37.204694323443697</v>
      </c>
      <c r="B5786">
        <v>-77.878439125899206</v>
      </c>
      <c r="C5786" t="s">
        <v>41</v>
      </c>
      <c r="D5786" t="s">
        <v>3597</v>
      </c>
      <c r="F5786" s="21"/>
      <c r="G5786" s="16" t="str">
        <f>HYPERLINK("http://maps.google.com/maps?f=q&amp;hl=en&amp;geocode=&amp;q=37.2046943234437,-77.8784391258992")</f>
        <v>http://maps.google.com/maps?f=q&amp;hl=en&amp;geocode=&amp;q=37.2046943234437,-77.8784391258992</v>
      </c>
    </row>
    <row r="5787" spans="1:7" ht="15" x14ac:dyDescent="0.3">
      <c r="A5787">
        <v>26.925350000000002</v>
      </c>
      <c r="B5787">
        <v>-82.278289999999998</v>
      </c>
      <c r="C5787" t="s">
        <v>41</v>
      </c>
      <c r="D5787" t="s">
        <v>3031</v>
      </c>
      <c r="F5787" s="21"/>
      <c r="G5787" s="16" t="str">
        <f>HYPERLINK("http://maps.google.com/maps?f=q&amp;hl=en&amp;geocode=&amp;q=26.92535,-82.27829")</f>
        <v>http://maps.google.com/maps?f=q&amp;hl=en&amp;geocode=&amp;q=26.92535,-82.27829</v>
      </c>
    </row>
    <row r="5788" spans="1:7" ht="15" x14ac:dyDescent="0.3">
      <c r="A5788">
        <v>26.925350000000002</v>
      </c>
      <c r="B5788">
        <v>-82.278289999999998</v>
      </c>
      <c r="C5788" t="s">
        <v>41</v>
      </c>
      <c r="D5788" t="s">
        <v>3031</v>
      </c>
      <c r="F5788" s="21"/>
      <c r="G5788" s="16" t="str">
        <f>HYPERLINK("http://maps.google.com/maps?f=q&amp;hl=en&amp;geocode=&amp;q=26.92535,-82.27829")</f>
        <v>http://maps.google.com/maps?f=q&amp;hl=en&amp;geocode=&amp;q=26.92535,-82.27829</v>
      </c>
    </row>
    <row r="5789" spans="1:7" ht="15" x14ac:dyDescent="0.3">
      <c r="A5789" t="s">
        <v>44</v>
      </c>
      <c r="B5789" t="s">
        <v>44</v>
      </c>
      <c r="C5789" t="s">
        <v>44</v>
      </c>
      <c r="D5789" t="s">
        <v>3598</v>
      </c>
      <c r="F5789" s="21"/>
      <c r="G5789" s="16"/>
    </row>
    <row r="5790" spans="1:7" ht="15" x14ac:dyDescent="0.3">
      <c r="A5790">
        <v>40.008600000000001</v>
      </c>
      <c r="B5790">
        <v>-75.099540000000005</v>
      </c>
      <c r="C5790" t="s">
        <v>41</v>
      </c>
      <c r="D5790" t="s">
        <v>2820</v>
      </c>
      <c r="F5790" s="21"/>
      <c r="G5790" s="16" t="str">
        <f>HYPERLINK("http://maps.google.com/maps?f=q&amp;hl=en&amp;geocode=&amp;q=40.0086,-75.09954")</f>
        <v>http://maps.google.com/maps?f=q&amp;hl=en&amp;geocode=&amp;q=40.0086,-75.09954</v>
      </c>
    </row>
    <row r="5791" spans="1:7" ht="15" x14ac:dyDescent="0.3">
      <c r="A5791" t="s">
        <v>44</v>
      </c>
      <c r="B5791" t="s">
        <v>44</v>
      </c>
      <c r="C5791" t="s">
        <v>44</v>
      </c>
      <c r="D5791" t="s">
        <v>3599</v>
      </c>
      <c r="F5791" s="21"/>
      <c r="G5791" s="16"/>
    </row>
    <row r="5792" spans="1:7" ht="15" x14ac:dyDescent="0.3">
      <c r="A5792">
        <v>40.065199999999997</v>
      </c>
      <c r="B5792">
        <v>-75.238650000000007</v>
      </c>
      <c r="C5792" t="s">
        <v>41</v>
      </c>
      <c r="D5792" t="s">
        <v>261</v>
      </c>
      <c r="F5792" s="21"/>
      <c r="G5792" s="16" t="str">
        <f>HYPERLINK("http://maps.google.com/maps?f=q&amp;hl=en&amp;geocode=&amp;q=40.0652,-75.23865")</f>
        <v>http://maps.google.com/maps?f=q&amp;hl=en&amp;geocode=&amp;q=40.0652,-75.23865</v>
      </c>
    </row>
    <row r="5793" spans="1:7" ht="15" x14ac:dyDescent="0.3">
      <c r="A5793">
        <v>40.065199999999997</v>
      </c>
      <c r="B5793">
        <v>-75.238650000000007</v>
      </c>
      <c r="C5793" t="s">
        <v>41</v>
      </c>
      <c r="D5793" t="s">
        <v>261</v>
      </c>
      <c r="F5793" s="21"/>
      <c r="G5793" s="16" t="str">
        <f>HYPERLINK("http://maps.google.com/maps?f=q&amp;hl=en&amp;geocode=&amp;q=40.0652,-75.23865")</f>
        <v>http://maps.google.com/maps?f=q&amp;hl=en&amp;geocode=&amp;q=40.0652,-75.23865</v>
      </c>
    </row>
    <row r="5794" spans="1:7" ht="15" x14ac:dyDescent="0.3">
      <c r="A5794">
        <v>28.005085393348999</v>
      </c>
      <c r="B5794">
        <v>-82.770920350647202</v>
      </c>
      <c r="C5794" t="s">
        <v>41</v>
      </c>
      <c r="D5794" t="s">
        <v>3600</v>
      </c>
      <c r="F5794" s="21"/>
      <c r="G5794" s="16" t="str">
        <f>HYPERLINK("http://maps.google.com/maps?f=q&amp;hl=en&amp;geocode=&amp;q=28.005085393349,-82.7709203506472")</f>
        <v>http://maps.google.com/maps?f=q&amp;hl=en&amp;geocode=&amp;q=28.005085393349,-82.7709203506472</v>
      </c>
    </row>
    <row r="5795" spans="1:7" ht="15" x14ac:dyDescent="0.3">
      <c r="A5795">
        <v>43.52993</v>
      </c>
      <c r="B5795">
        <v>-116.56672</v>
      </c>
      <c r="C5795" t="s">
        <v>43</v>
      </c>
      <c r="D5795" t="s">
        <v>3601</v>
      </c>
      <c r="F5795" s="21"/>
      <c r="G5795" s="16" t="str">
        <f>HYPERLINK("http://maps.google.com/maps?f=q&amp;hl=en&amp;geocode=&amp;q=43.52993,-116.56672")</f>
        <v>http://maps.google.com/maps?f=q&amp;hl=en&amp;geocode=&amp;q=43.52993,-116.56672</v>
      </c>
    </row>
    <row r="5796" spans="1:7" ht="15" x14ac:dyDescent="0.3">
      <c r="A5796">
        <v>43.855789184570298</v>
      </c>
      <c r="B5796">
        <v>-91.209320068359403</v>
      </c>
      <c r="C5796" t="s">
        <v>41</v>
      </c>
      <c r="D5796" t="s">
        <v>3602</v>
      </c>
      <c r="F5796" s="21"/>
      <c r="G5796" s="16" t="str">
        <f>HYPERLINK("http://maps.google.com/maps?f=q&amp;hl=en&amp;geocode=&amp;q=43.8557891845703,-91.2093200683594")</f>
        <v>http://maps.google.com/maps?f=q&amp;hl=en&amp;geocode=&amp;q=43.8557891845703,-91.2093200683594</v>
      </c>
    </row>
    <row r="5797" spans="1:7" ht="15" x14ac:dyDescent="0.3">
      <c r="A5797" t="s">
        <v>44</v>
      </c>
      <c r="B5797" t="s">
        <v>44</v>
      </c>
      <c r="C5797" t="s">
        <v>44</v>
      </c>
      <c r="D5797" t="s">
        <v>3603</v>
      </c>
      <c r="F5797" s="21"/>
      <c r="G5797" s="16"/>
    </row>
    <row r="5798" spans="1:7" ht="15" x14ac:dyDescent="0.3">
      <c r="A5798">
        <v>55.960311889648402</v>
      </c>
      <c r="B5798">
        <v>-2.6058900356292698</v>
      </c>
      <c r="C5798" t="s">
        <v>41</v>
      </c>
      <c r="D5798" t="s">
        <v>3604</v>
      </c>
      <c r="F5798" s="21"/>
      <c r="G5798" s="16" t="str">
        <f>HYPERLINK("http://maps.google.com/maps?f=q&amp;hl=en&amp;geocode=&amp;q=55.9603118896484,-2.60589003562927")</f>
        <v>http://maps.google.com/maps?f=q&amp;hl=en&amp;geocode=&amp;q=55.9603118896484,-2.60589003562927</v>
      </c>
    </row>
    <row r="5799" spans="1:7" ht="15" x14ac:dyDescent="0.3">
      <c r="F5799" s="21"/>
      <c r="G5799" s="16"/>
    </row>
    <row r="5800" spans="1:7" ht="15" x14ac:dyDescent="0.3">
      <c r="A5800" t="s">
        <v>44</v>
      </c>
      <c r="B5800" t="s">
        <v>44</v>
      </c>
      <c r="C5800" t="s">
        <v>44</v>
      </c>
      <c r="D5800" t="s">
        <v>3605</v>
      </c>
      <c r="F5800" s="21"/>
      <c r="G5800" s="16"/>
    </row>
    <row r="5801" spans="1:7" ht="15" x14ac:dyDescent="0.3">
      <c r="A5801" t="s">
        <v>44</v>
      </c>
      <c r="B5801" t="s">
        <v>44</v>
      </c>
      <c r="C5801" t="s">
        <v>44</v>
      </c>
      <c r="D5801" t="s">
        <v>3606</v>
      </c>
      <c r="F5801" s="21"/>
      <c r="G5801" s="16"/>
    </row>
    <row r="5802" spans="1:7" ht="15" x14ac:dyDescent="0.3">
      <c r="A5802">
        <v>40.717179508648002</v>
      </c>
      <c r="B5802">
        <v>-73.484911613620596</v>
      </c>
      <c r="C5802" t="s">
        <v>41</v>
      </c>
      <c r="D5802" t="s">
        <v>3607</v>
      </c>
      <c r="F5802" s="21"/>
      <c r="G5802" s="16" t="str">
        <f>HYPERLINK("http://maps.google.com/maps?f=q&amp;hl=en&amp;geocode=&amp;q=40.717179508648,-73.4849116136206")</f>
        <v>http://maps.google.com/maps?f=q&amp;hl=en&amp;geocode=&amp;q=40.717179508648,-73.4849116136206</v>
      </c>
    </row>
    <row r="5803" spans="1:7" ht="15" x14ac:dyDescent="0.3">
      <c r="A5803">
        <v>39.112609999999997</v>
      </c>
      <c r="B5803">
        <v>-111.70471000000001</v>
      </c>
      <c r="C5803" t="s">
        <v>43</v>
      </c>
      <c r="D5803" t="s">
        <v>3102</v>
      </c>
      <c r="F5803" s="21"/>
      <c r="G5803" s="16" t="str">
        <f>HYPERLINK("http://maps.google.com/maps?f=q&amp;hl=en&amp;geocode=&amp;q=39.11261,-111.70471")</f>
        <v>http://maps.google.com/maps?f=q&amp;hl=en&amp;geocode=&amp;q=39.11261,-111.70471</v>
      </c>
    </row>
    <row r="5804" spans="1:7" ht="15" x14ac:dyDescent="0.3">
      <c r="A5804">
        <v>39.112609999999997</v>
      </c>
      <c r="B5804">
        <v>-111.70471000000001</v>
      </c>
      <c r="C5804" t="s">
        <v>43</v>
      </c>
      <c r="D5804" t="s">
        <v>3102</v>
      </c>
      <c r="F5804" s="21"/>
      <c r="G5804" s="16" t="str">
        <f>HYPERLINK("http://maps.google.com/maps?f=q&amp;hl=en&amp;geocode=&amp;q=39.11261,-111.70471")</f>
        <v>http://maps.google.com/maps?f=q&amp;hl=en&amp;geocode=&amp;q=39.11261,-111.70471</v>
      </c>
    </row>
    <row r="5805" spans="1:7" ht="15" x14ac:dyDescent="0.3">
      <c r="A5805">
        <v>32.842390000000002</v>
      </c>
      <c r="B5805">
        <v>-79.961029999999994</v>
      </c>
      <c r="C5805" t="s">
        <v>42</v>
      </c>
      <c r="D5805" t="s">
        <v>3608</v>
      </c>
      <c r="F5805" s="21"/>
      <c r="G5805" s="16" t="str">
        <f>HYPERLINK("http://maps.google.com/maps?f=q&amp;hl=en&amp;geocode=&amp;q=32.84239,-79.96103")</f>
        <v>http://maps.google.com/maps?f=q&amp;hl=en&amp;geocode=&amp;q=32.84239,-79.96103</v>
      </c>
    </row>
    <row r="5806" spans="1:7" ht="15" x14ac:dyDescent="0.3">
      <c r="A5806">
        <v>32.842390000000002</v>
      </c>
      <c r="B5806">
        <v>-79.961029999999994</v>
      </c>
      <c r="C5806" t="s">
        <v>42</v>
      </c>
      <c r="D5806" t="s">
        <v>3608</v>
      </c>
      <c r="F5806" s="21"/>
      <c r="G5806" s="16" t="str">
        <f>HYPERLINK("http://maps.google.com/maps?f=q&amp;hl=en&amp;geocode=&amp;q=32.84239,-79.96103")</f>
        <v>http://maps.google.com/maps?f=q&amp;hl=en&amp;geocode=&amp;q=32.84239,-79.96103</v>
      </c>
    </row>
    <row r="5807" spans="1:7" ht="15" x14ac:dyDescent="0.3">
      <c r="A5807">
        <v>32.842390000000002</v>
      </c>
      <c r="B5807">
        <v>-79.961029999999994</v>
      </c>
      <c r="C5807" t="s">
        <v>42</v>
      </c>
      <c r="D5807" t="s">
        <v>3608</v>
      </c>
      <c r="F5807" s="21"/>
      <c r="G5807" s="16" t="str">
        <f>HYPERLINK("http://maps.google.com/maps?f=q&amp;hl=en&amp;geocode=&amp;q=32.84239,-79.96103")</f>
        <v>http://maps.google.com/maps?f=q&amp;hl=en&amp;geocode=&amp;q=32.84239,-79.96103</v>
      </c>
    </row>
    <row r="5808" spans="1:7" ht="15" x14ac:dyDescent="0.3">
      <c r="A5808">
        <v>32.842390000000002</v>
      </c>
      <c r="B5808">
        <v>-79.961029999999994</v>
      </c>
      <c r="C5808" t="s">
        <v>42</v>
      </c>
      <c r="D5808" t="s">
        <v>3608</v>
      </c>
      <c r="F5808" s="21"/>
      <c r="G5808" s="16" t="str">
        <f>HYPERLINK("http://maps.google.com/maps?f=q&amp;hl=en&amp;geocode=&amp;q=32.84239,-79.96103")</f>
        <v>http://maps.google.com/maps?f=q&amp;hl=en&amp;geocode=&amp;q=32.84239,-79.96103</v>
      </c>
    </row>
    <row r="5809" spans="1:7" ht="15" x14ac:dyDescent="0.3">
      <c r="A5809">
        <v>49.585361480712898</v>
      </c>
      <c r="B5809">
        <v>6.1109080314636204</v>
      </c>
      <c r="C5809" t="s">
        <v>41</v>
      </c>
      <c r="D5809" t="s">
        <v>3370</v>
      </c>
      <c r="F5809" s="21"/>
      <c r="G5809" s="16" t="str">
        <f>HYPERLINK("http://maps.google.com/maps?f=q&amp;hl=en&amp;geocode=&amp;q=49.5853614807129,6.11090803146362")</f>
        <v>http://maps.google.com/maps?f=q&amp;hl=en&amp;geocode=&amp;q=49.5853614807129,6.11090803146362</v>
      </c>
    </row>
    <row r="5810" spans="1:7" ht="15" x14ac:dyDescent="0.3">
      <c r="A5810">
        <v>41.020837575822398</v>
      </c>
      <c r="B5810">
        <v>-81.355772068262496</v>
      </c>
      <c r="C5810" t="s">
        <v>41</v>
      </c>
      <c r="D5810" t="s">
        <v>3609</v>
      </c>
      <c r="F5810" s="21"/>
      <c r="G5810" s="16" t="str">
        <f>HYPERLINK("http://maps.google.com/maps?f=q&amp;hl=en&amp;geocode=&amp;q=41.0208375758224,-81.3557720682625")</f>
        <v>http://maps.google.com/maps?f=q&amp;hl=en&amp;geocode=&amp;q=41.0208375758224,-81.3557720682625</v>
      </c>
    </row>
    <row r="5811" spans="1:7" ht="15" x14ac:dyDescent="0.3">
      <c r="A5811">
        <v>40.548250000000003</v>
      </c>
      <c r="B5811">
        <v>-76.382840000000002</v>
      </c>
      <c r="C5811" t="s">
        <v>41</v>
      </c>
      <c r="D5811" t="s">
        <v>1057</v>
      </c>
      <c r="F5811" s="21"/>
      <c r="G5811" s="16" t="str">
        <f>HYPERLINK("http://maps.google.com/maps?f=q&amp;hl=en&amp;geocode=&amp;q=40.54825,-76.38284")</f>
        <v>http://maps.google.com/maps?f=q&amp;hl=en&amp;geocode=&amp;q=40.54825,-76.38284</v>
      </c>
    </row>
    <row r="5812" spans="1:7" ht="15" x14ac:dyDescent="0.3">
      <c r="A5812">
        <v>40.168048858642599</v>
      </c>
      <c r="B5812">
        <v>-78.135139465332003</v>
      </c>
      <c r="C5812" t="s">
        <v>43</v>
      </c>
      <c r="D5812" t="s">
        <v>3610</v>
      </c>
      <c r="F5812" s="21"/>
      <c r="G5812" s="16" t="str">
        <f>HYPERLINK("http://maps.google.com/maps?f=q&amp;hl=en&amp;geocode=&amp;q=40.1680488586426,-78.135139465332")</f>
        <v>http://maps.google.com/maps?f=q&amp;hl=en&amp;geocode=&amp;q=40.1680488586426,-78.135139465332</v>
      </c>
    </row>
    <row r="5813" spans="1:7" ht="15" x14ac:dyDescent="0.3">
      <c r="A5813" t="s">
        <v>44</v>
      </c>
      <c r="B5813" t="s">
        <v>44</v>
      </c>
      <c r="C5813" t="s">
        <v>44</v>
      </c>
      <c r="D5813" t="s">
        <v>3611</v>
      </c>
      <c r="F5813" s="21"/>
      <c r="G5813" s="16"/>
    </row>
    <row r="5814" spans="1:7" ht="15" x14ac:dyDescent="0.3">
      <c r="A5814">
        <v>42.417848557863501</v>
      </c>
      <c r="B5814">
        <v>-123.37499006680601</v>
      </c>
      <c r="C5814" t="s">
        <v>41</v>
      </c>
      <c r="D5814" t="s">
        <v>3612</v>
      </c>
      <c r="F5814" s="21"/>
      <c r="G5814" s="16" t="str">
        <f>HYPERLINK("http://maps.google.com/maps?f=q&amp;hl=en&amp;geocode=&amp;q=42.4178485578635,-123.374990066806")</f>
        <v>http://maps.google.com/maps?f=q&amp;hl=en&amp;geocode=&amp;q=42.4178485578635,-123.374990066806</v>
      </c>
    </row>
    <row r="5815" spans="1:7" ht="15" x14ac:dyDescent="0.3">
      <c r="A5815">
        <v>42.05968</v>
      </c>
      <c r="B5815">
        <v>-104.18746</v>
      </c>
      <c r="C5815" t="s">
        <v>42</v>
      </c>
      <c r="D5815" t="s">
        <v>3613</v>
      </c>
      <c r="F5815" s="21"/>
      <c r="G5815" s="16" t="str">
        <f>HYPERLINK("http://maps.google.com/maps?f=q&amp;hl=en&amp;geocode=&amp;q=42.05968,-104.18746")</f>
        <v>http://maps.google.com/maps?f=q&amp;hl=en&amp;geocode=&amp;q=42.05968,-104.18746</v>
      </c>
    </row>
    <row r="5816" spans="1:7" ht="15" x14ac:dyDescent="0.3">
      <c r="A5816">
        <v>39.95655</v>
      </c>
      <c r="B5816">
        <v>-75.241889999999998</v>
      </c>
      <c r="C5816" t="s">
        <v>43</v>
      </c>
      <c r="D5816" t="s">
        <v>2770</v>
      </c>
      <c r="F5816" s="21"/>
      <c r="G5816" s="16" t="str">
        <f>HYPERLINK("http://maps.google.com/maps?f=q&amp;hl=en&amp;geocode=&amp;q=39.95655,-75.24189")</f>
        <v>http://maps.google.com/maps?f=q&amp;hl=en&amp;geocode=&amp;q=39.95655,-75.24189</v>
      </c>
    </row>
    <row r="5817" spans="1:7" ht="15" x14ac:dyDescent="0.3">
      <c r="A5817">
        <v>39.95655</v>
      </c>
      <c r="B5817">
        <v>-75.241889999999998</v>
      </c>
      <c r="C5817" t="s">
        <v>43</v>
      </c>
      <c r="D5817" t="s">
        <v>2770</v>
      </c>
      <c r="F5817" s="21"/>
      <c r="G5817" s="16" t="str">
        <f>HYPERLINK("http://maps.google.com/maps?f=q&amp;hl=en&amp;geocode=&amp;q=39.95655,-75.24189")</f>
        <v>http://maps.google.com/maps?f=q&amp;hl=en&amp;geocode=&amp;q=39.95655,-75.24189</v>
      </c>
    </row>
    <row r="5818" spans="1:7" ht="15" x14ac:dyDescent="0.3">
      <c r="A5818">
        <v>39.95655</v>
      </c>
      <c r="B5818">
        <v>-75.241889999999998</v>
      </c>
      <c r="C5818" t="s">
        <v>43</v>
      </c>
      <c r="D5818" t="s">
        <v>2770</v>
      </c>
      <c r="F5818" s="21"/>
      <c r="G5818" s="16" t="str">
        <f>HYPERLINK("http://maps.google.com/maps?f=q&amp;hl=en&amp;geocode=&amp;q=39.95655,-75.24189")</f>
        <v>http://maps.google.com/maps?f=q&amp;hl=en&amp;geocode=&amp;q=39.95655,-75.24189</v>
      </c>
    </row>
    <row r="5819" spans="1:7" ht="15" x14ac:dyDescent="0.3">
      <c r="A5819">
        <v>41.078082074595798</v>
      </c>
      <c r="B5819">
        <v>-80.723481751657403</v>
      </c>
      <c r="C5819" t="s">
        <v>41</v>
      </c>
      <c r="D5819" t="s">
        <v>3614</v>
      </c>
      <c r="F5819" s="21"/>
      <c r="G5819" s="16" t="str">
        <f>HYPERLINK("http://maps.google.com/maps?f=q&amp;hl=en&amp;geocode=&amp;q=41.0780820745958,-80.7234817516574")</f>
        <v>http://maps.google.com/maps?f=q&amp;hl=en&amp;geocode=&amp;q=41.0780820745958,-80.7234817516574</v>
      </c>
    </row>
    <row r="5820" spans="1:7" ht="15" x14ac:dyDescent="0.3">
      <c r="A5820">
        <v>40.078620000000001</v>
      </c>
      <c r="B5820">
        <v>-75.086420000000004</v>
      </c>
      <c r="C5820" t="s">
        <v>41</v>
      </c>
      <c r="D5820" t="s">
        <v>247</v>
      </c>
      <c r="F5820" s="21"/>
      <c r="G5820" s="16" t="str">
        <f>HYPERLINK("http://maps.google.com/maps?f=q&amp;hl=en&amp;geocode=&amp;q=40.07862,-75.08642")</f>
        <v>http://maps.google.com/maps?f=q&amp;hl=en&amp;geocode=&amp;q=40.07862,-75.08642</v>
      </c>
    </row>
    <row r="5821" spans="1:7" ht="15" x14ac:dyDescent="0.3">
      <c r="F5821" s="21"/>
      <c r="G5821" s="16"/>
    </row>
    <row r="5822" spans="1:7" ht="15" x14ac:dyDescent="0.3">
      <c r="A5822">
        <v>39.239715576171903</v>
      </c>
      <c r="B5822">
        <v>-9.06079006195068</v>
      </c>
      <c r="C5822" t="s">
        <v>41</v>
      </c>
      <c r="D5822" t="s">
        <v>3615</v>
      </c>
      <c r="F5822" s="21"/>
      <c r="G5822" s="16" t="str">
        <f>HYPERLINK("http://maps.google.com/maps?f=q&amp;hl=en&amp;geocode=&amp;q=39.2397155761719,-9.06079006195068")</f>
        <v>http://maps.google.com/maps?f=q&amp;hl=en&amp;geocode=&amp;q=39.2397155761719,-9.06079006195068</v>
      </c>
    </row>
    <row r="5823" spans="1:7" ht="15" x14ac:dyDescent="0.3">
      <c r="A5823">
        <v>28.758289999999999</v>
      </c>
      <c r="B5823">
        <v>-81.348060000000004</v>
      </c>
      <c r="C5823" t="s">
        <v>42</v>
      </c>
      <c r="D5823" t="s">
        <v>3616</v>
      </c>
      <c r="F5823" s="21"/>
      <c r="G5823" s="16" t="str">
        <f>HYPERLINK("http://maps.google.com/maps?f=q&amp;hl=en&amp;geocode=&amp;q=28.75829,-81.34806")</f>
        <v>http://maps.google.com/maps?f=q&amp;hl=en&amp;geocode=&amp;q=28.75829,-81.34806</v>
      </c>
    </row>
    <row r="5824" spans="1:7" ht="15" x14ac:dyDescent="0.3">
      <c r="A5824">
        <v>42.314466928145698</v>
      </c>
      <c r="B5824">
        <v>-90.714177872880597</v>
      </c>
      <c r="C5824" t="s">
        <v>41</v>
      </c>
      <c r="D5824" t="s">
        <v>3617</v>
      </c>
      <c r="F5824" s="21"/>
      <c r="G5824" s="16" t="str">
        <f>HYPERLINK("http://maps.google.com/maps?f=q&amp;hl=en&amp;geocode=&amp;q=42.3144669281457,-90.7141778728806")</f>
        <v>http://maps.google.com/maps?f=q&amp;hl=en&amp;geocode=&amp;q=42.3144669281457,-90.7141778728806</v>
      </c>
    </row>
    <row r="5825" spans="1:7" ht="15" x14ac:dyDescent="0.3">
      <c r="A5825">
        <v>39.95655</v>
      </c>
      <c r="B5825">
        <v>-75.241889999999998</v>
      </c>
      <c r="C5825" t="s">
        <v>43</v>
      </c>
      <c r="D5825" t="s">
        <v>2770</v>
      </c>
      <c r="F5825" s="21"/>
      <c r="G5825" s="16" t="str">
        <f>HYPERLINK("http://maps.google.com/maps?f=q&amp;hl=en&amp;geocode=&amp;q=39.95655,-75.24189")</f>
        <v>http://maps.google.com/maps?f=q&amp;hl=en&amp;geocode=&amp;q=39.95655,-75.24189</v>
      </c>
    </row>
    <row r="5826" spans="1:7" ht="15" x14ac:dyDescent="0.3">
      <c r="A5826">
        <v>42.314260251882601</v>
      </c>
      <c r="B5826">
        <v>-90.714179571759601</v>
      </c>
      <c r="C5826" t="s">
        <v>41</v>
      </c>
      <c r="D5826" t="s">
        <v>3618</v>
      </c>
      <c r="F5826" s="21"/>
      <c r="G5826" s="16" t="str">
        <f>HYPERLINK("http://maps.google.com/maps?f=q&amp;hl=en&amp;geocode=&amp;q=42.3142602518826,-90.7141795717596")</f>
        <v>http://maps.google.com/maps?f=q&amp;hl=en&amp;geocode=&amp;q=42.3142602518826,-90.7141795717596</v>
      </c>
    </row>
    <row r="5827" spans="1:7" ht="15" x14ac:dyDescent="0.3">
      <c r="A5827">
        <v>39.95655</v>
      </c>
      <c r="B5827">
        <v>-75.241889999999998</v>
      </c>
      <c r="C5827" t="s">
        <v>43</v>
      </c>
      <c r="D5827" t="s">
        <v>2770</v>
      </c>
      <c r="F5827" s="21"/>
      <c r="G5827" s="16" t="str">
        <f>HYPERLINK("http://maps.google.com/maps?f=q&amp;hl=en&amp;geocode=&amp;q=39.95655,-75.24189")</f>
        <v>http://maps.google.com/maps?f=q&amp;hl=en&amp;geocode=&amp;q=39.95655,-75.24189</v>
      </c>
    </row>
    <row r="5828" spans="1:7" ht="15" x14ac:dyDescent="0.3">
      <c r="A5828">
        <v>36.753523591385701</v>
      </c>
      <c r="B5828">
        <v>-91.880363890516094</v>
      </c>
      <c r="C5828" t="s">
        <v>41</v>
      </c>
      <c r="D5828" t="s">
        <v>3619</v>
      </c>
      <c r="F5828" s="21"/>
      <c r="G5828" s="16" t="str">
        <f>HYPERLINK("http://maps.google.com/maps?f=q&amp;hl=en&amp;geocode=&amp;q=36.7535235913857,-91.8803638905161")</f>
        <v>http://maps.google.com/maps?f=q&amp;hl=en&amp;geocode=&amp;q=36.7535235913857,-91.8803638905161</v>
      </c>
    </row>
    <row r="5829" spans="1:7" ht="15" x14ac:dyDescent="0.3">
      <c r="A5829">
        <v>39.956319999999998</v>
      </c>
      <c r="B5829">
        <v>-75.239909999999995</v>
      </c>
      <c r="C5829" t="s">
        <v>43</v>
      </c>
      <c r="D5829" t="s">
        <v>3620</v>
      </c>
      <c r="F5829" s="21"/>
      <c r="G5829" s="16" t="str">
        <f>HYPERLINK("http://maps.google.com/maps?f=q&amp;hl=en&amp;geocode=&amp;q=39.95632,-75.23991")</f>
        <v>http://maps.google.com/maps?f=q&amp;hl=en&amp;geocode=&amp;q=39.95632,-75.23991</v>
      </c>
    </row>
    <row r="5830" spans="1:7" ht="15" x14ac:dyDescent="0.3">
      <c r="A5830">
        <v>35.193437696332097</v>
      </c>
      <c r="B5830">
        <v>-89.846759786994795</v>
      </c>
      <c r="C5830" t="s">
        <v>41</v>
      </c>
      <c r="D5830" t="s">
        <v>3621</v>
      </c>
      <c r="F5830" s="21"/>
      <c r="G5830" s="16" t="str">
        <f>HYPERLINK("http://maps.google.com/maps?f=q&amp;hl=en&amp;geocode=&amp;q=35.1934376963321,-89.8467597869948")</f>
        <v>http://maps.google.com/maps?f=q&amp;hl=en&amp;geocode=&amp;q=35.1934376963321,-89.8467597869948</v>
      </c>
    </row>
    <row r="5831" spans="1:7" ht="15" x14ac:dyDescent="0.3">
      <c r="A5831">
        <v>39.951560000000001</v>
      </c>
      <c r="B5831">
        <v>-75.240920000000003</v>
      </c>
      <c r="C5831" t="s">
        <v>43</v>
      </c>
      <c r="D5831" t="s">
        <v>3622</v>
      </c>
      <c r="F5831" s="21"/>
      <c r="G5831" s="16" t="str">
        <f>HYPERLINK("http://maps.google.com/maps?f=q&amp;hl=en&amp;geocode=&amp;q=39.95156,-75.24092")</f>
        <v>http://maps.google.com/maps?f=q&amp;hl=en&amp;geocode=&amp;q=39.95156,-75.24092</v>
      </c>
    </row>
    <row r="5832" spans="1:7" ht="15" x14ac:dyDescent="0.3">
      <c r="A5832">
        <v>40.839390000000002</v>
      </c>
      <c r="B5832">
        <v>-73.843639999999994</v>
      </c>
      <c r="C5832" t="s">
        <v>42</v>
      </c>
      <c r="D5832" t="s">
        <v>3481</v>
      </c>
      <c r="F5832" s="21"/>
      <c r="G5832" s="16" t="str">
        <f>HYPERLINK("http://maps.google.com/maps?f=q&amp;hl=en&amp;geocode=&amp;q=40.83939,-73.84364")</f>
        <v>http://maps.google.com/maps?f=q&amp;hl=en&amp;geocode=&amp;q=40.83939,-73.84364</v>
      </c>
    </row>
    <row r="5833" spans="1:7" ht="15" x14ac:dyDescent="0.3">
      <c r="A5833">
        <v>60.300830841064503</v>
      </c>
      <c r="B5833">
        <v>19.131389617919901</v>
      </c>
      <c r="C5833" t="s">
        <v>43</v>
      </c>
      <c r="D5833" t="s">
        <v>3623</v>
      </c>
      <c r="F5833" s="21"/>
      <c r="G5833" s="16" t="str">
        <f>HYPERLINK("http://maps.google.com/maps?f=q&amp;hl=en&amp;geocode=&amp;q=60.3008308410645,19.1313896179199")</f>
        <v>http://maps.google.com/maps?f=q&amp;hl=en&amp;geocode=&amp;q=60.3008308410645,19.1313896179199</v>
      </c>
    </row>
    <row r="5834" spans="1:7" ht="15" x14ac:dyDescent="0.3">
      <c r="A5834">
        <v>43.353641510009801</v>
      </c>
      <c r="B5834">
        <v>0.60026001930236805</v>
      </c>
      <c r="C5834" t="s">
        <v>41</v>
      </c>
      <c r="D5834" t="s">
        <v>3624</v>
      </c>
      <c r="F5834" s="21"/>
      <c r="G5834" s="16" t="str">
        <f>HYPERLINK("http://maps.google.com/maps?f=q&amp;hl=en&amp;geocode=&amp;q=43.3536415100098,0.600260019302368")</f>
        <v>http://maps.google.com/maps?f=q&amp;hl=en&amp;geocode=&amp;q=43.3536415100098,0.600260019302368</v>
      </c>
    </row>
    <row r="5835" spans="1:7" ht="15" x14ac:dyDescent="0.3">
      <c r="A5835">
        <v>46.501165536434698</v>
      </c>
      <c r="B5835">
        <v>-104.628034674663</v>
      </c>
      <c r="C5835" t="s">
        <v>41</v>
      </c>
      <c r="D5835" t="s">
        <v>3625</v>
      </c>
      <c r="F5835" s="21"/>
      <c r="G5835" s="16" t="str">
        <f>HYPERLINK("http://maps.google.com/maps?f=q&amp;hl=en&amp;geocode=&amp;q=46.5011655364347,-104.628034674663")</f>
        <v>http://maps.google.com/maps?f=q&amp;hl=en&amp;geocode=&amp;q=46.5011655364347,-104.628034674663</v>
      </c>
    </row>
    <row r="5836" spans="1:7" ht="15" x14ac:dyDescent="0.3">
      <c r="A5836">
        <v>42.207771301269503</v>
      </c>
      <c r="B5836">
        <v>-78.134201049804702</v>
      </c>
      <c r="C5836" t="s">
        <v>43</v>
      </c>
      <c r="D5836" t="s">
        <v>3626</v>
      </c>
      <c r="F5836" s="21"/>
      <c r="G5836" s="16" t="str">
        <f>HYPERLINK("http://maps.google.com/maps?f=q&amp;hl=en&amp;geocode=&amp;q=42.2077713012695,-78.1342010498047")</f>
        <v>http://maps.google.com/maps?f=q&amp;hl=en&amp;geocode=&amp;q=42.2077713012695,-78.1342010498047</v>
      </c>
    </row>
    <row r="5837" spans="1:7" ht="15" x14ac:dyDescent="0.3">
      <c r="A5837">
        <v>43.559865522286003</v>
      </c>
      <c r="B5837">
        <v>-116.85537781114201</v>
      </c>
      <c r="C5837" t="s">
        <v>41</v>
      </c>
      <c r="D5837" t="s">
        <v>2384</v>
      </c>
      <c r="F5837" s="21"/>
      <c r="G5837" s="16" t="str">
        <f>HYPERLINK("http://maps.google.com/maps?f=q&amp;hl=en&amp;geocode=&amp;q=43.559865522286,-116.855377811142")</f>
        <v>http://maps.google.com/maps?f=q&amp;hl=en&amp;geocode=&amp;q=43.559865522286,-116.855377811142</v>
      </c>
    </row>
    <row r="5838" spans="1:7" ht="15" x14ac:dyDescent="0.3">
      <c r="A5838">
        <v>40.481560000000002</v>
      </c>
      <c r="B5838">
        <v>-86.3947</v>
      </c>
      <c r="C5838" t="s">
        <v>43</v>
      </c>
      <c r="D5838" t="s">
        <v>3627</v>
      </c>
      <c r="F5838" s="21"/>
      <c r="G5838" s="16" t="str">
        <f>HYPERLINK("http://maps.google.com/maps?f=q&amp;hl=en&amp;geocode=&amp;q=40.48156,-86.3947")</f>
        <v>http://maps.google.com/maps?f=q&amp;hl=en&amp;geocode=&amp;q=40.48156,-86.3947</v>
      </c>
    </row>
    <row r="5839" spans="1:7" ht="15" x14ac:dyDescent="0.3">
      <c r="A5839">
        <v>33.522592460204997</v>
      </c>
      <c r="B5839">
        <v>-84.3815375235136</v>
      </c>
      <c r="C5839" t="s">
        <v>41</v>
      </c>
      <c r="D5839" t="s">
        <v>3628</v>
      </c>
      <c r="F5839" s="21"/>
      <c r="G5839" s="16" t="str">
        <f>HYPERLINK("http://maps.google.com/maps?f=q&amp;hl=en&amp;geocode=&amp;q=33.522592460205,-84.3815375235136")</f>
        <v>http://maps.google.com/maps?f=q&amp;hl=en&amp;geocode=&amp;q=33.522592460205,-84.3815375235136</v>
      </c>
    </row>
    <row r="5840" spans="1:7" ht="15" x14ac:dyDescent="0.3">
      <c r="A5840">
        <v>36.383634418760103</v>
      </c>
      <c r="B5840">
        <v>-78.635280298519305</v>
      </c>
      <c r="C5840" t="s">
        <v>41</v>
      </c>
      <c r="D5840" t="s">
        <v>51</v>
      </c>
      <c r="F5840" s="21"/>
      <c r="G5840" s="16" t="str">
        <f>HYPERLINK("http://maps.google.com/maps?f=q&amp;hl=en&amp;geocode=&amp;q=36.3836344187601,-78.6352802985193")</f>
        <v>http://maps.google.com/maps?f=q&amp;hl=en&amp;geocode=&amp;q=36.3836344187601,-78.6352802985193</v>
      </c>
    </row>
    <row r="5841" spans="1:7" ht="15" x14ac:dyDescent="0.3">
      <c r="A5841">
        <v>39.982709999999997</v>
      </c>
      <c r="B5841">
        <v>-75.165170000000003</v>
      </c>
      <c r="C5841" t="s">
        <v>43</v>
      </c>
      <c r="D5841" t="s">
        <v>3629</v>
      </c>
      <c r="F5841" s="21"/>
      <c r="G5841" s="16" t="str">
        <f>HYPERLINK("http://maps.google.com/maps?f=q&amp;hl=en&amp;geocode=&amp;q=39.98271,-75.16517")</f>
        <v>http://maps.google.com/maps?f=q&amp;hl=en&amp;geocode=&amp;q=39.98271,-75.16517</v>
      </c>
    </row>
    <row r="5842" spans="1:7" ht="15" x14ac:dyDescent="0.3">
      <c r="A5842">
        <v>39.982709999999997</v>
      </c>
      <c r="B5842">
        <v>-75.165170000000003</v>
      </c>
      <c r="C5842" t="s">
        <v>43</v>
      </c>
      <c r="D5842" t="s">
        <v>3629</v>
      </c>
      <c r="F5842" s="21"/>
      <c r="G5842" s="16" t="str">
        <f>HYPERLINK("http://maps.google.com/maps?f=q&amp;hl=en&amp;geocode=&amp;q=39.98271,-75.16517")</f>
        <v>http://maps.google.com/maps?f=q&amp;hl=en&amp;geocode=&amp;q=39.98271,-75.16517</v>
      </c>
    </row>
    <row r="5843" spans="1:7" ht="15" x14ac:dyDescent="0.3">
      <c r="A5843">
        <v>29.94772</v>
      </c>
      <c r="B5843">
        <v>-93.937799999999996</v>
      </c>
      <c r="C5843" t="s">
        <v>41</v>
      </c>
      <c r="D5843" t="s">
        <v>772</v>
      </c>
      <c r="F5843" s="21"/>
      <c r="G5843" s="16" t="str">
        <f>HYPERLINK("http://maps.google.com/maps?f=q&amp;hl=en&amp;geocode=&amp;q=29.94772,-93.9378")</f>
        <v>http://maps.google.com/maps?f=q&amp;hl=en&amp;geocode=&amp;q=29.94772,-93.9378</v>
      </c>
    </row>
    <row r="5844" spans="1:7" ht="15" x14ac:dyDescent="0.3">
      <c r="A5844">
        <v>50.068752288818402</v>
      </c>
      <c r="B5844">
        <v>-85.828125</v>
      </c>
      <c r="C5844" t="s">
        <v>41</v>
      </c>
      <c r="D5844" t="s">
        <v>3630</v>
      </c>
      <c r="F5844" s="21"/>
      <c r="G5844" s="16" t="str">
        <f>HYPERLINK("http://maps.google.com/maps?f=q&amp;hl=en&amp;geocode=&amp;q=50.0687522888184,-85.828125")</f>
        <v>http://maps.google.com/maps?f=q&amp;hl=en&amp;geocode=&amp;q=50.0687522888184,-85.828125</v>
      </c>
    </row>
    <row r="5845" spans="1:7" ht="15" x14ac:dyDescent="0.3">
      <c r="A5845" t="s">
        <v>44</v>
      </c>
      <c r="B5845" t="s">
        <v>44</v>
      </c>
      <c r="C5845" t="s">
        <v>44</v>
      </c>
      <c r="D5845" t="s">
        <v>3631</v>
      </c>
      <c r="F5845" s="21"/>
      <c r="G5845" s="16"/>
    </row>
    <row r="5846" spans="1:7" ht="15" x14ac:dyDescent="0.3">
      <c r="A5846">
        <v>38.998542785644503</v>
      </c>
      <c r="B5846">
        <v>-105.547813415527</v>
      </c>
      <c r="C5846" t="s">
        <v>41</v>
      </c>
      <c r="D5846" t="s">
        <v>3632</v>
      </c>
      <c r="F5846" s="21"/>
      <c r="G5846" s="16" t="str">
        <f>HYPERLINK("http://maps.google.com/maps?f=q&amp;hl=en&amp;geocode=&amp;q=38.9985427856445,-105.547813415527")</f>
        <v>http://maps.google.com/maps?f=q&amp;hl=en&amp;geocode=&amp;q=38.9985427856445,-105.547813415527</v>
      </c>
    </row>
    <row r="5847" spans="1:7" ht="15" x14ac:dyDescent="0.3">
      <c r="A5847">
        <v>41.3164671971902</v>
      </c>
      <c r="B5847">
        <v>-74.968008310126393</v>
      </c>
      <c r="C5847" t="s">
        <v>41</v>
      </c>
      <c r="D5847" t="s">
        <v>3633</v>
      </c>
      <c r="F5847" s="21"/>
      <c r="G5847" s="16" t="str">
        <f>HYPERLINK("http://maps.google.com/maps?f=q&amp;hl=en&amp;geocode=&amp;q=41.3164671971902,-74.9680083101264")</f>
        <v>http://maps.google.com/maps?f=q&amp;hl=en&amp;geocode=&amp;q=41.3164671971902,-74.9680083101264</v>
      </c>
    </row>
    <row r="5848" spans="1:7" ht="15" x14ac:dyDescent="0.3">
      <c r="A5848" t="s">
        <v>44</v>
      </c>
      <c r="B5848" t="s">
        <v>44</v>
      </c>
      <c r="C5848" t="s">
        <v>44</v>
      </c>
      <c r="D5848" t="s">
        <v>456</v>
      </c>
      <c r="F5848" s="21"/>
      <c r="G5848" s="16"/>
    </row>
    <row r="5849" spans="1:7" ht="15" x14ac:dyDescent="0.3">
      <c r="A5849">
        <v>41.092289282046401</v>
      </c>
      <c r="B5849">
        <v>-85.112539796044999</v>
      </c>
      <c r="C5849" t="s">
        <v>41</v>
      </c>
      <c r="D5849" t="s">
        <v>3634</v>
      </c>
      <c r="F5849" s="21"/>
      <c r="G5849" s="16" t="str">
        <f>HYPERLINK("http://maps.google.com/maps?f=q&amp;hl=en&amp;geocode=&amp;q=41.0922892820464,-85.112539796045")</f>
        <v>http://maps.google.com/maps?f=q&amp;hl=en&amp;geocode=&amp;q=41.0922892820464,-85.112539796045</v>
      </c>
    </row>
    <row r="5850" spans="1:7" ht="15" x14ac:dyDescent="0.3">
      <c r="A5850">
        <v>59.922351837158203</v>
      </c>
      <c r="B5850">
        <v>11.178321838378899</v>
      </c>
      <c r="C5850" t="s">
        <v>43</v>
      </c>
      <c r="D5850" t="s">
        <v>3635</v>
      </c>
      <c r="F5850" s="21"/>
      <c r="G5850" s="16" t="str">
        <f>HYPERLINK("http://maps.google.com/maps?f=q&amp;hl=en&amp;geocode=&amp;q=59.9223518371582,11.1783218383789")</f>
        <v>http://maps.google.com/maps?f=q&amp;hl=en&amp;geocode=&amp;q=59.9223518371582,11.1783218383789</v>
      </c>
    </row>
    <row r="5851" spans="1:7" ht="15" x14ac:dyDescent="0.3">
      <c r="A5851">
        <v>39.983104789618302</v>
      </c>
      <c r="B5851">
        <v>-75.101295818850005</v>
      </c>
      <c r="C5851" t="s">
        <v>41</v>
      </c>
      <c r="D5851" t="s">
        <v>3636</v>
      </c>
      <c r="F5851" s="21"/>
      <c r="G5851" s="16" t="str">
        <f>HYPERLINK("http://maps.google.com/maps?f=q&amp;hl=en&amp;geocode=&amp;q=39.9831047896183,-75.10129581885")</f>
        <v>http://maps.google.com/maps?f=q&amp;hl=en&amp;geocode=&amp;q=39.9831047896183,-75.10129581885</v>
      </c>
    </row>
    <row r="5852" spans="1:7" ht="15" x14ac:dyDescent="0.3">
      <c r="A5852">
        <v>50.512950897216797</v>
      </c>
      <c r="B5852">
        <v>3.58831691741943</v>
      </c>
      <c r="C5852" t="s">
        <v>43</v>
      </c>
      <c r="D5852" t="s">
        <v>3637</v>
      </c>
      <c r="F5852" s="21"/>
      <c r="G5852" s="16" t="str">
        <f>HYPERLINK("http://maps.google.com/maps?f=q&amp;hl=en&amp;geocode=&amp;q=50.5129508972168,3.58831691741943")</f>
        <v>http://maps.google.com/maps?f=q&amp;hl=en&amp;geocode=&amp;q=50.5129508972168,3.58831691741943</v>
      </c>
    </row>
    <row r="5853" spans="1:7" ht="15" x14ac:dyDescent="0.3">
      <c r="A5853">
        <v>40.024978839954898</v>
      </c>
      <c r="B5853">
        <v>-75.117203759972398</v>
      </c>
      <c r="C5853" t="s">
        <v>43</v>
      </c>
      <c r="D5853" t="s">
        <v>3638</v>
      </c>
      <c r="F5853" s="21"/>
      <c r="G5853" s="16" t="str">
        <f>HYPERLINK("http://maps.google.com/maps?f=q&amp;hl=en&amp;geocode=&amp;q=40.0249788399549,-75.1172037599724")</f>
        <v>http://maps.google.com/maps?f=q&amp;hl=en&amp;geocode=&amp;q=40.0249788399549,-75.1172037599724</v>
      </c>
    </row>
    <row r="5854" spans="1:7" ht="15" x14ac:dyDescent="0.3">
      <c r="A5854">
        <v>50.587699890136697</v>
      </c>
      <c r="B5854">
        <v>4.32674217224121</v>
      </c>
      <c r="C5854" t="s">
        <v>43</v>
      </c>
      <c r="D5854" t="s">
        <v>3639</v>
      </c>
      <c r="F5854" s="21"/>
      <c r="G5854" s="16" t="str">
        <f>HYPERLINK("http://maps.google.com/maps?f=q&amp;hl=en&amp;geocode=&amp;q=50.5876998901367,4.32674217224121")</f>
        <v>http://maps.google.com/maps?f=q&amp;hl=en&amp;geocode=&amp;q=50.5876998901367,4.32674217224121</v>
      </c>
    </row>
    <row r="5855" spans="1:7" ht="15" x14ac:dyDescent="0.3">
      <c r="A5855">
        <v>49.595691680908203</v>
      </c>
      <c r="B5855">
        <v>6.11594915390015</v>
      </c>
      <c r="C5855" t="s">
        <v>41</v>
      </c>
      <c r="D5855" t="s">
        <v>3640</v>
      </c>
      <c r="F5855" s="21"/>
      <c r="G5855" s="16" t="str">
        <f>HYPERLINK("http://maps.google.com/maps?f=q&amp;hl=en&amp;geocode=&amp;q=49.5956916809082,6.11594915390015")</f>
        <v>http://maps.google.com/maps?f=q&amp;hl=en&amp;geocode=&amp;q=49.5956916809082,6.11594915390015</v>
      </c>
    </row>
    <row r="5856" spans="1:7" ht="15" x14ac:dyDescent="0.3">
      <c r="A5856">
        <v>48.214225769042997</v>
      </c>
      <c r="B5856">
        <v>16.485546112060501</v>
      </c>
      <c r="C5856" t="s">
        <v>43</v>
      </c>
      <c r="D5856" t="s">
        <v>2894</v>
      </c>
      <c r="F5856" s="21"/>
      <c r="G5856" s="16" t="str">
        <f>HYPERLINK("http://maps.google.com/maps?f=q&amp;hl=en&amp;geocode=&amp;q=48.214225769043,16.4855461120605")</f>
        <v>http://maps.google.com/maps?f=q&amp;hl=en&amp;geocode=&amp;q=48.214225769043,16.4855461120605</v>
      </c>
    </row>
    <row r="5857" spans="1:7" ht="15" x14ac:dyDescent="0.3">
      <c r="A5857" t="s">
        <v>44</v>
      </c>
      <c r="B5857" t="s">
        <v>44</v>
      </c>
      <c r="C5857" t="s">
        <v>44</v>
      </c>
      <c r="D5857" t="s">
        <v>3641</v>
      </c>
      <c r="F5857" s="21"/>
      <c r="G5857" s="16"/>
    </row>
    <row r="5858" spans="1:7" ht="15" x14ac:dyDescent="0.3">
      <c r="A5858">
        <v>42.7791938781738</v>
      </c>
      <c r="B5858">
        <v>-73.691421508789105</v>
      </c>
      <c r="C5858" t="s">
        <v>43</v>
      </c>
      <c r="D5858" t="s">
        <v>1559</v>
      </c>
      <c r="F5858" s="21"/>
      <c r="G5858" s="16" t="str">
        <f>HYPERLINK("http://maps.google.com/maps?f=q&amp;hl=en&amp;geocode=&amp;q=42.7791938781738,-73.6914215087891")</f>
        <v>http://maps.google.com/maps?f=q&amp;hl=en&amp;geocode=&amp;q=42.7791938781738,-73.6914215087891</v>
      </c>
    </row>
    <row r="5859" spans="1:7" ht="15" x14ac:dyDescent="0.3">
      <c r="A5859">
        <v>59.649818420410199</v>
      </c>
      <c r="B5859">
        <v>10.673749923706101</v>
      </c>
      <c r="C5859" t="s">
        <v>43</v>
      </c>
      <c r="D5859" t="s">
        <v>3642</v>
      </c>
      <c r="F5859" s="21"/>
      <c r="G5859" s="16" t="str">
        <f>HYPERLINK("http://maps.google.com/maps?f=q&amp;hl=en&amp;geocode=&amp;q=59.6498184204102,10.6737499237061")</f>
        <v>http://maps.google.com/maps?f=q&amp;hl=en&amp;geocode=&amp;q=59.6498184204102,10.6737499237061</v>
      </c>
    </row>
    <row r="5860" spans="1:7" ht="15" x14ac:dyDescent="0.3">
      <c r="A5860" t="s">
        <v>44</v>
      </c>
      <c r="B5860" t="s">
        <v>44</v>
      </c>
      <c r="C5860" t="s">
        <v>44</v>
      </c>
      <c r="D5860" t="s">
        <v>1386</v>
      </c>
      <c r="F5860" s="21"/>
      <c r="G5860" s="16"/>
    </row>
    <row r="5861" spans="1:7" ht="15" x14ac:dyDescent="0.3">
      <c r="A5861">
        <v>39.963529999999999</v>
      </c>
      <c r="B5861">
        <v>-75.24042</v>
      </c>
      <c r="C5861" t="s">
        <v>43</v>
      </c>
      <c r="D5861" t="s">
        <v>3643</v>
      </c>
      <c r="F5861" s="21"/>
      <c r="G5861" s="16" t="str">
        <f>HYPERLINK("http://maps.google.com/maps?f=q&amp;hl=en&amp;geocode=&amp;q=39.96353,-75.24042")</f>
        <v>http://maps.google.com/maps?f=q&amp;hl=en&amp;geocode=&amp;q=39.96353,-75.24042</v>
      </c>
    </row>
    <row r="5862" spans="1:7" ht="15" x14ac:dyDescent="0.3">
      <c r="A5862">
        <v>38.563569999999999</v>
      </c>
      <c r="B5862">
        <v>-90.325370000000007</v>
      </c>
      <c r="C5862" t="s">
        <v>41</v>
      </c>
      <c r="D5862" t="s">
        <v>3644</v>
      </c>
      <c r="F5862" s="21"/>
      <c r="G5862" s="16" t="str">
        <f>HYPERLINK("http://maps.google.com/maps?f=q&amp;hl=en&amp;geocode=&amp;q=38.56357,-90.32537")</f>
        <v>http://maps.google.com/maps?f=q&amp;hl=en&amp;geocode=&amp;q=38.56357,-90.32537</v>
      </c>
    </row>
    <row r="5863" spans="1:7" ht="15" x14ac:dyDescent="0.3">
      <c r="A5863">
        <v>39.151271820068402</v>
      </c>
      <c r="B5863">
        <v>-76.764373779296903</v>
      </c>
      <c r="C5863" t="s">
        <v>43</v>
      </c>
      <c r="D5863" t="s">
        <v>1200</v>
      </c>
      <c r="F5863" s="21"/>
      <c r="G5863" s="16" t="str">
        <f>HYPERLINK("http://maps.google.com/maps?f=q&amp;hl=en&amp;geocode=&amp;q=39.1512718200684,-76.7643737792969")</f>
        <v>http://maps.google.com/maps?f=q&amp;hl=en&amp;geocode=&amp;q=39.1512718200684,-76.7643737792969</v>
      </c>
    </row>
    <row r="5864" spans="1:7" ht="15" x14ac:dyDescent="0.3">
      <c r="A5864">
        <v>39.151271820068402</v>
      </c>
      <c r="B5864">
        <v>-76.764373779296903</v>
      </c>
      <c r="C5864" t="s">
        <v>43</v>
      </c>
      <c r="D5864" t="s">
        <v>1200</v>
      </c>
      <c r="F5864" s="21"/>
      <c r="G5864" s="16" t="str">
        <f>HYPERLINK("http://maps.google.com/maps?f=q&amp;hl=en&amp;geocode=&amp;q=39.1512718200684,-76.7643737792969")</f>
        <v>http://maps.google.com/maps?f=q&amp;hl=en&amp;geocode=&amp;q=39.1512718200684,-76.7643737792969</v>
      </c>
    </row>
    <row r="5865" spans="1:7" ht="15" x14ac:dyDescent="0.3">
      <c r="A5865">
        <v>34.066528683002304</v>
      </c>
      <c r="B5865">
        <v>-118.45326577754</v>
      </c>
      <c r="C5865" t="s">
        <v>43</v>
      </c>
      <c r="D5865" t="s">
        <v>3327</v>
      </c>
      <c r="F5865" s="21"/>
      <c r="G5865" s="16" t="str">
        <f>HYPERLINK("http://maps.google.com/maps?f=q&amp;hl=en&amp;geocode=&amp;q=34.0665286830023,-118.45326577754")</f>
        <v>http://maps.google.com/maps?f=q&amp;hl=en&amp;geocode=&amp;q=34.0665286830023,-118.45326577754</v>
      </c>
    </row>
    <row r="5866" spans="1:7" ht="15" x14ac:dyDescent="0.3">
      <c r="A5866">
        <v>39.97186</v>
      </c>
      <c r="B5866">
        <v>-75.244879999999995</v>
      </c>
      <c r="C5866" t="s">
        <v>43</v>
      </c>
      <c r="D5866" t="s">
        <v>3645</v>
      </c>
      <c r="F5866" s="21"/>
      <c r="G5866" s="16" t="str">
        <f>HYPERLINK("http://maps.google.com/maps?f=q&amp;hl=en&amp;geocode=&amp;q=39.97186,-75.24488")</f>
        <v>http://maps.google.com/maps?f=q&amp;hl=en&amp;geocode=&amp;q=39.97186,-75.24488</v>
      </c>
    </row>
    <row r="5867" spans="1:7" ht="15" x14ac:dyDescent="0.3">
      <c r="A5867">
        <v>48.951988471068198</v>
      </c>
      <c r="B5867">
        <v>-117.758806523689</v>
      </c>
      <c r="C5867" t="s">
        <v>41</v>
      </c>
      <c r="D5867" t="s">
        <v>3646</v>
      </c>
      <c r="F5867" s="21"/>
      <c r="G5867" s="16" t="str">
        <f>HYPERLINK("http://maps.google.com/maps?f=q&amp;hl=en&amp;geocode=&amp;q=48.9519884710682,-117.758806523689")</f>
        <v>http://maps.google.com/maps?f=q&amp;hl=en&amp;geocode=&amp;q=48.9519884710682,-117.758806523689</v>
      </c>
    </row>
    <row r="5868" spans="1:7" ht="15" x14ac:dyDescent="0.3">
      <c r="A5868">
        <v>38.548864000000002</v>
      </c>
      <c r="B5868">
        <v>-77.080082000000004</v>
      </c>
      <c r="C5868" t="s">
        <v>41</v>
      </c>
      <c r="D5868" t="s">
        <v>3647</v>
      </c>
      <c r="F5868" s="21"/>
      <c r="G5868" s="16" t="str">
        <f>HYPERLINK("http://maps.google.com/maps?f=q&amp;hl=en&amp;geocode=&amp;q=38.548864,-77.080082")</f>
        <v>http://maps.google.com/maps?f=q&amp;hl=en&amp;geocode=&amp;q=38.548864,-77.080082</v>
      </c>
    </row>
    <row r="5869" spans="1:7" ht="15" x14ac:dyDescent="0.3">
      <c r="A5869">
        <v>38.5483259881454</v>
      </c>
      <c r="B5869">
        <v>-77.081953591415797</v>
      </c>
      <c r="C5869" t="s">
        <v>41</v>
      </c>
      <c r="D5869" t="s">
        <v>3648</v>
      </c>
      <c r="F5869" s="21"/>
      <c r="G5869" s="16" t="str">
        <f>HYPERLINK("http://maps.google.com/maps?f=q&amp;hl=en&amp;geocode=&amp;q=38.5483259881454,-77.0819535914158")</f>
        <v>http://maps.google.com/maps?f=q&amp;hl=en&amp;geocode=&amp;q=38.5483259881454,-77.0819535914158</v>
      </c>
    </row>
    <row r="5870" spans="1:7" ht="15" x14ac:dyDescent="0.3">
      <c r="A5870" t="s">
        <v>44</v>
      </c>
      <c r="B5870" t="s">
        <v>44</v>
      </c>
      <c r="C5870" t="s">
        <v>44</v>
      </c>
      <c r="D5870" t="s">
        <v>1264</v>
      </c>
      <c r="F5870" s="21"/>
      <c r="G5870" s="16"/>
    </row>
    <row r="5871" spans="1:7" ht="15" x14ac:dyDescent="0.3">
      <c r="A5871">
        <v>38.5483259881454</v>
      </c>
      <c r="B5871">
        <v>-77.081953591415797</v>
      </c>
      <c r="C5871" t="s">
        <v>41</v>
      </c>
      <c r="D5871" t="s">
        <v>3648</v>
      </c>
      <c r="F5871" s="21"/>
      <c r="G5871" s="16" t="str">
        <f>HYPERLINK("http://maps.google.com/maps?f=q&amp;hl=en&amp;geocode=&amp;q=38.5483259881454,-77.0819535914158")</f>
        <v>http://maps.google.com/maps?f=q&amp;hl=en&amp;geocode=&amp;q=38.5483259881454,-77.0819535914158</v>
      </c>
    </row>
    <row r="5872" spans="1:7" ht="15" x14ac:dyDescent="0.3">
      <c r="A5872">
        <v>35.428350000000002</v>
      </c>
      <c r="B5872">
        <v>-97.134460000000004</v>
      </c>
      <c r="C5872" t="s">
        <v>42</v>
      </c>
      <c r="D5872" t="s">
        <v>276</v>
      </c>
      <c r="F5872" s="21"/>
      <c r="G5872" s="16" t="str">
        <f>HYPERLINK("http://maps.google.com/maps?f=q&amp;hl=en&amp;geocode=&amp;q=35.42835,-97.13446")</f>
        <v>http://maps.google.com/maps?f=q&amp;hl=en&amp;geocode=&amp;q=35.42835,-97.13446</v>
      </c>
    </row>
    <row r="5873" spans="1:7" ht="15" x14ac:dyDescent="0.3">
      <c r="A5873">
        <v>39.767690000000002</v>
      </c>
      <c r="B5873">
        <v>-86.355770000000007</v>
      </c>
      <c r="C5873" t="s">
        <v>42</v>
      </c>
      <c r="D5873" t="s">
        <v>1150</v>
      </c>
      <c r="F5873" s="21"/>
      <c r="G5873" s="16" t="str">
        <f>HYPERLINK("http://maps.google.com/maps?f=q&amp;hl=en&amp;geocode=&amp;q=39.76769,-86.35577")</f>
        <v>http://maps.google.com/maps?f=q&amp;hl=en&amp;geocode=&amp;q=39.76769,-86.35577</v>
      </c>
    </row>
    <row r="5874" spans="1:7" ht="15" x14ac:dyDescent="0.3">
      <c r="A5874">
        <v>32.282751886813301</v>
      </c>
      <c r="B5874">
        <v>-90.203713750646799</v>
      </c>
      <c r="C5874" t="s">
        <v>41</v>
      </c>
      <c r="D5874" t="s">
        <v>3649</v>
      </c>
      <c r="F5874" s="21"/>
      <c r="G5874" s="16" t="str">
        <f>HYPERLINK("http://maps.google.com/maps?f=q&amp;hl=en&amp;geocode=&amp;q=32.2827518868133,-90.2037137506468")</f>
        <v>http://maps.google.com/maps?f=q&amp;hl=en&amp;geocode=&amp;q=32.2827518868133,-90.2037137506468</v>
      </c>
    </row>
    <row r="5875" spans="1:7" ht="15" x14ac:dyDescent="0.3">
      <c r="A5875">
        <v>40.847292798512697</v>
      </c>
      <c r="B5875">
        <v>-73.9212038686846</v>
      </c>
      <c r="C5875" t="s">
        <v>41</v>
      </c>
      <c r="D5875" t="s">
        <v>3650</v>
      </c>
      <c r="F5875" s="21"/>
      <c r="G5875" s="16" t="str">
        <f>HYPERLINK("http://maps.google.com/maps?f=q&amp;hl=en&amp;geocode=&amp;q=40.8472927985127,-73.9212038686846")</f>
        <v>http://maps.google.com/maps?f=q&amp;hl=en&amp;geocode=&amp;q=40.8472927985127,-73.9212038686846</v>
      </c>
    </row>
    <row r="5876" spans="1:7" ht="15" x14ac:dyDescent="0.3">
      <c r="A5876">
        <v>40.052770000000002</v>
      </c>
      <c r="B5876">
        <v>-75.098330000000004</v>
      </c>
      <c r="C5876" t="s">
        <v>41</v>
      </c>
      <c r="D5876" t="s">
        <v>3651</v>
      </c>
      <c r="F5876" s="21"/>
      <c r="G5876" s="16" t="str">
        <f>HYPERLINK("http://maps.google.com/maps?f=q&amp;hl=en&amp;geocode=&amp;q=40.05277,-75.09833")</f>
        <v>http://maps.google.com/maps?f=q&amp;hl=en&amp;geocode=&amp;q=40.05277,-75.09833</v>
      </c>
    </row>
    <row r="5877" spans="1:7" ht="15" x14ac:dyDescent="0.3">
      <c r="A5877">
        <v>39.131929884186697</v>
      </c>
      <c r="B5877">
        <v>-85.120071324193702</v>
      </c>
      <c r="C5877" t="s">
        <v>41</v>
      </c>
      <c r="D5877" t="s">
        <v>3563</v>
      </c>
      <c r="F5877" s="21"/>
      <c r="G5877" s="16" t="str">
        <f>HYPERLINK("http://maps.google.com/maps?f=q&amp;hl=en&amp;geocode=&amp;q=39.1319298841867,-85.1200713241937")</f>
        <v>http://maps.google.com/maps?f=q&amp;hl=en&amp;geocode=&amp;q=39.1319298841867,-85.1200713241937</v>
      </c>
    </row>
    <row r="5878" spans="1:7" ht="15" x14ac:dyDescent="0.3">
      <c r="A5878">
        <v>39.918970000000002</v>
      </c>
      <c r="B5878">
        <v>-75.223219999999998</v>
      </c>
      <c r="C5878" t="s">
        <v>41</v>
      </c>
      <c r="D5878" t="s">
        <v>2019</v>
      </c>
      <c r="F5878" s="21"/>
      <c r="G5878" s="16" t="str">
        <f>HYPERLINK("http://maps.google.com/maps?f=q&amp;hl=en&amp;geocode=&amp;q=39.91897,-75.22322")</f>
        <v>http://maps.google.com/maps?f=q&amp;hl=en&amp;geocode=&amp;q=39.91897,-75.22322</v>
      </c>
    </row>
    <row r="5879" spans="1:7" ht="15" x14ac:dyDescent="0.3">
      <c r="A5879">
        <v>39.95655</v>
      </c>
      <c r="B5879">
        <v>-75.241889999999998</v>
      </c>
      <c r="C5879" t="s">
        <v>43</v>
      </c>
      <c r="D5879" t="s">
        <v>2770</v>
      </c>
      <c r="F5879" s="21"/>
      <c r="G5879" s="16" t="str">
        <f>HYPERLINK("http://maps.google.com/maps?f=q&amp;hl=en&amp;geocode=&amp;q=39.95655,-75.24189")</f>
        <v>http://maps.google.com/maps?f=q&amp;hl=en&amp;geocode=&amp;q=39.95655,-75.24189</v>
      </c>
    </row>
    <row r="5880" spans="1:7" ht="15" x14ac:dyDescent="0.3">
      <c r="A5880">
        <v>51.508678436279297</v>
      </c>
      <c r="B5880">
        <v>-0.14388999342918399</v>
      </c>
      <c r="C5880" t="s">
        <v>41</v>
      </c>
      <c r="D5880" t="s">
        <v>1348</v>
      </c>
      <c r="F5880" s="21"/>
      <c r="G5880" s="16" t="str">
        <f>HYPERLINK("http://maps.google.com/maps?f=q&amp;hl=en&amp;geocode=&amp;q=51.5086784362793,-0.143889993429184")</f>
        <v>http://maps.google.com/maps?f=q&amp;hl=en&amp;geocode=&amp;q=51.5086784362793,-0.143889993429184</v>
      </c>
    </row>
    <row r="5881" spans="1:7" ht="15" x14ac:dyDescent="0.3">
      <c r="A5881" t="s">
        <v>44</v>
      </c>
      <c r="B5881" t="s">
        <v>44</v>
      </c>
      <c r="C5881" t="s">
        <v>44</v>
      </c>
      <c r="D5881" t="s">
        <v>3652</v>
      </c>
      <c r="F5881" s="21"/>
      <c r="G5881" s="16"/>
    </row>
    <row r="5882" spans="1:7" ht="15" x14ac:dyDescent="0.3">
      <c r="A5882">
        <v>39.926000000000002</v>
      </c>
      <c r="B5882">
        <v>-75.172690000000003</v>
      </c>
      <c r="C5882" t="s">
        <v>43</v>
      </c>
      <c r="D5882" t="s">
        <v>3653</v>
      </c>
      <c r="F5882" s="21"/>
      <c r="G5882" s="16" t="str">
        <f>HYPERLINK("http://maps.google.com/maps?f=q&amp;hl=en&amp;geocode=&amp;q=39.926,-75.17269")</f>
        <v>http://maps.google.com/maps?f=q&amp;hl=en&amp;geocode=&amp;q=39.926,-75.17269</v>
      </c>
    </row>
    <row r="5883" spans="1:7" ht="15" x14ac:dyDescent="0.3">
      <c r="A5883" t="s">
        <v>44</v>
      </c>
      <c r="B5883" t="s">
        <v>44</v>
      </c>
      <c r="C5883" t="s">
        <v>44</v>
      </c>
      <c r="D5883" t="s">
        <v>3654</v>
      </c>
      <c r="F5883" s="21"/>
      <c r="G5883" s="16"/>
    </row>
    <row r="5884" spans="1:7" ht="15" x14ac:dyDescent="0.3">
      <c r="A5884">
        <v>40.078620000000001</v>
      </c>
      <c r="B5884">
        <v>-75.086420000000004</v>
      </c>
      <c r="C5884" t="s">
        <v>41</v>
      </c>
      <c r="D5884" t="s">
        <v>247</v>
      </c>
      <c r="F5884" s="21"/>
      <c r="G5884" s="16" t="str">
        <f>HYPERLINK("http://maps.google.com/maps?f=q&amp;hl=en&amp;geocode=&amp;q=40.07862,-75.08642")</f>
        <v>http://maps.google.com/maps?f=q&amp;hl=en&amp;geocode=&amp;q=40.07862,-75.08642</v>
      </c>
    </row>
    <row r="5885" spans="1:7" ht="15" x14ac:dyDescent="0.3">
      <c r="A5885">
        <v>38.025058746337898</v>
      </c>
      <c r="B5885">
        <v>-80.276618957519503</v>
      </c>
      <c r="C5885" t="s">
        <v>43</v>
      </c>
      <c r="D5885" t="s">
        <v>675</v>
      </c>
      <c r="F5885" s="21"/>
      <c r="G5885" s="16" t="str">
        <f>HYPERLINK("http://maps.google.com/maps?f=q&amp;hl=en&amp;geocode=&amp;q=38.0250587463379,-80.2766189575195")</f>
        <v>http://maps.google.com/maps?f=q&amp;hl=en&amp;geocode=&amp;q=38.0250587463379,-80.2766189575195</v>
      </c>
    </row>
    <row r="5886" spans="1:7" ht="15" x14ac:dyDescent="0.3">
      <c r="A5886">
        <v>38.025058746337898</v>
      </c>
      <c r="B5886">
        <v>-80.276618957519503</v>
      </c>
      <c r="C5886" t="s">
        <v>43</v>
      </c>
      <c r="D5886" t="s">
        <v>675</v>
      </c>
      <c r="F5886" s="21"/>
      <c r="G5886" s="16" t="str">
        <f>HYPERLINK("http://maps.google.com/maps?f=q&amp;hl=en&amp;geocode=&amp;q=38.0250587463379,-80.2766189575195")</f>
        <v>http://maps.google.com/maps?f=q&amp;hl=en&amp;geocode=&amp;q=38.0250587463379,-80.2766189575195</v>
      </c>
    </row>
    <row r="5887" spans="1:7" ht="15" x14ac:dyDescent="0.3">
      <c r="A5887">
        <v>9.8849916458129901</v>
      </c>
      <c r="B5887">
        <v>-84.227233886718807</v>
      </c>
      <c r="C5887" t="s">
        <v>41</v>
      </c>
      <c r="D5887" t="s">
        <v>3655</v>
      </c>
      <c r="F5887" s="21"/>
      <c r="G5887" s="16" t="str">
        <f>HYPERLINK("http://maps.google.com/maps?f=q&amp;hl=en&amp;geocode=&amp;q=9.88499164581299,-84.2272338867188")</f>
        <v>http://maps.google.com/maps?f=q&amp;hl=en&amp;geocode=&amp;q=9.88499164581299,-84.2272338867188</v>
      </c>
    </row>
    <row r="5888" spans="1:7" ht="15" x14ac:dyDescent="0.3">
      <c r="A5888">
        <v>39.960470000000001</v>
      </c>
      <c r="B5888">
        <v>-75.241069999999993</v>
      </c>
      <c r="C5888" t="s">
        <v>43</v>
      </c>
      <c r="D5888" t="s">
        <v>3386</v>
      </c>
      <c r="F5888" s="21"/>
      <c r="G5888" s="16" t="str">
        <f>HYPERLINK("http://maps.google.com/maps?f=q&amp;hl=en&amp;geocode=&amp;q=39.96047,-75.24107")</f>
        <v>http://maps.google.com/maps?f=q&amp;hl=en&amp;geocode=&amp;q=39.96047,-75.24107</v>
      </c>
    </row>
    <row r="5889" spans="1:7" ht="15" x14ac:dyDescent="0.3">
      <c r="A5889">
        <v>40.078620000000001</v>
      </c>
      <c r="B5889">
        <v>-75.086420000000004</v>
      </c>
      <c r="C5889" t="s">
        <v>41</v>
      </c>
      <c r="D5889" t="s">
        <v>247</v>
      </c>
      <c r="F5889" s="21"/>
      <c r="G5889" s="16" t="str">
        <f>HYPERLINK("http://maps.google.com/maps?f=q&amp;hl=en&amp;geocode=&amp;q=40.07862,-75.08642")</f>
        <v>http://maps.google.com/maps?f=q&amp;hl=en&amp;geocode=&amp;q=40.07862,-75.08642</v>
      </c>
    </row>
    <row r="5890" spans="1:7" ht="15" x14ac:dyDescent="0.3">
      <c r="A5890">
        <v>39.960470000000001</v>
      </c>
      <c r="B5890">
        <v>-75.241069999999993</v>
      </c>
      <c r="C5890" t="s">
        <v>43</v>
      </c>
      <c r="D5890" t="s">
        <v>3386</v>
      </c>
      <c r="F5890" s="21"/>
      <c r="G5890" s="16" t="str">
        <f>HYPERLINK("http://maps.google.com/maps?f=q&amp;hl=en&amp;geocode=&amp;q=39.96047,-75.24107")</f>
        <v>http://maps.google.com/maps?f=q&amp;hl=en&amp;geocode=&amp;q=39.96047,-75.24107</v>
      </c>
    </row>
    <row r="5891" spans="1:7" ht="15" x14ac:dyDescent="0.3">
      <c r="A5891">
        <v>39.960470000000001</v>
      </c>
      <c r="B5891">
        <v>-75.241069999999993</v>
      </c>
      <c r="C5891" t="s">
        <v>43</v>
      </c>
      <c r="D5891" t="s">
        <v>3386</v>
      </c>
      <c r="F5891" s="21"/>
      <c r="G5891" s="16" t="str">
        <f>HYPERLINK("http://maps.google.com/maps?f=q&amp;hl=en&amp;geocode=&amp;q=39.96047,-75.24107")</f>
        <v>http://maps.google.com/maps?f=q&amp;hl=en&amp;geocode=&amp;q=39.96047,-75.24107</v>
      </c>
    </row>
    <row r="5892" spans="1:7" ht="15" x14ac:dyDescent="0.3">
      <c r="A5892">
        <v>38.159950000000002</v>
      </c>
      <c r="B5892">
        <v>-97.116330000000005</v>
      </c>
      <c r="C5892" t="s">
        <v>43</v>
      </c>
      <c r="D5892" t="s">
        <v>3656</v>
      </c>
      <c r="F5892" s="21"/>
      <c r="G5892" s="16" t="str">
        <f>HYPERLINK("http://maps.google.com/maps?f=q&amp;hl=en&amp;geocode=&amp;q=38.15995,-97.11633")</f>
        <v>http://maps.google.com/maps?f=q&amp;hl=en&amp;geocode=&amp;q=38.15995,-97.11633</v>
      </c>
    </row>
    <row r="5893" spans="1:7" ht="15" x14ac:dyDescent="0.3">
      <c r="A5893">
        <v>40.028209469366899</v>
      </c>
      <c r="B5893">
        <v>-75.225615216838193</v>
      </c>
      <c r="C5893" t="s">
        <v>41</v>
      </c>
      <c r="D5893" t="s">
        <v>166</v>
      </c>
      <c r="F5893" s="21"/>
      <c r="G5893" s="16" t="str">
        <f>HYPERLINK("http://maps.google.com/maps?f=q&amp;hl=en&amp;geocode=&amp;q=40.0282094693669,-75.2256152168382")</f>
        <v>http://maps.google.com/maps?f=q&amp;hl=en&amp;geocode=&amp;q=40.0282094693669,-75.2256152168382</v>
      </c>
    </row>
    <row r="5894" spans="1:7" ht="15" x14ac:dyDescent="0.3">
      <c r="A5894">
        <v>-33.892009999999999</v>
      </c>
      <c r="B5894">
        <v>137.62852000000001</v>
      </c>
      <c r="C5894" t="s">
        <v>41</v>
      </c>
      <c r="D5894" t="s">
        <v>2814</v>
      </c>
      <c r="F5894" s="21"/>
      <c r="G5894" s="16" t="str">
        <f>HYPERLINK("http://maps.google.com/maps?f=q&amp;hl=en&amp;geocode=&amp;q=-33.89201,137.62852")</f>
        <v>http://maps.google.com/maps?f=q&amp;hl=en&amp;geocode=&amp;q=-33.89201,137.62852</v>
      </c>
    </row>
    <row r="5895" spans="1:7" ht="15" x14ac:dyDescent="0.3">
      <c r="A5895" t="s">
        <v>44</v>
      </c>
      <c r="B5895" t="s">
        <v>44</v>
      </c>
      <c r="C5895" t="s">
        <v>44</v>
      </c>
      <c r="D5895" t="s">
        <v>3657</v>
      </c>
      <c r="F5895" s="21"/>
      <c r="G5895" s="16"/>
    </row>
    <row r="5896" spans="1:7" ht="15" x14ac:dyDescent="0.3">
      <c r="A5896">
        <v>-33.299518585205099</v>
      </c>
      <c r="B5896">
        <v>149.01606750488301</v>
      </c>
      <c r="C5896" t="s">
        <v>43</v>
      </c>
      <c r="D5896" t="s">
        <v>3658</v>
      </c>
      <c r="F5896" s="21"/>
      <c r="G5896" s="16" t="str">
        <f>HYPERLINK("http://maps.google.com/maps?f=q&amp;hl=en&amp;geocode=&amp;q=-33.2995185852051,149.016067504883")</f>
        <v>http://maps.google.com/maps?f=q&amp;hl=en&amp;geocode=&amp;q=-33.2995185852051,149.016067504883</v>
      </c>
    </row>
    <row r="5897" spans="1:7" ht="15" x14ac:dyDescent="0.3">
      <c r="A5897">
        <v>35.428350000000002</v>
      </c>
      <c r="B5897">
        <v>-97.134460000000004</v>
      </c>
      <c r="C5897" t="s">
        <v>42</v>
      </c>
      <c r="D5897" t="s">
        <v>3659</v>
      </c>
      <c r="F5897" s="21"/>
      <c r="G5897" s="16" t="str">
        <f>HYPERLINK("http://maps.google.com/maps?f=q&amp;hl=en&amp;geocode=&amp;q=35.42835,-97.13446")</f>
        <v>http://maps.google.com/maps?f=q&amp;hl=en&amp;geocode=&amp;q=35.42835,-97.13446</v>
      </c>
    </row>
    <row r="5898" spans="1:7" ht="15" x14ac:dyDescent="0.3">
      <c r="A5898">
        <v>40.030799999999999</v>
      </c>
      <c r="B5898">
        <v>-75.178600000000003</v>
      </c>
      <c r="C5898" t="s">
        <v>43</v>
      </c>
      <c r="D5898" t="s">
        <v>3660</v>
      </c>
      <c r="F5898" s="21"/>
      <c r="G5898" s="16" t="str">
        <f>HYPERLINK("http://maps.google.com/maps?f=q&amp;hl=en&amp;geocode=&amp;q=40.0308,-75.1786")</f>
        <v>http://maps.google.com/maps?f=q&amp;hl=en&amp;geocode=&amp;q=40.0308,-75.1786</v>
      </c>
    </row>
    <row r="5899" spans="1:7" ht="15" x14ac:dyDescent="0.3">
      <c r="A5899">
        <v>33.261683870534704</v>
      </c>
      <c r="B5899">
        <v>-111.88401875752101</v>
      </c>
      <c r="C5899" t="s">
        <v>43</v>
      </c>
      <c r="D5899" t="s">
        <v>3661</v>
      </c>
      <c r="F5899" s="21"/>
      <c r="G5899" s="16" t="str">
        <f>HYPERLINK("http://maps.google.com/maps?f=q&amp;hl=en&amp;geocode=&amp;q=33.2616838705347,-111.884018757521")</f>
        <v>http://maps.google.com/maps?f=q&amp;hl=en&amp;geocode=&amp;q=33.2616838705347,-111.884018757521</v>
      </c>
    </row>
    <row r="5900" spans="1:7" ht="15" x14ac:dyDescent="0.3">
      <c r="F5900" s="21"/>
      <c r="G5900" s="16"/>
    </row>
    <row r="5901" spans="1:7" ht="15" x14ac:dyDescent="0.3">
      <c r="A5901">
        <v>-36.701439999999998</v>
      </c>
      <c r="B5901">
        <v>142.19977</v>
      </c>
      <c r="C5901" t="s">
        <v>41</v>
      </c>
      <c r="D5901" t="s">
        <v>2300</v>
      </c>
      <c r="F5901" s="21"/>
      <c r="G5901" s="16" t="str">
        <f>HYPERLINK("http://maps.google.com/maps?f=q&amp;hl=en&amp;geocode=&amp;q=-36.70144,142.19977")</f>
        <v>http://maps.google.com/maps?f=q&amp;hl=en&amp;geocode=&amp;q=-36.70144,142.19977</v>
      </c>
    </row>
    <row r="5902" spans="1:7" ht="15" x14ac:dyDescent="0.3">
      <c r="A5902">
        <v>-36.701439999999998</v>
      </c>
      <c r="B5902">
        <v>142.19977</v>
      </c>
      <c r="C5902" t="s">
        <v>41</v>
      </c>
      <c r="D5902" t="s">
        <v>2300</v>
      </c>
      <c r="F5902" s="21"/>
      <c r="G5902" s="16" t="str">
        <f>HYPERLINK("http://maps.google.com/maps?f=q&amp;hl=en&amp;geocode=&amp;q=-36.70144,142.19977")</f>
        <v>http://maps.google.com/maps?f=q&amp;hl=en&amp;geocode=&amp;q=-36.70144,142.19977</v>
      </c>
    </row>
    <row r="5903" spans="1:7" ht="15" x14ac:dyDescent="0.3">
      <c r="A5903">
        <v>50.4301147460938</v>
      </c>
      <c r="B5903">
        <v>3.7866749763488801</v>
      </c>
      <c r="C5903" t="s">
        <v>43</v>
      </c>
      <c r="D5903" t="s">
        <v>3662</v>
      </c>
      <c r="F5903" s="21"/>
      <c r="G5903" s="16" t="str">
        <f>HYPERLINK("http://maps.google.com/maps?f=q&amp;hl=en&amp;geocode=&amp;q=50.4301147460938,3.78667497634888")</f>
        <v>http://maps.google.com/maps?f=q&amp;hl=en&amp;geocode=&amp;q=50.4301147460938,3.78667497634888</v>
      </c>
    </row>
    <row r="5904" spans="1:7" ht="15" x14ac:dyDescent="0.3">
      <c r="A5904">
        <v>38.031969406850102</v>
      </c>
      <c r="B5904">
        <v>-87.495693725228705</v>
      </c>
      <c r="C5904" t="s">
        <v>41</v>
      </c>
      <c r="D5904" t="s">
        <v>1375</v>
      </c>
      <c r="F5904" s="21"/>
      <c r="G5904" s="16" t="str">
        <f>HYPERLINK("http://maps.google.com/maps?f=q&amp;hl=en&amp;geocode=&amp;q=38.0319694068501,-87.4956937252287")</f>
        <v>http://maps.google.com/maps?f=q&amp;hl=en&amp;geocode=&amp;q=38.0319694068501,-87.4956937252287</v>
      </c>
    </row>
    <row r="5905" spans="1:7" ht="15" x14ac:dyDescent="0.3">
      <c r="A5905">
        <v>40.036731719970703</v>
      </c>
      <c r="B5905">
        <v>-74.908149719238295</v>
      </c>
      <c r="C5905" t="s">
        <v>43</v>
      </c>
      <c r="D5905" t="s">
        <v>3663</v>
      </c>
      <c r="F5905" s="21"/>
      <c r="G5905" s="16" t="str">
        <f>HYPERLINK("http://maps.google.com/maps?f=q&amp;hl=en&amp;geocode=&amp;q=40.0367317199707,-74.9081497192383")</f>
        <v>http://maps.google.com/maps?f=q&amp;hl=en&amp;geocode=&amp;q=40.0367317199707,-74.9081497192383</v>
      </c>
    </row>
    <row r="5906" spans="1:7" ht="15" x14ac:dyDescent="0.3">
      <c r="A5906">
        <v>32.990949999999998</v>
      </c>
      <c r="B5906">
        <v>-97.446380000000005</v>
      </c>
      <c r="C5906" t="s">
        <v>42</v>
      </c>
      <c r="D5906" t="s">
        <v>3196</v>
      </c>
      <c r="F5906" s="21"/>
      <c r="G5906" s="16" t="str">
        <f>HYPERLINK("http://maps.google.com/maps?f=q&amp;hl=en&amp;geocode=&amp;q=32.99095,-97.44638")</f>
        <v>http://maps.google.com/maps?f=q&amp;hl=en&amp;geocode=&amp;q=32.99095,-97.44638</v>
      </c>
    </row>
    <row r="5907" spans="1:7" ht="15" x14ac:dyDescent="0.3">
      <c r="A5907">
        <v>40.036290000000001</v>
      </c>
      <c r="B5907">
        <v>-75.034649999999999</v>
      </c>
      <c r="C5907" t="s">
        <v>41</v>
      </c>
      <c r="D5907" t="s">
        <v>3664</v>
      </c>
      <c r="F5907" s="21"/>
      <c r="G5907" s="16" t="str">
        <f>HYPERLINK("http://maps.google.com/maps?f=q&amp;hl=en&amp;geocode=&amp;q=40.03629,-75.03465")</f>
        <v>http://maps.google.com/maps?f=q&amp;hl=en&amp;geocode=&amp;q=40.03629,-75.03465</v>
      </c>
    </row>
    <row r="5908" spans="1:7" ht="15" x14ac:dyDescent="0.3">
      <c r="A5908">
        <v>32.990949999999998</v>
      </c>
      <c r="B5908">
        <v>-97.446380000000005</v>
      </c>
      <c r="C5908" t="s">
        <v>43</v>
      </c>
      <c r="D5908" t="s">
        <v>3665</v>
      </c>
      <c r="F5908" s="21"/>
      <c r="G5908" s="16" t="str">
        <f>HYPERLINK("http://maps.google.com/maps?f=q&amp;hl=en&amp;geocode=&amp;q=32.99095,-97.44638")</f>
        <v>http://maps.google.com/maps?f=q&amp;hl=en&amp;geocode=&amp;q=32.99095,-97.44638</v>
      </c>
    </row>
    <row r="5909" spans="1:7" ht="15" x14ac:dyDescent="0.3">
      <c r="A5909" t="s">
        <v>44</v>
      </c>
      <c r="B5909" t="s">
        <v>44</v>
      </c>
      <c r="C5909" t="s">
        <v>44</v>
      </c>
      <c r="D5909" t="s">
        <v>3666</v>
      </c>
      <c r="F5909" s="21"/>
      <c r="G5909" s="16"/>
    </row>
    <row r="5910" spans="1:7" ht="15" x14ac:dyDescent="0.3">
      <c r="A5910">
        <v>49.565975189208999</v>
      </c>
      <c r="B5910">
        <v>6.1607360839843803</v>
      </c>
      <c r="C5910" t="s">
        <v>41</v>
      </c>
      <c r="D5910" t="s">
        <v>3667</v>
      </c>
      <c r="F5910" s="21"/>
      <c r="G5910" s="16" t="str">
        <f>HYPERLINK("http://maps.google.com/maps?f=q&amp;hl=en&amp;geocode=&amp;q=49.565975189209,6.16073608398438")</f>
        <v>http://maps.google.com/maps?f=q&amp;hl=en&amp;geocode=&amp;q=49.565975189209,6.16073608398438</v>
      </c>
    </row>
    <row r="5911" spans="1:7" ht="15" x14ac:dyDescent="0.3">
      <c r="A5911" t="s">
        <v>44</v>
      </c>
      <c r="B5911" t="s">
        <v>44</v>
      </c>
      <c r="C5911" t="s">
        <v>44</v>
      </c>
      <c r="D5911" t="s">
        <v>3668</v>
      </c>
      <c r="F5911" s="21"/>
      <c r="G5911" s="16"/>
    </row>
    <row r="5912" spans="1:7" ht="15" x14ac:dyDescent="0.3">
      <c r="A5912">
        <v>39.8439545413529</v>
      </c>
      <c r="B5912">
        <v>-77.6063966345653</v>
      </c>
      <c r="C5912" t="s">
        <v>41</v>
      </c>
      <c r="D5912" t="s">
        <v>3669</v>
      </c>
      <c r="F5912" s="21"/>
      <c r="G5912" s="16" t="str">
        <f>HYPERLINK("http://maps.google.com/maps?f=q&amp;hl=en&amp;geocode=&amp;q=39.8439545413529,-77.6063966345653")</f>
        <v>http://maps.google.com/maps?f=q&amp;hl=en&amp;geocode=&amp;q=39.8439545413529,-77.6063966345653</v>
      </c>
    </row>
    <row r="5913" spans="1:7" ht="15" x14ac:dyDescent="0.3">
      <c r="A5913">
        <v>49.643913269042997</v>
      </c>
      <c r="B5913">
        <v>6.1248731613159197</v>
      </c>
      <c r="C5913" t="s">
        <v>41</v>
      </c>
      <c r="D5913" t="s">
        <v>3670</v>
      </c>
      <c r="F5913" s="21"/>
      <c r="G5913" s="16" t="str">
        <f>HYPERLINK("http://maps.google.com/maps?f=q&amp;hl=en&amp;geocode=&amp;q=49.643913269043,6.12487316131592")</f>
        <v>http://maps.google.com/maps?f=q&amp;hl=en&amp;geocode=&amp;q=49.643913269043,6.12487316131592</v>
      </c>
    </row>
    <row r="5914" spans="1:7" ht="15" x14ac:dyDescent="0.3">
      <c r="A5914">
        <v>41.292209999999997</v>
      </c>
      <c r="B5914">
        <v>-91.461029999999994</v>
      </c>
      <c r="C5914" t="s">
        <v>41</v>
      </c>
      <c r="D5914" t="s">
        <v>3671</v>
      </c>
      <c r="F5914" s="21"/>
      <c r="G5914" s="16" t="str">
        <f>HYPERLINK("http://maps.google.com/maps?f=q&amp;hl=en&amp;geocode=&amp;q=41.29221,-91.46103")</f>
        <v>http://maps.google.com/maps?f=q&amp;hl=en&amp;geocode=&amp;q=41.29221,-91.46103</v>
      </c>
    </row>
    <row r="5915" spans="1:7" ht="15" x14ac:dyDescent="0.3">
      <c r="A5915">
        <v>-36.864284515380902</v>
      </c>
      <c r="B5915">
        <v>144.31039428710901</v>
      </c>
      <c r="C5915" t="s">
        <v>41</v>
      </c>
      <c r="D5915" t="s">
        <v>2404</v>
      </c>
      <c r="F5915" s="21"/>
      <c r="G5915" s="16" t="str">
        <f>HYPERLINK("http://maps.google.com/maps?f=q&amp;hl=en&amp;geocode=&amp;q=-36.8642845153809,144.310394287109")</f>
        <v>http://maps.google.com/maps?f=q&amp;hl=en&amp;geocode=&amp;q=-36.8642845153809,144.310394287109</v>
      </c>
    </row>
    <row r="5916" spans="1:7" ht="15" x14ac:dyDescent="0.3">
      <c r="A5916">
        <v>39.917529999999999</v>
      </c>
      <c r="B5916">
        <v>-75.238339999999994</v>
      </c>
      <c r="C5916" t="s">
        <v>41</v>
      </c>
      <c r="D5916" t="s">
        <v>3672</v>
      </c>
      <c r="F5916" s="21"/>
      <c r="G5916" s="16" t="str">
        <f>HYPERLINK("http://maps.google.com/maps?f=q&amp;hl=en&amp;geocode=&amp;q=39.91753,-75.23834")</f>
        <v>http://maps.google.com/maps?f=q&amp;hl=en&amp;geocode=&amp;q=39.91753,-75.23834</v>
      </c>
    </row>
    <row r="5917" spans="1:7" ht="15" x14ac:dyDescent="0.3">
      <c r="A5917">
        <v>37.143846590189199</v>
      </c>
      <c r="B5917">
        <v>-113.46708971964</v>
      </c>
      <c r="C5917" t="s">
        <v>42</v>
      </c>
      <c r="D5917" t="s">
        <v>1387</v>
      </c>
      <c r="F5917" s="21"/>
      <c r="G5917" s="16" t="str">
        <f>HYPERLINK("http://maps.google.com/maps?f=q&amp;hl=en&amp;geocode=&amp;q=37.1438465901892,-113.46708971964")</f>
        <v>http://maps.google.com/maps?f=q&amp;hl=en&amp;geocode=&amp;q=37.1438465901892,-113.46708971964</v>
      </c>
    </row>
    <row r="5918" spans="1:7" ht="15" x14ac:dyDescent="0.3">
      <c r="A5918">
        <v>51.916999816894503</v>
      </c>
      <c r="B5918">
        <v>-1.00065004825592</v>
      </c>
      <c r="C5918" t="s">
        <v>41</v>
      </c>
      <c r="D5918" t="s">
        <v>3673</v>
      </c>
      <c r="F5918" s="21"/>
      <c r="G5918" s="16" t="str">
        <f>HYPERLINK("http://maps.google.com/maps?f=q&amp;hl=en&amp;geocode=&amp;q=51.9169998168945,-1.00065004825592")</f>
        <v>http://maps.google.com/maps?f=q&amp;hl=en&amp;geocode=&amp;q=51.9169998168945,-1.00065004825592</v>
      </c>
    </row>
    <row r="5919" spans="1:7" ht="15" x14ac:dyDescent="0.3">
      <c r="A5919">
        <v>41.780680362715401</v>
      </c>
      <c r="B5919">
        <v>-87.919320997004306</v>
      </c>
      <c r="C5919" t="s">
        <v>41</v>
      </c>
      <c r="D5919" t="s">
        <v>3674</v>
      </c>
      <c r="F5919" s="21"/>
      <c r="G5919" s="16" t="str">
        <f>HYPERLINK("http://maps.google.com/maps?f=q&amp;hl=en&amp;geocode=&amp;q=41.7806803627154,-87.9193209970043")</f>
        <v>http://maps.google.com/maps?f=q&amp;hl=en&amp;geocode=&amp;q=41.7806803627154,-87.9193209970043</v>
      </c>
    </row>
    <row r="5920" spans="1:7" ht="15" x14ac:dyDescent="0.3">
      <c r="A5920">
        <v>39.927677528758799</v>
      </c>
      <c r="B5920">
        <v>-75.231075288758205</v>
      </c>
      <c r="C5920" t="s">
        <v>41</v>
      </c>
      <c r="D5920" t="s">
        <v>3675</v>
      </c>
      <c r="F5920" s="21"/>
      <c r="G5920" s="16" t="str">
        <f>HYPERLINK("http://maps.google.com/maps?f=q&amp;hl=en&amp;geocode=&amp;q=39.9276775287588,-75.2310752887582")</f>
        <v>http://maps.google.com/maps?f=q&amp;hl=en&amp;geocode=&amp;q=39.9276775287588,-75.2310752887582</v>
      </c>
    </row>
    <row r="5921" spans="1:7" ht="15" x14ac:dyDescent="0.3">
      <c r="A5921">
        <v>39.919803619384801</v>
      </c>
      <c r="B5921">
        <v>-86.281799316406307</v>
      </c>
      <c r="C5921" t="s">
        <v>41</v>
      </c>
      <c r="D5921" t="s">
        <v>3676</v>
      </c>
      <c r="F5921" s="21"/>
      <c r="G5921" s="16" t="str">
        <f>HYPERLINK("http://maps.google.com/maps?f=q&amp;hl=en&amp;geocode=&amp;q=39.9198036193848,-86.2817993164063")</f>
        <v>http://maps.google.com/maps?f=q&amp;hl=en&amp;geocode=&amp;q=39.9198036193848,-86.2817993164063</v>
      </c>
    </row>
    <row r="5922" spans="1:7" ht="15" x14ac:dyDescent="0.3">
      <c r="A5922">
        <v>41.206065913830599</v>
      </c>
      <c r="B5922">
        <v>-76.920310663997498</v>
      </c>
      <c r="C5922" t="s">
        <v>41</v>
      </c>
      <c r="D5922" t="s">
        <v>2377</v>
      </c>
      <c r="F5922" s="21"/>
      <c r="G5922" s="16" t="str">
        <f>HYPERLINK("http://maps.google.com/maps?f=q&amp;hl=en&amp;geocode=&amp;q=41.2060659138306,-76.9203106639975")</f>
        <v>http://maps.google.com/maps?f=q&amp;hl=en&amp;geocode=&amp;q=41.2060659138306,-76.9203106639975</v>
      </c>
    </row>
    <row r="5923" spans="1:7" ht="15" x14ac:dyDescent="0.3">
      <c r="A5923">
        <v>41.206065913830599</v>
      </c>
      <c r="B5923">
        <v>-76.920310663997498</v>
      </c>
      <c r="C5923" t="s">
        <v>41</v>
      </c>
      <c r="D5923" t="s">
        <v>2377</v>
      </c>
      <c r="F5923" s="21"/>
      <c r="G5923" s="16" t="str">
        <f>HYPERLINK("http://maps.google.com/maps?f=q&amp;hl=en&amp;geocode=&amp;q=41.2060659138306,-76.9203106639975")</f>
        <v>http://maps.google.com/maps?f=q&amp;hl=en&amp;geocode=&amp;q=41.2060659138306,-76.9203106639975</v>
      </c>
    </row>
    <row r="5924" spans="1:7" ht="15" x14ac:dyDescent="0.3">
      <c r="A5924">
        <v>41.206065913830599</v>
      </c>
      <c r="B5924">
        <v>-76.920310663997498</v>
      </c>
      <c r="C5924" t="s">
        <v>41</v>
      </c>
      <c r="D5924" t="s">
        <v>2377</v>
      </c>
      <c r="F5924" s="21"/>
      <c r="G5924" s="16" t="str">
        <f>HYPERLINK("http://maps.google.com/maps?f=q&amp;hl=en&amp;geocode=&amp;q=41.2060659138306,-76.9203106639975")</f>
        <v>http://maps.google.com/maps?f=q&amp;hl=en&amp;geocode=&amp;q=41.2060659138306,-76.9203106639975</v>
      </c>
    </row>
    <row r="5925" spans="1:7" ht="15" x14ac:dyDescent="0.3">
      <c r="A5925">
        <v>41.206065913830599</v>
      </c>
      <c r="B5925">
        <v>-76.920310663997498</v>
      </c>
      <c r="C5925" t="s">
        <v>41</v>
      </c>
      <c r="D5925" t="s">
        <v>2377</v>
      </c>
      <c r="F5925" s="21"/>
      <c r="G5925" s="16" t="str">
        <f>HYPERLINK("http://maps.google.com/maps?f=q&amp;hl=en&amp;geocode=&amp;q=41.2060659138306,-76.9203106639975")</f>
        <v>http://maps.google.com/maps?f=q&amp;hl=en&amp;geocode=&amp;q=41.2060659138306,-76.9203106639975</v>
      </c>
    </row>
    <row r="5926" spans="1:7" ht="15" x14ac:dyDescent="0.3">
      <c r="A5926">
        <v>41.206065913830599</v>
      </c>
      <c r="B5926">
        <v>-76.920310663997498</v>
      </c>
      <c r="C5926" t="s">
        <v>41</v>
      </c>
      <c r="D5926" t="s">
        <v>2377</v>
      </c>
      <c r="F5926" s="21"/>
      <c r="G5926" s="16" t="str">
        <f>HYPERLINK("http://maps.google.com/maps?f=q&amp;hl=en&amp;geocode=&amp;q=41.2060659138306,-76.9203106639975")</f>
        <v>http://maps.google.com/maps?f=q&amp;hl=en&amp;geocode=&amp;q=41.2060659138306,-76.9203106639975</v>
      </c>
    </row>
    <row r="5927" spans="1:7" ht="15" x14ac:dyDescent="0.3">
      <c r="A5927">
        <v>41.206065913830599</v>
      </c>
      <c r="B5927">
        <v>-76.920310663997498</v>
      </c>
      <c r="C5927" t="s">
        <v>41</v>
      </c>
      <c r="D5927" t="s">
        <v>2377</v>
      </c>
      <c r="F5927" s="21"/>
      <c r="G5927" s="16" t="str">
        <f>HYPERLINK("http://maps.google.com/maps?f=q&amp;hl=en&amp;geocode=&amp;q=41.2060659138306,-76.9203106639975")</f>
        <v>http://maps.google.com/maps?f=q&amp;hl=en&amp;geocode=&amp;q=41.2060659138306,-76.9203106639975</v>
      </c>
    </row>
    <row r="5928" spans="1:7" ht="15" x14ac:dyDescent="0.3">
      <c r="A5928">
        <v>41.206065913830599</v>
      </c>
      <c r="B5928">
        <v>-76.920310663997498</v>
      </c>
      <c r="C5928" t="s">
        <v>41</v>
      </c>
      <c r="D5928" t="s">
        <v>2377</v>
      </c>
      <c r="F5928" s="21"/>
      <c r="G5928" s="16" t="str">
        <f>HYPERLINK("http://maps.google.com/maps?f=q&amp;hl=en&amp;geocode=&amp;q=41.2060659138306,-76.9203106639975")</f>
        <v>http://maps.google.com/maps?f=q&amp;hl=en&amp;geocode=&amp;q=41.2060659138306,-76.9203106639975</v>
      </c>
    </row>
    <row r="5929" spans="1:7" ht="15" x14ac:dyDescent="0.3">
      <c r="A5929">
        <v>41.206065913830599</v>
      </c>
      <c r="B5929">
        <v>-76.920310663997498</v>
      </c>
      <c r="C5929" t="s">
        <v>41</v>
      </c>
      <c r="D5929" t="s">
        <v>2377</v>
      </c>
      <c r="F5929" s="21"/>
      <c r="G5929" s="16" t="str">
        <f>HYPERLINK("http://maps.google.com/maps?f=q&amp;hl=en&amp;geocode=&amp;q=41.2060659138306,-76.9203106639975")</f>
        <v>http://maps.google.com/maps?f=q&amp;hl=en&amp;geocode=&amp;q=41.2060659138306,-76.9203106639975</v>
      </c>
    </row>
    <row r="5930" spans="1:7" ht="15" x14ac:dyDescent="0.3">
      <c r="A5930">
        <v>41.206065913830599</v>
      </c>
      <c r="B5930">
        <v>-76.920310663997498</v>
      </c>
      <c r="C5930" t="s">
        <v>41</v>
      </c>
      <c r="D5930" t="s">
        <v>2377</v>
      </c>
      <c r="F5930" s="21"/>
      <c r="G5930" s="16" t="str">
        <f>HYPERLINK("http://maps.google.com/maps?f=q&amp;hl=en&amp;geocode=&amp;q=41.2060659138306,-76.9203106639975")</f>
        <v>http://maps.google.com/maps?f=q&amp;hl=en&amp;geocode=&amp;q=41.2060659138306,-76.9203106639975</v>
      </c>
    </row>
    <row r="5931" spans="1:7" ht="15" x14ac:dyDescent="0.3">
      <c r="A5931">
        <v>41.206065913830599</v>
      </c>
      <c r="B5931">
        <v>-76.920310663997498</v>
      </c>
      <c r="C5931" t="s">
        <v>41</v>
      </c>
      <c r="D5931" t="s">
        <v>2377</v>
      </c>
      <c r="F5931" s="21"/>
      <c r="G5931" s="16" t="str">
        <f>HYPERLINK("http://maps.google.com/maps?f=q&amp;hl=en&amp;geocode=&amp;q=41.2060659138306,-76.9203106639975")</f>
        <v>http://maps.google.com/maps?f=q&amp;hl=en&amp;geocode=&amp;q=41.2060659138306,-76.9203106639975</v>
      </c>
    </row>
    <row r="5932" spans="1:7" ht="15" x14ac:dyDescent="0.3">
      <c r="A5932">
        <v>41.206065913830599</v>
      </c>
      <c r="B5932">
        <v>-76.920310663997498</v>
      </c>
      <c r="C5932" t="s">
        <v>41</v>
      </c>
      <c r="D5932" t="s">
        <v>2377</v>
      </c>
      <c r="F5932" s="21"/>
      <c r="G5932" s="16" t="str">
        <f>HYPERLINK("http://maps.google.com/maps?f=q&amp;hl=en&amp;geocode=&amp;q=41.2060659138306,-76.9203106639975")</f>
        <v>http://maps.google.com/maps?f=q&amp;hl=en&amp;geocode=&amp;q=41.2060659138306,-76.9203106639975</v>
      </c>
    </row>
    <row r="5933" spans="1:7" ht="15" x14ac:dyDescent="0.3">
      <c r="A5933">
        <v>41.206065913830599</v>
      </c>
      <c r="B5933">
        <v>-76.920310663997498</v>
      </c>
      <c r="C5933" t="s">
        <v>41</v>
      </c>
      <c r="D5933" t="s">
        <v>2377</v>
      </c>
      <c r="F5933" s="21"/>
      <c r="G5933" s="16" t="str">
        <f>HYPERLINK("http://maps.google.com/maps?f=q&amp;hl=en&amp;geocode=&amp;q=41.2060659138306,-76.9203106639975")</f>
        <v>http://maps.google.com/maps?f=q&amp;hl=en&amp;geocode=&amp;q=41.2060659138306,-76.9203106639975</v>
      </c>
    </row>
    <row r="5934" spans="1:7" ht="15" x14ac:dyDescent="0.3">
      <c r="A5934">
        <v>41.206065913830599</v>
      </c>
      <c r="B5934">
        <v>-76.920310663997498</v>
      </c>
      <c r="C5934" t="s">
        <v>41</v>
      </c>
      <c r="D5934" t="s">
        <v>2377</v>
      </c>
      <c r="F5934" s="21"/>
      <c r="G5934" s="16" t="str">
        <f>HYPERLINK("http://maps.google.com/maps?f=q&amp;hl=en&amp;geocode=&amp;q=41.2060659138306,-76.9203106639975")</f>
        <v>http://maps.google.com/maps?f=q&amp;hl=en&amp;geocode=&amp;q=41.2060659138306,-76.9203106639975</v>
      </c>
    </row>
    <row r="5935" spans="1:7" ht="15" x14ac:dyDescent="0.3">
      <c r="A5935">
        <v>41.206065913830599</v>
      </c>
      <c r="B5935">
        <v>-76.920310663997498</v>
      </c>
      <c r="C5935" t="s">
        <v>41</v>
      </c>
      <c r="D5935" t="s">
        <v>2377</v>
      </c>
      <c r="F5935" s="21"/>
      <c r="G5935" s="16" t="str">
        <f>HYPERLINK("http://maps.google.com/maps?f=q&amp;hl=en&amp;geocode=&amp;q=41.2060659138306,-76.9203106639975")</f>
        <v>http://maps.google.com/maps?f=q&amp;hl=en&amp;geocode=&amp;q=41.2060659138306,-76.9203106639975</v>
      </c>
    </row>
    <row r="5936" spans="1:7" ht="15" x14ac:dyDescent="0.3">
      <c r="A5936">
        <v>41.206065913830599</v>
      </c>
      <c r="B5936">
        <v>-76.920310663997498</v>
      </c>
      <c r="C5936" t="s">
        <v>41</v>
      </c>
      <c r="D5936" t="s">
        <v>2377</v>
      </c>
      <c r="F5936" s="21"/>
      <c r="G5936" s="16" t="str">
        <f>HYPERLINK("http://maps.google.com/maps?f=q&amp;hl=en&amp;geocode=&amp;q=41.2060659138306,-76.9203106639975")</f>
        <v>http://maps.google.com/maps?f=q&amp;hl=en&amp;geocode=&amp;q=41.2060659138306,-76.9203106639975</v>
      </c>
    </row>
    <row r="5937" spans="1:7" ht="15" x14ac:dyDescent="0.3">
      <c r="A5937">
        <v>41.206065913830599</v>
      </c>
      <c r="B5937">
        <v>-76.920310663997498</v>
      </c>
      <c r="C5937" t="s">
        <v>41</v>
      </c>
      <c r="D5937" t="s">
        <v>2377</v>
      </c>
      <c r="F5937" s="21"/>
      <c r="G5937" s="16" t="str">
        <f>HYPERLINK("http://maps.google.com/maps?f=q&amp;hl=en&amp;geocode=&amp;q=41.2060659138306,-76.9203106639975")</f>
        <v>http://maps.google.com/maps?f=q&amp;hl=en&amp;geocode=&amp;q=41.2060659138306,-76.9203106639975</v>
      </c>
    </row>
    <row r="5938" spans="1:7" ht="15" x14ac:dyDescent="0.3">
      <c r="A5938">
        <v>39.984589999999997</v>
      </c>
      <c r="B5938">
        <v>-75.107900000000001</v>
      </c>
      <c r="C5938" t="s">
        <v>41</v>
      </c>
      <c r="D5938" t="s">
        <v>3677</v>
      </c>
      <c r="F5938" s="21"/>
      <c r="G5938" s="16" t="str">
        <f>HYPERLINK("http://maps.google.com/maps?f=q&amp;hl=en&amp;geocode=&amp;q=39.98459,-75.1079")</f>
        <v>http://maps.google.com/maps?f=q&amp;hl=en&amp;geocode=&amp;q=39.98459,-75.1079</v>
      </c>
    </row>
    <row r="5939" spans="1:7" ht="15" x14ac:dyDescent="0.3">
      <c r="A5939">
        <v>41.206065913830599</v>
      </c>
      <c r="B5939">
        <v>-76.920310663997498</v>
      </c>
      <c r="C5939" t="s">
        <v>41</v>
      </c>
      <c r="D5939" t="s">
        <v>2377</v>
      </c>
      <c r="F5939" s="21"/>
      <c r="G5939" s="16" t="str">
        <f>HYPERLINK("http://maps.google.com/maps?f=q&amp;hl=en&amp;geocode=&amp;q=41.2060659138306,-76.9203106639975")</f>
        <v>http://maps.google.com/maps?f=q&amp;hl=en&amp;geocode=&amp;q=41.2060659138306,-76.9203106639975</v>
      </c>
    </row>
    <row r="5940" spans="1:7" ht="15" x14ac:dyDescent="0.3">
      <c r="A5940">
        <v>41.206065913830599</v>
      </c>
      <c r="B5940">
        <v>-76.920310663997498</v>
      </c>
      <c r="C5940" t="s">
        <v>41</v>
      </c>
      <c r="D5940" t="s">
        <v>2377</v>
      </c>
      <c r="F5940" s="21"/>
      <c r="G5940" s="16" t="str">
        <f>HYPERLINK("http://maps.google.com/maps?f=q&amp;hl=en&amp;geocode=&amp;q=41.2060659138306,-76.9203106639975")</f>
        <v>http://maps.google.com/maps?f=q&amp;hl=en&amp;geocode=&amp;q=41.2060659138306,-76.9203106639975</v>
      </c>
    </row>
    <row r="5941" spans="1:7" ht="15" x14ac:dyDescent="0.3">
      <c r="A5941">
        <v>41.206065913830599</v>
      </c>
      <c r="B5941">
        <v>-76.920310663997498</v>
      </c>
      <c r="C5941" t="s">
        <v>41</v>
      </c>
      <c r="D5941" t="s">
        <v>2377</v>
      </c>
      <c r="F5941" s="21"/>
      <c r="G5941" s="16" t="str">
        <f>HYPERLINK("http://maps.google.com/maps?f=q&amp;hl=en&amp;geocode=&amp;q=41.2060659138306,-76.9203106639975")</f>
        <v>http://maps.google.com/maps?f=q&amp;hl=en&amp;geocode=&amp;q=41.2060659138306,-76.9203106639975</v>
      </c>
    </row>
    <row r="5942" spans="1:7" ht="15" x14ac:dyDescent="0.3">
      <c r="A5942">
        <v>41.206065913830599</v>
      </c>
      <c r="B5942">
        <v>-76.920310663997498</v>
      </c>
      <c r="C5942" t="s">
        <v>41</v>
      </c>
      <c r="D5942" t="s">
        <v>2377</v>
      </c>
      <c r="F5942" s="21"/>
      <c r="G5942" s="16" t="str">
        <f>HYPERLINK("http://maps.google.com/maps?f=q&amp;hl=en&amp;geocode=&amp;q=41.2060659138306,-76.9203106639975")</f>
        <v>http://maps.google.com/maps?f=q&amp;hl=en&amp;geocode=&amp;q=41.2060659138306,-76.9203106639975</v>
      </c>
    </row>
    <row r="5943" spans="1:7" ht="15" x14ac:dyDescent="0.3">
      <c r="A5943">
        <v>41.206065913830599</v>
      </c>
      <c r="B5943">
        <v>-76.920310663997498</v>
      </c>
      <c r="C5943" t="s">
        <v>41</v>
      </c>
      <c r="D5943" t="s">
        <v>2377</v>
      </c>
      <c r="F5943" s="21"/>
      <c r="G5943" s="16" t="str">
        <f>HYPERLINK("http://maps.google.com/maps?f=q&amp;hl=en&amp;geocode=&amp;q=41.2060659138306,-76.9203106639975")</f>
        <v>http://maps.google.com/maps?f=q&amp;hl=en&amp;geocode=&amp;q=41.2060659138306,-76.9203106639975</v>
      </c>
    </row>
    <row r="5944" spans="1:7" ht="15" x14ac:dyDescent="0.3">
      <c r="A5944">
        <v>41.985400396520099</v>
      </c>
      <c r="B5944">
        <v>-89.280175317155397</v>
      </c>
      <c r="C5944" t="s">
        <v>41</v>
      </c>
      <c r="D5944" t="s">
        <v>3678</v>
      </c>
      <c r="F5944" s="21"/>
      <c r="G5944" s="16" t="str">
        <f>HYPERLINK("http://maps.google.com/maps?f=q&amp;hl=en&amp;geocode=&amp;q=41.9854003965201,-89.2801753171554")</f>
        <v>http://maps.google.com/maps?f=q&amp;hl=en&amp;geocode=&amp;q=41.9854003965201,-89.2801753171554</v>
      </c>
    </row>
    <row r="5945" spans="1:7" ht="15" x14ac:dyDescent="0.3">
      <c r="A5945">
        <v>39.996459999999999</v>
      </c>
      <c r="B5945">
        <v>-75.173929999999999</v>
      </c>
      <c r="C5945" t="s">
        <v>42</v>
      </c>
      <c r="D5945" t="s">
        <v>3679</v>
      </c>
      <c r="F5945" s="21"/>
      <c r="G5945" s="16" t="str">
        <f>HYPERLINK("http://maps.google.com/maps?f=q&amp;hl=en&amp;geocode=&amp;q=39.99646,-75.17393")</f>
        <v>http://maps.google.com/maps?f=q&amp;hl=en&amp;geocode=&amp;q=39.99646,-75.17393</v>
      </c>
    </row>
    <row r="5946" spans="1:7" ht="15" x14ac:dyDescent="0.3">
      <c r="A5946">
        <v>40.000720000000001</v>
      </c>
      <c r="B5946">
        <v>-75.171779999999998</v>
      </c>
      <c r="C5946" t="s">
        <v>41</v>
      </c>
      <c r="D5946" t="s">
        <v>3680</v>
      </c>
      <c r="F5946" s="21"/>
      <c r="G5946" s="16" t="str">
        <f>HYPERLINK("http://maps.google.com/maps?f=q&amp;hl=en&amp;geocode=&amp;q=40.00072,-75.17178")</f>
        <v>http://maps.google.com/maps?f=q&amp;hl=en&amp;geocode=&amp;q=40.00072,-75.17178</v>
      </c>
    </row>
    <row r="5947" spans="1:7" ht="15" x14ac:dyDescent="0.3">
      <c r="A5947">
        <v>51.775680541992202</v>
      </c>
      <c r="B5947">
        <v>-1.23756003379822</v>
      </c>
      <c r="C5947" t="s">
        <v>43</v>
      </c>
      <c r="D5947" t="s">
        <v>3681</v>
      </c>
      <c r="F5947" s="21"/>
      <c r="G5947" s="16" t="str">
        <f>HYPERLINK("http://maps.google.com/maps?f=q&amp;hl=en&amp;geocode=&amp;q=51.7756805419922,-1.23756003379822")</f>
        <v>http://maps.google.com/maps?f=q&amp;hl=en&amp;geocode=&amp;q=51.7756805419922,-1.23756003379822</v>
      </c>
    </row>
    <row r="5948" spans="1:7" ht="15" x14ac:dyDescent="0.3">
      <c r="A5948">
        <v>39.931809999999999</v>
      </c>
      <c r="B5948">
        <v>-75.156199999999998</v>
      </c>
      <c r="C5948" t="s">
        <v>43</v>
      </c>
      <c r="D5948" t="s">
        <v>3682</v>
      </c>
      <c r="F5948" s="21"/>
      <c r="G5948" s="16" t="str">
        <f>HYPERLINK("http://maps.google.com/maps?f=q&amp;hl=en&amp;geocode=&amp;q=39.93181,-75.1562")</f>
        <v>http://maps.google.com/maps?f=q&amp;hl=en&amp;geocode=&amp;q=39.93181,-75.1562</v>
      </c>
    </row>
    <row r="5949" spans="1:7" ht="15" x14ac:dyDescent="0.3">
      <c r="A5949">
        <v>49.615779876708999</v>
      </c>
      <c r="B5949">
        <v>6.1207737922668501</v>
      </c>
      <c r="C5949" t="s">
        <v>41</v>
      </c>
      <c r="D5949" t="s">
        <v>3683</v>
      </c>
      <c r="F5949" s="21"/>
      <c r="G5949" s="16" t="str">
        <f>HYPERLINK("http://maps.google.com/maps?f=q&amp;hl=en&amp;geocode=&amp;q=49.615779876709,6.12077379226685")</f>
        <v>http://maps.google.com/maps?f=q&amp;hl=en&amp;geocode=&amp;q=49.615779876709,6.12077379226685</v>
      </c>
    </row>
    <row r="5950" spans="1:7" ht="15" x14ac:dyDescent="0.3">
      <c r="A5950">
        <v>36.410162347075101</v>
      </c>
      <c r="B5950">
        <v>-98.033105240827098</v>
      </c>
      <c r="C5950" t="s">
        <v>41</v>
      </c>
      <c r="D5950" t="s">
        <v>3684</v>
      </c>
      <c r="F5950" s="21"/>
      <c r="G5950" s="16" t="str">
        <f>HYPERLINK("http://maps.google.com/maps?f=q&amp;hl=en&amp;geocode=&amp;q=36.4101623470751,-98.0331052408271")</f>
        <v>http://maps.google.com/maps?f=q&amp;hl=en&amp;geocode=&amp;q=36.4101623470751,-98.0331052408271</v>
      </c>
    </row>
    <row r="5951" spans="1:7" ht="15" x14ac:dyDescent="0.3">
      <c r="A5951" t="s">
        <v>44</v>
      </c>
      <c r="B5951" t="s">
        <v>44</v>
      </c>
      <c r="C5951" t="s">
        <v>44</v>
      </c>
      <c r="D5951" t="s">
        <v>53</v>
      </c>
      <c r="F5951" s="21"/>
      <c r="G5951" s="16"/>
    </row>
    <row r="5952" spans="1:7" ht="15" x14ac:dyDescent="0.3">
      <c r="A5952">
        <v>40.475239999999999</v>
      </c>
      <c r="B5952">
        <v>-85.622100000000003</v>
      </c>
      <c r="C5952" t="s">
        <v>42</v>
      </c>
      <c r="D5952" t="s">
        <v>3685</v>
      </c>
      <c r="F5952" s="21"/>
      <c r="G5952" s="16" t="str">
        <f>HYPERLINK("http://maps.google.com/maps?f=q&amp;hl=en&amp;geocode=&amp;q=40.47524,-85.6221")</f>
        <v>http://maps.google.com/maps?f=q&amp;hl=en&amp;geocode=&amp;q=40.47524,-85.6221</v>
      </c>
    </row>
    <row r="5953" spans="1:7" ht="15" x14ac:dyDescent="0.3">
      <c r="A5953">
        <v>46.331790281909299</v>
      </c>
      <c r="B5953">
        <v>-120.019439278402</v>
      </c>
      <c r="C5953" t="s">
        <v>42</v>
      </c>
      <c r="D5953" t="s">
        <v>3686</v>
      </c>
      <c r="F5953" s="21"/>
      <c r="G5953" s="16" t="str">
        <f>HYPERLINK("http://maps.google.com/maps?f=q&amp;hl=en&amp;geocode=&amp;q=46.3317902819093,-120.019439278402")</f>
        <v>http://maps.google.com/maps?f=q&amp;hl=en&amp;geocode=&amp;q=46.3317902819093,-120.019439278402</v>
      </c>
    </row>
    <row r="5954" spans="1:7" ht="15" x14ac:dyDescent="0.3">
      <c r="A5954">
        <v>31.452391452612702</v>
      </c>
      <c r="B5954">
        <v>-109.703217579279</v>
      </c>
      <c r="C5954" t="s">
        <v>41</v>
      </c>
      <c r="D5954" t="s">
        <v>3687</v>
      </c>
      <c r="F5954" s="21"/>
      <c r="G5954" s="16" t="str">
        <f>HYPERLINK("http://maps.google.com/maps?f=q&amp;hl=en&amp;geocode=&amp;q=31.4523914526127,-109.703217579279")</f>
        <v>http://maps.google.com/maps?f=q&amp;hl=en&amp;geocode=&amp;q=31.4523914526127,-109.703217579279</v>
      </c>
    </row>
    <row r="5955" spans="1:7" ht="15" x14ac:dyDescent="0.3">
      <c r="A5955" t="s">
        <v>44</v>
      </c>
      <c r="B5955" t="s">
        <v>44</v>
      </c>
      <c r="C5955" t="s">
        <v>44</v>
      </c>
      <c r="D5955" t="s">
        <v>2885</v>
      </c>
      <c r="F5955" s="21"/>
      <c r="G5955" s="16"/>
    </row>
    <row r="5956" spans="1:7" ht="15" x14ac:dyDescent="0.3">
      <c r="A5956">
        <v>39.210030000000003</v>
      </c>
      <c r="B5956">
        <v>-76.77252</v>
      </c>
      <c r="C5956" t="s">
        <v>43</v>
      </c>
      <c r="D5956" t="s">
        <v>3688</v>
      </c>
      <c r="F5956" s="21"/>
      <c r="G5956" s="16" t="str">
        <f>HYPERLINK("http://maps.google.com/maps?f=q&amp;hl=en&amp;geocode=&amp;q=39.21003,-76.77252")</f>
        <v>http://maps.google.com/maps?f=q&amp;hl=en&amp;geocode=&amp;q=39.21003,-76.77252</v>
      </c>
    </row>
    <row r="5957" spans="1:7" ht="15" x14ac:dyDescent="0.3">
      <c r="A5957" t="s">
        <v>44</v>
      </c>
      <c r="B5957" t="s">
        <v>44</v>
      </c>
      <c r="C5957" t="s">
        <v>44</v>
      </c>
      <c r="D5957" t="s">
        <v>3689</v>
      </c>
      <c r="F5957" s="21"/>
      <c r="G5957" s="16"/>
    </row>
    <row r="5958" spans="1:7" ht="15" x14ac:dyDescent="0.3">
      <c r="A5958">
        <v>31.028404141084099</v>
      </c>
      <c r="B5958">
        <v>-87.5244504042914</v>
      </c>
      <c r="C5958" t="s">
        <v>41</v>
      </c>
      <c r="D5958" t="s">
        <v>3690</v>
      </c>
      <c r="F5958" s="21"/>
      <c r="G5958" s="16" t="str">
        <f>HYPERLINK("http://maps.google.com/maps?f=q&amp;hl=en&amp;geocode=&amp;q=31.0284041410841,-87.5244504042914")</f>
        <v>http://maps.google.com/maps?f=q&amp;hl=en&amp;geocode=&amp;q=31.0284041410841,-87.5244504042914</v>
      </c>
    </row>
    <row r="5959" spans="1:7" ht="15" x14ac:dyDescent="0.3">
      <c r="F5959" s="21"/>
      <c r="G5959" s="16"/>
    </row>
    <row r="5960" spans="1:7" ht="15" x14ac:dyDescent="0.3">
      <c r="A5960">
        <v>40.017766826784701</v>
      </c>
      <c r="B5960">
        <v>-75.082533043290795</v>
      </c>
      <c r="C5960" t="s">
        <v>41</v>
      </c>
      <c r="D5960" t="s">
        <v>2702</v>
      </c>
      <c r="F5960" s="21"/>
      <c r="G5960" s="16" t="str">
        <f>HYPERLINK("http://maps.google.com/maps?f=q&amp;hl=en&amp;geocode=&amp;q=40.0177668267847,-75.0825330432908")</f>
        <v>http://maps.google.com/maps?f=q&amp;hl=en&amp;geocode=&amp;q=40.0177668267847,-75.0825330432908</v>
      </c>
    </row>
    <row r="5961" spans="1:7" ht="15" x14ac:dyDescent="0.3">
      <c r="A5961">
        <v>39.91337</v>
      </c>
      <c r="B5961">
        <v>-75.175049999999999</v>
      </c>
      <c r="C5961" t="s">
        <v>41</v>
      </c>
      <c r="D5961" t="s">
        <v>3691</v>
      </c>
      <c r="F5961" s="21"/>
      <c r="G5961" s="16" t="str">
        <f>HYPERLINK("http://maps.google.com/maps?f=q&amp;hl=en&amp;geocode=&amp;q=39.91337,-75.17505")</f>
        <v>http://maps.google.com/maps?f=q&amp;hl=en&amp;geocode=&amp;q=39.91337,-75.17505</v>
      </c>
    </row>
    <row r="5962" spans="1:7" ht="15" x14ac:dyDescent="0.3">
      <c r="A5962">
        <v>45.5200004577637</v>
      </c>
      <c r="B5962">
        <v>-74.466003417968807</v>
      </c>
      <c r="C5962" t="s">
        <v>41</v>
      </c>
      <c r="D5962" t="s">
        <v>3692</v>
      </c>
      <c r="F5962" s="21"/>
      <c r="G5962" s="16" t="str">
        <f>HYPERLINK("http://maps.google.com/maps?f=q&amp;hl=en&amp;geocode=&amp;q=45.5200004577637,-74.4660034179688")</f>
        <v>http://maps.google.com/maps?f=q&amp;hl=en&amp;geocode=&amp;q=45.5200004577637,-74.4660034179688</v>
      </c>
    </row>
    <row r="5963" spans="1:7" ht="15" x14ac:dyDescent="0.3">
      <c r="A5963">
        <v>-31.967054367065401</v>
      </c>
      <c r="B5963">
        <v>117.856567382813</v>
      </c>
      <c r="C5963" t="s">
        <v>41</v>
      </c>
      <c r="D5963" t="s">
        <v>3693</v>
      </c>
      <c r="F5963" s="21"/>
      <c r="G5963" s="16" t="str">
        <f>HYPERLINK("http://maps.google.com/maps?f=q&amp;hl=en&amp;geocode=&amp;q=-31.9670543670654,117.856567382813")</f>
        <v>http://maps.google.com/maps?f=q&amp;hl=en&amp;geocode=&amp;q=-31.9670543670654,117.856567382813</v>
      </c>
    </row>
    <row r="5964" spans="1:7" ht="15" x14ac:dyDescent="0.3">
      <c r="A5964">
        <v>40.041069999999998</v>
      </c>
      <c r="B5964">
        <v>-75.128979999999999</v>
      </c>
      <c r="C5964" t="s">
        <v>41</v>
      </c>
      <c r="D5964" t="s">
        <v>3694</v>
      </c>
      <c r="F5964" s="21"/>
      <c r="G5964" s="16" t="str">
        <f>HYPERLINK("http://maps.google.com/maps?f=q&amp;hl=en&amp;geocode=&amp;q=40.04107,-75.12898")</f>
        <v>http://maps.google.com/maps?f=q&amp;hl=en&amp;geocode=&amp;q=40.04107,-75.12898</v>
      </c>
    </row>
    <row r="5965" spans="1:7" ht="15" x14ac:dyDescent="0.3">
      <c r="A5965">
        <v>34.347145757981899</v>
      </c>
      <c r="B5965">
        <v>-110.00089609430201</v>
      </c>
      <c r="C5965" t="s">
        <v>43</v>
      </c>
      <c r="D5965" t="s">
        <v>3517</v>
      </c>
      <c r="F5965" s="21"/>
      <c r="G5965" s="16" t="str">
        <f>HYPERLINK("http://maps.google.com/maps?f=q&amp;hl=en&amp;geocode=&amp;q=34.3471457579819,-110.000896094302")</f>
        <v>http://maps.google.com/maps?f=q&amp;hl=en&amp;geocode=&amp;q=34.3471457579819,-110.000896094302</v>
      </c>
    </row>
    <row r="5966" spans="1:7" ht="15" x14ac:dyDescent="0.3">
      <c r="A5966">
        <v>45.0852551948377</v>
      </c>
      <c r="B5966">
        <v>-93.522052770160599</v>
      </c>
      <c r="C5966" t="s">
        <v>41</v>
      </c>
      <c r="D5966" t="s">
        <v>1615</v>
      </c>
      <c r="F5966" s="21"/>
      <c r="G5966" s="16" t="str">
        <f>HYPERLINK("http://maps.google.com/maps?f=q&amp;hl=en&amp;geocode=&amp;q=45.0852551948377,-93.5220527701606")</f>
        <v>http://maps.google.com/maps?f=q&amp;hl=en&amp;geocode=&amp;q=45.0852551948377,-93.5220527701606</v>
      </c>
    </row>
    <row r="5967" spans="1:7" ht="15" x14ac:dyDescent="0.3">
      <c r="A5967">
        <v>39.919339999999998</v>
      </c>
      <c r="B5967">
        <v>-75.160539999999997</v>
      </c>
      <c r="C5967" t="s">
        <v>42</v>
      </c>
      <c r="D5967" t="s">
        <v>3695</v>
      </c>
      <c r="F5967" s="21"/>
      <c r="G5967" s="16" t="str">
        <f>HYPERLINK("http://maps.google.com/maps?f=q&amp;hl=en&amp;geocode=&amp;q=39.91934,-75.16054")</f>
        <v>http://maps.google.com/maps?f=q&amp;hl=en&amp;geocode=&amp;q=39.91934,-75.16054</v>
      </c>
    </row>
    <row r="5968" spans="1:7" ht="15" x14ac:dyDescent="0.3">
      <c r="A5968">
        <v>39.919339999999998</v>
      </c>
      <c r="B5968">
        <v>-75.160539999999997</v>
      </c>
      <c r="C5968" t="s">
        <v>42</v>
      </c>
      <c r="D5968" t="s">
        <v>3695</v>
      </c>
      <c r="F5968" s="21"/>
      <c r="G5968" s="16" t="str">
        <f>HYPERLINK("http://maps.google.com/maps?f=q&amp;hl=en&amp;geocode=&amp;q=39.91934,-75.16054")</f>
        <v>http://maps.google.com/maps?f=q&amp;hl=en&amp;geocode=&amp;q=39.91934,-75.16054</v>
      </c>
    </row>
    <row r="5969" spans="1:7" ht="15" x14ac:dyDescent="0.3">
      <c r="A5969">
        <v>39.343631999999999</v>
      </c>
      <c r="B5969">
        <v>-78.757249000000002</v>
      </c>
      <c r="C5969" t="s">
        <v>41</v>
      </c>
      <c r="D5969" t="s">
        <v>560</v>
      </c>
      <c r="F5969" s="21"/>
      <c r="G5969" s="16" t="str">
        <f>HYPERLINK("http://maps.google.com/maps?f=q&amp;hl=en&amp;geocode=&amp;q=39.343632,-78.757249")</f>
        <v>http://maps.google.com/maps?f=q&amp;hl=en&amp;geocode=&amp;q=39.343632,-78.757249</v>
      </c>
    </row>
    <row r="5970" spans="1:7" ht="15" x14ac:dyDescent="0.3">
      <c r="A5970">
        <v>32.831687408970097</v>
      </c>
      <c r="B5970">
        <v>-83.651767448722595</v>
      </c>
      <c r="C5970" t="s">
        <v>41</v>
      </c>
      <c r="D5970" t="s">
        <v>3696</v>
      </c>
      <c r="F5970" s="21"/>
      <c r="G5970" s="16" t="str">
        <f>HYPERLINK("http://maps.google.com/maps?f=q&amp;hl=en&amp;geocode=&amp;q=32.8316874089701,-83.6517674487226")</f>
        <v>http://maps.google.com/maps?f=q&amp;hl=en&amp;geocode=&amp;q=32.8316874089701,-83.6517674487226</v>
      </c>
    </row>
    <row r="5971" spans="1:7" ht="15" x14ac:dyDescent="0.3">
      <c r="A5971">
        <v>32.953854967604101</v>
      </c>
      <c r="B5971">
        <v>-96.911503442238697</v>
      </c>
      <c r="C5971" t="s">
        <v>41</v>
      </c>
      <c r="D5971" t="s">
        <v>3697</v>
      </c>
      <c r="F5971" s="21"/>
      <c r="G5971" s="16" t="str">
        <f>HYPERLINK("http://maps.google.com/maps?f=q&amp;hl=en&amp;geocode=&amp;q=32.9538549676041,-96.9115034422387")</f>
        <v>http://maps.google.com/maps?f=q&amp;hl=en&amp;geocode=&amp;q=32.9538549676041,-96.9115034422387</v>
      </c>
    </row>
    <row r="5972" spans="1:7" ht="15" x14ac:dyDescent="0.3">
      <c r="A5972">
        <v>37.016419999999997</v>
      </c>
      <c r="B5972">
        <v>-97.041730000000001</v>
      </c>
      <c r="C5972" t="s">
        <v>42</v>
      </c>
      <c r="D5972" t="s">
        <v>717</v>
      </c>
      <c r="F5972" s="21"/>
      <c r="G5972" s="16" t="str">
        <f>HYPERLINK("http://maps.google.com/maps?f=q&amp;hl=en&amp;geocode=&amp;q=37.01642,-97.04173")</f>
        <v>http://maps.google.com/maps?f=q&amp;hl=en&amp;geocode=&amp;q=37.01642,-97.04173</v>
      </c>
    </row>
    <row r="5973" spans="1:7" ht="15" x14ac:dyDescent="0.3">
      <c r="A5973">
        <v>52.543731689453097</v>
      </c>
      <c r="B5973">
        <v>-8.3495998382568395</v>
      </c>
      <c r="C5973" t="s">
        <v>43</v>
      </c>
      <c r="D5973" t="s">
        <v>3698</v>
      </c>
      <c r="F5973" s="21"/>
      <c r="G5973" s="16" t="str">
        <f>HYPERLINK("http://maps.google.com/maps?f=q&amp;hl=en&amp;geocode=&amp;q=52.5437316894531,-8.34959983825684")</f>
        <v>http://maps.google.com/maps?f=q&amp;hl=en&amp;geocode=&amp;q=52.5437316894531,-8.34959983825684</v>
      </c>
    </row>
    <row r="5974" spans="1:7" ht="15" x14ac:dyDescent="0.3">
      <c r="A5974">
        <v>43.013414375470397</v>
      </c>
      <c r="B5974">
        <v>-89.485916319857495</v>
      </c>
      <c r="C5974" t="s">
        <v>43</v>
      </c>
      <c r="D5974" t="s">
        <v>1376</v>
      </c>
      <c r="F5974" s="21"/>
      <c r="G5974" s="16" t="str">
        <f>HYPERLINK("http://maps.google.com/maps?f=q&amp;hl=en&amp;geocode=&amp;q=43.0134143754704,-89.4859163198575")</f>
        <v>http://maps.google.com/maps?f=q&amp;hl=en&amp;geocode=&amp;q=43.0134143754704,-89.4859163198575</v>
      </c>
    </row>
    <row r="5975" spans="1:7" ht="15" x14ac:dyDescent="0.3">
      <c r="A5975">
        <v>44.909730000000003</v>
      </c>
      <c r="B5975">
        <v>-90.317040000000006</v>
      </c>
      <c r="C5975" t="s">
        <v>41</v>
      </c>
      <c r="D5975" t="s">
        <v>3699</v>
      </c>
      <c r="F5975" s="21"/>
      <c r="G5975" s="16" t="str">
        <f>HYPERLINK("http://maps.google.com/maps?f=q&amp;hl=en&amp;geocode=&amp;q=44.90973,-90.31704")</f>
        <v>http://maps.google.com/maps?f=q&amp;hl=en&amp;geocode=&amp;q=44.90973,-90.31704</v>
      </c>
    </row>
    <row r="5976" spans="1:7" ht="15" x14ac:dyDescent="0.3">
      <c r="A5976">
        <v>39.952220916747997</v>
      </c>
      <c r="B5976">
        <v>-75.162178039550795</v>
      </c>
      <c r="C5976" t="s">
        <v>41</v>
      </c>
      <c r="D5976" t="s">
        <v>3700</v>
      </c>
      <c r="F5976" s="21"/>
      <c r="G5976" s="16" t="str">
        <f>HYPERLINK("http://maps.google.com/maps?f=q&amp;hl=en&amp;geocode=&amp;q=39.952220916748,-75.1621780395508")</f>
        <v>http://maps.google.com/maps?f=q&amp;hl=en&amp;geocode=&amp;q=39.952220916748,-75.1621780395508</v>
      </c>
    </row>
    <row r="5977" spans="1:7" ht="15" x14ac:dyDescent="0.3">
      <c r="A5977">
        <v>35.560657146381601</v>
      </c>
      <c r="B5977">
        <v>-100.971874725243</v>
      </c>
      <c r="C5977" t="s">
        <v>41</v>
      </c>
      <c r="D5977" t="s">
        <v>3701</v>
      </c>
      <c r="F5977" s="21"/>
      <c r="G5977" s="16" t="str">
        <f>HYPERLINK("http://maps.google.com/maps?f=q&amp;hl=en&amp;geocode=&amp;q=35.5606571463816,-100.971874725243")</f>
        <v>http://maps.google.com/maps?f=q&amp;hl=en&amp;geocode=&amp;q=35.5606571463816,-100.971874725243</v>
      </c>
    </row>
    <row r="5978" spans="1:7" ht="15" x14ac:dyDescent="0.3">
      <c r="A5978">
        <v>41.255760000000002</v>
      </c>
      <c r="B5978">
        <v>-81.447999999999993</v>
      </c>
      <c r="C5978" t="s">
        <v>41</v>
      </c>
      <c r="D5978" t="s">
        <v>3338</v>
      </c>
      <c r="F5978" s="21"/>
      <c r="G5978" s="16" t="str">
        <f>HYPERLINK("http://maps.google.com/maps?f=q&amp;hl=en&amp;geocode=&amp;q=41.25576,-81.448")</f>
        <v>http://maps.google.com/maps?f=q&amp;hl=en&amp;geocode=&amp;q=41.25576,-81.448</v>
      </c>
    </row>
    <row r="5979" spans="1:7" ht="15" x14ac:dyDescent="0.3">
      <c r="A5979">
        <v>34.818114155627399</v>
      </c>
      <c r="B5979">
        <v>-83.1443099012522</v>
      </c>
      <c r="C5979" t="s">
        <v>43</v>
      </c>
      <c r="D5979" t="s">
        <v>3702</v>
      </c>
      <c r="F5979" s="21"/>
      <c r="G5979" s="16" t="str">
        <f>HYPERLINK("http://maps.google.com/maps?f=q&amp;hl=en&amp;geocode=&amp;q=34.8181141556274,-83.1443099012522")</f>
        <v>http://maps.google.com/maps?f=q&amp;hl=en&amp;geocode=&amp;q=34.8181141556274,-83.1443099012522</v>
      </c>
    </row>
    <row r="5980" spans="1:7" ht="15" x14ac:dyDescent="0.3">
      <c r="A5980">
        <v>34.818114155627399</v>
      </c>
      <c r="B5980">
        <v>-83.1443099012522</v>
      </c>
      <c r="C5980" t="s">
        <v>43</v>
      </c>
      <c r="D5980" t="s">
        <v>3702</v>
      </c>
      <c r="F5980" s="21"/>
      <c r="G5980" s="16" t="str">
        <f>HYPERLINK("http://maps.google.com/maps?f=q&amp;hl=en&amp;geocode=&amp;q=34.8181141556274,-83.1443099012522")</f>
        <v>http://maps.google.com/maps?f=q&amp;hl=en&amp;geocode=&amp;q=34.8181141556274,-83.1443099012522</v>
      </c>
    </row>
    <row r="5981" spans="1:7" ht="15" x14ac:dyDescent="0.3">
      <c r="A5981">
        <v>-31.9695949554443</v>
      </c>
      <c r="B5981">
        <v>115.88312530517599</v>
      </c>
      <c r="C5981" t="s">
        <v>41</v>
      </c>
      <c r="D5981" t="s">
        <v>3703</v>
      </c>
      <c r="F5981" s="21"/>
      <c r="G5981" s="16" t="str">
        <f>HYPERLINK("http://maps.google.com/maps?f=q&amp;hl=en&amp;geocode=&amp;q=-31.9695949554443,115.883125305176")</f>
        <v>http://maps.google.com/maps?f=q&amp;hl=en&amp;geocode=&amp;q=-31.9695949554443,115.883125305176</v>
      </c>
    </row>
    <row r="5982" spans="1:7" ht="15" x14ac:dyDescent="0.3">
      <c r="A5982">
        <v>37.675379999999997</v>
      </c>
      <c r="B5982">
        <v>-82.277940000000001</v>
      </c>
      <c r="C5982" t="s">
        <v>43</v>
      </c>
      <c r="D5982" t="s">
        <v>3704</v>
      </c>
      <c r="F5982" s="21"/>
      <c r="G5982" s="16" t="str">
        <f>HYPERLINK("http://maps.google.com/maps?f=q&amp;hl=en&amp;geocode=&amp;q=37.67538,-82.27794")</f>
        <v>http://maps.google.com/maps?f=q&amp;hl=en&amp;geocode=&amp;q=37.67538,-82.27794</v>
      </c>
    </row>
    <row r="5983" spans="1:7" ht="15" x14ac:dyDescent="0.3">
      <c r="A5983">
        <v>-33.052047729492202</v>
      </c>
      <c r="B5983">
        <v>136.17210388183599</v>
      </c>
      <c r="C5983" t="s">
        <v>41</v>
      </c>
      <c r="D5983" t="s">
        <v>3705</v>
      </c>
      <c r="F5983" s="21"/>
      <c r="G5983" s="16" t="str">
        <f>HYPERLINK("http://maps.google.com/maps?f=q&amp;hl=en&amp;geocode=&amp;q=-33.0520477294922,136.172103881836")</f>
        <v>http://maps.google.com/maps?f=q&amp;hl=en&amp;geocode=&amp;q=-33.0520477294922,136.172103881836</v>
      </c>
    </row>
    <row r="5984" spans="1:7" ht="15" x14ac:dyDescent="0.3">
      <c r="A5984" t="s">
        <v>44</v>
      </c>
      <c r="B5984" t="s">
        <v>44</v>
      </c>
      <c r="C5984" t="s">
        <v>44</v>
      </c>
      <c r="D5984" t="s">
        <v>3706</v>
      </c>
      <c r="F5984" s="21"/>
      <c r="G5984" s="16"/>
    </row>
    <row r="5985" spans="1:7" ht="15" x14ac:dyDescent="0.3">
      <c r="A5985">
        <v>39.112859999999998</v>
      </c>
      <c r="B5985">
        <v>-84.507819999999995</v>
      </c>
      <c r="C5985" t="s">
        <v>42</v>
      </c>
      <c r="D5985" t="s">
        <v>2681</v>
      </c>
      <c r="F5985" s="21"/>
      <c r="G5985" s="16" t="str">
        <f>HYPERLINK("http://maps.google.com/maps?f=q&amp;hl=en&amp;geocode=&amp;q=39.11286,-84.50782")</f>
        <v>http://maps.google.com/maps?f=q&amp;hl=en&amp;geocode=&amp;q=39.11286,-84.50782</v>
      </c>
    </row>
    <row r="5986" spans="1:7" ht="15" x14ac:dyDescent="0.3">
      <c r="A5986">
        <v>39.964741807726398</v>
      </c>
      <c r="B5986">
        <v>-75.231684684514804</v>
      </c>
      <c r="C5986" t="s">
        <v>41</v>
      </c>
      <c r="D5986" t="s">
        <v>1742</v>
      </c>
      <c r="F5986" s="21"/>
      <c r="G5986" s="16" t="str">
        <f>HYPERLINK("http://maps.google.com/maps?f=q&amp;hl=en&amp;geocode=&amp;q=39.9647418077264,-75.2316846845148")</f>
        <v>http://maps.google.com/maps?f=q&amp;hl=en&amp;geocode=&amp;q=39.9647418077264,-75.2316846845148</v>
      </c>
    </row>
    <row r="5987" spans="1:7" ht="15" x14ac:dyDescent="0.3">
      <c r="A5987">
        <v>47.344679900000003</v>
      </c>
      <c r="B5987">
        <v>13.199260000000001</v>
      </c>
      <c r="C5987" t="s">
        <v>41</v>
      </c>
      <c r="D5987" t="s">
        <v>1089</v>
      </c>
      <c r="F5987" s="21"/>
      <c r="G5987" s="16" t="str">
        <f>HYPERLINK("http://maps.google.com/maps?f=q&amp;hl=en&amp;geocode=&amp;q=47.3446799,13.19926")</f>
        <v>http://maps.google.com/maps?f=q&amp;hl=en&amp;geocode=&amp;q=47.3446799,13.19926</v>
      </c>
    </row>
    <row r="5988" spans="1:7" ht="15" x14ac:dyDescent="0.3">
      <c r="A5988">
        <v>35.514769343266799</v>
      </c>
      <c r="B5988">
        <v>-85.694560296779002</v>
      </c>
      <c r="C5988" t="s">
        <v>41</v>
      </c>
      <c r="D5988" t="s">
        <v>3707</v>
      </c>
      <c r="F5988" s="21"/>
      <c r="G5988" s="16" t="str">
        <f>HYPERLINK("http://maps.google.com/maps?f=q&amp;hl=en&amp;geocode=&amp;q=35.5147693432668,-85.694560296779")</f>
        <v>http://maps.google.com/maps?f=q&amp;hl=en&amp;geocode=&amp;q=35.5147693432668,-85.694560296779</v>
      </c>
    </row>
    <row r="5989" spans="1:7" ht="15" x14ac:dyDescent="0.3">
      <c r="A5989" t="s">
        <v>44</v>
      </c>
      <c r="B5989" t="s">
        <v>44</v>
      </c>
      <c r="C5989" t="s">
        <v>44</v>
      </c>
      <c r="D5989" t="s">
        <v>3132</v>
      </c>
      <c r="F5989" s="21"/>
      <c r="G5989" s="16"/>
    </row>
    <row r="5990" spans="1:7" ht="15" x14ac:dyDescent="0.3">
      <c r="A5990" t="s">
        <v>44</v>
      </c>
      <c r="B5990" t="s">
        <v>44</v>
      </c>
      <c r="C5990" t="s">
        <v>44</v>
      </c>
      <c r="D5990" t="s">
        <v>3708</v>
      </c>
      <c r="F5990" s="21"/>
      <c r="G5990" s="16"/>
    </row>
    <row r="5991" spans="1:7" ht="15" x14ac:dyDescent="0.3">
      <c r="A5991">
        <v>42.373890000000003</v>
      </c>
      <c r="B5991">
        <v>-87.8626</v>
      </c>
      <c r="C5991" t="s">
        <v>41</v>
      </c>
      <c r="D5991" t="s">
        <v>2806</v>
      </c>
      <c r="F5991" s="21"/>
      <c r="G5991" s="16" t="str">
        <f>HYPERLINK("http://maps.google.com/maps?f=q&amp;hl=en&amp;geocode=&amp;q=42.37389,-87.8626")</f>
        <v>http://maps.google.com/maps?f=q&amp;hl=en&amp;geocode=&amp;q=42.37389,-87.8626</v>
      </c>
    </row>
    <row r="5992" spans="1:7" ht="15" x14ac:dyDescent="0.3">
      <c r="A5992">
        <v>40.042687335929102</v>
      </c>
      <c r="B5992">
        <v>-75.099992024888195</v>
      </c>
      <c r="C5992" t="s">
        <v>41</v>
      </c>
      <c r="D5992" t="s">
        <v>3709</v>
      </c>
      <c r="F5992" s="21"/>
      <c r="G5992" s="16" t="str">
        <f>HYPERLINK("http://maps.google.com/maps?f=q&amp;hl=en&amp;geocode=&amp;q=40.0426873359291,-75.0999920248882")</f>
        <v>http://maps.google.com/maps?f=q&amp;hl=en&amp;geocode=&amp;q=40.0426873359291,-75.0999920248882</v>
      </c>
    </row>
    <row r="5993" spans="1:7" ht="15" x14ac:dyDescent="0.3">
      <c r="A5993">
        <v>35.495575280689401</v>
      </c>
      <c r="B5993">
        <v>-94.968630986394899</v>
      </c>
      <c r="C5993" t="s">
        <v>41</v>
      </c>
      <c r="D5993" t="s">
        <v>3710</v>
      </c>
      <c r="F5993" s="21"/>
      <c r="G5993" s="16" t="str">
        <f>HYPERLINK("http://maps.google.com/maps?f=q&amp;hl=en&amp;geocode=&amp;q=35.4955752806894,-94.9686309863949")</f>
        <v>http://maps.google.com/maps?f=q&amp;hl=en&amp;geocode=&amp;q=35.4955752806894,-94.9686309863949</v>
      </c>
    </row>
    <row r="5994" spans="1:7" ht="15" x14ac:dyDescent="0.3">
      <c r="A5994">
        <v>34.7511459745498</v>
      </c>
      <c r="B5994">
        <v>-84.152016664087995</v>
      </c>
      <c r="C5994" t="s">
        <v>41</v>
      </c>
      <c r="D5994" t="s">
        <v>3711</v>
      </c>
      <c r="F5994" s="21"/>
      <c r="G5994" s="16" t="str">
        <f>HYPERLINK("http://maps.google.com/maps?f=q&amp;hl=en&amp;geocode=&amp;q=34.7511459745498,-84.152016664088")</f>
        <v>http://maps.google.com/maps?f=q&amp;hl=en&amp;geocode=&amp;q=34.7511459745498,-84.152016664088</v>
      </c>
    </row>
    <row r="5995" spans="1:7" ht="15" x14ac:dyDescent="0.3">
      <c r="A5995">
        <v>39.97063</v>
      </c>
      <c r="B5995">
        <v>-75.24718</v>
      </c>
      <c r="C5995" t="s">
        <v>43</v>
      </c>
      <c r="D5995" t="s">
        <v>3712</v>
      </c>
      <c r="F5995" s="21"/>
      <c r="G5995" s="16" t="str">
        <f>HYPERLINK("http://maps.google.com/maps?f=q&amp;hl=en&amp;geocode=&amp;q=39.97063,-75.24718")</f>
        <v>http://maps.google.com/maps?f=q&amp;hl=en&amp;geocode=&amp;q=39.97063,-75.24718</v>
      </c>
    </row>
    <row r="5996" spans="1:7" ht="15" x14ac:dyDescent="0.3">
      <c r="A5996" t="s">
        <v>44</v>
      </c>
      <c r="B5996" t="s">
        <v>44</v>
      </c>
      <c r="C5996" t="s">
        <v>44</v>
      </c>
      <c r="D5996" t="s">
        <v>3713</v>
      </c>
      <c r="F5996" s="21"/>
      <c r="G5996" s="16"/>
    </row>
    <row r="5997" spans="1:7" ht="15" x14ac:dyDescent="0.3">
      <c r="A5997">
        <v>39.112609999999997</v>
      </c>
      <c r="B5997">
        <v>-111.70471000000001</v>
      </c>
      <c r="C5997" t="s">
        <v>43</v>
      </c>
      <c r="D5997" t="s">
        <v>3102</v>
      </c>
      <c r="F5997" s="21"/>
      <c r="G5997" s="16" t="str">
        <f>HYPERLINK("http://maps.google.com/maps?f=q&amp;hl=en&amp;geocode=&amp;q=39.11261,-111.70471")</f>
        <v>http://maps.google.com/maps?f=q&amp;hl=en&amp;geocode=&amp;q=39.11261,-111.70471</v>
      </c>
    </row>
    <row r="5998" spans="1:7" ht="15" x14ac:dyDescent="0.3">
      <c r="A5998">
        <v>-31.831739425659201</v>
      </c>
      <c r="B5998">
        <v>115.80492401123</v>
      </c>
      <c r="C5998" t="s">
        <v>41</v>
      </c>
      <c r="D5998" t="s">
        <v>3714</v>
      </c>
      <c r="F5998" s="21"/>
      <c r="G5998" s="16" t="str">
        <f>HYPERLINK("http://maps.google.com/maps?f=q&amp;hl=en&amp;geocode=&amp;q=-31.8317394256592,115.80492401123")</f>
        <v>http://maps.google.com/maps?f=q&amp;hl=en&amp;geocode=&amp;q=-31.8317394256592,115.80492401123</v>
      </c>
    </row>
    <row r="5999" spans="1:7" ht="15" x14ac:dyDescent="0.3">
      <c r="A5999">
        <v>39.973199999999999</v>
      </c>
      <c r="B5999">
        <v>-75.209680000000006</v>
      </c>
      <c r="C5999" t="s">
        <v>41</v>
      </c>
      <c r="D5999" t="s">
        <v>832</v>
      </c>
      <c r="F5999" s="21"/>
      <c r="G5999" s="16" t="str">
        <f>HYPERLINK("http://maps.google.com/maps?f=q&amp;hl=en&amp;geocode=&amp;q=39.9732,-75.20968")</f>
        <v>http://maps.google.com/maps?f=q&amp;hl=en&amp;geocode=&amp;q=39.9732,-75.20968</v>
      </c>
    </row>
    <row r="6000" spans="1:7" ht="15" x14ac:dyDescent="0.3">
      <c r="A6000">
        <v>34.7511459745498</v>
      </c>
      <c r="B6000">
        <v>-84.152016664087995</v>
      </c>
      <c r="C6000" t="s">
        <v>41</v>
      </c>
      <c r="D6000" t="s">
        <v>3711</v>
      </c>
      <c r="F6000" s="21"/>
      <c r="G6000" s="16" t="str">
        <f>HYPERLINK("http://maps.google.com/maps?f=q&amp;hl=en&amp;geocode=&amp;q=34.7511459745498,-84.152016664088")</f>
        <v>http://maps.google.com/maps?f=q&amp;hl=en&amp;geocode=&amp;q=34.7511459745498,-84.152016664088</v>
      </c>
    </row>
    <row r="6001" spans="1:7" ht="15" x14ac:dyDescent="0.3">
      <c r="A6001">
        <v>36.04242</v>
      </c>
      <c r="B6001">
        <v>-83.82199</v>
      </c>
      <c r="C6001" t="s">
        <v>41</v>
      </c>
      <c r="D6001" t="s">
        <v>3715</v>
      </c>
      <c r="F6001" s="21"/>
      <c r="G6001" s="16" t="str">
        <f>HYPERLINK("http://maps.google.com/maps?f=q&amp;hl=en&amp;geocode=&amp;q=36.04242,-83.82199")</f>
        <v>http://maps.google.com/maps?f=q&amp;hl=en&amp;geocode=&amp;q=36.04242,-83.82199</v>
      </c>
    </row>
    <row r="6002" spans="1:7" ht="15" x14ac:dyDescent="0.3">
      <c r="A6002" t="s">
        <v>44</v>
      </c>
      <c r="B6002" t="s">
        <v>44</v>
      </c>
      <c r="C6002" t="s">
        <v>44</v>
      </c>
      <c r="D6002" t="s">
        <v>3716</v>
      </c>
      <c r="F6002" s="21"/>
      <c r="G6002" s="16"/>
    </row>
    <row r="6003" spans="1:7" ht="15" x14ac:dyDescent="0.3">
      <c r="A6003">
        <v>-26.034427642822301</v>
      </c>
      <c r="B6003">
        <v>28.5431098937988</v>
      </c>
      <c r="C6003" t="s">
        <v>43</v>
      </c>
      <c r="D6003" t="s">
        <v>115</v>
      </c>
      <c r="F6003" s="21"/>
      <c r="G6003" s="16" t="str">
        <f>HYPERLINK("http://maps.google.com/maps?f=q&amp;hl=en&amp;geocode=&amp;q=-26.0344276428223,28.5431098937988")</f>
        <v>http://maps.google.com/maps?f=q&amp;hl=en&amp;geocode=&amp;q=-26.0344276428223,28.5431098937988</v>
      </c>
    </row>
    <row r="6004" spans="1:7" ht="15" x14ac:dyDescent="0.3">
      <c r="A6004">
        <v>35.514769343266799</v>
      </c>
      <c r="B6004">
        <v>-85.694560296779002</v>
      </c>
      <c r="C6004" t="s">
        <v>41</v>
      </c>
      <c r="D6004" t="s">
        <v>3707</v>
      </c>
      <c r="F6004" s="21"/>
      <c r="G6004" s="16" t="str">
        <f>HYPERLINK("http://maps.google.com/maps?f=q&amp;hl=en&amp;geocode=&amp;q=35.5147693432668,-85.694560296779")</f>
        <v>http://maps.google.com/maps?f=q&amp;hl=en&amp;geocode=&amp;q=35.5147693432668,-85.694560296779</v>
      </c>
    </row>
    <row r="6005" spans="1:7" ht="15" x14ac:dyDescent="0.3">
      <c r="A6005">
        <v>33.752352999999999</v>
      </c>
      <c r="B6005">
        <v>-86.710181000000006</v>
      </c>
      <c r="C6005" t="s">
        <v>41</v>
      </c>
      <c r="D6005" t="s">
        <v>1251</v>
      </c>
      <c r="F6005" s="21"/>
      <c r="G6005" s="16" t="str">
        <f>HYPERLINK("http://maps.google.com/maps?f=q&amp;hl=en&amp;geocode=&amp;q=33.752353,-86.710181")</f>
        <v>http://maps.google.com/maps?f=q&amp;hl=en&amp;geocode=&amp;q=33.752353,-86.710181</v>
      </c>
    </row>
    <row r="6006" spans="1:7" ht="15" x14ac:dyDescent="0.3">
      <c r="A6006">
        <v>33.3845366505561</v>
      </c>
      <c r="B6006">
        <v>-111.783276129413</v>
      </c>
      <c r="C6006" t="s">
        <v>41</v>
      </c>
      <c r="D6006" t="s">
        <v>3717</v>
      </c>
      <c r="F6006" s="21"/>
      <c r="G6006" s="16" t="str">
        <f>HYPERLINK("http://maps.google.com/maps?f=q&amp;hl=en&amp;geocode=&amp;q=33.3845366505561,-111.783276129413")</f>
        <v>http://maps.google.com/maps?f=q&amp;hl=en&amp;geocode=&amp;q=33.3845366505561,-111.783276129413</v>
      </c>
    </row>
    <row r="6007" spans="1:7" ht="15" x14ac:dyDescent="0.3">
      <c r="A6007">
        <v>39.684371948242202</v>
      </c>
      <c r="B6007">
        <v>21.8974094390869</v>
      </c>
      <c r="C6007" t="s">
        <v>41</v>
      </c>
      <c r="D6007" t="s">
        <v>3718</v>
      </c>
      <c r="F6007" s="21"/>
      <c r="G6007" s="16" t="str">
        <f>HYPERLINK("http://maps.google.com/maps?f=q&amp;hl=en&amp;geocode=&amp;q=39.6843719482422,21.8974094390869")</f>
        <v>http://maps.google.com/maps?f=q&amp;hl=en&amp;geocode=&amp;q=39.6843719482422,21.8974094390869</v>
      </c>
    </row>
    <row r="6008" spans="1:7" ht="15" x14ac:dyDescent="0.3">
      <c r="A6008">
        <v>39.963769999999997</v>
      </c>
      <c r="B6008">
        <v>-75.242400000000004</v>
      </c>
      <c r="C6008" t="s">
        <v>43</v>
      </c>
      <c r="D6008" t="s">
        <v>3719</v>
      </c>
      <c r="F6008" s="21"/>
      <c r="G6008" s="16" t="str">
        <f>HYPERLINK("http://maps.google.com/maps?f=q&amp;hl=en&amp;geocode=&amp;q=39.96377,-75.2424")</f>
        <v>http://maps.google.com/maps?f=q&amp;hl=en&amp;geocode=&amp;q=39.96377,-75.2424</v>
      </c>
    </row>
    <row r="6009" spans="1:7" ht="15" x14ac:dyDescent="0.3">
      <c r="A6009">
        <v>42.054851531982401</v>
      </c>
      <c r="B6009">
        <v>-89.030372619628906</v>
      </c>
      <c r="C6009" t="s">
        <v>43</v>
      </c>
      <c r="D6009" t="s">
        <v>3720</v>
      </c>
      <c r="F6009" s="21"/>
      <c r="G6009" s="16" t="str">
        <f>HYPERLINK("http://maps.google.com/maps?f=q&amp;hl=en&amp;geocode=&amp;q=42.0548515319824,-89.0303726196289")</f>
        <v>http://maps.google.com/maps?f=q&amp;hl=en&amp;geocode=&amp;q=42.0548515319824,-89.0303726196289</v>
      </c>
    </row>
    <row r="6010" spans="1:7" ht="15" x14ac:dyDescent="0.3">
      <c r="A6010">
        <v>52.543731689453097</v>
      </c>
      <c r="B6010">
        <v>-8.3495998382568395</v>
      </c>
      <c r="C6010" t="s">
        <v>43</v>
      </c>
      <c r="D6010" t="s">
        <v>3721</v>
      </c>
      <c r="F6010" s="21"/>
      <c r="G6010" s="16" t="str">
        <f>HYPERLINK("http://maps.google.com/maps?f=q&amp;hl=en&amp;geocode=&amp;q=52.5437316894531,-8.34959983825684")</f>
        <v>http://maps.google.com/maps?f=q&amp;hl=en&amp;geocode=&amp;q=52.5437316894531,-8.34959983825684</v>
      </c>
    </row>
    <row r="6011" spans="1:7" ht="15" x14ac:dyDescent="0.3">
      <c r="A6011">
        <v>18.321819305419901</v>
      </c>
      <c r="B6011">
        <v>-64.862777709960895</v>
      </c>
      <c r="C6011" t="s">
        <v>43</v>
      </c>
      <c r="D6011" t="s">
        <v>3722</v>
      </c>
      <c r="F6011" s="21"/>
      <c r="G6011" s="16" t="str">
        <f>HYPERLINK("http://maps.google.com/maps?f=q&amp;hl=en&amp;geocode=&amp;q=18.3218193054199,-64.8627777099609")</f>
        <v>http://maps.google.com/maps?f=q&amp;hl=en&amp;geocode=&amp;q=18.3218193054199,-64.8627777099609</v>
      </c>
    </row>
    <row r="6012" spans="1:7" ht="15" x14ac:dyDescent="0.3">
      <c r="A6012">
        <v>40.038051605224602</v>
      </c>
      <c r="B6012">
        <v>-76.301292419433594</v>
      </c>
      <c r="C6012" t="s">
        <v>41</v>
      </c>
      <c r="D6012" t="s">
        <v>3723</v>
      </c>
      <c r="F6012" s="21"/>
      <c r="G6012" s="16" t="str">
        <f>HYPERLINK("http://maps.google.com/maps?f=q&amp;hl=en&amp;geocode=&amp;q=40.0380516052246,-76.3012924194336")</f>
        <v>http://maps.google.com/maps?f=q&amp;hl=en&amp;geocode=&amp;q=40.0380516052246,-76.3012924194336</v>
      </c>
    </row>
    <row r="6013" spans="1:7" ht="15" x14ac:dyDescent="0.3">
      <c r="A6013">
        <v>40.038051605224602</v>
      </c>
      <c r="B6013">
        <v>-76.301292419433594</v>
      </c>
      <c r="C6013" t="s">
        <v>41</v>
      </c>
      <c r="D6013" t="s">
        <v>3723</v>
      </c>
      <c r="F6013" s="21"/>
      <c r="G6013" s="16" t="str">
        <f>HYPERLINK("http://maps.google.com/maps?f=q&amp;hl=en&amp;geocode=&amp;q=40.0380516052246,-76.3012924194336")</f>
        <v>http://maps.google.com/maps?f=q&amp;hl=en&amp;geocode=&amp;q=40.0380516052246,-76.3012924194336</v>
      </c>
    </row>
    <row r="6014" spans="1:7" ht="15" x14ac:dyDescent="0.3">
      <c r="A6014">
        <v>40.046112060546903</v>
      </c>
      <c r="B6014">
        <v>-75.182220458984403</v>
      </c>
      <c r="C6014" t="s">
        <v>41</v>
      </c>
      <c r="D6014" t="s">
        <v>3724</v>
      </c>
      <c r="F6014" s="21"/>
      <c r="G6014" s="16" t="str">
        <f>HYPERLINK("http://maps.google.com/maps?f=q&amp;hl=en&amp;geocode=&amp;q=40.0461120605469,-75.1822204589844")</f>
        <v>http://maps.google.com/maps?f=q&amp;hl=en&amp;geocode=&amp;q=40.0461120605469,-75.1822204589844</v>
      </c>
    </row>
    <row r="6015" spans="1:7" ht="15" x14ac:dyDescent="0.3">
      <c r="A6015">
        <v>39.969520568847699</v>
      </c>
      <c r="B6015">
        <v>-79.613929748535199</v>
      </c>
      <c r="C6015" t="s">
        <v>43</v>
      </c>
      <c r="D6015" t="s">
        <v>134</v>
      </c>
      <c r="F6015" s="21"/>
      <c r="G6015" s="16" t="str">
        <f>HYPERLINK("http://maps.google.com/maps?f=q&amp;hl=en&amp;geocode=&amp;q=39.9695205688477,-79.6139297485352")</f>
        <v>http://maps.google.com/maps?f=q&amp;hl=en&amp;geocode=&amp;q=39.9695205688477,-79.6139297485352</v>
      </c>
    </row>
    <row r="6016" spans="1:7" ht="15" x14ac:dyDescent="0.3">
      <c r="A6016">
        <v>39.918970000000002</v>
      </c>
      <c r="B6016">
        <v>-75.223219999999998</v>
      </c>
      <c r="C6016" t="s">
        <v>41</v>
      </c>
      <c r="D6016" t="s">
        <v>2019</v>
      </c>
      <c r="F6016" s="21"/>
      <c r="G6016" s="16" t="str">
        <f>HYPERLINK("http://maps.google.com/maps?f=q&amp;hl=en&amp;geocode=&amp;q=39.91897,-75.22322")</f>
        <v>http://maps.google.com/maps?f=q&amp;hl=en&amp;geocode=&amp;q=39.91897,-75.22322</v>
      </c>
    </row>
    <row r="6017" spans="1:7" ht="15" x14ac:dyDescent="0.3">
      <c r="A6017">
        <v>37.050380706787102</v>
      </c>
      <c r="B6017">
        <v>-122.07330322265599</v>
      </c>
      <c r="C6017" t="s">
        <v>41</v>
      </c>
      <c r="D6017" t="s">
        <v>3725</v>
      </c>
      <c r="F6017" s="21"/>
      <c r="G6017" s="16" t="str">
        <f>HYPERLINK("http://maps.google.com/maps?f=q&amp;hl=en&amp;geocode=&amp;q=37.0503807067871,-122.073303222656")</f>
        <v>http://maps.google.com/maps?f=q&amp;hl=en&amp;geocode=&amp;q=37.0503807067871,-122.073303222656</v>
      </c>
    </row>
    <row r="6018" spans="1:7" ht="15" x14ac:dyDescent="0.3">
      <c r="A6018">
        <v>39.969520568847699</v>
      </c>
      <c r="B6018">
        <v>-79.613929748535199</v>
      </c>
      <c r="C6018" t="s">
        <v>43</v>
      </c>
      <c r="D6018" t="s">
        <v>134</v>
      </c>
      <c r="F6018" s="21"/>
      <c r="G6018" s="16" t="str">
        <f>HYPERLINK("http://maps.google.com/maps?f=q&amp;hl=en&amp;geocode=&amp;q=39.9695205688477,-79.6139297485352")</f>
        <v>http://maps.google.com/maps?f=q&amp;hl=en&amp;geocode=&amp;q=39.9695205688477,-79.6139297485352</v>
      </c>
    </row>
    <row r="6019" spans="1:7" ht="15" x14ac:dyDescent="0.3">
      <c r="A6019">
        <v>49.701650000000001</v>
      </c>
      <c r="B6019">
        <v>5.7476599999999998</v>
      </c>
      <c r="C6019" t="s">
        <v>41</v>
      </c>
      <c r="D6019" t="s">
        <v>1023</v>
      </c>
      <c r="F6019" s="21"/>
      <c r="G6019" s="16" t="str">
        <f>HYPERLINK("http://maps.google.com/maps?f=q&amp;hl=en&amp;geocode=&amp;q=49.70165,5.74766")</f>
        <v>http://maps.google.com/maps?f=q&amp;hl=en&amp;geocode=&amp;q=49.70165,5.74766</v>
      </c>
    </row>
    <row r="6020" spans="1:7" ht="15" x14ac:dyDescent="0.3">
      <c r="A6020" t="s">
        <v>44</v>
      </c>
      <c r="B6020" t="s">
        <v>44</v>
      </c>
      <c r="C6020" t="s">
        <v>44</v>
      </c>
      <c r="D6020" t="s">
        <v>3726</v>
      </c>
      <c r="F6020" s="21"/>
      <c r="G6020" s="16"/>
    </row>
    <row r="6021" spans="1:7" ht="15" x14ac:dyDescent="0.3">
      <c r="A6021">
        <v>49.5880737304688</v>
      </c>
      <c r="B6021">
        <v>6.1461858749389604</v>
      </c>
      <c r="C6021" t="s">
        <v>41</v>
      </c>
      <c r="D6021" t="s">
        <v>2779</v>
      </c>
      <c r="F6021" s="21"/>
      <c r="G6021" s="16" t="str">
        <f>HYPERLINK("http://maps.google.com/maps?f=q&amp;hl=en&amp;geocode=&amp;q=49.5880737304688,6.14618587493896")</f>
        <v>http://maps.google.com/maps?f=q&amp;hl=en&amp;geocode=&amp;q=49.5880737304688,6.14618587493896</v>
      </c>
    </row>
    <row r="6022" spans="1:7" ht="15" x14ac:dyDescent="0.3">
      <c r="A6022">
        <v>39.963769999999997</v>
      </c>
      <c r="B6022">
        <v>-75.242400000000004</v>
      </c>
      <c r="C6022" t="s">
        <v>43</v>
      </c>
      <c r="D6022" t="s">
        <v>3719</v>
      </c>
      <c r="F6022" s="21"/>
      <c r="G6022" s="16" t="str">
        <f>HYPERLINK("http://maps.google.com/maps?f=q&amp;hl=en&amp;geocode=&amp;q=39.96377,-75.2424")</f>
        <v>http://maps.google.com/maps?f=q&amp;hl=en&amp;geocode=&amp;q=39.96377,-75.2424</v>
      </c>
    </row>
    <row r="6023" spans="1:7" ht="15" x14ac:dyDescent="0.3">
      <c r="A6023">
        <v>32.298690795898402</v>
      </c>
      <c r="B6023">
        <v>-90.180488586425795</v>
      </c>
      <c r="C6023" t="s">
        <v>41</v>
      </c>
      <c r="D6023" t="s">
        <v>3727</v>
      </c>
      <c r="F6023" s="21"/>
      <c r="G6023" s="16" t="str">
        <f>HYPERLINK("http://maps.google.com/maps?f=q&amp;hl=en&amp;geocode=&amp;q=32.2986907958984,-90.1804885864258")</f>
        <v>http://maps.google.com/maps?f=q&amp;hl=en&amp;geocode=&amp;q=32.2986907958984,-90.1804885864258</v>
      </c>
    </row>
    <row r="6024" spans="1:7" ht="15" x14ac:dyDescent="0.3">
      <c r="A6024">
        <v>32.298690795898402</v>
      </c>
      <c r="B6024">
        <v>-90.180488586425795</v>
      </c>
      <c r="C6024" t="s">
        <v>41</v>
      </c>
      <c r="D6024" t="s">
        <v>3727</v>
      </c>
      <c r="F6024" s="21"/>
      <c r="G6024" s="16" t="str">
        <f>HYPERLINK("http://maps.google.com/maps?f=q&amp;hl=en&amp;geocode=&amp;q=32.2986907958984,-90.1804885864258")</f>
        <v>http://maps.google.com/maps?f=q&amp;hl=en&amp;geocode=&amp;q=32.2986907958984,-90.1804885864258</v>
      </c>
    </row>
    <row r="6025" spans="1:7" ht="15" x14ac:dyDescent="0.3">
      <c r="A6025" t="s">
        <v>44</v>
      </c>
      <c r="B6025" t="s">
        <v>44</v>
      </c>
      <c r="C6025" t="s">
        <v>44</v>
      </c>
      <c r="D6025" t="s">
        <v>3728</v>
      </c>
      <c r="F6025" s="21"/>
      <c r="G6025" s="16"/>
    </row>
    <row r="6026" spans="1:7" ht="15" x14ac:dyDescent="0.3">
      <c r="A6026" t="s">
        <v>44</v>
      </c>
      <c r="B6026" t="s">
        <v>44</v>
      </c>
      <c r="C6026" t="s">
        <v>44</v>
      </c>
      <c r="D6026" t="s">
        <v>3728</v>
      </c>
      <c r="F6026" s="21"/>
      <c r="G6026" s="16"/>
    </row>
    <row r="6027" spans="1:7" ht="15" x14ac:dyDescent="0.3">
      <c r="A6027" t="s">
        <v>44</v>
      </c>
      <c r="B6027" t="s">
        <v>44</v>
      </c>
      <c r="C6027" t="s">
        <v>44</v>
      </c>
      <c r="D6027" t="s">
        <v>1004</v>
      </c>
      <c r="F6027" s="21"/>
      <c r="G6027" s="16"/>
    </row>
    <row r="6028" spans="1:7" ht="15" x14ac:dyDescent="0.3">
      <c r="A6028">
        <v>40.395938873291001</v>
      </c>
      <c r="B6028">
        <v>-77.027488708496094</v>
      </c>
      <c r="C6028" t="s">
        <v>41</v>
      </c>
      <c r="D6028" t="s">
        <v>3729</v>
      </c>
      <c r="F6028" s="21"/>
      <c r="G6028" s="16" t="str">
        <f>HYPERLINK("http://maps.google.com/maps?f=q&amp;hl=en&amp;geocode=&amp;q=40.395938873291,-77.0274887084961")</f>
        <v>http://maps.google.com/maps?f=q&amp;hl=en&amp;geocode=&amp;q=40.395938873291,-77.0274887084961</v>
      </c>
    </row>
    <row r="6029" spans="1:7" ht="15" x14ac:dyDescent="0.3">
      <c r="A6029">
        <v>37.422609758423199</v>
      </c>
      <c r="B6029">
        <v>-97.204955434135798</v>
      </c>
      <c r="C6029" t="s">
        <v>41</v>
      </c>
      <c r="D6029" t="s">
        <v>3730</v>
      </c>
      <c r="F6029" s="21"/>
      <c r="G6029" s="16" t="str">
        <f>HYPERLINK("http://maps.google.com/maps?f=q&amp;hl=en&amp;geocode=&amp;q=37.4226097584232,-97.2049554341358")</f>
        <v>http://maps.google.com/maps?f=q&amp;hl=en&amp;geocode=&amp;q=37.4226097584232,-97.2049554341358</v>
      </c>
    </row>
    <row r="6030" spans="1:7" ht="15" x14ac:dyDescent="0.3">
      <c r="A6030">
        <v>41.361080946597099</v>
      </c>
      <c r="B6030">
        <v>-98.400756551118704</v>
      </c>
      <c r="C6030" t="s">
        <v>41</v>
      </c>
      <c r="D6030" t="s">
        <v>3731</v>
      </c>
      <c r="F6030" s="21"/>
      <c r="G6030" s="16" t="str">
        <f>HYPERLINK("http://maps.google.com/maps?f=q&amp;hl=en&amp;geocode=&amp;q=41.3610809465971,-98.4007565511187")</f>
        <v>http://maps.google.com/maps?f=q&amp;hl=en&amp;geocode=&amp;q=41.3610809465971,-98.4007565511187</v>
      </c>
    </row>
    <row r="6031" spans="1:7" ht="15" x14ac:dyDescent="0.3">
      <c r="A6031">
        <v>41.844279209543402</v>
      </c>
      <c r="B6031">
        <v>-75.481070644900896</v>
      </c>
      <c r="C6031" t="s">
        <v>41</v>
      </c>
      <c r="D6031" t="s">
        <v>3732</v>
      </c>
      <c r="F6031" s="21"/>
      <c r="G6031" s="16" t="str">
        <f>HYPERLINK("http://maps.google.com/maps?f=q&amp;hl=en&amp;geocode=&amp;q=41.8442792095434,-75.4810706449009")</f>
        <v>http://maps.google.com/maps?f=q&amp;hl=en&amp;geocode=&amp;q=41.8442792095434,-75.4810706449009</v>
      </c>
    </row>
    <row r="6032" spans="1:7" ht="15" x14ac:dyDescent="0.3">
      <c r="A6032">
        <v>60.996650695800803</v>
      </c>
      <c r="B6032">
        <v>10.0416803359985</v>
      </c>
      <c r="C6032" t="s">
        <v>41</v>
      </c>
      <c r="D6032" t="s">
        <v>3733</v>
      </c>
      <c r="F6032" s="21"/>
      <c r="G6032" s="16" t="str">
        <f>HYPERLINK("http://maps.google.com/maps?f=q&amp;hl=en&amp;geocode=&amp;q=60.9966506958008,10.0416803359985")</f>
        <v>http://maps.google.com/maps?f=q&amp;hl=en&amp;geocode=&amp;q=60.9966506958008,10.0416803359985</v>
      </c>
    </row>
    <row r="6033" spans="1:7" ht="15" x14ac:dyDescent="0.3">
      <c r="A6033">
        <v>36.015928310111001</v>
      </c>
      <c r="B6033">
        <v>-78.928323937418</v>
      </c>
      <c r="C6033" t="s">
        <v>41</v>
      </c>
      <c r="D6033" t="s">
        <v>1288</v>
      </c>
      <c r="F6033" s="21"/>
      <c r="G6033" s="16" t="str">
        <f>HYPERLINK("http://maps.google.com/maps?f=q&amp;hl=en&amp;geocode=&amp;q=36.015928310111,-78.928323937418")</f>
        <v>http://maps.google.com/maps?f=q&amp;hl=en&amp;geocode=&amp;q=36.015928310111,-78.928323937418</v>
      </c>
    </row>
    <row r="6034" spans="1:7" ht="15" x14ac:dyDescent="0.3">
      <c r="A6034">
        <v>36.015928310111001</v>
      </c>
      <c r="B6034">
        <v>-78.928323937418</v>
      </c>
      <c r="C6034" t="s">
        <v>41</v>
      </c>
      <c r="D6034" t="s">
        <v>1288</v>
      </c>
      <c r="F6034" s="21"/>
      <c r="G6034" s="16" t="str">
        <f>HYPERLINK("http://maps.google.com/maps?f=q&amp;hl=en&amp;geocode=&amp;q=36.015928310111,-78.928323937418")</f>
        <v>http://maps.google.com/maps?f=q&amp;hl=en&amp;geocode=&amp;q=36.015928310111,-78.928323937418</v>
      </c>
    </row>
    <row r="6035" spans="1:7" ht="15" x14ac:dyDescent="0.3">
      <c r="A6035">
        <v>39.69435</v>
      </c>
      <c r="B6035">
        <v>-84.119020000000006</v>
      </c>
      <c r="C6035" t="s">
        <v>41</v>
      </c>
      <c r="D6035" t="s">
        <v>3734</v>
      </c>
      <c r="F6035" s="21"/>
      <c r="G6035" s="16" t="str">
        <f>HYPERLINK("http://maps.google.com/maps?f=q&amp;hl=en&amp;geocode=&amp;q=39.69435,-84.11902")</f>
        <v>http://maps.google.com/maps?f=q&amp;hl=en&amp;geocode=&amp;q=39.69435,-84.11902</v>
      </c>
    </row>
    <row r="6036" spans="1:7" ht="15" x14ac:dyDescent="0.3">
      <c r="A6036">
        <v>-36.870089999999998</v>
      </c>
      <c r="B6036">
        <v>174.70774</v>
      </c>
      <c r="C6036" t="s">
        <v>41</v>
      </c>
      <c r="D6036" t="s">
        <v>3735</v>
      </c>
      <c r="F6036" s="21"/>
      <c r="G6036" s="16" t="str">
        <f>HYPERLINK("http://maps.google.com/maps?f=q&amp;hl=en&amp;geocode=&amp;q=-36.87009,174.70774")</f>
        <v>http://maps.google.com/maps?f=q&amp;hl=en&amp;geocode=&amp;q=-36.87009,174.70774</v>
      </c>
    </row>
    <row r="6037" spans="1:7" ht="15" x14ac:dyDescent="0.3">
      <c r="A6037">
        <v>39.971473972150299</v>
      </c>
      <c r="B6037">
        <v>-75.159605242826203</v>
      </c>
      <c r="C6037" t="s">
        <v>41</v>
      </c>
      <c r="D6037" t="s">
        <v>3736</v>
      </c>
      <c r="F6037" s="21"/>
      <c r="G6037" s="16" t="str">
        <f>HYPERLINK("http://maps.google.com/maps?f=q&amp;hl=en&amp;geocode=&amp;q=39.9714739721503,-75.1596052428262")</f>
        <v>http://maps.google.com/maps?f=q&amp;hl=en&amp;geocode=&amp;q=39.9714739721503,-75.1596052428262</v>
      </c>
    </row>
    <row r="6038" spans="1:7" ht="15" x14ac:dyDescent="0.3">
      <c r="A6038">
        <v>39.971473972150299</v>
      </c>
      <c r="B6038">
        <v>-75.159605242826203</v>
      </c>
      <c r="C6038" t="s">
        <v>41</v>
      </c>
      <c r="D6038" t="s">
        <v>3736</v>
      </c>
      <c r="F6038" s="21"/>
      <c r="G6038" s="16" t="str">
        <f>HYPERLINK("http://maps.google.com/maps?f=q&amp;hl=en&amp;geocode=&amp;q=39.9714739721503,-75.1596052428262")</f>
        <v>http://maps.google.com/maps?f=q&amp;hl=en&amp;geocode=&amp;q=39.9714739721503,-75.1596052428262</v>
      </c>
    </row>
    <row r="6039" spans="1:7" ht="15" x14ac:dyDescent="0.3">
      <c r="A6039">
        <v>39.298933164705602</v>
      </c>
      <c r="B6039">
        <v>-76.6056274929946</v>
      </c>
      <c r="C6039" t="s">
        <v>41</v>
      </c>
      <c r="D6039" t="s">
        <v>3737</v>
      </c>
      <c r="F6039" s="21"/>
      <c r="G6039" s="16" t="str">
        <f>HYPERLINK("http://maps.google.com/maps?f=q&amp;hl=en&amp;geocode=&amp;q=39.2989331647056,-76.6056274929946")</f>
        <v>http://maps.google.com/maps?f=q&amp;hl=en&amp;geocode=&amp;q=39.2989331647056,-76.6056274929946</v>
      </c>
    </row>
    <row r="6040" spans="1:7" ht="15" x14ac:dyDescent="0.3">
      <c r="A6040">
        <v>37.266408160957901</v>
      </c>
      <c r="B6040">
        <v>-76.394319467036695</v>
      </c>
      <c r="C6040" t="s">
        <v>43</v>
      </c>
      <c r="D6040" t="s">
        <v>3738</v>
      </c>
      <c r="F6040" s="21"/>
      <c r="G6040" s="16" t="str">
        <f>HYPERLINK("http://maps.google.com/maps?f=q&amp;hl=en&amp;geocode=&amp;q=37.2664081609579,-76.3943194670367")</f>
        <v>http://maps.google.com/maps?f=q&amp;hl=en&amp;geocode=&amp;q=37.2664081609579,-76.3943194670367</v>
      </c>
    </row>
    <row r="6041" spans="1:7" ht="15" x14ac:dyDescent="0.3">
      <c r="A6041">
        <v>39.995800000000003</v>
      </c>
      <c r="B6041">
        <v>-75.170929999999998</v>
      </c>
      <c r="C6041" t="s">
        <v>41</v>
      </c>
      <c r="D6041" t="s">
        <v>3739</v>
      </c>
      <c r="F6041" s="21"/>
      <c r="G6041" s="16" t="str">
        <f>HYPERLINK("http://maps.google.com/maps?f=q&amp;hl=en&amp;geocode=&amp;q=39.9958,-75.17093")</f>
        <v>http://maps.google.com/maps?f=q&amp;hl=en&amp;geocode=&amp;q=39.9958,-75.17093</v>
      </c>
    </row>
    <row r="6042" spans="1:7" ht="15" x14ac:dyDescent="0.3">
      <c r="A6042">
        <v>39.91337</v>
      </c>
      <c r="B6042">
        <v>-75.175049999999999</v>
      </c>
      <c r="C6042" t="s">
        <v>41</v>
      </c>
      <c r="D6042" t="s">
        <v>3691</v>
      </c>
      <c r="F6042" s="21"/>
      <c r="G6042" s="16" t="str">
        <f>HYPERLINK("http://maps.google.com/maps?f=q&amp;hl=en&amp;geocode=&amp;q=39.91337,-75.17505")</f>
        <v>http://maps.google.com/maps?f=q&amp;hl=en&amp;geocode=&amp;q=39.91337,-75.17505</v>
      </c>
    </row>
    <row r="6043" spans="1:7" ht="15" x14ac:dyDescent="0.3">
      <c r="A6043">
        <v>47.165733337402301</v>
      </c>
      <c r="B6043">
        <v>19.4165744781494</v>
      </c>
      <c r="C6043" t="s">
        <v>41</v>
      </c>
      <c r="D6043" t="s">
        <v>3740</v>
      </c>
      <c r="F6043" s="21"/>
      <c r="G6043" s="16" t="str">
        <f>HYPERLINK("http://maps.google.com/maps?f=q&amp;hl=en&amp;geocode=&amp;q=47.1657333374023,19.4165744781494")</f>
        <v>http://maps.google.com/maps?f=q&amp;hl=en&amp;geocode=&amp;q=47.1657333374023,19.4165744781494</v>
      </c>
    </row>
    <row r="6044" spans="1:7" ht="15" x14ac:dyDescent="0.3">
      <c r="A6044">
        <v>39.940959999999997</v>
      </c>
      <c r="B6044">
        <v>-75.177859999999995</v>
      </c>
      <c r="C6044" t="s">
        <v>42</v>
      </c>
      <c r="D6044" t="s">
        <v>2827</v>
      </c>
      <c r="F6044" s="21"/>
      <c r="G6044" s="16" t="str">
        <f>HYPERLINK("http://maps.google.com/maps?f=q&amp;hl=en&amp;geocode=&amp;q=39.94096,-75.17786")</f>
        <v>http://maps.google.com/maps?f=q&amp;hl=en&amp;geocode=&amp;q=39.94096,-75.17786</v>
      </c>
    </row>
    <row r="6045" spans="1:7" ht="15" x14ac:dyDescent="0.3">
      <c r="A6045">
        <v>40.132370000000002</v>
      </c>
      <c r="B6045">
        <v>-75.007909999999995</v>
      </c>
      <c r="C6045" t="s">
        <v>41</v>
      </c>
      <c r="D6045" t="s">
        <v>55</v>
      </c>
      <c r="F6045" s="21"/>
      <c r="G6045" s="16" t="str">
        <f>HYPERLINK("http://maps.google.com/maps?f=q&amp;hl=en&amp;geocode=&amp;q=40.13237,-75.00791")</f>
        <v>http://maps.google.com/maps?f=q&amp;hl=en&amp;geocode=&amp;q=40.13237,-75.00791</v>
      </c>
    </row>
    <row r="6046" spans="1:7" ht="15" x14ac:dyDescent="0.3">
      <c r="A6046">
        <v>29.7082328796387</v>
      </c>
      <c r="B6046">
        <v>-90.006401062011705</v>
      </c>
      <c r="C6046" t="s">
        <v>43</v>
      </c>
      <c r="D6046" t="s">
        <v>98</v>
      </c>
      <c r="F6046" s="21"/>
      <c r="G6046" s="16" t="str">
        <f>HYPERLINK("http://maps.google.com/maps?f=q&amp;hl=en&amp;geocode=&amp;q=29.7082328796387,-90.0064010620117")</f>
        <v>http://maps.google.com/maps?f=q&amp;hl=en&amp;geocode=&amp;q=29.7082328796387,-90.0064010620117</v>
      </c>
    </row>
    <row r="6047" spans="1:7" ht="15" x14ac:dyDescent="0.3">
      <c r="A6047">
        <v>31.490434646606399</v>
      </c>
      <c r="B6047">
        <v>-86.991203308105497</v>
      </c>
      <c r="C6047" t="s">
        <v>43</v>
      </c>
      <c r="D6047" t="s">
        <v>3741</v>
      </c>
      <c r="F6047" s="21"/>
      <c r="G6047" s="16" t="str">
        <f>HYPERLINK("http://maps.google.com/maps?f=q&amp;hl=en&amp;geocode=&amp;q=31.4904346466064,-86.9912033081055")</f>
        <v>http://maps.google.com/maps?f=q&amp;hl=en&amp;geocode=&amp;q=31.4904346466064,-86.9912033081055</v>
      </c>
    </row>
    <row r="6048" spans="1:7" ht="15" x14ac:dyDescent="0.3">
      <c r="A6048">
        <v>-26.3162326812744</v>
      </c>
      <c r="B6048">
        <v>27.810085296630898</v>
      </c>
      <c r="C6048" t="s">
        <v>43</v>
      </c>
      <c r="D6048" t="s">
        <v>3742</v>
      </c>
      <c r="F6048" s="21"/>
      <c r="G6048" s="16" t="str">
        <f>HYPERLINK("http://maps.google.com/maps?f=q&amp;hl=en&amp;geocode=&amp;q=-26.3162326812744,27.8100852966309")</f>
        <v>http://maps.google.com/maps?f=q&amp;hl=en&amp;geocode=&amp;q=-26.3162326812744,27.8100852966309</v>
      </c>
    </row>
    <row r="6049" spans="1:7" ht="15" x14ac:dyDescent="0.3">
      <c r="F6049" s="21"/>
      <c r="G6049" s="16"/>
    </row>
    <row r="6050" spans="1:7" ht="15" x14ac:dyDescent="0.3">
      <c r="A6050">
        <v>43.487299999999998</v>
      </c>
      <c r="B6050">
        <v>-116.34712</v>
      </c>
      <c r="C6050" t="s">
        <v>43</v>
      </c>
      <c r="D6050" t="s">
        <v>3743</v>
      </c>
      <c r="F6050" s="21"/>
      <c r="G6050" s="16" t="str">
        <f>HYPERLINK("http://maps.google.com/maps?f=q&amp;hl=en&amp;geocode=&amp;q=43.4873,-116.34712")</f>
        <v>http://maps.google.com/maps?f=q&amp;hl=en&amp;geocode=&amp;q=43.4873,-116.34712</v>
      </c>
    </row>
    <row r="6051" spans="1:7" ht="15" x14ac:dyDescent="0.3">
      <c r="A6051">
        <v>43.487299999999998</v>
      </c>
      <c r="B6051">
        <v>-116.34712</v>
      </c>
      <c r="C6051" t="s">
        <v>43</v>
      </c>
      <c r="D6051" t="s">
        <v>3744</v>
      </c>
      <c r="F6051" s="21"/>
      <c r="G6051" s="16" t="str">
        <f>HYPERLINK("http://maps.google.com/maps?f=q&amp;hl=en&amp;geocode=&amp;q=43.4873,-116.34712")</f>
        <v>http://maps.google.com/maps?f=q&amp;hl=en&amp;geocode=&amp;q=43.4873,-116.34712</v>
      </c>
    </row>
    <row r="6052" spans="1:7" ht="15" x14ac:dyDescent="0.3">
      <c r="A6052">
        <v>42.849998474121101</v>
      </c>
      <c r="B6052">
        <v>-7.0833330154418901</v>
      </c>
      <c r="C6052" t="s">
        <v>43</v>
      </c>
      <c r="D6052" t="s">
        <v>3131</v>
      </c>
      <c r="F6052" s="21"/>
      <c r="G6052" s="16" t="str">
        <f>HYPERLINK("http://maps.google.com/maps?f=q&amp;hl=en&amp;geocode=&amp;q=42.8499984741211,-7.08333301544189")</f>
        <v>http://maps.google.com/maps?f=q&amp;hl=en&amp;geocode=&amp;q=42.8499984741211,-7.08333301544189</v>
      </c>
    </row>
    <row r="6053" spans="1:7" ht="15" x14ac:dyDescent="0.3">
      <c r="A6053">
        <v>40.347012719351802</v>
      </c>
      <c r="B6053">
        <v>-76.425673822322906</v>
      </c>
      <c r="C6053" t="s">
        <v>41</v>
      </c>
      <c r="D6053" t="s">
        <v>3266</v>
      </c>
      <c r="F6053" s="21"/>
      <c r="G6053" s="16" t="str">
        <f>HYPERLINK("http://maps.google.com/maps?f=q&amp;hl=en&amp;geocode=&amp;q=40.3470127193518,-76.4256738223229")</f>
        <v>http://maps.google.com/maps?f=q&amp;hl=en&amp;geocode=&amp;q=40.3470127193518,-76.4256738223229</v>
      </c>
    </row>
    <row r="6054" spans="1:7" ht="15" x14ac:dyDescent="0.3">
      <c r="A6054">
        <v>40.033290000000001</v>
      </c>
      <c r="B6054">
        <v>-75.06514</v>
      </c>
      <c r="C6054" t="s">
        <v>41</v>
      </c>
      <c r="D6054" t="s">
        <v>3745</v>
      </c>
      <c r="F6054" s="21"/>
      <c r="G6054" s="16" t="str">
        <f>HYPERLINK("http://maps.google.com/maps?f=q&amp;hl=en&amp;geocode=&amp;q=40.03329,-75.06514")</f>
        <v>http://maps.google.com/maps?f=q&amp;hl=en&amp;geocode=&amp;q=40.03329,-75.06514</v>
      </c>
    </row>
    <row r="6055" spans="1:7" ht="15" x14ac:dyDescent="0.3">
      <c r="A6055">
        <v>34.563980102539098</v>
      </c>
      <c r="B6055">
        <v>-92.586853027343807</v>
      </c>
      <c r="C6055" t="s">
        <v>43</v>
      </c>
      <c r="D6055" t="s">
        <v>3746</v>
      </c>
      <c r="F6055" s="21"/>
      <c r="G6055" s="16" t="str">
        <f>HYPERLINK("http://maps.google.com/maps?f=q&amp;hl=en&amp;geocode=&amp;q=34.5639801025391,-92.5868530273438")</f>
        <v>http://maps.google.com/maps?f=q&amp;hl=en&amp;geocode=&amp;q=34.5639801025391,-92.5868530273438</v>
      </c>
    </row>
    <row r="6056" spans="1:7" ht="15" x14ac:dyDescent="0.3">
      <c r="A6056">
        <v>35.321916428819399</v>
      </c>
      <c r="B6056">
        <v>-82.6866264349581</v>
      </c>
      <c r="C6056" t="s">
        <v>41</v>
      </c>
      <c r="D6056" t="s">
        <v>3100</v>
      </c>
      <c r="F6056" s="21"/>
      <c r="G6056" s="16" t="str">
        <f>HYPERLINK("http://maps.google.com/maps?f=q&amp;hl=en&amp;geocode=&amp;q=35.3219164288194,-82.6866264349581")</f>
        <v>http://maps.google.com/maps?f=q&amp;hl=en&amp;geocode=&amp;q=35.3219164288194,-82.6866264349581</v>
      </c>
    </row>
    <row r="6057" spans="1:7" ht="15" x14ac:dyDescent="0.3">
      <c r="A6057">
        <v>32.767061528882401</v>
      </c>
      <c r="B6057">
        <v>-115.366395617064</v>
      </c>
      <c r="C6057" t="s">
        <v>41</v>
      </c>
      <c r="D6057" t="s">
        <v>3747</v>
      </c>
      <c r="F6057" s="21"/>
      <c r="G6057" s="16" t="str">
        <f>HYPERLINK("http://maps.google.com/maps?f=q&amp;hl=en&amp;geocode=&amp;q=32.7670615288824,-115.366395617064")</f>
        <v>http://maps.google.com/maps?f=q&amp;hl=en&amp;geocode=&amp;q=32.7670615288824,-115.366395617064</v>
      </c>
    </row>
    <row r="6058" spans="1:7" ht="15" x14ac:dyDescent="0.3">
      <c r="A6058">
        <v>36.902555965944998</v>
      </c>
      <c r="B6058">
        <v>-78.8948882131007</v>
      </c>
      <c r="C6058" t="s">
        <v>43</v>
      </c>
      <c r="D6058" t="s">
        <v>3748</v>
      </c>
      <c r="F6058" s="21"/>
      <c r="G6058" s="16" t="str">
        <f>HYPERLINK("http://maps.google.com/maps?f=q&amp;hl=en&amp;geocode=&amp;q=36.902555965945,-78.8948882131007")</f>
        <v>http://maps.google.com/maps?f=q&amp;hl=en&amp;geocode=&amp;q=36.902555965945,-78.8948882131007</v>
      </c>
    </row>
    <row r="6059" spans="1:7" ht="15" x14ac:dyDescent="0.3">
      <c r="A6059">
        <v>-26.034427642822301</v>
      </c>
      <c r="B6059">
        <v>28.5431098937988</v>
      </c>
      <c r="C6059" t="s">
        <v>43</v>
      </c>
      <c r="D6059" t="s">
        <v>3749</v>
      </c>
      <c r="F6059" s="21"/>
      <c r="G6059" s="16" t="str">
        <f>HYPERLINK("http://maps.google.com/maps?f=q&amp;hl=en&amp;geocode=&amp;q=-26.0344276428223,28.5431098937988")</f>
        <v>http://maps.google.com/maps?f=q&amp;hl=en&amp;geocode=&amp;q=-26.0344276428223,28.5431098937988</v>
      </c>
    </row>
    <row r="6060" spans="1:7" ht="15" x14ac:dyDescent="0.3">
      <c r="A6060" t="s">
        <v>44</v>
      </c>
      <c r="B6060" t="s">
        <v>44</v>
      </c>
      <c r="C6060" t="s">
        <v>44</v>
      </c>
      <c r="D6060" t="s">
        <v>3750</v>
      </c>
      <c r="F6060" s="21"/>
      <c r="G6060" s="16"/>
    </row>
    <row r="6061" spans="1:7" ht="15" x14ac:dyDescent="0.3">
      <c r="A6061" t="s">
        <v>44</v>
      </c>
      <c r="B6061" t="s">
        <v>44</v>
      </c>
      <c r="C6061" t="s">
        <v>44</v>
      </c>
      <c r="D6061" t="s">
        <v>3225</v>
      </c>
      <c r="F6061" s="21"/>
      <c r="G6061" s="16"/>
    </row>
    <row r="6062" spans="1:7" ht="15" x14ac:dyDescent="0.3">
      <c r="A6062">
        <v>47.116134643554702</v>
      </c>
      <c r="B6062">
        <v>6.8440089225768999</v>
      </c>
      <c r="C6062" t="s">
        <v>43</v>
      </c>
      <c r="D6062" t="s">
        <v>3751</v>
      </c>
      <c r="F6062" s="21"/>
      <c r="G6062" s="16" t="str">
        <f>HYPERLINK("http://maps.google.com/maps?f=q&amp;hl=en&amp;geocode=&amp;q=47.1161346435547,6.8440089225769")</f>
        <v>http://maps.google.com/maps?f=q&amp;hl=en&amp;geocode=&amp;q=47.1161346435547,6.8440089225769</v>
      </c>
    </row>
    <row r="6063" spans="1:7" ht="15" x14ac:dyDescent="0.3">
      <c r="F6063" s="21"/>
      <c r="G6063" s="16"/>
    </row>
    <row r="6064" spans="1:7" ht="15" x14ac:dyDescent="0.3">
      <c r="A6064" t="s">
        <v>44</v>
      </c>
      <c r="B6064" t="s">
        <v>44</v>
      </c>
      <c r="C6064" t="s">
        <v>44</v>
      </c>
      <c r="D6064" t="s">
        <v>3752</v>
      </c>
      <c r="F6064" s="21"/>
      <c r="G6064" s="16"/>
    </row>
    <row r="6065" spans="1:7" ht="15" x14ac:dyDescent="0.3">
      <c r="A6065">
        <v>-43.576999664306598</v>
      </c>
      <c r="B6065">
        <v>172.75999450683599</v>
      </c>
      <c r="C6065" t="s">
        <v>41</v>
      </c>
      <c r="D6065" t="s">
        <v>3753</v>
      </c>
      <c r="F6065" s="21"/>
      <c r="G6065" s="16" t="str">
        <f>HYPERLINK("http://maps.google.com/maps?f=q&amp;hl=en&amp;geocode=&amp;q=-43.5769996643066,172.759994506836")</f>
        <v>http://maps.google.com/maps?f=q&amp;hl=en&amp;geocode=&amp;q=-43.5769996643066,172.759994506836</v>
      </c>
    </row>
    <row r="6066" spans="1:7" ht="15" x14ac:dyDescent="0.3">
      <c r="A6066">
        <v>32.692913055419901</v>
      </c>
      <c r="B6066">
        <v>-103.214790344238</v>
      </c>
      <c r="C6066" t="s">
        <v>41</v>
      </c>
      <c r="D6066" t="s">
        <v>3754</v>
      </c>
      <c r="F6066" s="21"/>
      <c r="G6066" s="16" t="str">
        <f>HYPERLINK("http://maps.google.com/maps?f=q&amp;hl=en&amp;geocode=&amp;q=32.6929130554199,-103.214790344238")</f>
        <v>http://maps.google.com/maps?f=q&amp;hl=en&amp;geocode=&amp;q=32.6929130554199,-103.214790344238</v>
      </c>
    </row>
    <row r="6067" spans="1:7" ht="15" x14ac:dyDescent="0.3">
      <c r="A6067">
        <v>-26.034427642822301</v>
      </c>
      <c r="B6067">
        <v>28.5431098937988</v>
      </c>
      <c r="C6067" t="s">
        <v>43</v>
      </c>
      <c r="D6067" t="s">
        <v>3755</v>
      </c>
      <c r="F6067" s="21"/>
      <c r="G6067" s="16" t="str">
        <f>HYPERLINK("http://maps.google.com/maps?f=q&amp;hl=en&amp;geocode=&amp;q=-26.0344276428223,28.5431098937988")</f>
        <v>http://maps.google.com/maps?f=q&amp;hl=en&amp;geocode=&amp;q=-26.0344276428223,28.5431098937988</v>
      </c>
    </row>
    <row r="6068" spans="1:7" ht="15" x14ac:dyDescent="0.3">
      <c r="A6068">
        <v>44.908749999999998</v>
      </c>
      <c r="B6068">
        <v>-93.308670000000006</v>
      </c>
      <c r="C6068" t="s">
        <v>43</v>
      </c>
      <c r="D6068" t="s">
        <v>3756</v>
      </c>
      <c r="F6068" s="21"/>
      <c r="G6068" s="16" t="str">
        <f>HYPERLINK("http://maps.google.com/maps?f=q&amp;hl=en&amp;geocode=&amp;q=44.90875,-93.30867")</f>
        <v>http://maps.google.com/maps?f=q&amp;hl=en&amp;geocode=&amp;q=44.90875,-93.30867</v>
      </c>
    </row>
    <row r="6069" spans="1:7" ht="15" x14ac:dyDescent="0.3">
      <c r="A6069">
        <v>39.729900360107401</v>
      </c>
      <c r="B6069">
        <v>-75.470031738281307</v>
      </c>
      <c r="C6069" t="s">
        <v>41</v>
      </c>
      <c r="D6069" t="s">
        <v>3757</v>
      </c>
      <c r="F6069" s="21"/>
      <c r="G6069" s="16" t="str">
        <f>HYPERLINK("http://maps.google.com/maps?f=q&amp;hl=en&amp;geocode=&amp;q=39.7299003601074,-75.4700317382813")</f>
        <v>http://maps.google.com/maps?f=q&amp;hl=en&amp;geocode=&amp;q=39.7299003601074,-75.4700317382813</v>
      </c>
    </row>
    <row r="6070" spans="1:7" ht="15" x14ac:dyDescent="0.3">
      <c r="A6070">
        <v>39.960279999999997</v>
      </c>
      <c r="B6070">
        <v>-75.226830000000007</v>
      </c>
      <c r="C6070" t="s">
        <v>43</v>
      </c>
      <c r="D6070" t="s">
        <v>3385</v>
      </c>
      <c r="F6070" s="21"/>
      <c r="G6070" s="16" t="str">
        <f>HYPERLINK("http://maps.google.com/maps?f=q&amp;hl=en&amp;geocode=&amp;q=39.96028,-75.22683")</f>
        <v>http://maps.google.com/maps?f=q&amp;hl=en&amp;geocode=&amp;q=39.96028,-75.22683</v>
      </c>
    </row>
    <row r="6071" spans="1:7" ht="15" x14ac:dyDescent="0.3">
      <c r="A6071">
        <v>39.5642045883408</v>
      </c>
      <c r="B6071">
        <v>-90.132601938524502</v>
      </c>
      <c r="C6071" t="s">
        <v>41</v>
      </c>
      <c r="D6071" t="s">
        <v>3758</v>
      </c>
      <c r="F6071" s="21"/>
      <c r="G6071" s="16" t="str">
        <f>HYPERLINK("http://maps.google.com/maps?f=q&amp;hl=en&amp;geocode=&amp;q=39.5642045883408,-90.1326019385245")</f>
        <v>http://maps.google.com/maps?f=q&amp;hl=en&amp;geocode=&amp;q=39.5642045883408,-90.1326019385245</v>
      </c>
    </row>
    <row r="6072" spans="1:7" ht="15" x14ac:dyDescent="0.3">
      <c r="A6072">
        <v>39.5642023482715</v>
      </c>
      <c r="B6072">
        <v>-90.142017543293903</v>
      </c>
      <c r="C6072" t="s">
        <v>41</v>
      </c>
      <c r="D6072" t="s">
        <v>3759</v>
      </c>
      <c r="F6072" s="21"/>
      <c r="G6072" s="16" t="str">
        <f>HYPERLINK("http://maps.google.com/maps?f=q&amp;hl=en&amp;geocode=&amp;q=39.5642023482715,-90.1420175432939")</f>
        <v>http://maps.google.com/maps?f=q&amp;hl=en&amp;geocode=&amp;q=39.5642023482715,-90.1420175432939</v>
      </c>
    </row>
    <row r="6073" spans="1:7" ht="15" x14ac:dyDescent="0.3">
      <c r="A6073">
        <v>39.940657136803303</v>
      </c>
      <c r="B6073">
        <v>-75.179765868760796</v>
      </c>
      <c r="C6073" t="s">
        <v>41</v>
      </c>
      <c r="D6073" t="s">
        <v>3226</v>
      </c>
      <c r="F6073" s="21"/>
      <c r="G6073" s="16" t="str">
        <f>HYPERLINK("http://maps.google.com/maps?f=q&amp;hl=en&amp;geocode=&amp;q=39.9406571368033,-75.1797658687608")</f>
        <v>http://maps.google.com/maps?f=q&amp;hl=en&amp;geocode=&amp;q=39.9406571368033,-75.1797658687608</v>
      </c>
    </row>
    <row r="6074" spans="1:7" ht="15" x14ac:dyDescent="0.3">
      <c r="A6074">
        <v>31.028939999999999</v>
      </c>
      <c r="B6074">
        <v>-87.526110000000003</v>
      </c>
      <c r="C6074" t="s">
        <v>41</v>
      </c>
      <c r="D6074" t="s">
        <v>3474</v>
      </c>
      <c r="F6074" s="21"/>
      <c r="G6074" s="16" t="str">
        <f>HYPERLINK("http://maps.google.com/maps?f=q&amp;hl=en&amp;geocode=&amp;q=31.02894,-87.52611")</f>
        <v>http://maps.google.com/maps?f=q&amp;hl=en&amp;geocode=&amp;q=31.02894,-87.52611</v>
      </c>
    </row>
    <row r="6075" spans="1:7" ht="15" x14ac:dyDescent="0.3">
      <c r="A6075">
        <v>30.951239833014998</v>
      </c>
      <c r="B6075">
        <v>-83.365664314216104</v>
      </c>
      <c r="C6075" t="s">
        <v>41</v>
      </c>
      <c r="D6075" t="s">
        <v>3760</v>
      </c>
      <c r="F6075" s="21"/>
      <c r="G6075" s="16" t="str">
        <f>HYPERLINK("http://maps.google.com/maps?f=q&amp;hl=en&amp;geocode=&amp;q=30.951239833015,-83.3656643142161")</f>
        <v>http://maps.google.com/maps?f=q&amp;hl=en&amp;geocode=&amp;q=30.951239833015,-83.3656643142161</v>
      </c>
    </row>
    <row r="6076" spans="1:7" ht="15" x14ac:dyDescent="0.3">
      <c r="A6076" t="s">
        <v>44</v>
      </c>
      <c r="B6076" t="s">
        <v>44</v>
      </c>
      <c r="C6076" t="s">
        <v>44</v>
      </c>
      <c r="D6076" t="s">
        <v>3761</v>
      </c>
      <c r="F6076" s="21"/>
      <c r="G6076" s="16"/>
    </row>
    <row r="6077" spans="1:7" ht="15" x14ac:dyDescent="0.3">
      <c r="A6077">
        <v>35.217179999999999</v>
      </c>
      <c r="B6077">
        <v>-114.04236</v>
      </c>
      <c r="C6077" t="s">
        <v>43</v>
      </c>
      <c r="D6077" t="s">
        <v>3762</v>
      </c>
      <c r="F6077" s="21"/>
      <c r="G6077" s="16" t="str">
        <f>HYPERLINK("http://maps.google.com/maps?f=q&amp;hl=en&amp;geocode=&amp;q=35.21718,-114.04236")</f>
        <v>http://maps.google.com/maps?f=q&amp;hl=en&amp;geocode=&amp;q=35.21718,-114.04236</v>
      </c>
    </row>
    <row r="6078" spans="1:7" ht="15" x14ac:dyDescent="0.3">
      <c r="A6078" t="s">
        <v>44</v>
      </c>
      <c r="B6078" t="s">
        <v>44</v>
      </c>
      <c r="C6078" t="s">
        <v>44</v>
      </c>
      <c r="D6078" t="s">
        <v>3763</v>
      </c>
      <c r="F6078" s="21"/>
      <c r="G6078" s="16"/>
    </row>
    <row r="6079" spans="1:7" ht="15" x14ac:dyDescent="0.3">
      <c r="A6079">
        <v>40.295783540786204</v>
      </c>
      <c r="B6079">
        <v>-74.354439941062694</v>
      </c>
      <c r="C6079" t="s">
        <v>41</v>
      </c>
      <c r="D6079" t="s">
        <v>3764</v>
      </c>
      <c r="F6079" s="21"/>
      <c r="G6079" s="16" t="str">
        <f>HYPERLINK("http://maps.google.com/maps?f=q&amp;hl=en&amp;geocode=&amp;q=40.2957835407862,-74.3544399410627")</f>
        <v>http://maps.google.com/maps?f=q&amp;hl=en&amp;geocode=&amp;q=40.2957835407862,-74.3544399410627</v>
      </c>
    </row>
    <row r="6080" spans="1:7" ht="15" x14ac:dyDescent="0.3">
      <c r="A6080">
        <v>33.016736000000002</v>
      </c>
      <c r="B6080">
        <v>-96.534582</v>
      </c>
      <c r="C6080" t="s">
        <v>41</v>
      </c>
      <c r="D6080" t="s">
        <v>3765</v>
      </c>
      <c r="F6080" s="21"/>
      <c r="G6080" s="16" t="str">
        <f>HYPERLINK("http://maps.google.com/maps?f=q&amp;hl=en&amp;geocode=&amp;q=33.016736,-96.534582")</f>
        <v>http://maps.google.com/maps?f=q&amp;hl=en&amp;geocode=&amp;q=33.016736,-96.534582</v>
      </c>
    </row>
    <row r="6081" spans="1:7" ht="15" x14ac:dyDescent="0.3">
      <c r="A6081">
        <v>28.7989406585693</v>
      </c>
      <c r="B6081">
        <v>-97.0040283203125</v>
      </c>
      <c r="C6081" t="s">
        <v>41</v>
      </c>
      <c r="D6081" t="s">
        <v>3766</v>
      </c>
      <c r="F6081" s="21"/>
      <c r="G6081" s="16" t="str">
        <f>HYPERLINK("http://maps.google.com/maps?f=q&amp;hl=en&amp;geocode=&amp;q=28.7989406585693,-97.0040283203125")</f>
        <v>http://maps.google.com/maps?f=q&amp;hl=en&amp;geocode=&amp;q=28.7989406585693,-97.0040283203125</v>
      </c>
    </row>
    <row r="6082" spans="1:7" ht="15" x14ac:dyDescent="0.3">
      <c r="A6082" t="s">
        <v>44</v>
      </c>
      <c r="B6082" t="s">
        <v>44</v>
      </c>
      <c r="C6082" t="s">
        <v>44</v>
      </c>
      <c r="D6082" t="s">
        <v>3767</v>
      </c>
      <c r="F6082" s="21"/>
      <c r="G6082" s="16"/>
    </row>
    <row r="6083" spans="1:7" ht="15" x14ac:dyDescent="0.3">
      <c r="A6083" t="s">
        <v>44</v>
      </c>
      <c r="B6083" t="s">
        <v>44</v>
      </c>
      <c r="C6083" t="s">
        <v>44</v>
      </c>
      <c r="D6083" t="s">
        <v>1127</v>
      </c>
      <c r="F6083" s="21"/>
      <c r="G6083" s="16"/>
    </row>
    <row r="6084" spans="1:7" ht="15" x14ac:dyDescent="0.3">
      <c r="A6084">
        <v>40.041049999999998</v>
      </c>
      <c r="B6084">
        <v>-75.129509999999996</v>
      </c>
      <c r="C6084" t="s">
        <v>42</v>
      </c>
      <c r="D6084" t="s">
        <v>3768</v>
      </c>
      <c r="F6084" s="21"/>
      <c r="G6084" s="16" t="str">
        <f>HYPERLINK("http://maps.google.com/maps?f=q&amp;hl=en&amp;geocode=&amp;q=40.04105,-75.12951")</f>
        <v>http://maps.google.com/maps?f=q&amp;hl=en&amp;geocode=&amp;q=40.04105,-75.12951</v>
      </c>
    </row>
    <row r="6085" spans="1:7" ht="15" x14ac:dyDescent="0.3">
      <c r="A6085">
        <v>46.408790588378899</v>
      </c>
      <c r="B6085">
        <v>12.017880439758301</v>
      </c>
      <c r="C6085" t="s">
        <v>41</v>
      </c>
      <c r="D6085" t="s">
        <v>3769</v>
      </c>
      <c r="F6085" s="21"/>
      <c r="G6085" s="16" t="str">
        <f>HYPERLINK("http://maps.google.com/maps?f=q&amp;hl=en&amp;geocode=&amp;q=46.4087905883789,12.0178804397583")</f>
        <v>http://maps.google.com/maps?f=q&amp;hl=en&amp;geocode=&amp;q=46.4087905883789,12.0178804397583</v>
      </c>
    </row>
    <row r="6086" spans="1:7" ht="15" x14ac:dyDescent="0.3">
      <c r="A6086">
        <v>39.993279999999999</v>
      </c>
      <c r="B6086">
        <v>-75.098560000000006</v>
      </c>
      <c r="C6086" t="s">
        <v>41</v>
      </c>
      <c r="D6086" t="s">
        <v>1697</v>
      </c>
      <c r="F6086" s="21"/>
      <c r="G6086" s="16" t="str">
        <f>HYPERLINK("http://maps.google.com/maps?f=q&amp;hl=en&amp;geocode=&amp;q=39.99328,-75.09856")</f>
        <v>http://maps.google.com/maps?f=q&amp;hl=en&amp;geocode=&amp;q=39.99328,-75.09856</v>
      </c>
    </row>
    <row r="6087" spans="1:7" ht="15" x14ac:dyDescent="0.3">
      <c r="A6087">
        <v>30.2053512913878</v>
      </c>
      <c r="B6087">
        <v>-85.691346115656401</v>
      </c>
      <c r="C6087" t="s">
        <v>41</v>
      </c>
      <c r="D6087" t="s">
        <v>3770</v>
      </c>
      <c r="F6087" s="21"/>
      <c r="G6087" s="16" t="str">
        <f>HYPERLINK("http://maps.google.com/maps?f=q&amp;hl=en&amp;geocode=&amp;q=30.2053512913878,-85.6913461156564")</f>
        <v>http://maps.google.com/maps?f=q&amp;hl=en&amp;geocode=&amp;q=30.2053512913878,-85.6913461156564</v>
      </c>
    </row>
    <row r="6088" spans="1:7" ht="15" x14ac:dyDescent="0.3">
      <c r="A6088">
        <v>39.950270000000003</v>
      </c>
      <c r="B6088">
        <v>-75.218829999999997</v>
      </c>
      <c r="C6088" t="s">
        <v>43</v>
      </c>
      <c r="D6088" t="s">
        <v>3771</v>
      </c>
      <c r="F6088" s="21"/>
      <c r="G6088" s="16" t="str">
        <f>HYPERLINK("http://maps.google.com/maps?f=q&amp;hl=en&amp;geocode=&amp;q=39.95027,-75.21883")</f>
        <v>http://maps.google.com/maps?f=q&amp;hl=en&amp;geocode=&amp;q=39.95027,-75.21883</v>
      </c>
    </row>
    <row r="6089" spans="1:7" ht="15" x14ac:dyDescent="0.3">
      <c r="A6089">
        <v>39.916310000000003</v>
      </c>
      <c r="B6089">
        <v>-75.178030000000007</v>
      </c>
      <c r="C6089" t="s">
        <v>43</v>
      </c>
      <c r="D6089" t="s">
        <v>3772</v>
      </c>
      <c r="F6089" s="21"/>
      <c r="G6089" s="16" t="str">
        <f>HYPERLINK("http://maps.google.com/maps?f=q&amp;hl=en&amp;geocode=&amp;q=39.91631,-75.17803")</f>
        <v>http://maps.google.com/maps?f=q&amp;hl=en&amp;geocode=&amp;q=39.91631,-75.17803</v>
      </c>
    </row>
    <row r="6090" spans="1:7" ht="15" x14ac:dyDescent="0.3">
      <c r="A6090">
        <v>28.005085393348999</v>
      </c>
      <c r="B6090">
        <v>-82.770920350647202</v>
      </c>
      <c r="C6090" t="s">
        <v>41</v>
      </c>
      <c r="D6090" t="s">
        <v>3600</v>
      </c>
      <c r="F6090" s="21"/>
      <c r="G6090" s="16" t="str">
        <f>HYPERLINK("http://maps.google.com/maps?f=q&amp;hl=en&amp;geocode=&amp;q=28.005085393349,-82.7709203506472")</f>
        <v>http://maps.google.com/maps?f=q&amp;hl=en&amp;geocode=&amp;q=28.005085393349,-82.7709203506472</v>
      </c>
    </row>
    <row r="6091" spans="1:7" ht="15" x14ac:dyDescent="0.3">
      <c r="A6091" t="s">
        <v>44</v>
      </c>
      <c r="B6091" t="s">
        <v>44</v>
      </c>
      <c r="C6091" t="s">
        <v>44</v>
      </c>
      <c r="D6091" t="s">
        <v>1971</v>
      </c>
      <c r="F6091" s="21"/>
      <c r="G6091" s="16"/>
    </row>
    <row r="6092" spans="1:7" ht="15" x14ac:dyDescent="0.3">
      <c r="A6092">
        <v>40.0346140321045</v>
      </c>
      <c r="B6092">
        <v>-75.515290384878895</v>
      </c>
      <c r="C6092" t="s">
        <v>41</v>
      </c>
      <c r="D6092" t="s">
        <v>3773</v>
      </c>
      <c r="F6092" s="21"/>
      <c r="G6092" s="16" t="str">
        <f>HYPERLINK("http://maps.google.com/maps?f=q&amp;hl=en&amp;geocode=&amp;q=40.0346140321045,-75.5152903848789")</f>
        <v>http://maps.google.com/maps?f=q&amp;hl=en&amp;geocode=&amp;q=40.0346140321045,-75.5152903848789</v>
      </c>
    </row>
    <row r="6093" spans="1:7" ht="15" x14ac:dyDescent="0.3">
      <c r="A6093">
        <v>38.797358423252</v>
      </c>
      <c r="B6093">
        <v>-83.535382232075406</v>
      </c>
      <c r="C6093" t="s">
        <v>43</v>
      </c>
      <c r="D6093" t="s">
        <v>3304</v>
      </c>
      <c r="F6093" s="21"/>
      <c r="G6093" s="16" t="str">
        <f>HYPERLINK("http://maps.google.com/maps?f=q&amp;hl=en&amp;geocode=&amp;q=38.797358423252,-83.5353822320754")</f>
        <v>http://maps.google.com/maps?f=q&amp;hl=en&amp;geocode=&amp;q=38.797358423252,-83.5353822320754</v>
      </c>
    </row>
    <row r="6094" spans="1:7" ht="15" x14ac:dyDescent="0.3">
      <c r="A6094">
        <v>38.591107438640897</v>
      </c>
      <c r="B6094">
        <v>-90.307767273304094</v>
      </c>
      <c r="C6094" t="s">
        <v>41</v>
      </c>
      <c r="D6094" t="s">
        <v>3774</v>
      </c>
      <c r="F6094" s="21"/>
      <c r="G6094" s="16" t="str">
        <f>HYPERLINK("http://maps.google.com/maps?f=q&amp;hl=en&amp;geocode=&amp;q=38.5911074386409,-90.3077672733041")</f>
        <v>http://maps.google.com/maps?f=q&amp;hl=en&amp;geocode=&amp;q=38.5911074386409,-90.3077672733041</v>
      </c>
    </row>
    <row r="6095" spans="1:7" ht="15" x14ac:dyDescent="0.3">
      <c r="A6095">
        <v>38.591107438640897</v>
      </c>
      <c r="B6095">
        <v>-90.307767273304094</v>
      </c>
      <c r="C6095" t="s">
        <v>41</v>
      </c>
      <c r="D6095" t="s">
        <v>3774</v>
      </c>
      <c r="F6095" s="21"/>
      <c r="G6095" s="16" t="str">
        <f>HYPERLINK("http://maps.google.com/maps?f=q&amp;hl=en&amp;geocode=&amp;q=38.5911074386409,-90.3077672733041")</f>
        <v>http://maps.google.com/maps?f=q&amp;hl=en&amp;geocode=&amp;q=38.5911074386409,-90.3077672733041</v>
      </c>
    </row>
    <row r="6096" spans="1:7" ht="15" x14ac:dyDescent="0.3">
      <c r="A6096">
        <v>38.591107438640897</v>
      </c>
      <c r="B6096">
        <v>-90.307767273304094</v>
      </c>
      <c r="C6096" t="s">
        <v>41</v>
      </c>
      <c r="D6096" t="s">
        <v>3774</v>
      </c>
      <c r="F6096" s="21"/>
      <c r="G6096" s="16" t="str">
        <f>HYPERLINK("http://maps.google.com/maps?f=q&amp;hl=en&amp;geocode=&amp;q=38.5911074386409,-90.3077672733041")</f>
        <v>http://maps.google.com/maps?f=q&amp;hl=en&amp;geocode=&amp;q=38.5911074386409,-90.3077672733041</v>
      </c>
    </row>
    <row r="6097" spans="1:7" ht="15" x14ac:dyDescent="0.3">
      <c r="A6097">
        <v>41.361080946597099</v>
      </c>
      <c r="B6097">
        <v>-98.400756551118704</v>
      </c>
      <c r="C6097" t="s">
        <v>41</v>
      </c>
      <c r="D6097" t="s">
        <v>3731</v>
      </c>
      <c r="F6097" s="21"/>
      <c r="G6097" s="16" t="str">
        <f>HYPERLINK("http://maps.google.com/maps?f=q&amp;hl=en&amp;geocode=&amp;q=41.3610809465971,-98.4007565511187")</f>
        <v>http://maps.google.com/maps?f=q&amp;hl=en&amp;geocode=&amp;q=41.3610809465971,-98.4007565511187</v>
      </c>
    </row>
    <row r="6098" spans="1:7" ht="15" x14ac:dyDescent="0.3">
      <c r="A6098">
        <v>39.995420000000003</v>
      </c>
      <c r="B6098">
        <v>-75.167749999999998</v>
      </c>
      <c r="C6098" t="s">
        <v>41</v>
      </c>
      <c r="D6098" t="s">
        <v>2442</v>
      </c>
      <c r="F6098" s="21"/>
      <c r="G6098" s="16" t="str">
        <f>HYPERLINK("http://maps.google.com/maps?f=q&amp;hl=en&amp;geocode=&amp;q=39.99542,-75.16775")</f>
        <v>http://maps.google.com/maps?f=q&amp;hl=en&amp;geocode=&amp;q=39.99542,-75.16775</v>
      </c>
    </row>
    <row r="6099" spans="1:7" ht="15" x14ac:dyDescent="0.3">
      <c r="A6099">
        <v>39.992179999999998</v>
      </c>
      <c r="B6099">
        <v>-75.100999999999999</v>
      </c>
      <c r="C6099" t="s">
        <v>41</v>
      </c>
      <c r="D6099" t="s">
        <v>716</v>
      </c>
      <c r="F6099" s="21"/>
      <c r="G6099" s="16" t="str">
        <f>HYPERLINK("http://maps.google.com/maps?f=q&amp;hl=en&amp;geocode=&amp;q=39.99218,-75.101")</f>
        <v>http://maps.google.com/maps?f=q&amp;hl=en&amp;geocode=&amp;q=39.99218,-75.101</v>
      </c>
    </row>
    <row r="6100" spans="1:7" ht="15" x14ac:dyDescent="0.3">
      <c r="A6100">
        <v>39.995800000000003</v>
      </c>
      <c r="B6100">
        <v>-75.170929999999998</v>
      </c>
      <c r="C6100" t="s">
        <v>41</v>
      </c>
      <c r="D6100" t="s">
        <v>3739</v>
      </c>
      <c r="F6100" s="21"/>
      <c r="G6100" s="16" t="str">
        <f>HYPERLINK("http://maps.google.com/maps?f=q&amp;hl=en&amp;geocode=&amp;q=39.9958,-75.17093")</f>
        <v>http://maps.google.com/maps?f=q&amp;hl=en&amp;geocode=&amp;q=39.9958,-75.17093</v>
      </c>
    </row>
    <row r="6101" spans="1:7" ht="15" x14ac:dyDescent="0.3">
      <c r="A6101">
        <v>39.990549999999999</v>
      </c>
      <c r="B6101">
        <v>-75.100309999999993</v>
      </c>
      <c r="C6101" t="s">
        <v>41</v>
      </c>
      <c r="D6101" t="s">
        <v>1630</v>
      </c>
      <c r="F6101" s="21"/>
      <c r="G6101" s="16" t="str">
        <f>HYPERLINK("http://maps.google.com/maps?f=q&amp;hl=en&amp;geocode=&amp;q=39.99055,-75.10031")</f>
        <v>http://maps.google.com/maps?f=q&amp;hl=en&amp;geocode=&amp;q=39.99055,-75.10031</v>
      </c>
    </row>
    <row r="6102" spans="1:7" ht="15" x14ac:dyDescent="0.3">
      <c r="A6102" t="s">
        <v>44</v>
      </c>
      <c r="B6102" t="s">
        <v>44</v>
      </c>
      <c r="C6102" t="s">
        <v>44</v>
      </c>
      <c r="D6102" t="s">
        <v>254</v>
      </c>
      <c r="F6102" s="21"/>
      <c r="G6102" s="16"/>
    </row>
    <row r="6103" spans="1:7" ht="15" x14ac:dyDescent="0.3">
      <c r="A6103">
        <v>40.309468245622803</v>
      </c>
      <c r="B6103">
        <v>-78.319101732979803</v>
      </c>
      <c r="C6103" t="s">
        <v>41</v>
      </c>
      <c r="D6103" t="s">
        <v>3775</v>
      </c>
      <c r="F6103" s="21"/>
      <c r="G6103" s="16" t="str">
        <f>HYPERLINK("http://maps.google.com/maps?f=q&amp;hl=en&amp;geocode=&amp;q=40.3094682456228,-78.3191017329798")</f>
        <v>http://maps.google.com/maps?f=q&amp;hl=en&amp;geocode=&amp;q=40.3094682456228,-78.3191017329798</v>
      </c>
    </row>
    <row r="6104" spans="1:7" ht="15" x14ac:dyDescent="0.3">
      <c r="A6104">
        <v>40.027549999999998</v>
      </c>
      <c r="B6104">
        <v>-75.134469999999993</v>
      </c>
      <c r="C6104" t="s">
        <v>43</v>
      </c>
      <c r="D6104" t="s">
        <v>3776</v>
      </c>
      <c r="F6104" s="21"/>
      <c r="G6104" s="16" t="str">
        <f>HYPERLINK("http://maps.google.com/maps?f=q&amp;hl=en&amp;geocode=&amp;q=40.02755,-75.13447")</f>
        <v>http://maps.google.com/maps?f=q&amp;hl=en&amp;geocode=&amp;q=40.02755,-75.13447</v>
      </c>
    </row>
    <row r="6105" spans="1:7" ht="15" x14ac:dyDescent="0.3">
      <c r="A6105">
        <v>29.94772</v>
      </c>
      <c r="B6105">
        <v>-93.937799999999996</v>
      </c>
      <c r="C6105" t="s">
        <v>41</v>
      </c>
      <c r="D6105" t="s">
        <v>772</v>
      </c>
      <c r="F6105" s="21"/>
      <c r="G6105" s="16" t="str">
        <f>HYPERLINK("http://maps.google.com/maps?f=q&amp;hl=en&amp;geocode=&amp;q=29.94772,-93.9378")</f>
        <v>http://maps.google.com/maps?f=q&amp;hl=en&amp;geocode=&amp;q=29.94772,-93.9378</v>
      </c>
    </row>
    <row r="6106" spans="1:7" ht="15" x14ac:dyDescent="0.3">
      <c r="A6106">
        <v>29.94772</v>
      </c>
      <c r="B6106">
        <v>-93.937799999999996</v>
      </c>
      <c r="C6106" t="s">
        <v>41</v>
      </c>
      <c r="D6106" t="s">
        <v>772</v>
      </c>
      <c r="F6106" s="21"/>
      <c r="G6106" s="16" t="str">
        <f>HYPERLINK("http://maps.google.com/maps?f=q&amp;hl=en&amp;geocode=&amp;q=29.94772,-93.9378")</f>
        <v>http://maps.google.com/maps?f=q&amp;hl=en&amp;geocode=&amp;q=29.94772,-93.9378</v>
      </c>
    </row>
    <row r="6107" spans="1:7" ht="15" x14ac:dyDescent="0.3">
      <c r="A6107" t="s">
        <v>44</v>
      </c>
      <c r="B6107" t="s">
        <v>44</v>
      </c>
      <c r="C6107" t="s">
        <v>44</v>
      </c>
      <c r="D6107" t="s">
        <v>3777</v>
      </c>
      <c r="F6107" s="21"/>
      <c r="G6107" s="16"/>
    </row>
    <row r="6108" spans="1:7" ht="15" x14ac:dyDescent="0.3">
      <c r="A6108">
        <v>39.920034553313897</v>
      </c>
      <c r="B6108">
        <v>-75.230253062950098</v>
      </c>
      <c r="C6108" t="s">
        <v>43</v>
      </c>
      <c r="D6108" t="s">
        <v>1426</v>
      </c>
      <c r="F6108" s="21"/>
      <c r="G6108" s="16" t="str">
        <f>HYPERLINK("http://maps.google.com/maps?f=q&amp;hl=en&amp;geocode=&amp;q=39.9200345533139,-75.2302530629501")</f>
        <v>http://maps.google.com/maps?f=q&amp;hl=en&amp;geocode=&amp;q=39.9200345533139,-75.2302530629501</v>
      </c>
    </row>
    <row r="6109" spans="1:7" ht="15" x14ac:dyDescent="0.3">
      <c r="A6109">
        <v>42.083179473877003</v>
      </c>
      <c r="B6109">
        <v>-71.017242431640597</v>
      </c>
      <c r="C6109" t="s">
        <v>41</v>
      </c>
      <c r="D6109" t="s">
        <v>2932</v>
      </c>
      <c r="F6109" s="21"/>
      <c r="G6109" s="16" t="str">
        <f>HYPERLINK("http://maps.google.com/maps?f=q&amp;hl=en&amp;geocode=&amp;q=42.083179473877,-71.0172424316406")</f>
        <v>http://maps.google.com/maps?f=q&amp;hl=en&amp;geocode=&amp;q=42.083179473877,-71.0172424316406</v>
      </c>
    </row>
    <row r="6110" spans="1:7" ht="15" x14ac:dyDescent="0.3">
      <c r="A6110" t="s">
        <v>44</v>
      </c>
      <c r="B6110" t="s">
        <v>44</v>
      </c>
      <c r="C6110" t="s">
        <v>44</v>
      </c>
      <c r="D6110" t="s">
        <v>229</v>
      </c>
      <c r="F6110" s="21"/>
      <c r="G6110" s="16"/>
    </row>
    <row r="6111" spans="1:7" ht="15" x14ac:dyDescent="0.3">
      <c r="A6111">
        <v>39.112859999999998</v>
      </c>
      <c r="B6111">
        <v>-84.507819999999995</v>
      </c>
      <c r="C6111" t="s">
        <v>42</v>
      </c>
      <c r="D6111" t="s">
        <v>3778</v>
      </c>
      <c r="F6111" s="21"/>
      <c r="G6111" s="16" t="str">
        <f>HYPERLINK("http://maps.google.com/maps?f=q&amp;hl=en&amp;geocode=&amp;q=39.11286,-84.50782")</f>
        <v>http://maps.google.com/maps?f=q&amp;hl=en&amp;geocode=&amp;q=39.11286,-84.50782</v>
      </c>
    </row>
    <row r="6112" spans="1:7" ht="15" x14ac:dyDescent="0.3">
      <c r="A6112">
        <v>40.022111000000002</v>
      </c>
      <c r="B6112">
        <v>-75.091824000000003</v>
      </c>
      <c r="C6112" t="s">
        <v>41</v>
      </c>
      <c r="D6112" t="s">
        <v>2321</v>
      </c>
      <c r="F6112" s="21"/>
      <c r="G6112" s="16" t="str">
        <f>HYPERLINK("http://maps.google.com/maps?f=q&amp;hl=en&amp;geocode=&amp;q=40.022111,-75.091824")</f>
        <v>http://maps.google.com/maps?f=q&amp;hl=en&amp;geocode=&amp;q=40.022111,-75.091824</v>
      </c>
    </row>
    <row r="6113" spans="1:7" ht="15" x14ac:dyDescent="0.3">
      <c r="A6113">
        <v>40.020980000000002</v>
      </c>
      <c r="B6113">
        <v>-75.088679999999997</v>
      </c>
      <c r="C6113" t="s">
        <v>41</v>
      </c>
      <c r="D6113" t="s">
        <v>3779</v>
      </c>
      <c r="F6113" s="21"/>
      <c r="G6113" s="16" t="str">
        <f>HYPERLINK("http://maps.google.com/maps?f=q&amp;hl=en&amp;geocode=&amp;q=40.02098,-75.08868")</f>
        <v>http://maps.google.com/maps?f=q&amp;hl=en&amp;geocode=&amp;q=40.02098,-75.08868</v>
      </c>
    </row>
    <row r="6114" spans="1:7" ht="15" x14ac:dyDescent="0.3">
      <c r="A6114">
        <v>38.973060607910199</v>
      </c>
      <c r="B6114">
        <v>-95.236526489257798</v>
      </c>
      <c r="C6114" t="s">
        <v>43</v>
      </c>
      <c r="D6114" t="s">
        <v>3200</v>
      </c>
      <c r="F6114" s="21"/>
      <c r="G6114" s="16" t="str">
        <f>HYPERLINK("http://maps.google.com/maps?f=q&amp;hl=en&amp;geocode=&amp;q=38.9730606079102,-95.2365264892578")</f>
        <v>http://maps.google.com/maps?f=q&amp;hl=en&amp;geocode=&amp;q=38.9730606079102,-95.2365264892578</v>
      </c>
    </row>
    <row r="6115" spans="1:7" ht="15" x14ac:dyDescent="0.3">
      <c r="A6115">
        <v>40.037979125976598</v>
      </c>
      <c r="B6115">
        <v>-75.223060607910199</v>
      </c>
      <c r="C6115" t="s">
        <v>41</v>
      </c>
      <c r="D6115" t="s">
        <v>2505</v>
      </c>
      <c r="F6115" s="21"/>
      <c r="G6115" s="16" t="str">
        <f>HYPERLINK("http://maps.google.com/maps?f=q&amp;hl=en&amp;geocode=&amp;q=40.0379791259766,-75.2230606079102")</f>
        <v>http://maps.google.com/maps?f=q&amp;hl=en&amp;geocode=&amp;q=40.0379791259766,-75.2230606079102</v>
      </c>
    </row>
    <row r="6116" spans="1:7" ht="15" x14ac:dyDescent="0.3">
      <c r="A6116">
        <v>45.077080000000002</v>
      </c>
      <c r="B6116">
        <v>-67.044989999999999</v>
      </c>
      <c r="C6116" t="s">
        <v>41</v>
      </c>
      <c r="D6116" t="s">
        <v>3780</v>
      </c>
      <c r="F6116" s="21"/>
      <c r="G6116" s="16" t="str">
        <f>HYPERLINK("http://maps.google.com/maps?f=q&amp;hl=en&amp;geocode=&amp;q=45.07708,-67.04499")</f>
        <v>http://maps.google.com/maps?f=q&amp;hl=en&amp;geocode=&amp;q=45.07708,-67.04499</v>
      </c>
    </row>
    <row r="6117" spans="1:7" ht="15" x14ac:dyDescent="0.3">
      <c r="A6117">
        <v>-11.8669996261597</v>
      </c>
      <c r="B6117">
        <v>43.382999420166001</v>
      </c>
      <c r="C6117" t="s">
        <v>43</v>
      </c>
      <c r="D6117" t="s">
        <v>2986</v>
      </c>
      <c r="F6117" s="21"/>
      <c r="G6117" s="16" t="str">
        <f>HYPERLINK("http://maps.google.com/maps?f=q&amp;hl=en&amp;geocode=&amp;q=-11.8669996261597,43.382999420166")</f>
        <v>http://maps.google.com/maps?f=q&amp;hl=en&amp;geocode=&amp;q=-11.8669996261597,43.382999420166</v>
      </c>
    </row>
    <row r="6118" spans="1:7" ht="15" x14ac:dyDescent="0.3">
      <c r="A6118" t="s">
        <v>44</v>
      </c>
      <c r="B6118" t="s">
        <v>44</v>
      </c>
      <c r="C6118" t="s">
        <v>44</v>
      </c>
      <c r="D6118" t="s">
        <v>101</v>
      </c>
      <c r="F6118" s="21"/>
      <c r="G6118" s="16"/>
    </row>
    <row r="6119" spans="1:7" ht="15" x14ac:dyDescent="0.3">
      <c r="A6119">
        <v>38.707741855237799</v>
      </c>
      <c r="B6119">
        <v>-90.271877813569702</v>
      </c>
      <c r="C6119" t="s">
        <v>41</v>
      </c>
      <c r="D6119" t="s">
        <v>785</v>
      </c>
      <c r="F6119" s="21"/>
      <c r="G6119" s="16" t="str">
        <f>HYPERLINK("http://maps.google.com/maps?f=q&amp;hl=en&amp;geocode=&amp;q=38.7077418552378,-90.2718778135697")</f>
        <v>http://maps.google.com/maps?f=q&amp;hl=en&amp;geocode=&amp;q=38.7077418552378,-90.2718778135697</v>
      </c>
    </row>
    <row r="6120" spans="1:7" ht="15" x14ac:dyDescent="0.3">
      <c r="A6120">
        <v>37.836539999999999</v>
      </c>
      <c r="B6120">
        <v>-122.27336</v>
      </c>
      <c r="C6120" t="s">
        <v>43</v>
      </c>
      <c r="D6120" t="s">
        <v>3781</v>
      </c>
      <c r="F6120" s="21"/>
      <c r="G6120" s="16" t="str">
        <f>HYPERLINK("http://maps.google.com/maps?f=q&amp;hl=en&amp;geocode=&amp;q=37.83654,-122.27336")</f>
        <v>http://maps.google.com/maps?f=q&amp;hl=en&amp;geocode=&amp;q=37.83654,-122.27336</v>
      </c>
    </row>
    <row r="6121" spans="1:7" ht="15" x14ac:dyDescent="0.3">
      <c r="A6121" t="s">
        <v>44</v>
      </c>
      <c r="B6121" t="s">
        <v>44</v>
      </c>
      <c r="C6121" t="s">
        <v>44</v>
      </c>
      <c r="D6121" t="s">
        <v>254</v>
      </c>
      <c r="F6121" s="21"/>
      <c r="G6121" s="16"/>
    </row>
    <row r="6122" spans="1:7" ht="15" x14ac:dyDescent="0.3">
      <c r="A6122">
        <v>-26.188575744628899</v>
      </c>
      <c r="B6122">
        <v>27.929327011108398</v>
      </c>
      <c r="C6122" t="s">
        <v>43</v>
      </c>
      <c r="D6122" t="s">
        <v>3207</v>
      </c>
      <c r="F6122" s="21"/>
      <c r="G6122" s="16" t="str">
        <f>HYPERLINK("http://maps.google.com/maps?f=q&amp;hl=en&amp;geocode=&amp;q=-26.1885757446289,27.9293270111084")</f>
        <v>http://maps.google.com/maps?f=q&amp;hl=en&amp;geocode=&amp;q=-26.1885757446289,27.9293270111084</v>
      </c>
    </row>
    <row r="6123" spans="1:7" ht="15" x14ac:dyDescent="0.3">
      <c r="A6123">
        <v>39.975020000000001</v>
      </c>
      <c r="B6123">
        <v>-75.119770000000003</v>
      </c>
      <c r="C6123" t="s">
        <v>41</v>
      </c>
      <c r="D6123" t="s">
        <v>3782</v>
      </c>
      <c r="F6123" s="21"/>
      <c r="G6123" s="16" t="str">
        <f>HYPERLINK("http://maps.google.com/maps?f=q&amp;hl=en&amp;geocode=&amp;q=39.97502,-75.11977")</f>
        <v>http://maps.google.com/maps?f=q&amp;hl=en&amp;geocode=&amp;q=39.97502,-75.11977</v>
      </c>
    </row>
    <row r="6124" spans="1:7" ht="15" x14ac:dyDescent="0.3">
      <c r="A6124" t="s">
        <v>44</v>
      </c>
      <c r="B6124" t="s">
        <v>44</v>
      </c>
      <c r="C6124" t="s">
        <v>44</v>
      </c>
      <c r="D6124" t="s">
        <v>3783</v>
      </c>
      <c r="F6124" s="21"/>
      <c r="G6124" s="16"/>
    </row>
    <row r="6125" spans="1:7" ht="15" x14ac:dyDescent="0.3">
      <c r="A6125">
        <v>41.9033253587031</v>
      </c>
      <c r="B6125">
        <v>-111.401486478444</v>
      </c>
      <c r="C6125" t="s">
        <v>41</v>
      </c>
      <c r="D6125" t="s">
        <v>3362</v>
      </c>
      <c r="F6125" s="21"/>
      <c r="G6125" s="16" t="str">
        <f>HYPERLINK("http://maps.google.com/maps?f=q&amp;hl=en&amp;geocode=&amp;q=41.9033253587031,-111.401486478444")</f>
        <v>http://maps.google.com/maps?f=q&amp;hl=en&amp;geocode=&amp;q=41.9033253587031,-111.401486478444</v>
      </c>
    </row>
    <row r="6126" spans="1:7" ht="15" x14ac:dyDescent="0.3">
      <c r="A6126">
        <v>36.383723274646599</v>
      </c>
      <c r="B6126">
        <v>-78.635263068694101</v>
      </c>
      <c r="C6126" t="s">
        <v>41</v>
      </c>
      <c r="D6126" t="s">
        <v>3784</v>
      </c>
      <c r="F6126" s="21"/>
      <c r="G6126" s="16" t="str">
        <f>HYPERLINK("http://maps.google.com/maps?f=q&amp;hl=en&amp;geocode=&amp;q=36.3837232746466,-78.6352630686941")</f>
        <v>http://maps.google.com/maps?f=q&amp;hl=en&amp;geocode=&amp;q=36.3837232746466,-78.6352630686941</v>
      </c>
    </row>
    <row r="6127" spans="1:7" ht="15" x14ac:dyDescent="0.3">
      <c r="A6127">
        <v>47.055850982666001</v>
      </c>
      <c r="B6127">
        <v>6.7508301734924299</v>
      </c>
      <c r="C6127" t="s">
        <v>43</v>
      </c>
      <c r="D6127" t="s">
        <v>2283</v>
      </c>
      <c r="F6127" s="21"/>
      <c r="G6127" s="16" t="str">
        <f>HYPERLINK("http://maps.google.com/maps?f=q&amp;hl=en&amp;geocode=&amp;q=47.055850982666,6.75083017349243")</f>
        <v>http://maps.google.com/maps?f=q&amp;hl=en&amp;geocode=&amp;q=47.055850982666,6.75083017349243</v>
      </c>
    </row>
    <row r="6128" spans="1:7" ht="15" x14ac:dyDescent="0.3">
      <c r="A6128">
        <v>39.918970000000002</v>
      </c>
      <c r="B6128">
        <v>-75.223219999999998</v>
      </c>
      <c r="C6128" t="s">
        <v>41</v>
      </c>
      <c r="D6128" t="s">
        <v>2019</v>
      </c>
      <c r="F6128" s="21"/>
      <c r="G6128" s="16" t="str">
        <f>HYPERLINK("http://maps.google.com/maps?f=q&amp;hl=en&amp;geocode=&amp;q=39.91897,-75.22322")</f>
        <v>http://maps.google.com/maps?f=q&amp;hl=en&amp;geocode=&amp;q=39.91897,-75.22322</v>
      </c>
    </row>
    <row r="6129" spans="1:7" ht="15" x14ac:dyDescent="0.3">
      <c r="A6129">
        <v>39.918970000000002</v>
      </c>
      <c r="B6129">
        <v>-75.223219999999998</v>
      </c>
      <c r="C6129" t="s">
        <v>41</v>
      </c>
      <c r="D6129" t="s">
        <v>2019</v>
      </c>
      <c r="F6129" s="21"/>
      <c r="G6129" s="16" t="str">
        <f>HYPERLINK("http://maps.google.com/maps?f=q&amp;hl=en&amp;geocode=&amp;q=39.91897,-75.22322")</f>
        <v>http://maps.google.com/maps?f=q&amp;hl=en&amp;geocode=&amp;q=39.91897,-75.22322</v>
      </c>
    </row>
    <row r="6130" spans="1:7" ht="15" x14ac:dyDescent="0.3">
      <c r="A6130">
        <v>39.693474149294801</v>
      </c>
      <c r="B6130">
        <v>-84.118671277588902</v>
      </c>
      <c r="C6130" t="s">
        <v>41</v>
      </c>
      <c r="D6130" t="s">
        <v>206</v>
      </c>
      <c r="F6130" s="21"/>
      <c r="G6130" s="16" t="str">
        <f>HYPERLINK("http://maps.google.com/maps?f=q&amp;hl=en&amp;geocode=&amp;q=39.6934741492948,-84.1186712775889")</f>
        <v>http://maps.google.com/maps?f=q&amp;hl=en&amp;geocode=&amp;q=39.6934741492948,-84.1186712775889</v>
      </c>
    </row>
    <row r="6131" spans="1:7" ht="15" x14ac:dyDescent="0.3">
      <c r="A6131">
        <v>48.448600769042997</v>
      </c>
      <c r="B6131">
        <v>-0.96499997377395597</v>
      </c>
      <c r="C6131" t="s">
        <v>43</v>
      </c>
      <c r="D6131" t="s">
        <v>3785</v>
      </c>
      <c r="F6131" s="21"/>
      <c r="G6131" s="16" t="str">
        <f>HYPERLINK("http://maps.google.com/maps?f=q&amp;hl=en&amp;geocode=&amp;q=48.448600769043,-0.964999973773956")</f>
        <v>http://maps.google.com/maps?f=q&amp;hl=en&amp;geocode=&amp;q=48.448600769043,-0.964999973773956</v>
      </c>
    </row>
    <row r="6132" spans="1:7" ht="15" x14ac:dyDescent="0.3">
      <c r="A6132">
        <v>33.490464181579803</v>
      </c>
      <c r="B6132">
        <v>-88.094286805910002</v>
      </c>
      <c r="C6132" t="s">
        <v>41</v>
      </c>
      <c r="D6132" t="s">
        <v>3786</v>
      </c>
      <c r="F6132" s="21"/>
      <c r="G6132" s="16" t="str">
        <f>HYPERLINK("http://maps.google.com/maps?f=q&amp;hl=en&amp;geocode=&amp;q=33.4904641815798,-88.09428680591")</f>
        <v>http://maps.google.com/maps?f=q&amp;hl=en&amp;geocode=&amp;q=33.4904641815798,-88.09428680591</v>
      </c>
    </row>
    <row r="6133" spans="1:7" ht="15" x14ac:dyDescent="0.3">
      <c r="A6133">
        <v>43.641489567680303</v>
      </c>
      <c r="B6133">
        <v>-72.259514087693503</v>
      </c>
      <c r="C6133" t="s">
        <v>41</v>
      </c>
      <c r="D6133" t="s">
        <v>3787</v>
      </c>
      <c r="F6133" s="21"/>
      <c r="G6133" s="16" t="str">
        <f>HYPERLINK("http://maps.google.com/maps?f=q&amp;hl=en&amp;geocode=&amp;q=43.6414895676803,-72.2595140876935")</f>
        <v>http://maps.google.com/maps?f=q&amp;hl=en&amp;geocode=&amp;q=43.6414895676803,-72.2595140876935</v>
      </c>
    </row>
    <row r="6134" spans="1:7" ht="15" x14ac:dyDescent="0.3">
      <c r="A6134">
        <v>40.016758861309803</v>
      </c>
      <c r="B6134">
        <v>-75.210418099833007</v>
      </c>
      <c r="C6134" t="s">
        <v>41</v>
      </c>
      <c r="D6134" t="s">
        <v>831</v>
      </c>
      <c r="F6134" s="21"/>
      <c r="G6134" s="16" t="str">
        <f>HYPERLINK("http://maps.google.com/maps?f=q&amp;hl=en&amp;geocode=&amp;q=40.0167588613098,-75.210418099833")</f>
        <v>http://maps.google.com/maps?f=q&amp;hl=en&amp;geocode=&amp;q=40.0167588613098,-75.210418099833</v>
      </c>
    </row>
    <row r="6135" spans="1:7" ht="15" x14ac:dyDescent="0.3">
      <c r="A6135">
        <v>-33.299518585205099</v>
      </c>
      <c r="B6135">
        <v>149.01606750488301</v>
      </c>
      <c r="C6135" t="s">
        <v>43</v>
      </c>
      <c r="D6135" t="s">
        <v>3788</v>
      </c>
      <c r="F6135" s="21"/>
      <c r="G6135" s="16" t="str">
        <f>HYPERLINK("http://maps.google.com/maps?f=q&amp;hl=en&amp;geocode=&amp;q=-33.2995185852051,149.016067504883")</f>
        <v>http://maps.google.com/maps?f=q&amp;hl=en&amp;geocode=&amp;q=-33.2995185852051,149.016067504883</v>
      </c>
    </row>
    <row r="6136" spans="1:7" ht="15" x14ac:dyDescent="0.3">
      <c r="A6136">
        <v>50.969120025634801</v>
      </c>
      <c r="B6136">
        <v>-113.67954254150401</v>
      </c>
      <c r="C6136" t="s">
        <v>43</v>
      </c>
      <c r="D6136" t="s">
        <v>3789</v>
      </c>
      <c r="F6136" s="21"/>
      <c r="G6136" s="16" t="str">
        <f>HYPERLINK("http://maps.google.com/maps?f=q&amp;hl=en&amp;geocode=&amp;q=50.9691200256348,-113.679542541504")</f>
        <v>http://maps.google.com/maps?f=q&amp;hl=en&amp;geocode=&amp;q=50.9691200256348,-113.679542541504</v>
      </c>
    </row>
    <row r="6137" spans="1:7" ht="15" x14ac:dyDescent="0.3">
      <c r="A6137">
        <v>30.1557924878521</v>
      </c>
      <c r="B6137">
        <v>-93.102613019423302</v>
      </c>
      <c r="C6137" t="s">
        <v>41</v>
      </c>
      <c r="D6137" t="s">
        <v>2200</v>
      </c>
      <c r="F6137" s="21"/>
      <c r="G6137" s="16" t="str">
        <f>HYPERLINK("http://maps.google.com/maps?f=q&amp;hl=en&amp;geocode=&amp;q=30.1557924878521,-93.1026130194233")</f>
        <v>http://maps.google.com/maps?f=q&amp;hl=en&amp;geocode=&amp;q=30.1557924878521,-93.1026130194233</v>
      </c>
    </row>
    <row r="6138" spans="1:7" ht="15" x14ac:dyDescent="0.3">
      <c r="A6138">
        <v>40.016758861309803</v>
      </c>
      <c r="B6138">
        <v>-75.210418099833007</v>
      </c>
      <c r="C6138" t="s">
        <v>41</v>
      </c>
      <c r="D6138" t="s">
        <v>831</v>
      </c>
      <c r="F6138" s="21"/>
      <c r="G6138" s="16" t="str">
        <f>HYPERLINK("http://maps.google.com/maps?f=q&amp;hl=en&amp;geocode=&amp;q=40.0167588613098,-75.210418099833")</f>
        <v>http://maps.google.com/maps?f=q&amp;hl=en&amp;geocode=&amp;q=40.0167588613098,-75.210418099833</v>
      </c>
    </row>
    <row r="6139" spans="1:7" ht="15" x14ac:dyDescent="0.3">
      <c r="A6139">
        <v>39.962510000000002</v>
      </c>
      <c r="B6139">
        <v>-75.238609999999994</v>
      </c>
      <c r="C6139" t="s">
        <v>43</v>
      </c>
      <c r="D6139" t="s">
        <v>3790</v>
      </c>
      <c r="F6139" s="21"/>
      <c r="G6139" s="16" t="str">
        <f>HYPERLINK("http://maps.google.com/maps?f=q&amp;hl=en&amp;geocode=&amp;q=39.96251,-75.23861")</f>
        <v>http://maps.google.com/maps?f=q&amp;hl=en&amp;geocode=&amp;q=39.96251,-75.23861</v>
      </c>
    </row>
    <row r="6140" spans="1:7" ht="15" x14ac:dyDescent="0.3">
      <c r="A6140">
        <v>40.042947327277503</v>
      </c>
      <c r="B6140">
        <v>-75.100491989710605</v>
      </c>
      <c r="C6140" t="s">
        <v>41</v>
      </c>
      <c r="D6140" t="s">
        <v>2419</v>
      </c>
      <c r="F6140" s="21"/>
      <c r="G6140" s="16" t="str">
        <f>HYPERLINK("http://maps.google.com/maps?f=q&amp;hl=en&amp;geocode=&amp;q=40.0429473272775,-75.1004919897106")</f>
        <v>http://maps.google.com/maps?f=q&amp;hl=en&amp;geocode=&amp;q=40.0429473272775,-75.1004919897106</v>
      </c>
    </row>
    <row r="6141" spans="1:7" ht="15" x14ac:dyDescent="0.3">
      <c r="A6141">
        <v>29.6589828185542</v>
      </c>
      <c r="B6141">
        <v>-95.493358612373299</v>
      </c>
      <c r="C6141" t="s">
        <v>41</v>
      </c>
      <c r="D6141" t="s">
        <v>3791</v>
      </c>
      <c r="F6141" s="21"/>
      <c r="G6141" s="16" t="str">
        <f>HYPERLINK("http://maps.google.com/maps?f=q&amp;hl=en&amp;geocode=&amp;q=29.6589828185542,-95.4933586123733")</f>
        <v>http://maps.google.com/maps?f=q&amp;hl=en&amp;geocode=&amp;q=29.6589828185542,-95.4933586123733</v>
      </c>
    </row>
    <row r="6142" spans="1:7" ht="15" x14ac:dyDescent="0.3">
      <c r="A6142">
        <v>40.646520000000002</v>
      </c>
      <c r="B6142">
        <v>-111.9388</v>
      </c>
      <c r="C6142" t="s">
        <v>42</v>
      </c>
      <c r="D6142" t="s">
        <v>1256</v>
      </c>
      <c r="F6142" s="21"/>
      <c r="G6142" s="16" t="str">
        <f>HYPERLINK("http://maps.google.com/maps?f=q&amp;hl=en&amp;geocode=&amp;q=40.64652,-111.9388")</f>
        <v>http://maps.google.com/maps?f=q&amp;hl=en&amp;geocode=&amp;q=40.64652,-111.9388</v>
      </c>
    </row>
    <row r="6143" spans="1:7" ht="15" x14ac:dyDescent="0.3">
      <c r="A6143">
        <v>40.839390000000002</v>
      </c>
      <c r="B6143">
        <v>-73.843639999999994</v>
      </c>
      <c r="C6143" t="s">
        <v>42</v>
      </c>
      <c r="D6143" t="s">
        <v>3792</v>
      </c>
      <c r="F6143" s="21"/>
      <c r="G6143" s="16" t="str">
        <f>HYPERLINK("http://maps.google.com/maps?f=q&amp;hl=en&amp;geocode=&amp;q=40.83939,-73.84364")</f>
        <v>http://maps.google.com/maps?f=q&amp;hl=en&amp;geocode=&amp;q=40.83939,-73.84364</v>
      </c>
    </row>
    <row r="6144" spans="1:7" ht="15" x14ac:dyDescent="0.3">
      <c r="A6144">
        <v>40.0261</v>
      </c>
      <c r="B6144">
        <v>-75.050640000000001</v>
      </c>
      <c r="C6144" t="s">
        <v>41</v>
      </c>
      <c r="D6144" t="s">
        <v>3793</v>
      </c>
      <c r="F6144" s="21"/>
      <c r="G6144" s="16" t="str">
        <f>HYPERLINK("http://maps.google.com/maps?f=q&amp;hl=en&amp;geocode=&amp;q=40.0261,-75.05064")</f>
        <v>http://maps.google.com/maps?f=q&amp;hl=en&amp;geocode=&amp;q=40.0261,-75.05064</v>
      </c>
    </row>
    <row r="6145" spans="1:7" ht="15" x14ac:dyDescent="0.3">
      <c r="A6145">
        <v>39.555210000000002</v>
      </c>
      <c r="B6145">
        <v>-76.094220000000007</v>
      </c>
      <c r="C6145" t="s">
        <v>43</v>
      </c>
      <c r="D6145" t="s">
        <v>2861</v>
      </c>
      <c r="F6145" s="21"/>
      <c r="G6145" s="16" t="str">
        <f>HYPERLINK("http://maps.google.com/maps?f=q&amp;hl=en&amp;geocode=&amp;q=39.55521,-76.09422")</f>
        <v>http://maps.google.com/maps?f=q&amp;hl=en&amp;geocode=&amp;q=39.55521,-76.09422</v>
      </c>
    </row>
    <row r="6146" spans="1:7" ht="15" x14ac:dyDescent="0.3">
      <c r="A6146">
        <v>47.155059814453097</v>
      </c>
      <c r="B6146">
        <v>8.5326128005981392</v>
      </c>
      <c r="C6146" t="s">
        <v>43</v>
      </c>
      <c r="D6146" t="s">
        <v>903</v>
      </c>
      <c r="F6146" s="21"/>
      <c r="G6146" s="16" t="str">
        <f>HYPERLINK("http://maps.google.com/maps?f=q&amp;hl=en&amp;geocode=&amp;q=47.1550598144531,8.53261280059814")</f>
        <v>http://maps.google.com/maps?f=q&amp;hl=en&amp;geocode=&amp;q=47.1550598144531,8.53261280059814</v>
      </c>
    </row>
    <row r="6147" spans="1:7" ht="15" x14ac:dyDescent="0.3">
      <c r="A6147">
        <v>38.491455035432701</v>
      </c>
      <c r="B6147">
        <v>-89.817895222618702</v>
      </c>
      <c r="C6147" t="s">
        <v>41</v>
      </c>
      <c r="D6147" t="s">
        <v>2570</v>
      </c>
      <c r="F6147" s="21"/>
      <c r="G6147" s="16" t="str">
        <f>HYPERLINK("http://maps.google.com/maps?f=q&amp;hl=en&amp;geocode=&amp;q=38.4914550354327,-89.8178952226187")</f>
        <v>http://maps.google.com/maps?f=q&amp;hl=en&amp;geocode=&amp;q=38.4914550354327,-89.8178952226187</v>
      </c>
    </row>
    <row r="6148" spans="1:7" ht="15" x14ac:dyDescent="0.3">
      <c r="A6148">
        <v>35.694267272949197</v>
      </c>
      <c r="B6148">
        <v>139.41233825683599</v>
      </c>
      <c r="C6148" t="s">
        <v>43</v>
      </c>
      <c r="D6148" t="s">
        <v>3794</v>
      </c>
      <c r="F6148" s="21"/>
      <c r="G6148" s="16" t="str">
        <f>HYPERLINK("http://maps.google.com/maps?f=q&amp;hl=en&amp;geocode=&amp;q=35.6942672729492,139.412338256836")</f>
        <v>http://maps.google.com/maps?f=q&amp;hl=en&amp;geocode=&amp;q=35.6942672729492,139.412338256836</v>
      </c>
    </row>
    <row r="6149" spans="1:7" ht="15" x14ac:dyDescent="0.3">
      <c r="A6149">
        <v>-33.912281036377003</v>
      </c>
      <c r="B6149">
        <v>151.20166015625</v>
      </c>
      <c r="C6149" t="s">
        <v>41</v>
      </c>
      <c r="D6149" t="s">
        <v>3795</v>
      </c>
      <c r="F6149" s="21"/>
      <c r="G6149" s="16" t="str">
        <f>HYPERLINK("http://maps.google.com/maps?f=q&amp;hl=en&amp;geocode=&amp;q=-33.912281036377,151.20166015625")</f>
        <v>http://maps.google.com/maps?f=q&amp;hl=en&amp;geocode=&amp;q=-33.912281036377,151.20166015625</v>
      </c>
    </row>
    <row r="6150" spans="1:7" ht="15" x14ac:dyDescent="0.3">
      <c r="A6150" t="s">
        <v>44</v>
      </c>
      <c r="B6150" t="s">
        <v>44</v>
      </c>
      <c r="C6150" t="s">
        <v>44</v>
      </c>
      <c r="D6150" t="s">
        <v>3796</v>
      </c>
      <c r="F6150" s="21"/>
      <c r="G6150" s="16"/>
    </row>
    <row r="6151" spans="1:7" ht="15" x14ac:dyDescent="0.3">
      <c r="A6151">
        <v>28.652539999999998</v>
      </c>
      <c r="B6151">
        <v>-81.468000000000004</v>
      </c>
      <c r="C6151" t="s">
        <v>42</v>
      </c>
      <c r="D6151" t="s">
        <v>3797</v>
      </c>
      <c r="F6151" s="21"/>
      <c r="G6151" s="16" t="str">
        <f>HYPERLINK("http://maps.google.com/maps?f=q&amp;hl=en&amp;geocode=&amp;q=28.65254,-81.468")</f>
        <v>http://maps.google.com/maps?f=q&amp;hl=en&amp;geocode=&amp;q=28.65254,-81.468</v>
      </c>
    </row>
    <row r="6152" spans="1:7" ht="15" x14ac:dyDescent="0.3">
      <c r="A6152">
        <v>37.715240000000001</v>
      </c>
      <c r="B6152">
        <v>-97.357659999999996</v>
      </c>
      <c r="C6152" t="s">
        <v>43</v>
      </c>
      <c r="D6152" t="s">
        <v>3798</v>
      </c>
      <c r="F6152" s="21"/>
      <c r="G6152" s="16" t="str">
        <f>HYPERLINK("http://maps.google.com/maps?f=q&amp;hl=en&amp;geocode=&amp;q=37.71524,-97.35766")</f>
        <v>http://maps.google.com/maps?f=q&amp;hl=en&amp;geocode=&amp;q=37.71524,-97.35766</v>
      </c>
    </row>
    <row r="6153" spans="1:7" ht="15" x14ac:dyDescent="0.3">
      <c r="A6153">
        <v>50.068752288818402</v>
      </c>
      <c r="B6153">
        <v>-85.828125</v>
      </c>
      <c r="C6153" t="s">
        <v>41</v>
      </c>
      <c r="D6153" t="s">
        <v>3799</v>
      </c>
      <c r="F6153" s="21"/>
      <c r="G6153" s="16" t="str">
        <f>HYPERLINK("http://maps.google.com/maps?f=q&amp;hl=en&amp;geocode=&amp;q=50.0687522888184,-85.828125")</f>
        <v>http://maps.google.com/maps?f=q&amp;hl=en&amp;geocode=&amp;q=50.0687522888184,-85.828125</v>
      </c>
    </row>
    <row r="6154" spans="1:7" ht="15" x14ac:dyDescent="0.3">
      <c r="A6154">
        <v>45.648628878285599</v>
      </c>
      <c r="B6154">
        <v>-84.500923799382306</v>
      </c>
      <c r="C6154" t="s">
        <v>41</v>
      </c>
      <c r="D6154" t="s">
        <v>3800</v>
      </c>
      <c r="F6154" s="21"/>
      <c r="G6154" s="16" t="str">
        <f>HYPERLINK("http://maps.google.com/maps?f=q&amp;hl=en&amp;geocode=&amp;q=45.6486288782856,-84.5009237993823")</f>
        <v>http://maps.google.com/maps?f=q&amp;hl=en&amp;geocode=&amp;q=45.6486288782856,-84.5009237993823</v>
      </c>
    </row>
    <row r="6155" spans="1:7" ht="15" x14ac:dyDescent="0.3">
      <c r="A6155">
        <v>42.338748931884801</v>
      </c>
      <c r="B6155">
        <v>-83.890251159667997</v>
      </c>
      <c r="C6155" t="s">
        <v>43</v>
      </c>
      <c r="D6155" t="s">
        <v>3801</v>
      </c>
      <c r="F6155" s="21"/>
      <c r="G6155" s="16" t="str">
        <f>HYPERLINK("http://maps.google.com/maps?f=q&amp;hl=en&amp;geocode=&amp;q=42.3387489318848,-83.890251159668")</f>
        <v>http://maps.google.com/maps?f=q&amp;hl=en&amp;geocode=&amp;q=42.3387489318848,-83.890251159668</v>
      </c>
    </row>
    <row r="6156" spans="1:7" ht="15" x14ac:dyDescent="0.3">
      <c r="A6156">
        <v>38.725276947021499</v>
      </c>
      <c r="B6156">
        <v>-77.047775268554702</v>
      </c>
      <c r="C6156" t="s">
        <v>41</v>
      </c>
      <c r="D6156" t="s">
        <v>2567</v>
      </c>
      <c r="F6156" s="21"/>
      <c r="G6156" s="16" t="str">
        <f>HYPERLINK("http://maps.google.com/maps?f=q&amp;hl=en&amp;geocode=&amp;q=38.7252769470215,-77.0477752685547")</f>
        <v>http://maps.google.com/maps?f=q&amp;hl=en&amp;geocode=&amp;q=38.7252769470215,-77.0477752685547</v>
      </c>
    </row>
    <row r="6157" spans="1:7" ht="15" x14ac:dyDescent="0.3">
      <c r="A6157">
        <v>30.059290000000001</v>
      </c>
      <c r="B6157">
        <v>-90.433520000000001</v>
      </c>
      <c r="C6157" t="s">
        <v>41</v>
      </c>
      <c r="D6157" t="s">
        <v>3802</v>
      </c>
      <c r="F6157" s="21"/>
      <c r="G6157" s="16" t="str">
        <f>HYPERLINK("http://maps.google.com/maps?f=q&amp;hl=en&amp;geocode=&amp;q=30.05929,-90.43352")</f>
        <v>http://maps.google.com/maps?f=q&amp;hl=en&amp;geocode=&amp;q=30.05929,-90.43352</v>
      </c>
    </row>
    <row r="6158" spans="1:7" ht="15" x14ac:dyDescent="0.3">
      <c r="A6158">
        <v>42.5111083984375</v>
      </c>
      <c r="B6158">
        <v>-83.028518676757798</v>
      </c>
      <c r="C6158" t="s">
        <v>43</v>
      </c>
      <c r="D6158" t="s">
        <v>2244</v>
      </c>
      <c r="F6158" s="21"/>
      <c r="G6158" s="16" t="str">
        <f>HYPERLINK("http://maps.google.com/maps?f=q&amp;hl=en&amp;geocode=&amp;q=42.5111083984375,-83.0285186767578")</f>
        <v>http://maps.google.com/maps?f=q&amp;hl=en&amp;geocode=&amp;q=42.5111083984375,-83.0285186767578</v>
      </c>
    </row>
    <row r="6159" spans="1:7" ht="15" x14ac:dyDescent="0.3">
      <c r="A6159">
        <v>43.293369293212898</v>
      </c>
      <c r="B6159">
        <v>5.3713002204895002</v>
      </c>
      <c r="C6159" t="s">
        <v>43</v>
      </c>
      <c r="D6159" t="s">
        <v>3003</v>
      </c>
      <c r="F6159" s="21"/>
      <c r="G6159" s="16" t="str">
        <f>HYPERLINK("http://maps.google.com/maps?f=q&amp;hl=en&amp;geocode=&amp;q=43.2933692932129,5.3713002204895")</f>
        <v>http://maps.google.com/maps?f=q&amp;hl=en&amp;geocode=&amp;q=43.2933692932129,5.3713002204895</v>
      </c>
    </row>
    <row r="6160" spans="1:7" ht="15" x14ac:dyDescent="0.3">
      <c r="A6160">
        <v>39.917439999999999</v>
      </c>
      <c r="B6160">
        <v>-75.229609999999994</v>
      </c>
      <c r="C6160" t="s">
        <v>41</v>
      </c>
      <c r="D6160" t="s">
        <v>3803</v>
      </c>
      <c r="F6160" s="21"/>
      <c r="G6160" s="16" t="str">
        <f>HYPERLINK("http://maps.google.com/maps?f=q&amp;hl=en&amp;geocode=&amp;q=39.91744,-75.22961")</f>
        <v>http://maps.google.com/maps?f=q&amp;hl=en&amp;geocode=&amp;q=39.91744,-75.22961</v>
      </c>
    </row>
    <row r="6161" spans="1:7" ht="15" x14ac:dyDescent="0.3">
      <c r="A6161" t="s">
        <v>44</v>
      </c>
      <c r="B6161" t="s">
        <v>44</v>
      </c>
      <c r="C6161" t="s">
        <v>44</v>
      </c>
      <c r="D6161" t="s">
        <v>120</v>
      </c>
      <c r="F6161" s="21"/>
      <c r="G6161" s="16"/>
    </row>
    <row r="6162" spans="1:7" ht="15" x14ac:dyDescent="0.3">
      <c r="A6162" t="s">
        <v>44</v>
      </c>
      <c r="B6162" t="s">
        <v>44</v>
      </c>
      <c r="C6162" t="s">
        <v>44</v>
      </c>
      <c r="D6162" t="s">
        <v>546</v>
      </c>
      <c r="F6162" s="21"/>
      <c r="G6162" s="16"/>
    </row>
    <row r="6163" spans="1:7" ht="15" x14ac:dyDescent="0.3">
      <c r="A6163" t="s">
        <v>44</v>
      </c>
      <c r="B6163" t="s">
        <v>44</v>
      </c>
      <c r="C6163" t="s">
        <v>44</v>
      </c>
      <c r="D6163" t="s">
        <v>546</v>
      </c>
      <c r="F6163" s="21"/>
      <c r="G6163" s="16"/>
    </row>
    <row r="6164" spans="1:7" ht="15" x14ac:dyDescent="0.3">
      <c r="A6164" t="s">
        <v>44</v>
      </c>
      <c r="B6164" t="s">
        <v>44</v>
      </c>
      <c r="C6164" t="s">
        <v>44</v>
      </c>
      <c r="D6164" t="s">
        <v>546</v>
      </c>
      <c r="F6164" s="21"/>
      <c r="G6164" s="16"/>
    </row>
    <row r="6165" spans="1:7" ht="15" x14ac:dyDescent="0.3">
      <c r="A6165" t="s">
        <v>44</v>
      </c>
      <c r="B6165" t="s">
        <v>44</v>
      </c>
      <c r="C6165" t="s">
        <v>44</v>
      </c>
      <c r="D6165" t="s">
        <v>546</v>
      </c>
      <c r="F6165" s="21"/>
      <c r="G6165" s="16"/>
    </row>
    <row r="6166" spans="1:7" ht="15" x14ac:dyDescent="0.3">
      <c r="A6166" t="s">
        <v>44</v>
      </c>
      <c r="B6166" t="s">
        <v>44</v>
      </c>
      <c r="C6166" t="s">
        <v>44</v>
      </c>
      <c r="D6166" t="s">
        <v>546</v>
      </c>
      <c r="F6166" s="21"/>
      <c r="G6166" s="16"/>
    </row>
    <row r="6167" spans="1:7" ht="15" x14ac:dyDescent="0.3">
      <c r="A6167">
        <v>-43.390037536621101</v>
      </c>
      <c r="B6167">
        <v>172.02110290527301</v>
      </c>
      <c r="C6167" t="s">
        <v>43</v>
      </c>
      <c r="D6167" t="s">
        <v>3804</v>
      </c>
      <c r="F6167" s="21"/>
      <c r="G6167" s="16" t="str">
        <f>HYPERLINK("http://maps.google.com/maps?f=q&amp;hl=en&amp;geocode=&amp;q=-43.3900375366211,172.021102905273")</f>
        <v>http://maps.google.com/maps?f=q&amp;hl=en&amp;geocode=&amp;q=-43.3900375366211,172.021102905273</v>
      </c>
    </row>
    <row r="6168" spans="1:7" ht="15" x14ac:dyDescent="0.3">
      <c r="A6168">
        <v>34.995820000000002</v>
      </c>
      <c r="B6168">
        <v>-81.136610000000005</v>
      </c>
      <c r="C6168" t="s">
        <v>42</v>
      </c>
      <c r="D6168" t="s">
        <v>3198</v>
      </c>
      <c r="F6168" s="21"/>
      <c r="G6168" s="16" t="str">
        <f>HYPERLINK("http://maps.google.com/maps?f=q&amp;hl=en&amp;geocode=&amp;q=34.99582,-81.13661")</f>
        <v>http://maps.google.com/maps?f=q&amp;hl=en&amp;geocode=&amp;q=34.99582,-81.13661</v>
      </c>
    </row>
    <row r="6169" spans="1:7" ht="15" x14ac:dyDescent="0.3">
      <c r="A6169">
        <v>38.591107438640897</v>
      </c>
      <c r="B6169">
        <v>-90.307767273304094</v>
      </c>
      <c r="C6169" t="s">
        <v>41</v>
      </c>
      <c r="D6169" t="s">
        <v>3774</v>
      </c>
      <c r="F6169" s="21"/>
      <c r="G6169" s="16" t="str">
        <f>HYPERLINK("http://maps.google.com/maps?f=q&amp;hl=en&amp;geocode=&amp;q=38.5911074386409,-90.3077672733041")</f>
        <v>http://maps.google.com/maps?f=q&amp;hl=en&amp;geocode=&amp;q=38.5911074386409,-90.3077672733041</v>
      </c>
    </row>
    <row r="6170" spans="1:7" ht="15" x14ac:dyDescent="0.3">
      <c r="A6170">
        <v>38.591107438640897</v>
      </c>
      <c r="B6170">
        <v>-90.307767273304094</v>
      </c>
      <c r="C6170" t="s">
        <v>41</v>
      </c>
      <c r="D6170" t="s">
        <v>3774</v>
      </c>
      <c r="F6170" s="21"/>
      <c r="G6170" s="16" t="str">
        <f>HYPERLINK("http://maps.google.com/maps?f=q&amp;hl=en&amp;geocode=&amp;q=38.5911074386409,-90.3077672733041")</f>
        <v>http://maps.google.com/maps?f=q&amp;hl=en&amp;geocode=&amp;q=38.5911074386409,-90.3077672733041</v>
      </c>
    </row>
    <row r="6171" spans="1:7" ht="15" x14ac:dyDescent="0.3">
      <c r="A6171">
        <v>39.96463</v>
      </c>
      <c r="B6171">
        <v>-75.239689999999996</v>
      </c>
      <c r="C6171" t="s">
        <v>41</v>
      </c>
      <c r="D6171" t="s">
        <v>3805</v>
      </c>
      <c r="F6171" s="21"/>
      <c r="G6171" s="16" t="str">
        <f>HYPERLINK("http://maps.google.com/maps?f=q&amp;hl=en&amp;geocode=&amp;q=39.96463,-75.23969")</f>
        <v>http://maps.google.com/maps?f=q&amp;hl=en&amp;geocode=&amp;q=39.96463,-75.23969</v>
      </c>
    </row>
    <row r="6172" spans="1:7" ht="15" x14ac:dyDescent="0.3">
      <c r="A6172">
        <v>45.351660000000003</v>
      </c>
      <c r="B6172">
        <v>-122.59126000000001</v>
      </c>
      <c r="C6172" t="s">
        <v>42</v>
      </c>
      <c r="D6172" t="s">
        <v>3806</v>
      </c>
      <c r="F6172" s="21"/>
      <c r="G6172" s="16" t="str">
        <f>HYPERLINK("http://maps.google.com/maps?f=q&amp;hl=en&amp;geocode=&amp;q=45.35166,-122.59126")</f>
        <v>http://maps.google.com/maps?f=q&amp;hl=en&amp;geocode=&amp;q=45.35166,-122.59126</v>
      </c>
    </row>
    <row r="6173" spans="1:7" ht="15" x14ac:dyDescent="0.3">
      <c r="A6173">
        <v>53.934978485107401</v>
      </c>
      <c r="B6173">
        <v>-1.6529799699783301</v>
      </c>
      <c r="C6173" t="s">
        <v>43</v>
      </c>
      <c r="D6173" t="s">
        <v>3807</v>
      </c>
      <c r="F6173" s="21"/>
      <c r="G6173" s="16" t="str">
        <f>HYPERLINK("http://maps.google.com/maps?f=q&amp;hl=en&amp;geocode=&amp;q=53.9349784851074,-1.65297996997833")</f>
        <v>http://maps.google.com/maps?f=q&amp;hl=en&amp;geocode=&amp;q=53.9349784851074,-1.65297996997833</v>
      </c>
    </row>
    <row r="6174" spans="1:7" ht="15" x14ac:dyDescent="0.3">
      <c r="A6174">
        <v>33.142240000000001</v>
      </c>
      <c r="B6174">
        <v>-97.246600000000001</v>
      </c>
      <c r="C6174" t="s">
        <v>41</v>
      </c>
      <c r="D6174" t="s">
        <v>3808</v>
      </c>
      <c r="F6174" s="21"/>
      <c r="G6174" s="16" t="str">
        <f>HYPERLINK("http://maps.google.com/maps?f=q&amp;hl=en&amp;geocode=&amp;q=33.14224,-97.2466")</f>
        <v>http://maps.google.com/maps?f=q&amp;hl=en&amp;geocode=&amp;q=33.14224,-97.2466</v>
      </c>
    </row>
    <row r="6175" spans="1:7" ht="15" x14ac:dyDescent="0.3">
      <c r="A6175">
        <v>39.995429999999999</v>
      </c>
      <c r="B6175">
        <v>-75.092309999999998</v>
      </c>
      <c r="C6175" t="s">
        <v>41</v>
      </c>
      <c r="D6175" t="s">
        <v>3809</v>
      </c>
      <c r="F6175" s="21"/>
      <c r="G6175" s="16" t="str">
        <f>HYPERLINK("http://maps.google.com/maps?f=q&amp;hl=en&amp;geocode=&amp;q=39.99543,-75.09231")</f>
        <v>http://maps.google.com/maps?f=q&amp;hl=en&amp;geocode=&amp;q=39.99543,-75.09231</v>
      </c>
    </row>
    <row r="6176" spans="1:7" ht="15" x14ac:dyDescent="0.3">
      <c r="A6176">
        <v>39.995429999999999</v>
      </c>
      <c r="B6176">
        <v>-75.092309999999998</v>
      </c>
      <c r="C6176" t="s">
        <v>41</v>
      </c>
      <c r="D6176" t="s">
        <v>3809</v>
      </c>
      <c r="F6176" s="21"/>
      <c r="G6176" s="16" t="str">
        <f>HYPERLINK("http://maps.google.com/maps?f=q&amp;hl=en&amp;geocode=&amp;q=39.99543,-75.09231")</f>
        <v>http://maps.google.com/maps?f=q&amp;hl=en&amp;geocode=&amp;q=39.99543,-75.09231</v>
      </c>
    </row>
    <row r="6177" spans="1:7" ht="15" x14ac:dyDescent="0.3">
      <c r="A6177">
        <v>39.936543876136703</v>
      </c>
      <c r="B6177">
        <v>-75.149431783666103</v>
      </c>
      <c r="C6177" t="s">
        <v>41</v>
      </c>
      <c r="D6177" t="s">
        <v>3810</v>
      </c>
      <c r="F6177" s="21"/>
      <c r="G6177" s="16" t="str">
        <f>HYPERLINK("http://maps.google.com/maps?f=q&amp;hl=en&amp;geocode=&amp;q=39.9365438761367,-75.1494317836661")</f>
        <v>http://maps.google.com/maps?f=q&amp;hl=en&amp;geocode=&amp;q=39.9365438761367,-75.1494317836661</v>
      </c>
    </row>
    <row r="6178" spans="1:7" ht="15" x14ac:dyDescent="0.3">
      <c r="A6178">
        <v>38.0572509765625</v>
      </c>
      <c r="B6178">
        <v>-97.932678222656307</v>
      </c>
      <c r="C6178" t="s">
        <v>43</v>
      </c>
      <c r="D6178" t="s">
        <v>3811</v>
      </c>
      <c r="F6178" s="21"/>
      <c r="G6178" s="16" t="str">
        <f>HYPERLINK("http://maps.google.com/maps?f=q&amp;hl=en&amp;geocode=&amp;q=38.0572509765625,-97.9326782226563")</f>
        <v>http://maps.google.com/maps?f=q&amp;hl=en&amp;geocode=&amp;q=38.0572509765625,-97.9326782226563</v>
      </c>
    </row>
    <row r="6179" spans="1:7" ht="15" x14ac:dyDescent="0.3">
      <c r="A6179">
        <v>-26.034427642822301</v>
      </c>
      <c r="B6179">
        <v>28.5431098937988</v>
      </c>
      <c r="C6179" t="s">
        <v>43</v>
      </c>
      <c r="D6179" t="s">
        <v>2999</v>
      </c>
      <c r="F6179" s="21"/>
      <c r="G6179" s="16" t="str">
        <f>HYPERLINK("http://maps.google.com/maps?f=q&amp;hl=en&amp;geocode=&amp;q=-26.0344276428223,28.5431098937988")</f>
        <v>http://maps.google.com/maps?f=q&amp;hl=en&amp;geocode=&amp;q=-26.0344276428223,28.5431098937988</v>
      </c>
    </row>
    <row r="6180" spans="1:7" ht="15" x14ac:dyDescent="0.3">
      <c r="A6180">
        <v>39.940130021362599</v>
      </c>
      <c r="B6180">
        <v>-75.171688950762402</v>
      </c>
      <c r="C6180" t="s">
        <v>41</v>
      </c>
      <c r="D6180" t="s">
        <v>3812</v>
      </c>
      <c r="F6180" s="21"/>
      <c r="G6180" s="16" t="str">
        <f>HYPERLINK("http://maps.google.com/maps?f=q&amp;hl=en&amp;geocode=&amp;q=39.9401300213626,-75.1716889507624")</f>
        <v>http://maps.google.com/maps?f=q&amp;hl=en&amp;geocode=&amp;q=39.9401300213626,-75.1716889507624</v>
      </c>
    </row>
    <row r="6181" spans="1:7" ht="15" x14ac:dyDescent="0.3">
      <c r="A6181">
        <v>39.996009999999998</v>
      </c>
      <c r="B6181">
        <v>-75.092140000000001</v>
      </c>
      <c r="C6181" t="s">
        <v>41</v>
      </c>
      <c r="D6181" t="s">
        <v>507</v>
      </c>
      <c r="F6181" s="21"/>
      <c r="G6181" s="16" t="str">
        <f>HYPERLINK("http://maps.google.com/maps?f=q&amp;hl=en&amp;geocode=&amp;q=39.99601,-75.09214")</f>
        <v>http://maps.google.com/maps?f=q&amp;hl=en&amp;geocode=&amp;q=39.99601,-75.09214</v>
      </c>
    </row>
    <row r="6182" spans="1:7" ht="15" x14ac:dyDescent="0.3">
      <c r="A6182">
        <v>49.518180847167997</v>
      </c>
      <c r="B6182">
        <v>5.8978409767150897</v>
      </c>
      <c r="C6182" t="s">
        <v>41</v>
      </c>
      <c r="D6182" t="s">
        <v>2510</v>
      </c>
      <c r="F6182" s="21"/>
      <c r="G6182" s="16" t="str">
        <f>HYPERLINK("http://maps.google.com/maps?f=q&amp;hl=en&amp;geocode=&amp;q=49.518180847168,5.89784097671509")</f>
        <v>http://maps.google.com/maps?f=q&amp;hl=en&amp;geocode=&amp;q=49.518180847168,5.89784097671509</v>
      </c>
    </row>
    <row r="6183" spans="1:7" ht="15" x14ac:dyDescent="0.3">
      <c r="A6183">
        <v>49.518180847167997</v>
      </c>
      <c r="B6183">
        <v>5.8978409767150897</v>
      </c>
      <c r="C6183" t="s">
        <v>41</v>
      </c>
      <c r="D6183" t="s">
        <v>2510</v>
      </c>
      <c r="F6183" s="21"/>
      <c r="G6183" s="16" t="str">
        <f>HYPERLINK("http://maps.google.com/maps?f=q&amp;hl=en&amp;geocode=&amp;q=49.518180847168,5.89784097671509")</f>
        <v>http://maps.google.com/maps?f=q&amp;hl=en&amp;geocode=&amp;q=49.518180847168,5.89784097671509</v>
      </c>
    </row>
    <row r="6184" spans="1:7" ht="15" x14ac:dyDescent="0.3">
      <c r="A6184">
        <v>46.807299596057199</v>
      </c>
      <c r="B6184">
        <v>-100.762936467817</v>
      </c>
      <c r="C6184" t="s">
        <v>41</v>
      </c>
      <c r="D6184" t="s">
        <v>3813</v>
      </c>
      <c r="F6184" s="21"/>
      <c r="G6184" s="16" t="str">
        <f>HYPERLINK("http://maps.google.com/maps?f=q&amp;hl=en&amp;geocode=&amp;q=46.8072995960572,-100.762936467817")</f>
        <v>http://maps.google.com/maps?f=q&amp;hl=en&amp;geocode=&amp;q=46.8072995960572,-100.762936467817</v>
      </c>
    </row>
    <row r="6185" spans="1:7" ht="15" x14ac:dyDescent="0.3">
      <c r="A6185">
        <v>39.985076403831201</v>
      </c>
      <c r="B6185">
        <v>-75.106754449039101</v>
      </c>
      <c r="C6185" t="s">
        <v>41</v>
      </c>
      <c r="D6185" t="s">
        <v>3814</v>
      </c>
      <c r="F6185" s="21"/>
      <c r="G6185" s="16" t="str">
        <f>HYPERLINK("http://maps.google.com/maps?f=q&amp;hl=en&amp;geocode=&amp;q=39.9850764038312,-75.1067544490391")</f>
        <v>http://maps.google.com/maps?f=q&amp;hl=en&amp;geocode=&amp;q=39.9850764038312,-75.1067544490391</v>
      </c>
    </row>
    <row r="6186" spans="1:7" ht="15" x14ac:dyDescent="0.3">
      <c r="A6186">
        <v>41.040871559431601</v>
      </c>
      <c r="B6186">
        <v>-82.005458065741195</v>
      </c>
      <c r="C6186" t="s">
        <v>41</v>
      </c>
      <c r="D6186" t="s">
        <v>3815</v>
      </c>
      <c r="F6186" s="21"/>
      <c r="G6186" s="16" t="str">
        <f>HYPERLINK("http://maps.google.com/maps?f=q&amp;hl=en&amp;geocode=&amp;q=41.0408715594316,-82.0054580657412")</f>
        <v>http://maps.google.com/maps?f=q&amp;hl=en&amp;geocode=&amp;q=41.0408715594316,-82.0054580657412</v>
      </c>
    </row>
    <row r="6187" spans="1:7" ht="15" x14ac:dyDescent="0.3">
      <c r="A6187" t="s">
        <v>44</v>
      </c>
      <c r="B6187" t="s">
        <v>44</v>
      </c>
      <c r="C6187" t="s">
        <v>44</v>
      </c>
      <c r="D6187" t="s">
        <v>1004</v>
      </c>
      <c r="F6187" s="21"/>
      <c r="G6187" s="16"/>
    </row>
    <row r="6188" spans="1:7" ht="15" x14ac:dyDescent="0.3">
      <c r="A6188">
        <v>40.013988494872997</v>
      </c>
      <c r="B6188">
        <v>-75.303192138671903</v>
      </c>
      <c r="C6188" t="s">
        <v>41</v>
      </c>
      <c r="D6188" t="s">
        <v>501</v>
      </c>
      <c r="F6188" s="21"/>
      <c r="G6188" s="16" t="str">
        <f>HYPERLINK("http://maps.google.com/maps?f=q&amp;hl=en&amp;geocode=&amp;q=40.013988494873,-75.3031921386719")</f>
        <v>http://maps.google.com/maps?f=q&amp;hl=en&amp;geocode=&amp;q=40.013988494873,-75.3031921386719</v>
      </c>
    </row>
    <row r="6189" spans="1:7" ht="15" x14ac:dyDescent="0.3">
      <c r="A6189">
        <v>41.740667586905097</v>
      </c>
      <c r="B6189">
        <v>-111.81466632837</v>
      </c>
      <c r="C6189" t="s">
        <v>43</v>
      </c>
      <c r="D6189" t="s">
        <v>3816</v>
      </c>
      <c r="F6189" s="21"/>
      <c r="G6189" s="16" t="str">
        <f>HYPERLINK("http://maps.google.com/maps?f=q&amp;hl=en&amp;geocode=&amp;q=41.7406675869051,-111.81466632837")</f>
        <v>http://maps.google.com/maps?f=q&amp;hl=en&amp;geocode=&amp;q=41.7406675869051,-111.81466632837</v>
      </c>
    </row>
    <row r="6190" spans="1:7" ht="15" x14ac:dyDescent="0.3">
      <c r="A6190">
        <v>41.512665037790001</v>
      </c>
      <c r="B6190">
        <v>-78.231473464693394</v>
      </c>
      <c r="C6190" t="s">
        <v>41</v>
      </c>
      <c r="D6190" t="s">
        <v>3817</v>
      </c>
      <c r="F6190" s="21"/>
      <c r="G6190" s="16" t="str">
        <f>HYPERLINK("http://maps.google.com/maps?f=q&amp;hl=en&amp;geocode=&amp;q=41.51266503779,-78.2314734646934")</f>
        <v>http://maps.google.com/maps?f=q&amp;hl=en&amp;geocode=&amp;q=41.51266503779,-78.2314734646934</v>
      </c>
    </row>
    <row r="6191" spans="1:7" ht="15" x14ac:dyDescent="0.3">
      <c r="A6191">
        <v>30.013597252129799</v>
      </c>
      <c r="B6191">
        <v>-90.178112333309699</v>
      </c>
      <c r="C6191" t="s">
        <v>41</v>
      </c>
      <c r="D6191" t="s">
        <v>176</v>
      </c>
      <c r="F6191" s="21"/>
      <c r="G6191" s="16" t="str">
        <f>HYPERLINK("http://maps.google.com/maps?f=q&amp;hl=en&amp;geocode=&amp;q=30.0135972521298,-90.1781123333097")</f>
        <v>http://maps.google.com/maps?f=q&amp;hl=en&amp;geocode=&amp;q=30.0135972521298,-90.1781123333097</v>
      </c>
    </row>
    <row r="6192" spans="1:7" ht="15" x14ac:dyDescent="0.3">
      <c r="A6192">
        <v>41.286486203728003</v>
      </c>
      <c r="B6192">
        <v>-111.98577196798</v>
      </c>
      <c r="C6192" t="s">
        <v>41</v>
      </c>
      <c r="D6192" t="s">
        <v>2794</v>
      </c>
      <c r="F6192" s="21"/>
      <c r="G6192" s="16" t="str">
        <f>HYPERLINK("http://maps.google.com/maps?f=q&amp;hl=en&amp;geocode=&amp;q=41.286486203728,-111.98577196798")</f>
        <v>http://maps.google.com/maps?f=q&amp;hl=en&amp;geocode=&amp;q=41.286486203728,-111.98577196798</v>
      </c>
    </row>
    <row r="6193" spans="1:7" ht="15" x14ac:dyDescent="0.3">
      <c r="A6193">
        <v>29.539559998433401</v>
      </c>
      <c r="B6193">
        <v>-96.279854997281006</v>
      </c>
      <c r="C6193" t="s">
        <v>41</v>
      </c>
      <c r="D6193" t="s">
        <v>2171</v>
      </c>
      <c r="F6193" s="21"/>
      <c r="G6193" s="16" t="str">
        <f>HYPERLINK("http://maps.google.com/maps?f=q&amp;hl=en&amp;geocode=&amp;q=29.5395599984334,-96.279854997281")</f>
        <v>http://maps.google.com/maps?f=q&amp;hl=en&amp;geocode=&amp;q=29.5395599984334,-96.279854997281</v>
      </c>
    </row>
    <row r="6194" spans="1:7" ht="15" x14ac:dyDescent="0.3">
      <c r="A6194" t="s">
        <v>44</v>
      </c>
      <c r="B6194" t="s">
        <v>44</v>
      </c>
      <c r="C6194" t="s">
        <v>44</v>
      </c>
      <c r="D6194" t="s">
        <v>3818</v>
      </c>
      <c r="F6194" s="21"/>
      <c r="G6194" s="16"/>
    </row>
    <row r="6195" spans="1:7" ht="15" x14ac:dyDescent="0.3">
      <c r="A6195">
        <v>-38.000390000000003</v>
      </c>
      <c r="B6195">
        <v>145.17285000000001</v>
      </c>
      <c r="C6195" t="s">
        <v>41</v>
      </c>
      <c r="D6195" t="s">
        <v>3819</v>
      </c>
      <c r="F6195" s="21"/>
      <c r="G6195" s="16" t="str">
        <f>HYPERLINK("http://maps.google.com/maps?f=q&amp;hl=en&amp;geocode=&amp;q=-38.00039,145.17285")</f>
        <v>http://maps.google.com/maps?f=q&amp;hl=en&amp;geocode=&amp;q=-38.00039,145.17285</v>
      </c>
    </row>
    <row r="6196" spans="1:7" ht="15" x14ac:dyDescent="0.3">
      <c r="A6196">
        <v>50.780136108398402</v>
      </c>
      <c r="B6196">
        <v>4.2288222312927202</v>
      </c>
      <c r="C6196" t="s">
        <v>43</v>
      </c>
      <c r="D6196" t="s">
        <v>3820</v>
      </c>
      <c r="F6196" s="21"/>
      <c r="G6196" s="16" t="str">
        <f>HYPERLINK("http://maps.google.com/maps?f=q&amp;hl=en&amp;geocode=&amp;q=50.7801361083984,4.22882223129272")</f>
        <v>http://maps.google.com/maps?f=q&amp;hl=en&amp;geocode=&amp;q=50.7801361083984,4.22882223129272</v>
      </c>
    </row>
    <row r="6197" spans="1:7" ht="15" x14ac:dyDescent="0.3">
      <c r="A6197">
        <v>39.916739999999997</v>
      </c>
      <c r="B6197">
        <v>-75.231570000000005</v>
      </c>
      <c r="C6197" t="s">
        <v>41</v>
      </c>
      <c r="D6197" t="s">
        <v>928</v>
      </c>
      <c r="F6197" s="21"/>
      <c r="G6197" s="16" t="str">
        <f>HYPERLINK("http://maps.google.com/maps?f=q&amp;hl=en&amp;geocode=&amp;q=39.91674,-75.23157")</f>
        <v>http://maps.google.com/maps?f=q&amp;hl=en&amp;geocode=&amp;q=39.91674,-75.23157</v>
      </c>
    </row>
    <row r="6198" spans="1:7" ht="15" x14ac:dyDescent="0.3">
      <c r="A6198">
        <v>39.940150000000003</v>
      </c>
      <c r="B6198">
        <v>-75.172290000000004</v>
      </c>
      <c r="C6198" t="s">
        <v>41</v>
      </c>
      <c r="D6198" t="s">
        <v>3821</v>
      </c>
      <c r="F6198" s="21"/>
      <c r="G6198" s="16" t="str">
        <f>HYPERLINK("http://maps.google.com/maps?f=q&amp;hl=en&amp;geocode=&amp;q=39.94015,-75.17229")</f>
        <v>http://maps.google.com/maps?f=q&amp;hl=en&amp;geocode=&amp;q=39.94015,-75.17229</v>
      </c>
    </row>
    <row r="6199" spans="1:7" ht="15" x14ac:dyDescent="0.3">
      <c r="A6199">
        <v>38.777487146379997</v>
      </c>
      <c r="B6199">
        <v>-87.300277679511694</v>
      </c>
      <c r="C6199" t="s">
        <v>41</v>
      </c>
      <c r="D6199" t="s">
        <v>3822</v>
      </c>
      <c r="F6199" s="21"/>
      <c r="G6199" s="16" t="str">
        <f>HYPERLINK("http://maps.google.com/maps?f=q&amp;hl=en&amp;geocode=&amp;q=38.77748714638,-87.3002776795117")</f>
        <v>http://maps.google.com/maps?f=q&amp;hl=en&amp;geocode=&amp;q=38.77748714638,-87.3002776795117</v>
      </c>
    </row>
    <row r="6200" spans="1:7" ht="15" x14ac:dyDescent="0.3">
      <c r="A6200">
        <v>42.997422656800801</v>
      </c>
      <c r="B6200">
        <v>-95.623939346082395</v>
      </c>
      <c r="C6200" t="s">
        <v>41</v>
      </c>
      <c r="D6200" t="s">
        <v>71</v>
      </c>
      <c r="F6200" s="21"/>
      <c r="G6200" s="16" t="str">
        <f>HYPERLINK("http://maps.google.com/maps?f=q&amp;hl=en&amp;geocode=&amp;q=42.9974226568008,-95.6239393460824")</f>
        <v>http://maps.google.com/maps?f=q&amp;hl=en&amp;geocode=&amp;q=42.9974226568008,-95.6239393460824</v>
      </c>
    </row>
    <row r="6201" spans="1:7" ht="15" x14ac:dyDescent="0.3">
      <c r="A6201">
        <v>41.223848861184599</v>
      </c>
      <c r="B6201">
        <v>-98.402467262898597</v>
      </c>
      <c r="C6201" t="s">
        <v>41</v>
      </c>
      <c r="D6201" t="s">
        <v>3823</v>
      </c>
      <c r="F6201" s="21"/>
      <c r="G6201" s="16" t="str">
        <f>HYPERLINK("http://maps.google.com/maps?f=q&amp;hl=en&amp;geocode=&amp;q=41.2238488611846,-98.4024672628986")</f>
        <v>http://maps.google.com/maps?f=q&amp;hl=en&amp;geocode=&amp;q=41.2238488611846,-98.4024672628986</v>
      </c>
    </row>
    <row r="6202" spans="1:7" ht="15" x14ac:dyDescent="0.3">
      <c r="A6202">
        <v>40.347012719351802</v>
      </c>
      <c r="B6202">
        <v>-76.425673822322906</v>
      </c>
      <c r="C6202" t="s">
        <v>41</v>
      </c>
      <c r="D6202" t="s">
        <v>3266</v>
      </c>
      <c r="F6202" s="21"/>
      <c r="G6202" s="16" t="str">
        <f>HYPERLINK("http://maps.google.com/maps?f=q&amp;hl=en&amp;geocode=&amp;q=40.3470127193518,-76.4256738223229")</f>
        <v>http://maps.google.com/maps?f=q&amp;hl=en&amp;geocode=&amp;q=40.3470127193518,-76.4256738223229</v>
      </c>
    </row>
    <row r="6203" spans="1:7" ht="15" x14ac:dyDescent="0.3">
      <c r="A6203">
        <v>37.741668535657404</v>
      </c>
      <c r="B6203">
        <v>-88.917710857456697</v>
      </c>
      <c r="C6203" t="s">
        <v>41</v>
      </c>
      <c r="D6203" t="s">
        <v>3824</v>
      </c>
      <c r="F6203" s="21"/>
      <c r="G6203" s="16" t="str">
        <f>HYPERLINK("http://maps.google.com/maps?f=q&amp;hl=en&amp;geocode=&amp;q=37.7416685356574,-88.9177108574567")</f>
        <v>http://maps.google.com/maps?f=q&amp;hl=en&amp;geocode=&amp;q=37.7416685356574,-88.9177108574567</v>
      </c>
    </row>
    <row r="6204" spans="1:7" ht="15" x14ac:dyDescent="0.3">
      <c r="A6204">
        <v>37.019889999999997</v>
      </c>
      <c r="B6204">
        <v>-88.679940000000002</v>
      </c>
      <c r="C6204" t="s">
        <v>42</v>
      </c>
      <c r="D6204" t="s">
        <v>3825</v>
      </c>
      <c r="F6204" s="21"/>
      <c r="G6204" s="16" t="str">
        <f>HYPERLINK("http://maps.google.com/maps?f=q&amp;hl=en&amp;geocode=&amp;q=37.01989,-88.67994")</f>
        <v>http://maps.google.com/maps?f=q&amp;hl=en&amp;geocode=&amp;q=37.01989,-88.67994</v>
      </c>
    </row>
    <row r="6205" spans="1:7" ht="15" x14ac:dyDescent="0.3">
      <c r="A6205">
        <v>38.790410000000001</v>
      </c>
      <c r="B6205">
        <v>-77.148780000000002</v>
      </c>
      <c r="C6205" t="s">
        <v>42</v>
      </c>
      <c r="D6205" t="s">
        <v>3826</v>
      </c>
      <c r="F6205" s="21"/>
      <c r="G6205" s="16" t="str">
        <f>HYPERLINK("http://maps.google.com/maps?f=q&amp;hl=en&amp;geocode=&amp;q=38.79041,-77.14878")</f>
        <v>http://maps.google.com/maps?f=q&amp;hl=en&amp;geocode=&amp;q=38.79041,-77.14878</v>
      </c>
    </row>
    <row r="6206" spans="1:7" ht="15" x14ac:dyDescent="0.3">
      <c r="A6206" t="s">
        <v>44</v>
      </c>
      <c r="B6206" t="s">
        <v>44</v>
      </c>
      <c r="C6206" t="s">
        <v>44</v>
      </c>
      <c r="D6206" t="s">
        <v>3827</v>
      </c>
      <c r="F6206" s="21"/>
      <c r="G6206" s="16"/>
    </row>
    <row r="6207" spans="1:7" ht="15" x14ac:dyDescent="0.3">
      <c r="A6207">
        <v>7.2021198272705096</v>
      </c>
      <c r="B6207">
        <v>126.53334808349599</v>
      </c>
      <c r="C6207" t="s">
        <v>41</v>
      </c>
      <c r="D6207" t="s">
        <v>749</v>
      </c>
      <c r="F6207" s="21"/>
      <c r="G6207" s="16" t="str">
        <f>HYPERLINK("http://maps.google.com/maps?f=q&amp;hl=en&amp;geocode=&amp;q=7.20211982727051,126.533348083496")</f>
        <v>http://maps.google.com/maps?f=q&amp;hl=en&amp;geocode=&amp;q=7.20211982727051,126.533348083496</v>
      </c>
    </row>
    <row r="6208" spans="1:7" ht="15" x14ac:dyDescent="0.3">
      <c r="A6208">
        <v>55.444332122802699</v>
      </c>
      <c r="B6208">
        <v>11.8504753112793</v>
      </c>
      <c r="C6208" t="s">
        <v>41</v>
      </c>
      <c r="D6208" t="s">
        <v>3828</v>
      </c>
      <c r="F6208" s="21"/>
      <c r="G6208" s="16" t="str">
        <f>HYPERLINK("http://maps.google.com/maps?f=q&amp;hl=en&amp;geocode=&amp;q=55.4443321228027,11.8504753112793")</f>
        <v>http://maps.google.com/maps?f=q&amp;hl=en&amp;geocode=&amp;q=55.4443321228027,11.8504753112793</v>
      </c>
    </row>
    <row r="6209" spans="1:7" ht="15" x14ac:dyDescent="0.3">
      <c r="A6209">
        <v>32.854499512611099</v>
      </c>
      <c r="B6209">
        <v>-98.072913460696498</v>
      </c>
      <c r="C6209" t="s">
        <v>41</v>
      </c>
      <c r="D6209" t="s">
        <v>3829</v>
      </c>
      <c r="F6209" s="21"/>
      <c r="G6209" s="16" t="str">
        <f>HYPERLINK("http://maps.google.com/maps?f=q&amp;hl=en&amp;geocode=&amp;q=32.8544995126111,-98.0729134606965")</f>
        <v>http://maps.google.com/maps?f=q&amp;hl=en&amp;geocode=&amp;q=32.8544995126111,-98.0729134606965</v>
      </c>
    </row>
    <row r="6210" spans="1:7" ht="15" x14ac:dyDescent="0.3">
      <c r="A6210">
        <v>51.916999816894503</v>
      </c>
      <c r="B6210">
        <v>-1.00065004825592</v>
      </c>
      <c r="C6210" t="s">
        <v>41</v>
      </c>
      <c r="D6210" t="s">
        <v>3830</v>
      </c>
      <c r="F6210" s="21"/>
      <c r="G6210" s="16" t="str">
        <f>HYPERLINK("http://maps.google.com/maps?f=q&amp;hl=en&amp;geocode=&amp;q=51.9169998168945,-1.00065004825592")</f>
        <v>http://maps.google.com/maps?f=q&amp;hl=en&amp;geocode=&amp;q=51.9169998168945,-1.00065004825592</v>
      </c>
    </row>
    <row r="6211" spans="1:7" ht="15" x14ac:dyDescent="0.3">
      <c r="A6211">
        <v>34.031462410994997</v>
      </c>
      <c r="B6211">
        <v>-97.195602773281294</v>
      </c>
      <c r="C6211" t="s">
        <v>41</v>
      </c>
      <c r="D6211" t="s">
        <v>3831</v>
      </c>
      <c r="F6211" s="21"/>
      <c r="G6211" s="16" t="str">
        <f>HYPERLINK("http://maps.google.com/maps?f=q&amp;hl=en&amp;geocode=&amp;q=34.031462410995,-97.1956027732813")</f>
        <v>http://maps.google.com/maps?f=q&amp;hl=en&amp;geocode=&amp;q=34.031462410995,-97.1956027732813</v>
      </c>
    </row>
    <row r="6212" spans="1:7" ht="15" x14ac:dyDescent="0.3">
      <c r="A6212">
        <v>41.900583469925003</v>
      </c>
      <c r="B6212">
        <v>-93.534448865135005</v>
      </c>
      <c r="C6212" t="s">
        <v>41</v>
      </c>
      <c r="D6212" t="s">
        <v>3832</v>
      </c>
      <c r="F6212" s="21"/>
      <c r="G6212" s="16" t="str">
        <f>HYPERLINK("http://maps.google.com/maps?f=q&amp;hl=en&amp;geocode=&amp;q=41.900583469925,-93.534448865135")</f>
        <v>http://maps.google.com/maps?f=q&amp;hl=en&amp;geocode=&amp;q=41.900583469925,-93.534448865135</v>
      </c>
    </row>
    <row r="6213" spans="1:7" ht="15" x14ac:dyDescent="0.3">
      <c r="A6213">
        <v>-38.054340000000003</v>
      </c>
      <c r="B6213">
        <v>145.33036989999999</v>
      </c>
      <c r="C6213" t="s">
        <v>41</v>
      </c>
      <c r="D6213" t="s">
        <v>3210</v>
      </c>
      <c r="F6213" s="21"/>
      <c r="G6213" s="16" t="str">
        <f>HYPERLINK("http://maps.google.com/maps?f=q&amp;hl=en&amp;geocode=&amp;q=-38.05434,145.3303699")</f>
        <v>http://maps.google.com/maps?f=q&amp;hl=en&amp;geocode=&amp;q=-38.05434,145.3303699</v>
      </c>
    </row>
    <row r="6214" spans="1:7" ht="15" x14ac:dyDescent="0.3">
      <c r="A6214">
        <v>39.043259999999997</v>
      </c>
      <c r="B6214">
        <v>-94.585369999999998</v>
      </c>
      <c r="C6214" t="s">
        <v>43</v>
      </c>
      <c r="D6214" t="s">
        <v>3833</v>
      </c>
      <c r="F6214" s="21"/>
      <c r="G6214" s="16" t="str">
        <f>HYPERLINK("http://maps.google.com/maps?f=q&amp;hl=en&amp;geocode=&amp;q=39.04326,-94.58537")</f>
        <v>http://maps.google.com/maps?f=q&amp;hl=en&amp;geocode=&amp;q=39.04326,-94.58537</v>
      </c>
    </row>
    <row r="6215" spans="1:7" ht="15" x14ac:dyDescent="0.3">
      <c r="A6215">
        <v>39.926940000000002</v>
      </c>
      <c r="B6215">
        <v>-75.160489999999996</v>
      </c>
      <c r="C6215" t="s">
        <v>43</v>
      </c>
      <c r="D6215" t="s">
        <v>3834</v>
      </c>
      <c r="F6215" s="21"/>
      <c r="G6215" s="16" t="str">
        <f>HYPERLINK("http://maps.google.com/maps?f=q&amp;hl=en&amp;geocode=&amp;q=39.92694,-75.16049")</f>
        <v>http://maps.google.com/maps?f=q&amp;hl=en&amp;geocode=&amp;q=39.92694,-75.16049</v>
      </c>
    </row>
    <row r="6216" spans="1:7" ht="15" x14ac:dyDescent="0.3">
      <c r="A6216">
        <v>41.025749206542997</v>
      </c>
      <c r="B6216">
        <v>-73.629226684570298</v>
      </c>
      <c r="C6216" t="s">
        <v>43</v>
      </c>
      <c r="D6216" t="s">
        <v>3835</v>
      </c>
      <c r="F6216" s="21"/>
      <c r="G6216" s="16" t="str">
        <f>HYPERLINK("http://maps.google.com/maps?f=q&amp;hl=en&amp;geocode=&amp;q=41.025749206543,-73.6292266845703")</f>
        <v>http://maps.google.com/maps?f=q&amp;hl=en&amp;geocode=&amp;q=41.025749206543,-73.6292266845703</v>
      </c>
    </row>
    <row r="6217" spans="1:7" ht="15" x14ac:dyDescent="0.3">
      <c r="A6217">
        <v>46.8790283203125</v>
      </c>
      <c r="B6217">
        <v>-102.79058837890599</v>
      </c>
      <c r="C6217" t="s">
        <v>43</v>
      </c>
      <c r="D6217" t="s">
        <v>3836</v>
      </c>
      <c r="F6217" s="21"/>
      <c r="G6217" s="16" t="str">
        <f>HYPERLINK("http://maps.google.com/maps?f=q&amp;hl=en&amp;geocode=&amp;q=46.8790283203125,-102.790588378906")</f>
        <v>http://maps.google.com/maps?f=q&amp;hl=en&amp;geocode=&amp;q=46.8790283203125,-102.790588378906</v>
      </c>
    </row>
    <row r="6218" spans="1:7" ht="15" x14ac:dyDescent="0.3">
      <c r="A6218">
        <v>46.8790283203125</v>
      </c>
      <c r="B6218">
        <v>-102.79058837890599</v>
      </c>
      <c r="C6218" t="s">
        <v>43</v>
      </c>
      <c r="D6218" t="s">
        <v>3836</v>
      </c>
      <c r="F6218" s="21"/>
      <c r="G6218" s="16" t="str">
        <f>HYPERLINK("http://maps.google.com/maps?f=q&amp;hl=en&amp;geocode=&amp;q=46.8790283203125,-102.790588378906")</f>
        <v>http://maps.google.com/maps?f=q&amp;hl=en&amp;geocode=&amp;q=46.8790283203125,-102.790588378906</v>
      </c>
    </row>
    <row r="6219" spans="1:7" ht="15" x14ac:dyDescent="0.3">
      <c r="A6219">
        <v>-26.034427642822301</v>
      </c>
      <c r="B6219">
        <v>28.5431098937988</v>
      </c>
      <c r="C6219" t="s">
        <v>43</v>
      </c>
      <c r="D6219" t="s">
        <v>115</v>
      </c>
      <c r="F6219" s="21"/>
      <c r="G6219" s="16" t="str">
        <f>HYPERLINK("http://maps.google.com/maps?f=q&amp;hl=en&amp;geocode=&amp;q=-26.0344276428223,28.5431098937988")</f>
        <v>http://maps.google.com/maps?f=q&amp;hl=en&amp;geocode=&amp;q=-26.0344276428223,28.5431098937988</v>
      </c>
    </row>
    <row r="6220" spans="1:7" ht="15" x14ac:dyDescent="0.3">
      <c r="A6220" t="s">
        <v>44</v>
      </c>
      <c r="B6220" t="s">
        <v>44</v>
      </c>
      <c r="C6220" t="s">
        <v>44</v>
      </c>
      <c r="D6220" t="s">
        <v>3837</v>
      </c>
      <c r="F6220" s="21"/>
      <c r="G6220" s="16"/>
    </row>
    <row r="6221" spans="1:7" ht="15" x14ac:dyDescent="0.3">
      <c r="A6221">
        <v>30.5177097320557</v>
      </c>
      <c r="B6221">
        <v>74.654113769531307</v>
      </c>
      <c r="C6221" t="s">
        <v>43</v>
      </c>
      <c r="D6221" t="s">
        <v>3838</v>
      </c>
      <c r="F6221" s="21"/>
      <c r="G6221" s="16" t="str">
        <f>HYPERLINK("http://maps.google.com/maps?f=q&amp;hl=en&amp;geocode=&amp;q=30.5177097320557,74.6541137695313")</f>
        <v>http://maps.google.com/maps?f=q&amp;hl=en&amp;geocode=&amp;q=30.5177097320557,74.6541137695313</v>
      </c>
    </row>
    <row r="6222" spans="1:7" ht="15" x14ac:dyDescent="0.3">
      <c r="A6222">
        <v>37.2208061218262</v>
      </c>
      <c r="B6222">
        <v>-8.4330301284790004</v>
      </c>
      <c r="C6222" t="s">
        <v>43</v>
      </c>
      <c r="D6222" t="s">
        <v>3839</v>
      </c>
      <c r="F6222" s="21"/>
      <c r="G6222" s="16" t="str">
        <f>HYPERLINK("http://maps.google.com/maps?f=q&amp;hl=en&amp;geocode=&amp;q=37.2208061218262,-8.433030128479")</f>
        <v>http://maps.google.com/maps?f=q&amp;hl=en&amp;geocode=&amp;q=37.2208061218262,-8.433030128479</v>
      </c>
    </row>
    <row r="6223" spans="1:7" ht="15" x14ac:dyDescent="0.3">
      <c r="A6223">
        <v>42.906578651146603</v>
      </c>
      <c r="B6223">
        <v>-83.769891727956704</v>
      </c>
      <c r="C6223" t="s">
        <v>41</v>
      </c>
      <c r="D6223" t="s">
        <v>3840</v>
      </c>
      <c r="F6223" s="21"/>
      <c r="G6223" s="16" t="str">
        <f>HYPERLINK("http://maps.google.com/maps?f=q&amp;hl=en&amp;geocode=&amp;q=42.9065786511466,-83.7698917279567")</f>
        <v>http://maps.google.com/maps?f=q&amp;hl=en&amp;geocode=&amp;q=42.9065786511466,-83.7698917279567</v>
      </c>
    </row>
    <row r="6224" spans="1:7" ht="15" x14ac:dyDescent="0.3">
      <c r="A6224">
        <v>40.024738311767599</v>
      </c>
      <c r="B6224">
        <v>-75.213882446289105</v>
      </c>
      <c r="C6224" t="s">
        <v>43</v>
      </c>
      <c r="D6224" t="s">
        <v>122</v>
      </c>
      <c r="F6224" s="21"/>
      <c r="G6224" s="16" t="str">
        <f>HYPERLINK("http://maps.google.com/maps?f=q&amp;hl=en&amp;geocode=&amp;q=40.0247383117676,-75.2138824462891")</f>
        <v>http://maps.google.com/maps?f=q&amp;hl=en&amp;geocode=&amp;q=40.0247383117676,-75.2138824462891</v>
      </c>
    </row>
    <row r="6225" spans="1:7" ht="15" x14ac:dyDescent="0.3">
      <c r="A6225">
        <v>39.983910000000002</v>
      </c>
      <c r="B6225">
        <v>-75.119889999999998</v>
      </c>
      <c r="C6225" t="s">
        <v>41</v>
      </c>
      <c r="D6225" t="s">
        <v>3841</v>
      </c>
      <c r="F6225" s="21"/>
      <c r="G6225" s="16" t="str">
        <f>HYPERLINK("http://maps.google.com/maps?f=q&amp;hl=en&amp;geocode=&amp;q=39.98391,-75.11989")</f>
        <v>http://maps.google.com/maps?f=q&amp;hl=en&amp;geocode=&amp;q=39.98391,-75.11989</v>
      </c>
    </row>
    <row r="6226" spans="1:7" ht="15" x14ac:dyDescent="0.3">
      <c r="A6226">
        <v>43.106250000000003</v>
      </c>
      <c r="B6226">
        <v>-89.227410000000006</v>
      </c>
      <c r="C6226" t="s">
        <v>43</v>
      </c>
      <c r="D6226" t="s">
        <v>3842</v>
      </c>
      <c r="F6226" s="21"/>
      <c r="G6226" s="16" t="str">
        <f>HYPERLINK("http://maps.google.com/maps?f=q&amp;hl=en&amp;geocode=&amp;q=43.10625,-89.22741")</f>
        <v>http://maps.google.com/maps?f=q&amp;hl=en&amp;geocode=&amp;q=43.10625,-89.22741</v>
      </c>
    </row>
    <row r="6227" spans="1:7" ht="15" x14ac:dyDescent="0.3">
      <c r="A6227">
        <v>41.903089999999999</v>
      </c>
      <c r="B6227">
        <v>-111.40125999999999</v>
      </c>
      <c r="C6227" t="s">
        <v>42</v>
      </c>
      <c r="D6227" t="s">
        <v>3843</v>
      </c>
      <c r="F6227" s="21"/>
      <c r="G6227" s="16" t="str">
        <f>HYPERLINK("http://maps.google.com/maps?f=q&amp;hl=en&amp;geocode=&amp;q=41.90309,-111.40126")</f>
        <v>http://maps.google.com/maps?f=q&amp;hl=en&amp;geocode=&amp;q=41.90309,-111.40126</v>
      </c>
    </row>
    <row r="6228" spans="1:7" ht="15" x14ac:dyDescent="0.3">
      <c r="A6228">
        <v>33.101131439208999</v>
      </c>
      <c r="B6228">
        <v>-96.674491882324205</v>
      </c>
      <c r="C6228" t="s">
        <v>43</v>
      </c>
      <c r="D6228" t="s">
        <v>3844</v>
      </c>
      <c r="F6228" s="21"/>
      <c r="G6228" s="16" t="str">
        <f>HYPERLINK("http://maps.google.com/maps?f=q&amp;hl=en&amp;geocode=&amp;q=33.101131439209,-96.6744918823242")</f>
        <v>http://maps.google.com/maps?f=q&amp;hl=en&amp;geocode=&amp;q=33.101131439209,-96.6744918823242</v>
      </c>
    </row>
    <row r="6229" spans="1:7" ht="15" x14ac:dyDescent="0.3">
      <c r="A6229">
        <v>40.042020000000001</v>
      </c>
      <c r="B6229">
        <v>-75.080160000000006</v>
      </c>
      <c r="C6229" t="s">
        <v>41</v>
      </c>
      <c r="D6229" t="s">
        <v>1506</v>
      </c>
      <c r="F6229" s="21"/>
      <c r="G6229" s="16" t="str">
        <f>HYPERLINK("http://maps.google.com/maps?f=q&amp;hl=en&amp;geocode=&amp;q=40.04202,-75.08016")</f>
        <v>http://maps.google.com/maps?f=q&amp;hl=en&amp;geocode=&amp;q=40.04202,-75.08016</v>
      </c>
    </row>
    <row r="6230" spans="1:7" ht="15" x14ac:dyDescent="0.3">
      <c r="A6230">
        <v>39.998989999999999</v>
      </c>
      <c r="B6230">
        <v>-75.169060000000002</v>
      </c>
      <c r="C6230" t="s">
        <v>42</v>
      </c>
      <c r="D6230" t="s">
        <v>3845</v>
      </c>
      <c r="F6230" s="21"/>
      <c r="G6230" s="16" t="str">
        <f>HYPERLINK("http://maps.google.com/maps?f=q&amp;hl=en&amp;geocode=&amp;q=39.99899,-75.16906")</f>
        <v>http://maps.google.com/maps?f=q&amp;hl=en&amp;geocode=&amp;q=39.99899,-75.16906</v>
      </c>
    </row>
    <row r="6231" spans="1:7" ht="15" x14ac:dyDescent="0.3">
      <c r="A6231">
        <v>46.845970153808601</v>
      </c>
      <c r="B6231">
        <v>14.8502502441406</v>
      </c>
      <c r="C6231" t="s">
        <v>41</v>
      </c>
      <c r="D6231" t="s">
        <v>3846</v>
      </c>
      <c r="F6231" s="21"/>
      <c r="G6231" s="16" t="str">
        <f>HYPERLINK("http://maps.google.com/maps?f=q&amp;hl=en&amp;geocode=&amp;q=46.8459701538086,14.8502502441406")</f>
        <v>http://maps.google.com/maps?f=q&amp;hl=en&amp;geocode=&amp;q=46.8459701538086,14.8502502441406</v>
      </c>
    </row>
    <row r="6232" spans="1:7" ht="15" x14ac:dyDescent="0.3">
      <c r="A6232">
        <v>46.782958984375</v>
      </c>
      <c r="B6232">
        <v>7.0637497901916504</v>
      </c>
      <c r="C6232" t="s">
        <v>41</v>
      </c>
      <c r="D6232" t="s">
        <v>3847</v>
      </c>
      <c r="F6232" s="21"/>
      <c r="G6232" s="16" t="str">
        <f>HYPERLINK("http://maps.google.com/maps?f=q&amp;hl=en&amp;geocode=&amp;q=46.782958984375,7.06374979019165")</f>
        <v>http://maps.google.com/maps?f=q&amp;hl=en&amp;geocode=&amp;q=46.782958984375,7.06374979019165</v>
      </c>
    </row>
    <row r="6233" spans="1:7" ht="15" x14ac:dyDescent="0.3">
      <c r="A6233">
        <v>46.782958984375</v>
      </c>
      <c r="B6233">
        <v>7.0637497901916504</v>
      </c>
      <c r="C6233" t="s">
        <v>41</v>
      </c>
      <c r="D6233" t="s">
        <v>3847</v>
      </c>
      <c r="F6233" s="21"/>
      <c r="G6233" s="16" t="str">
        <f>HYPERLINK("http://maps.google.com/maps?f=q&amp;hl=en&amp;geocode=&amp;q=46.782958984375,7.06374979019165")</f>
        <v>http://maps.google.com/maps?f=q&amp;hl=en&amp;geocode=&amp;q=46.782958984375,7.06374979019165</v>
      </c>
    </row>
    <row r="6234" spans="1:7" ht="15" x14ac:dyDescent="0.3">
      <c r="A6234">
        <v>39.918750000000003</v>
      </c>
      <c r="B6234">
        <v>-75.175880000000006</v>
      </c>
      <c r="C6234" t="s">
        <v>43</v>
      </c>
      <c r="D6234" t="s">
        <v>3476</v>
      </c>
      <c r="F6234" s="21"/>
      <c r="G6234" s="16" t="str">
        <f>HYPERLINK("http://maps.google.com/maps?f=q&amp;hl=en&amp;geocode=&amp;q=39.91875,-75.17588")</f>
        <v>http://maps.google.com/maps?f=q&amp;hl=en&amp;geocode=&amp;q=39.91875,-75.17588</v>
      </c>
    </row>
    <row r="6235" spans="1:7" ht="15" x14ac:dyDescent="0.3">
      <c r="A6235">
        <v>44.960949999999997</v>
      </c>
      <c r="B6235">
        <v>-93.014449999999997</v>
      </c>
      <c r="C6235" t="s">
        <v>41</v>
      </c>
      <c r="D6235" t="s">
        <v>3848</v>
      </c>
      <c r="F6235" s="21"/>
      <c r="G6235" s="16" t="str">
        <f>HYPERLINK("http://maps.google.com/maps?f=q&amp;hl=en&amp;geocode=&amp;q=44.96095,-93.01445")</f>
        <v>http://maps.google.com/maps?f=q&amp;hl=en&amp;geocode=&amp;q=44.96095,-93.01445</v>
      </c>
    </row>
    <row r="6236" spans="1:7" ht="15" x14ac:dyDescent="0.3">
      <c r="A6236">
        <v>41.1077880859375</v>
      </c>
      <c r="B6236">
        <v>-74.133483886718807</v>
      </c>
      <c r="C6236" t="s">
        <v>41</v>
      </c>
      <c r="D6236" t="s">
        <v>570</v>
      </c>
      <c r="F6236" s="21"/>
      <c r="G6236" s="16" t="str">
        <f>HYPERLINK("http://maps.google.com/maps?f=q&amp;hl=en&amp;geocode=&amp;q=41.1077880859375,-74.1334838867188")</f>
        <v>http://maps.google.com/maps?f=q&amp;hl=en&amp;geocode=&amp;q=41.1077880859375,-74.1334838867188</v>
      </c>
    </row>
    <row r="6237" spans="1:7" ht="15" x14ac:dyDescent="0.3">
      <c r="A6237">
        <v>39.729439999999997</v>
      </c>
      <c r="B6237">
        <v>-105.093785</v>
      </c>
      <c r="C6237" t="s">
        <v>42</v>
      </c>
      <c r="D6237" t="s">
        <v>3849</v>
      </c>
      <c r="F6237" s="21"/>
      <c r="G6237" s="16" t="str">
        <f>HYPERLINK("http://maps.google.com/maps?f=q&amp;hl=en&amp;geocode=&amp;q=39.72944,-105.093785")</f>
        <v>http://maps.google.com/maps?f=q&amp;hl=en&amp;geocode=&amp;q=39.72944,-105.093785</v>
      </c>
    </row>
    <row r="6238" spans="1:7" ht="15" x14ac:dyDescent="0.3">
      <c r="A6238">
        <v>40.197752000000001</v>
      </c>
      <c r="B6238">
        <v>-74.230718999999993</v>
      </c>
      <c r="C6238" t="s">
        <v>41</v>
      </c>
      <c r="D6238" t="s">
        <v>3850</v>
      </c>
      <c r="F6238" s="21"/>
      <c r="G6238" s="16" t="str">
        <f>HYPERLINK("http://maps.google.com/maps?f=q&amp;hl=en&amp;geocode=&amp;q=40.197752,-74.230719")</f>
        <v>http://maps.google.com/maps?f=q&amp;hl=en&amp;geocode=&amp;q=40.197752,-74.230719</v>
      </c>
    </row>
    <row r="6239" spans="1:7" ht="15" x14ac:dyDescent="0.3">
      <c r="A6239">
        <v>40.125999999999998</v>
      </c>
      <c r="B6239">
        <v>-75.020660000000007</v>
      </c>
      <c r="C6239" t="s">
        <v>41</v>
      </c>
      <c r="D6239" t="s">
        <v>3851</v>
      </c>
      <c r="F6239" s="21"/>
      <c r="G6239" s="16" t="str">
        <f>HYPERLINK("http://maps.google.com/maps?f=q&amp;hl=en&amp;geocode=&amp;q=40.126,-75.02066")</f>
        <v>http://maps.google.com/maps?f=q&amp;hl=en&amp;geocode=&amp;q=40.126,-75.02066</v>
      </c>
    </row>
    <row r="6240" spans="1:7" ht="15" x14ac:dyDescent="0.3">
      <c r="A6240" t="s">
        <v>44</v>
      </c>
      <c r="B6240" t="s">
        <v>44</v>
      </c>
      <c r="C6240" t="s">
        <v>44</v>
      </c>
      <c r="D6240" t="s">
        <v>546</v>
      </c>
      <c r="F6240" s="21"/>
      <c r="G6240" s="16"/>
    </row>
    <row r="6241" spans="1:7" ht="15" x14ac:dyDescent="0.3">
      <c r="A6241" t="s">
        <v>44</v>
      </c>
      <c r="B6241" t="s">
        <v>44</v>
      </c>
      <c r="C6241" t="s">
        <v>44</v>
      </c>
      <c r="D6241" t="s">
        <v>546</v>
      </c>
      <c r="F6241" s="21"/>
      <c r="G6241" s="16"/>
    </row>
    <row r="6242" spans="1:7" ht="15" x14ac:dyDescent="0.3">
      <c r="A6242">
        <v>42.678329467773402</v>
      </c>
      <c r="B6242">
        <v>23.2516899108887</v>
      </c>
      <c r="C6242" t="s">
        <v>43</v>
      </c>
      <c r="D6242" t="s">
        <v>3852</v>
      </c>
      <c r="F6242" s="21"/>
      <c r="G6242" s="16" t="str">
        <f>HYPERLINK("http://maps.google.com/maps?f=q&amp;hl=en&amp;geocode=&amp;q=42.6783294677734,23.2516899108887")</f>
        <v>http://maps.google.com/maps?f=q&amp;hl=en&amp;geocode=&amp;q=42.6783294677734,23.2516899108887</v>
      </c>
    </row>
    <row r="6243" spans="1:7" ht="15" x14ac:dyDescent="0.3">
      <c r="A6243">
        <v>46.408790588378899</v>
      </c>
      <c r="B6243">
        <v>12.017880439758301</v>
      </c>
      <c r="C6243" t="s">
        <v>41</v>
      </c>
      <c r="D6243" t="s">
        <v>3853</v>
      </c>
      <c r="F6243" s="21"/>
      <c r="G6243" s="16" t="str">
        <f>HYPERLINK("http://maps.google.com/maps?f=q&amp;hl=en&amp;geocode=&amp;q=46.4087905883789,12.0178804397583")</f>
        <v>http://maps.google.com/maps?f=q&amp;hl=en&amp;geocode=&amp;q=46.4087905883789,12.0178804397583</v>
      </c>
    </row>
    <row r="6244" spans="1:7" ht="15" x14ac:dyDescent="0.3">
      <c r="A6244">
        <v>39.924098249446899</v>
      </c>
      <c r="B6244">
        <v>-75.236173156249393</v>
      </c>
      <c r="C6244" t="s">
        <v>43</v>
      </c>
      <c r="D6244" t="s">
        <v>125</v>
      </c>
      <c r="F6244" s="21"/>
      <c r="G6244" s="16" t="str">
        <f>HYPERLINK("http://maps.google.com/maps?f=q&amp;hl=en&amp;geocode=&amp;q=39.9240982494469,-75.2361731562494")</f>
        <v>http://maps.google.com/maps?f=q&amp;hl=en&amp;geocode=&amp;q=39.9240982494469,-75.2361731562494</v>
      </c>
    </row>
    <row r="6245" spans="1:7" ht="15" x14ac:dyDescent="0.3">
      <c r="A6245">
        <v>34.995820000000002</v>
      </c>
      <c r="B6245">
        <v>-81.136610000000005</v>
      </c>
      <c r="C6245" t="s">
        <v>42</v>
      </c>
      <c r="D6245" t="s">
        <v>3198</v>
      </c>
      <c r="F6245" s="21"/>
      <c r="G6245" s="16" t="str">
        <f>HYPERLINK("http://maps.google.com/maps?f=q&amp;hl=en&amp;geocode=&amp;q=34.99582,-81.13661")</f>
        <v>http://maps.google.com/maps?f=q&amp;hl=en&amp;geocode=&amp;q=34.99582,-81.13661</v>
      </c>
    </row>
    <row r="6246" spans="1:7" ht="15" x14ac:dyDescent="0.3">
      <c r="A6246">
        <v>37.765643670295198</v>
      </c>
      <c r="B6246">
        <v>-113.711334017117</v>
      </c>
      <c r="C6246" t="s">
        <v>43</v>
      </c>
      <c r="D6246" t="s">
        <v>3154</v>
      </c>
      <c r="F6246" s="21"/>
      <c r="G6246" s="16" t="str">
        <f>HYPERLINK("http://maps.google.com/maps?f=q&amp;hl=en&amp;geocode=&amp;q=37.7656436702952,-113.711334017117")</f>
        <v>http://maps.google.com/maps?f=q&amp;hl=en&amp;geocode=&amp;q=37.7656436702952,-113.711334017117</v>
      </c>
    </row>
    <row r="6247" spans="1:7" ht="15" x14ac:dyDescent="0.3">
      <c r="F6247" s="21"/>
      <c r="G6247" s="16"/>
    </row>
    <row r="6248" spans="1:7" ht="15" x14ac:dyDescent="0.3">
      <c r="A6248">
        <v>39.995420000000003</v>
      </c>
      <c r="B6248">
        <v>-75.167749999999998</v>
      </c>
      <c r="C6248" t="s">
        <v>41</v>
      </c>
      <c r="D6248" t="s">
        <v>2442</v>
      </c>
      <c r="F6248" s="21"/>
      <c r="G6248" s="16" t="str">
        <f>HYPERLINK("http://maps.google.com/maps?f=q&amp;hl=en&amp;geocode=&amp;q=39.99542,-75.16775")</f>
        <v>http://maps.google.com/maps?f=q&amp;hl=en&amp;geocode=&amp;q=39.99542,-75.16775</v>
      </c>
    </row>
    <row r="6249" spans="1:7" ht="15" x14ac:dyDescent="0.3">
      <c r="A6249">
        <v>39.913220000000003</v>
      </c>
      <c r="B6249">
        <v>-75.173820000000006</v>
      </c>
      <c r="C6249" t="s">
        <v>43</v>
      </c>
      <c r="D6249" t="s">
        <v>3854</v>
      </c>
      <c r="F6249" s="21"/>
      <c r="G6249" s="16" t="str">
        <f>HYPERLINK("http://maps.google.com/maps?f=q&amp;hl=en&amp;geocode=&amp;q=39.91322,-75.17382")</f>
        <v>http://maps.google.com/maps?f=q&amp;hl=en&amp;geocode=&amp;q=39.91322,-75.17382</v>
      </c>
    </row>
    <row r="6250" spans="1:7" ht="15" x14ac:dyDescent="0.3">
      <c r="A6250">
        <v>47.202430725097699</v>
      </c>
      <c r="B6250">
        <v>19.835624694824201</v>
      </c>
      <c r="C6250" t="s">
        <v>43</v>
      </c>
      <c r="D6250" t="s">
        <v>3434</v>
      </c>
      <c r="F6250" s="21"/>
      <c r="G6250" s="16" t="str">
        <f>HYPERLINK("http://maps.google.com/maps?f=q&amp;hl=en&amp;geocode=&amp;q=47.2024307250977,19.8356246948242")</f>
        <v>http://maps.google.com/maps?f=q&amp;hl=en&amp;geocode=&amp;q=47.2024307250977,19.8356246948242</v>
      </c>
    </row>
    <row r="6251" spans="1:7" ht="15" x14ac:dyDescent="0.3">
      <c r="A6251">
        <v>49.518180847167997</v>
      </c>
      <c r="B6251">
        <v>5.8978409767150897</v>
      </c>
      <c r="C6251" t="s">
        <v>41</v>
      </c>
      <c r="D6251" t="s">
        <v>2510</v>
      </c>
      <c r="F6251" s="21"/>
      <c r="G6251" s="16" t="str">
        <f>HYPERLINK("http://maps.google.com/maps?f=q&amp;hl=en&amp;geocode=&amp;q=49.518180847168,5.89784097671509")</f>
        <v>http://maps.google.com/maps?f=q&amp;hl=en&amp;geocode=&amp;q=49.518180847168,5.89784097671509</v>
      </c>
    </row>
    <row r="6252" spans="1:7" ht="15" x14ac:dyDescent="0.3">
      <c r="A6252">
        <v>33.602829999999997</v>
      </c>
      <c r="B6252">
        <v>-90.901669999999996</v>
      </c>
      <c r="C6252" t="s">
        <v>42</v>
      </c>
      <c r="D6252" t="s">
        <v>3855</v>
      </c>
      <c r="F6252" s="21"/>
      <c r="G6252" s="16" t="str">
        <f>HYPERLINK("http://maps.google.com/maps?f=q&amp;hl=en&amp;geocode=&amp;q=33.60283,-90.90167")</f>
        <v>http://maps.google.com/maps?f=q&amp;hl=en&amp;geocode=&amp;q=33.60283,-90.90167</v>
      </c>
    </row>
    <row r="6253" spans="1:7" ht="15" x14ac:dyDescent="0.3">
      <c r="A6253">
        <v>47.202430725097699</v>
      </c>
      <c r="B6253">
        <v>19.835624694824201</v>
      </c>
      <c r="C6253" t="s">
        <v>43</v>
      </c>
      <c r="D6253" t="s">
        <v>3434</v>
      </c>
      <c r="F6253" s="21"/>
      <c r="G6253" s="16" t="str">
        <f>HYPERLINK("http://maps.google.com/maps?f=q&amp;hl=en&amp;geocode=&amp;q=47.2024307250977,19.8356246948242")</f>
        <v>http://maps.google.com/maps?f=q&amp;hl=en&amp;geocode=&amp;q=47.2024307250977,19.8356246948242</v>
      </c>
    </row>
    <row r="6254" spans="1:7" ht="15" x14ac:dyDescent="0.3">
      <c r="A6254">
        <v>49.518180847167997</v>
      </c>
      <c r="B6254">
        <v>5.8978409767150897</v>
      </c>
      <c r="C6254" t="s">
        <v>41</v>
      </c>
      <c r="D6254" t="s">
        <v>2510</v>
      </c>
      <c r="F6254" s="21"/>
      <c r="G6254" s="16" t="str">
        <f>HYPERLINK("http://maps.google.com/maps?f=q&amp;hl=en&amp;geocode=&amp;q=49.518180847168,5.89784097671509")</f>
        <v>http://maps.google.com/maps?f=q&amp;hl=en&amp;geocode=&amp;q=49.518180847168,5.89784097671509</v>
      </c>
    </row>
    <row r="6255" spans="1:7" ht="15" x14ac:dyDescent="0.3">
      <c r="A6255">
        <v>47.055850982666001</v>
      </c>
      <c r="B6255">
        <v>6.7508301734924299</v>
      </c>
      <c r="C6255" t="s">
        <v>43</v>
      </c>
      <c r="D6255" t="s">
        <v>2283</v>
      </c>
      <c r="F6255" s="21"/>
      <c r="G6255" s="16" t="str">
        <f>HYPERLINK("http://maps.google.com/maps?f=q&amp;hl=en&amp;geocode=&amp;q=47.055850982666,6.75083017349243")</f>
        <v>http://maps.google.com/maps?f=q&amp;hl=en&amp;geocode=&amp;q=47.055850982666,6.75083017349243</v>
      </c>
    </row>
    <row r="6256" spans="1:7" ht="15" x14ac:dyDescent="0.3">
      <c r="A6256">
        <v>-32.229873657226598</v>
      </c>
      <c r="B6256">
        <v>151.61503601074199</v>
      </c>
      <c r="C6256" t="s">
        <v>43</v>
      </c>
      <c r="D6256" t="s">
        <v>3856</v>
      </c>
      <c r="F6256" s="21"/>
      <c r="G6256" s="16" t="str">
        <f>HYPERLINK("http://maps.google.com/maps?f=q&amp;hl=en&amp;geocode=&amp;q=-32.2298736572266,151.615036010742")</f>
        <v>http://maps.google.com/maps?f=q&amp;hl=en&amp;geocode=&amp;q=-32.2298736572266,151.615036010742</v>
      </c>
    </row>
    <row r="6257" spans="1:7" ht="15" x14ac:dyDescent="0.3">
      <c r="A6257">
        <v>42.999576568603501</v>
      </c>
      <c r="B6257">
        <v>-107.551513671875</v>
      </c>
      <c r="C6257" t="s">
        <v>41</v>
      </c>
      <c r="D6257" t="s">
        <v>3857</v>
      </c>
      <c r="F6257" s="21"/>
      <c r="G6257" s="16" t="str">
        <f>HYPERLINK("http://maps.google.com/maps?f=q&amp;hl=en&amp;geocode=&amp;q=42.9995765686035,-107.551513671875")</f>
        <v>http://maps.google.com/maps?f=q&amp;hl=en&amp;geocode=&amp;q=42.9995765686035,-107.551513671875</v>
      </c>
    </row>
    <row r="6258" spans="1:7" ht="15" x14ac:dyDescent="0.3">
      <c r="A6258">
        <v>42.999576568603501</v>
      </c>
      <c r="B6258">
        <v>-107.551513671875</v>
      </c>
      <c r="C6258" t="s">
        <v>41</v>
      </c>
      <c r="D6258" t="s">
        <v>2245</v>
      </c>
      <c r="F6258" s="21"/>
      <c r="G6258" s="16" t="str">
        <f>HYPERLINK("http://maps.google.com/maps?f=q&amp;hl=en&amp;geocode=&amp;q=42.9995765686035,-107.551513671875")</f>
        <v>http://maps.google.com/maps?f=q&amp;hl=en&amp;geocode=&amp;q=42.9995765686035,-107.551513671875</v>
      </c>
    </row>
    <row r="6259" spans="1:7" ht="15" x14ac:dyDescent="0.3">
      <c r="A6259">
        <v>42.999576568603501</v>
      </c>
      <c r="B6259">
        <v>-107.551513671875</v>
      </c>
      <c r="C6259" t="s">
        <v>41</v>
      </c>
      <c r="D6259" t="s">
        <v>2245</v>
      </c>
      <c r="F6259" s="21"/>
      <c r="G6259" s="16" t="str">
        <f>HYPERLINK("http://maps.google.com/maps?f=q&amp;hl=en&amp;geocode=&amp;q=42.9995765686035,-107.551513671875")</f>
        <v>http://maps.google.com/maps?f=q&amp;hl=en&amp;geocode=&amp;q=42.9995765686035,-107.551513671875</v>
      </c>
    </row>
    <row r="6260" spans="1:7" ht="15" x14ac:dyDescent="0.3">
      <c r="A6260">
        <v>42.999576568603501</v>
      </c>
      <c r="B6260">
        <v>-107.551513671875</v>
      </c>
      <c r="C6260" t="s">
        <v>41</v>
      </c>
      <c r="D6260" t="s">
        <v>2245</v>
      </c>
      <c r="F6260" s="21"/>
      <c r="G6260" s="16" t="str">
        <f>HYPERLINK("http://maps.google.com/maps?f=q&amp;hl=en&amp;geocode=&amp;q=42.9995765686035,-107.551513671875")</f>
        <v>http://maps.google.com/maps?f=q&amp;hl=en&amp;geocode=&amp;q=42.9995765686035,-107.551513671875</v>
      </c>
    </row>
    <row r="6261" spans="1:7" ht="15" x14ac:dyDescent="0.3">
      <c r="A6261">
        <v>42.999576568603501</v>
      </c>
      <c r="B6261">
        <v>-107.551513671875</v>
      </c>
      <c r="C6261" t="s">
        <v>41</v>
      </c>
      <c r="D6261" t="s">
        <v>3858</v>
      </c>
      <c r="F6261" s="21"/>
      <c r="G6261" s="16" t="str">
        <f>HYPERLINK("http://maps.google.com/maps?f=q&amp;hl=en&amp;geocode=&amp;q=42.9995765686035,-107.551513671875")</f>
        <v>http://maps.google.com/maps?f=q&amp;hl=en&amp;geocode=&amp;q=42.9995765686035,-107.551513671875</v>
      </c>
    </row>
    <row r="6262" spans="1:7" ht="15" x14ac:dyDescent="0.3">
      <c r="A6262">
        <v>39.983640000000001</v>
      </c>
      <c r="B6262">
        <v>-75.116039999999998</v>
      </c>
      <c r="C6262" t="s">
        <v>41</v>
      </c>
      <c r="D6262" t="s">
        <v>3859</v>
      </c>
      <c r="F6262" s="21"/>
      <c r="G6262" s="16" t="str">
        <f>HYPERLINK("http://maps.google.com/maps?f=q&amp;hl=en&amp;geocode=&amp;q=39.98364,-75.11604")</f>
        <v>http://maps.google.com/maps?f=q&amp;hl=en&amp;geocode=&amp;q=39.98364,-75.11604</v>
      </c>
    </row>
    <row r="6263" spans="1:7" ht="15" x14ac:dyDescent="0.3">
      <c r="A6263" t="s">
        <v>44</v>
      </c>
      <c r="B6263" t="s">
        <v>44</v>
      </c>
      <c r="C6263" t="s">
        <v>44</v>
      </c>
      <c r="D6263" t="s">
        <v>3818</v>
      </c>
      <c r="F6263" s="21"/>
      <c r="G6263" s="16"/>
    </row>
    <row r="6264" spans="1:7" ht="15" x14ac:dyDescent="0.3">
      <c r="A6264">
        <v>-33.977260589599602</v>
      </c>
      <c r="B6264">
        <v>151.07344055175801</v>
      </c>
      <c r="C6264" t="s">
        <v>41</v>
      </c>
      <c r="D6264" t="s">
        <v>3860</v>
      </c>
      <c r="F6264" s="21"/>
      <c r="G6264" s="16" t="str">
        <f>HYPERLINK("http://maps.google.com/maps?f=q&amp;hl=en&amp;geocode=&amp;q=-33.9772605895996,151.073440551758")</f>
        <v>http://maps.google.com/maps?f=q&amp;hl=en&amp;geocode=&amp;q=-33.9772605895996,151.073440551758</v>
      </c>
    </row>
    <row r="6265" spans="1:7" ht="15" x14ac:dyDescent="0.3">
      <c r="A6265">
        <v>44.9048034553443</v>
      </c>
      <c r="B6265">
        <v>-93.283365409512299</v>
      </c>
      <c r="C6265" t="s">
        <v>41</v>
      </c>
      <c r="D6265" t="s">
        <v>3861</v>
      </c>
      <c r="F6265" s="21"/>
      <c r="G6265" s="16" t="str">
        <f>HYPERLINK("http://maps.google.com/maps?f=q&amp;hl=en&amp;geocode=&amp;q=44.9048034553443,-93.2833654095123")</f>
        <v>http://maps.google.com/maps?f=q&amp;hl=en&amp;geocode=&amp;q=44.9048034553443,-93.2833654095123</v>
      </c>
    </row>
    <row r="6266" spans="1:7" ht="15" x14ac:dyDescent="0.3">
      <c r="A6266">
        <v>41.868224689983599</v>
      </c>
      <c r="B6266">
        <v>-91.5759619075275</v>
      </c>
      <c r="C6266" t="s">
        <v>41</v>
      </c>
      <c r="D6266" t="s">
        <v>3862</v>
      </c>
      <c r="F6266" s="21"/>
      <c r="G6266" s="16" t="str">
        <f>HYPERLINK("http://maps.google.com/maps?f=q&amp;hl=en&amp;geocode=&amp;q=41.8682246899836,-91.5759619075275")</f>
        <v>http://maps.google.com/maps?f=q&amp;hl=en&amp;geocode=&amp;q=41.8682246899836,-91.5759619075275</v>
      </c>
    </row>
    <row r="6267" spans="1:7" ht="15" x14ac:dyDescent="0.3">
      <c r="A6267">
        <v>39.993569999999998</v>
      </c>
      <c r="B6267">
        <v>-75.169799999999995</v>
      </c>
      <c r="C6267" t="s">
        <v>43</v>
      </c>
      <c r="D6267" t="s">
        <v>2407</v>
      </c>
      <c r="F6267" s="21"/>
      <c r="G6267" s="16" t="str">
        <f>HYPERLINK("http://maps.google.com/maps?f=q&amp;hl=en&amp;geocode=&amp;q=39.99357,-75.1698")</f>
        <v>http://maps.google.com/maps?f=q&amp;hl=en&amp;geocode=&amp;q=39.99357,-75.1698</v>
      </c>
    </row>
    <row r="6268" spans="1:7" ht="15" x14ac:dyDescent="0.3">
      <c r="A6268">
        <v>25.774660000000001</v>
      </c>
      <c r="B6268">
        <v>-80.132400000000004</v>
      </c>
      <c r="C6268" t="s">
        <v>42</v>
      </c>
      <c r="D6268" t="s">
        <v>3863</v>
      </c>
      <c r="F6268" s="21"/>
      <c r="G6268" s="16" t="str">
        <f>HYPERLINK("http://maps.google.com/maps?f=q&amp;hl=en&amp;geocode=&amp;q=25.77466,-80.1324")</f>
        <v>http://maps.google.com/maps?f=q&amp;hl=en&amp;geocode=&amp;q=25.77466,-80.1324</v>
      </c>
    </row>
    <row r="6269" spans="1:7" ht="15" x14ac:dyDescent="0.3">
      <c r="A6269">
        <v>40.784779999999998</v>
      </c>
      <c r="B6269">
        <v>-96.639510000000001</v>
      </c>
      <c r="C6269" t="s">
        <v>42</v>
      </c>
      <c r="D6269" t="s">
        <v>3864</v>
      </c>
      <c r="F6269" s="21"/>
      <c r="G6269" s="16" t="str">
        <f>HYPERLINK("http://maps.google.com/maps?f=q&amp;hl=en&amp;geocode=&amp;q=40.78478,-96.63951")</f>
        <v>http://maps.google.com/maps?f=q&amp;hl=en&amp;geocode=&amp;q=40.78478,-96.63951</v>
      </c>
    </row>
    <row r="6270" spans="1:7" ht="15" x14ac:dyDescent="0.3">
      <c r="A6270">
        <v>55.25911</v>
      </c>
      <c r="B6270">
        <v>11.59831</v>
      </c>
      <c r="C6270" t="s">
        <v>41</v>
      </c>
      <c r="D6270" t="s">
        <v>484</v>
      </c>
      <c r="F6270" s="21"/>
      <c r="G6270" s="16" t="str">
        <f>HYPERLINK("http://maps.google.com/maps?f=q&amp;hl=en&amp;geocode=&amp;q=55.25911,11.59831")</f>
        <v>http://maps.google.com/maps?f=q&amp;hl=en&amp;geocode=&amp;q=55.25911,11.59831</v>
      </c>
    </row>
    <row r="6271" spans="1:7" ht="15" x14ac:dyDescent="0.3">
      <c r="A6271">
        <v>43.330338199944201</v>
      </c>
      <c r="B6271">
        <v>-83.698375317539302</v>
      </c>
      <c r="C6271" t="s">
        <v>41</v>
      </c>
      <c r="D6271" t="s">
        <v>3865</v>
      </c>
      <c r="F6271" s="21"/>
      <c r="G6271" s="16" t="str">
        <f>HYPERLINK("http://maps.google.com/maps?f=q&amp;hl=en&amp;geocode=&amp;q=43.3303381999442,-83.6983753175393")</f>
        <v>http://maps.google.com/maps?f=q&amp;hl=en&amp;geocode=&amp;q=43.3303381999442,-83.6983753175393</v>
      </c>
    </row>
    <row r="6272" spans="1:7" ht="15" x14ac:dyDescent="0.3">
      <c r="A6272">
        <v>43.762551480203697</v>
      </c>
      <c r="B6272">
        <v>-87.726511412615906</v>
      </c>
      <c r="C6272" t="s">
        <v>41</v>
      </c>
      <c r="D6272" t="s">
        <v>3366</v>
      </c>
      <c r="F6272" s="21"/>
      <c r="G6272" s="16" t="str">
        <f>HYPERLINK("http://maps.google.com/maps?f=q&amp;hl=en&amp;geocode=&amp;q=43.7625514802037,-87.7265114126159")</f>
        <v>http://maps.google.com/maps?f=q&amp;hl=en&amp;geocode=&amp;q=43.7625514802037,-87.7265114126159</v>
      </c>
    </row>
    <row r="6273" spans="1:7" ht="15" x14ac:dyDescent="0.3">
      <c r="A6273" t="s">
        <v>44</v>
      </c>
      <c r="B6273" t="s">
        <v>44</v>
      </c>
      <c r="C6273" t="s">
        <v>44</v>
      </c>
      <c r="D6273" t="s">
        <v>3866</v>
      </c>
      <c r="F6273" s="21"/>
      <c r="G6273" s="16"/>
    </row>
    <row r="6274" spans="1:7" ht="15" x14ac:dyDescent="0.3">
      <c r="A6274" t="s">
        <v>44</v>
      </c>
      <c r="B6274" t="s">
        <v>44</v>
      </c>
      <c r="C6274" t="s">
        <v>44</v>
      </c>
      <c r="D6274" t="s">
        <v>3867</v>
      </c>
      <c r="F6274" s="21"/>
      <c r="G6274" s="16"/>
    </row>
    <row r="6275" spans="1:7" ht="15" x14ac:dyDescent="0.3">
      <c r="A6275">
        <v>38.557203999999999</v>
      </c>
      <c r="B6275">
        <v>-76.037865999999994</v>
      </c>
      <c r="C6275" t="s">
        <v>42</v>
      </c>
      <c r="D6275" t="s">
        <v>3868</v>
      </c>
      <c r="F6275" s="21"/>
      <c r="G6275" s="16" t="str">
        <f>HYPERLINK("http://maps.google.com/maps?f=q&amp;hl=en&amp;geocode=&amp;q=38.557204,-76.037866")</f>
        <v>http://maps.google.com/maps?f=q&amp;hl=en&amp;geocode=&amp;q=38.557204,-76.037866</v>
      </c>
    </row>
    <row r="6276" spans="1:7" ht="15" x14ac:dyDescent="0.3">
      <c r="A6276">
        <v>40.043282529474297</v>
      </c>
      <c r="B6276">
        <v>-75.075860464798893</v>
      </c>
      <c r="C6276" t="s">
        <v>41</v>
      </c>
      <c r="D6276" t="s">
        <v>2445</v>
      </c>
      <c r="F6276" s="21"/>
      <c r="G6276" s="16" t="str">
        <f>HYPERLINK("http://maps.google.com/maps?f=q&amp;hl=en&amp;geocode=&amp;q=40.0432825294743,-75.0758604647989")</f>
        <v>http://maps.google.com/maps?f=q&amp;hl=en&amp;geocode=&amp;q=40.0432825294743,-75.0758604647989</v>
      </c>
    </row>
    <row r="6277" spans="1:7" ht="15" x14ac:dyDescent="0.3">
      <c r="A6277">
        <v>40.043282529474297</v>
      </c>
      <c r="B6277">
        <v>-75.075860464798893</v>
      </c>
      <c r="C6277" t="s">
        <v>41</v>
      </c>
      <c r="D6277" t="s">
        <v>2445</v>
      </c>
      <c r="F6277" s="21"/>
      <c r="G6277" s="16" t="str">
        <f>HYPERLINK("http://maps.google.com/maps?f=q&amp;hl=en&amp;geocode=&amp;q=40.0432825294743,-75.0758604647989")</f>
        <v>http://maps.google.com/maps?f=q&amp;hl=en&amp;geocode=&amp;q=40.0432825294743,-75.0758604647989</v>
      </c>
    </row>
    <row r="6278" spans="1:7" ht="15" x14ac:dyDescent="0.3">
      <c r="A6278">
        <v>35.428350000000002</v>
      </c>
      <c r="B6278">
        <v>-97.134460000000004</v>
      </c>
      <c r="C6278" t="s">
        <v>42</v>
      </c>
      <c r="D6278" t="s">
        <v>3659</v>
      </c>
      <c r="F6278" s="21"/>
      <c r="G6278" s="16" t="str">
        <f>HYPERLINK("http://maps.google.com/maps?f=q&amp;hl=en&amp;geocode=&amp;q=35.42835,-97.13446")</f>
        <v>http://maps.google.com/maps?f=q&amp;hl=en&amp;geocode=&amp;q=35.42835,-97.13446</v>
      </c>
    </row>
    <row r="6279" spans="1:7" ht="15" x14ac:dyDescent="0.3">
      <c r="A6279">
        <v>34.2037449663028</v>
      </c>
      <c r="B6279">
        <v>-110.015804172915</v>
      </c>
      <c r="C6279" t="s">
        <v>41</v>
      </c>
      <c r="D6279" t="s">
        <v>1542</v>
      </c>
      <c r="F6279" s="21"/>
      <c r="G6279" s="16" t="str">
        <f>HYPERLINK("http://maps.google.com/maps?f=q&amp;hl=en&amp;geocode=&amp;q=34.2037449663028,-110.015804172915")</f>
        <v>http://maps.google.com/maps?f=q&amp;hl=en&amp;geocode=&amp;q=34.2037449663028,-110.015804172915</v>
      </c>
    </row>
    <row r="6280" spans="1:7" ht="15" x14ac:dyDescent="0.3">
      <c r="A6280">
        <v>41.223848861184599</v>
      </c>
      <c r="B6280">
        <v>-98.402467262898597</v>
      </c>
      <c r="C6280" t="s">
        <v>41</v>
      </c>
      <c r="D6280" t="s">
        <v>3823</v>
      </c>
      <c r="F6280" s="21"/>
      <c r="G6280" s="16" t="str">
        <f>HYPERLINK("http://maps.google.com/maps?f=q&amp;hl=en&amp;geocode=&amp;q=41.2238488611846,-98.4024672628986")</f>
        <v>http://maps.google.com/maps?f=q&amp;hl=en&amp;geocode=&amp;q=41.2238488611846,-98.4024672628986</v>
      </c>
    </row>
    <row r="6281" spans="1:7" ht="15" x14ac:dyDescent="0.3">
      <c r="A6281">
        <v>39.915590000000002</v>
      </c>
      <c r="B6281">
        <v>-75.233189999999993</v>
      </c>
      <c r="C6281" t="s">
        <v>41</v>
      </c>
      <c r="D6281" t="s">
        <v>3869</v>
      </c>
      <c r="F6281" s="21"/>
      <c r="G6281" s="16" t="str">
        <f>HYPERLINK("http://maps.google.com/maps?f=q&amp;hl=en&amp;geocode=&amp;q=39.91559,-75.23319")</f>
        <v>http://maps.google.com/maps?f=q&amp;hl=en&amp;geocode=&amp;q=39.91559,-75.23319</v>
      </c>
    </row>
    <row r="6282" spans="1:7" ht="15" x14ac:dyDescent="0.3">
      <c r="A6282">
        <v>49.602993011474602</v>
      </c>
      <c r="B6282">
        <v>6.0983629226684597</v>
      </c>
      <c r="C6282" t="s">
        <v>43</v>
      </c>
      <c r="D6282" t="s">
        <v>3870</v>
      </c>
      <c r="F6282" s="21"/>
      <c r="G6282" s="16" t="str">
        <f>HYPERLINK("http://maps.google.com/maps?f=q&amp;hl=en&amp;geocode=&amp;q=49.6029930114746,6.09836292266846")</f>
        <v>http://maps.google.com/maps?f=q&amp;hl=en&amp;geocode=&amp;q=49.6029930114746,6.09836292266846</v>
      </c>
    </row>
    <row r="6283" spans="1:7" ht="15" x14ac:dyDescent="0.3">
      <c r="A6283">
        <v>40.015880000000003</v>
      </c>
      <c r="B6283">
        <v>-75.060969999999998</v>
      </c>
      <c r="C6283" t="s">
        <v>41</v>
      </c>
      <c r="D6283" t="s">
        <v>3871</v>
      </c>
      <c r="F6283" s="21"/>
      <c r="G6283" s="16" t="str">
        <f>HYPERLINK("http://maps.google.com/maps?f=q&amp;hl=en&amp;geocode=&amp;q=40.01588,-75.06097")</f>
        <v>http://maps.google.com/maps?f=q&amp;hl=en&amp;geocode=&amp;q=40.01588,-75.06097</v>
      </c>
    </row>
    <row r="6284" spans="1:7" ht="15" x14ac:dyDescent="0.3">
      <c r="A6284">
        <v>28.933437207003799</v>
      </c>
      <c r="B6284">
        <v>-81.867466332419596</v>
      </c>
      <c r="C6284" t="s">
        <v>41</v>
      </c>
      <c r="D6284" t="s">
        <v>3872</v>
      </c>
      <c r="F6284" s="21"/>
      <c r="G6284" s="16" t="str">
        <f>HYPERLINK("http://maps.google.com/maps?f=q&amp;hl=en&amp;geocode=&amp;q=28.9334372070038,-81.8674663324196")</f>
        <v>http://maps.google.com/maps?f=q&amp;hl=en&amp;geocode=&amp;q=28.9334372070038,-81.8674663324196</v>
      </c>
    </row>
    <row r="6285" spans="1:7" ht="15" x14ac:dyDescent="0.3">
      <c r="A6285">
        <v>40.037979125976598</v>
      </c>
      <c r="B6285">
        <v>-75.223060607910199</v>
      </c>
      <c r="C6285" t="s">
        <v>41</v>
      </c>
      <c r="D6285" t="s">
        <v>132</v>
      </c>
      <c r="F6285" s="21"/>
      <c r="G6285" s="16" t="str">
        <f>HYPERLINK("http://maps.google.com/maps?f=q&amp;hl=en&amp;geocode=&amp;q=40.0379791259766,-75.2230606079102")</f>
        <v>http://maps.google.com/maps?f=q&amp;hl=en&amp;geocode=&amp;q=40.0379791259766,-75.2230606079102</v>
      </c>
    </row>
    <row r="6286" spans="1:7" ht="15" x14ac:dyDescent="0.3">
      <c r="A6286">
        <v>30.402772160204801</v>
      </c>
      <c r="B6286">
        <v>-88.987790918108999</v>
      </c>
      <c r="C6286" t="s">
        <v>41</v>
      </c>
      <c r="D6286" t="s">
        <v>3873</v>
      </c>
      <c r="F6286" s="21"/>
      <c r="G6286" s="16" t="str">
        <f>HYPERLINK("http://maps.google.com/maps?f=q&amp;hl=en&amp;geocode=&amp;q=30.4027721602048,-88.987790918109")</f>
        <v>http://maps.google.com/maps?f=q&amp;hl=en&amp;geocode=&amp;q=30.4027721602048,-88.987790918109</v>
      </c>
    </row>
    <row r="6287" spans="1:7" ht="15" x14ac:dyDescent="0.3">
      <c r="A6287">
        <v>29.944660186767599</v>
      </c>
      <c r="B6287">
        <v>74.894783020019503</v>
      </c>
      <c r="C6287" t="s">
        <v>41</v>
      </c>
      <c r="D6287" t="s">
        <v>3874</v>
      </c>
      <c r="F6287" s="21"/>
      <c r="G6287" s="16" t="str">
        <f>HYPERLINK("http://maps.google.com/maps?f=q&amp;hl=en&amp;geocode=&amp;q=29.9446601867676,74.8947830200195")</f>
        <v>http://maps.google.com/maps?f=q&amp;hl=en&amp;geocode=&amp;q=29.9446601867676,74.8947830200195</v>
      </c>
    </row>
    <row r="6288" spans="1:7" ht="15" x14ac:dyDescent="0.3">
      <c r="A6288">
        <v>51.523796081542997</v>
      </c>
      <c r="B6288">
        <v>5.95916795730591</v>
      </c>
      <c r="C6288" t="s">
        <v>43</v>
      </c>
      <c r="D6288" t="s">
        <v>1419</v>
      </c>
      <c r="F6288" s="21"/>
      <c r="G6288" s="16" t="str">
        <f>HYPERLINK("http://maps.google.com/maps?f=q&amp;hl=en&amp;geocode=&amp;q=51.523796081543,5.95916795730591")</f>
        <v>http://maps.google.com/maps?f=q&amp;hl=en&amp;geocode=&amp;q=51.523796081543,5.95916795730591</v>
      </c>
    </row>
    <row r="6289" spans="1:7" ht="15" x14ac:dyDescent="0.3">
      <c r="A6289">
        <v>40.010870991706298</v>
      </c>
      <c r="B6289">
        <v>-75.164663505147402</v>
      </c>
      <c r="C6289" t="s">
        <v>41</v>
      </c>
      <c r="D6289" t="s">
        <v>3875</v>
      </c>
      <c r="F6289" s="21"/>
      <c r="G6289" s="16" t="str">
        <f>HYPERLINK("http://maps.google.com/maps?f=q&amp;hl=en&amp;geocode=&amp;q=40.0108709917063,-75.1646635051474")</f>
        <v>http://maps.google.com/maps?f=q&amp;hl=en&amp;geocode=&amp;q=40.0108709917063,-75.1646635051474</v>
      </c>
    </row>
    <row r="6290" spans="1:7" ht="15" x14ac:dyDescent="0.3">
      <c r="A6290" t="s">
        <v>44</v>
      </c>
      <c r="B6290" t="s">
        <v>44</v>
      </c>
      <c r="C6290" t="s">
        <v>44</v>
      </c>
      <c r="D6290" t="s">
        <v>3876</v>
      </c>
      <c r="F6290" s="21"/>
      <c r="G6290" s="16"/>
    </row>
    <row r="6291" spans="1:7" ht="15" x14ac:dyDescent="0.3">
      <c r="A6291" t="s">
        <v>44</v>
      </c>
      <c r="B6291" t="s">
        <v>44</v>
      </c>
      <c r="C6291" t="s">
        <v>44</v>
      </c>
      <c r="D6291" t="s">
        <v>3877</v>
      </c>
      <c r="F6291" s="21"/>
      <c r="G6291" s="16"/>
    </row>
    <row r="6292" spans="1:7" ht="15" x14ac:dyDescent="0.3">
      <c r="A6292">
        <v>41.832865988681696</v>
      </c>
      <c r="B6292">
        <v>-86.402973025504195</v>
      </c>
      <c r="C6292" t="s">
        <v>43</v>
      </c>
      <c r="D6292" t="s">
        <v>3878</v>
      </c>
      <c r="F6292" s="21"/>
      <c r="G6292" s="16" t="str">
        <f>HYPERLINK("http://maps.google.com/maps?f=q&amp;hl=en&amp;geocode=&amp;q=41.8328659886817,-86.4029730255042")</f>
        <v>http://maps.google.com/maps?f=q&amp;hl=en&amp;geocode=&amp;q=41.8328659886817,-86.4029730255042</v>
      </c>
    </row>
    <row r="6293" spans="1:7" ht="15" x14ac:dyDescent="0.3">
      <c r="A6293" t="s">
        <v>44</v>
      </c>
      <c r="B6293" t="s">
        <v>44</v>
      </c>
      <c r="C6293" t="s">
        <v>44</v>
      </c>
      <c r="D6293" t="s">
        <v>3879</v>
      </c>
      <c r="F6293" s="21"/>
      <c r="G6293" s="16"/>
    </row>
    <row r="6294" spans="1:7" ht="15" x14ac:dyDescent="0.3">
      <c r="A6294">
        <v>51.453788757324197</v>
      </c>
      <c r="B6294">
        <v>-2.5916800498962398</v>
      </c>
      <c r="C6294" t="s">
        <v>43</v>
      </c>
      <c r="D6294" t="s">
        <v>3880</v>
      </c>
      <c r="F6294" s="21"/>
      <c r="G6294" s="16" t="str">
        <f>HYPERLINK("http://maps.google.com/maps?f=q&amp;hl=en&amp;geocode=&amp;q=51.4537887573242,-2.59168004989624")</f>
        <v>http://maps.google.com/maps?f=q&amp;hl=en&amp;geocode=&amp;q=51.4537887573242,-2.59168004989624</v>
      </c>
    </row>
    <row r="6295" spans="1:7" ht="15" x14ac:dyDescent="0.3">
      <c r="A6295">
        <v>40.460018157958999</v>
      </c>
      <c r="B6295">
        <v>-78.591552734375</v>
      </c>
      <c r="C6295" t="s">
        <v>43</v>
      </c>
      <c r="D6295" t="s">
        <v>3881</v>
      </c>
      <c r="F6295" s="21"/>
      <c r="G6295" s="16" t="str">
        <f>HYPERLINK("http://maps.google.com/maps?f=q&amp;hl=en&amp;geocode=&amp;q=40.460018157959,-78.591552734375")</f>
        <v>http://maps.google.com/maps?f=q&amp;hl=en&amp;geocode=&amp;q=40.460018157959,-78.591552734375</v>
      </c>
    </row>
    <row r="6296" spans="1:7" ht="15" x14ac:dyDescent="0.3">
      <c r="A6296">
        <v>43.938812255859403</v>
      </c>
      <c r="B6296">
        <v>-120.558586120605</v>
      </c>
      <c r="C6296" t="s">
        <v>41</v>
      </c>
      <c r="D6296" t="s">
        <v>3882</v>
      </c>
      <c r="F6296" s="21"/>
      <c r="G6296" s="16" t="str">
        <f>HYPERLINK("http://maps.google.com/maps?f=q&amp;hl=en&amp;geocode=&amp;q=43.9388122558594,-120.558586120605")</f>
        <v>http://maps.google.com/maps?f=q&amp;hl=en&amp;geocode=&amp;q=43.9388122558594,-120.558586120605</v>
      </c>
    </row>
    <row r="6297" spans="1:7" ht="15" x14ac:dyDescent="0.3">
      <c r="A6297">
        <v>43.938812255859403</v>
      </c>
      <c r="B6297">
        <v>-120.558586120605</v>
      </c>
      <c r="C6297" t="s">
        <v>41</v>
      </c>
      <c r="D6297" t="s">
        <v>3882</v>
      </c>
      <c r="F6297" s="21"/>
      <c r="G6297" s="16" t="str">
        <f>HYPERLINK("http://maps.google.com/maps?f=q&amp;hl=en&amp;geocode=&amp;q=43.9388122558594,-120.558586120605")</f>
        <v>http://maps.google.com/maps?f=q&amp;hl=en&amp;geocode=&amp;q=43.9388122558594,-120.558586120605</v>
      </c>
    </row>
    <row r="6298" spans="1:7" ht="15" x14ac:dyDescent="0.3">
      <c r="A6298">
        <v>43.938812255859403</v>
      </c>
      <c r="B6298">
        <v>-120.558586120605</v>
      </c>
      <c r="C6298" t="s">
        <v>41</v>
      </c>
      <c r="D6298" t="s">
        <v>3882</v>
      </c>
      <c r="F6298" s="21"/>
      <c r="G6298" s="16" t="str">
        <f>HYPERLINK("http://maps.google.com/maps?f=q&amp;hl=en&amp;geocode=&amp;q=43.9388122558594,-120.558586120605")</f>
        <v>http://maps.google.com/maps?f=q&amp;hl=en&amp;geocode=&amp;q=43.9388122558594,-120.558586120605</v>
      </c>
    </row>
    <row r="6299" spans="1:7" ht="15" x14ac:dyDescent="0.3">
      <c r="A6299">
        <v>43.938812255859403</v>
      </c>
      <c r="B6299">
        <v>-120.558586120605</v>
      </c>
      <c r="C6299" t="s">
        <v>41</v>
      </c>
      <c r="D6299" t="s">
        <v>3882</v>
      </c>
      <c r="F6299" s="21"/>
      <c r="G6299" s="16" t="str">
        <f>HYPERLINK("http://maps.google.com/maps?f=q&amp;hl=en&amp;geocode=&amp;q=43.9388122558594,-120.558586120605")</f>
        <v>http://maps.google.com/maps?f=q&amp;hl=en&amp;geocode=&amp;q=43.9388122558594,-120.558586120605</v>
      </c>
    </row>
    <row r="6300" spans="1:7" ht="15" x14ac:dyDescent="0.3">
      <c r="A6300">
        <v>52.880680084228501</v>
      </c>
      <c r="B6300">
        <v>1.0268900394439699</v>
      </c>
      <c r="C6300" t="s">
        <v>43</v>
      </c>
      <c r="D6300" t="s">
        <v>3883</v>
      </c>
      <c r="F6300" s="21"/>
      <c r="G6300" s="16" t="str">
        <f>HYPERLINK("http://maps.google.com/maps?f=q&amp;hl=en&amp;geocode=&amp;q=52.8806800842285,1.02689003944397")</f>
        <v>http://maps.google.com/maps?f=q&amp;hl=en&amp;geocode=&amp;q=52.8806800842285,1.02689003944397</v>
      </c>
    </row>
    <row r="6301" spans="1:7" ht="15" x14ac:dyDescent="0.3">
      <c r="A6301">
        <v>33.675014967169098</v>
      </c>
      <c r="B6301">
        <v>-90.950445199897601</v>
      </c>
      <c r="C6301" t="s">
        <v>41</v>
      </c>
      <c r="D6301" t="s">
        <v>3884</v>
      </c>
      <c r="F6301" s="21"/>
      <c r="G6301" s="16" t="str">
        <f>HYPERLINK("http://maps.google.com/maps?f=q&amp;hl=en&amp;geocode=&amp;q=33.6750149671691,-90.9504451998976")</f>
        <v>http://maps.google.com/maps?f=q&amp;hl=en&amp;geocode=&amp;q=33.6750149671691,-90.9504451998976</v>
      </c>
    </row>
    <row r="6302" spans="1:7" ht="15" x14ac:dyDescent="0.3">
      <c r="A6302">
        <v>39.969520568847699</v>
      </c>
      <c r="B6302">
        <v>-79.613929748535199</v>
      </c>
      <c r="C6302" t="s">
        <v>43</v>
      </c>
      <c r="D6302" t="s">
        <v>3885</v>
      </c>
      <c r="F6302" s="21"/>
      <c r="G6302" s="16" t="str">
        <f>HYPERLINK("http://maps.google.com/maps?f=q&amp;hl=en&amp;geocode=&amp;q=39.9695205688477,-79.6139297485352")</f>
        <v>http://maps.google.com/maps?f=q&amp;hl=en&amp;geocode=&amp;q=39.9695205688477,-79.6139297485352</v>
      </c>
    </row>
    <row r="6303" spans="1:7" ht="15" x14ac:dyDescent="0.3">
      <c r="A6303">
        <v>51.537528991699197</v>
      </c>
      <c r="B6303">
        <v>7.2085800170898402</v>
      </c>
      <c r="C6303" t="s">
        <v>43</v>
      </c>
      <c r="D6303" t="s">
        <v>3886</v>
      </c>
      <c r="F6303" s="21"/>
      <c r="G6303" s="16" t="str">
        <f>HYPERLINK("http://maps.google.com/maps?f=q&amp;hl=en&amp;geocode=&amp;q=51.5375289916992,7.20858001708984")</f>
        <v>http://maps.google.com/maps?f=q&amp;hl=en&amp;geocode=&amp;q=51.5375289916992,7.20858001708984</v>
      </c>
    </row>
    <row r="6304" spans="1:7" ht="15" x14ac:dyDescent="0.3">
      <c r="A6304">
        <v>42.470289999999999</v>
      </c>
      <c r="B6304">
        <v>-83.077780000000004</v>
      </c>
      <c r="C6304" t="s">
        <v>42</v>
      </c>
      <c r="D6304" t="s">
        <v>3887</v>
      </c>
      <c r="F6304" s="21"/>
      <c r="G6304" s="16" t="str">
        <f>HYPERLINK("http://maps.google.com/maps?f=q&amp;hl=en&amp;geocode=&amp;q=42.47029,-83.07778")</f>
        <v>http://maps.google.com/maps?f=q&amp;hl=en&amp;geocode=&amp;q=42.47029,-83.07778</v>
      </c>
    </row>
    <row r="6305" spans="1:7" ht="15" x14ac:dyDescent="0.3">
      <c r="A6305">
        <v>27.613869999999999</v>
      </c>
      <c r="B6305">
        <v>-81.409710000000004</v>
      </c>
      <c r="C6305" t="s">
        <v>43</v>
      </c>
      <c r="D6305" t="s">
        <v>2184</v>
      </c>
      <c r="F6305" s="21"/>
      <c r="G6305" s="16" t="str">
        <f>HYPERLINK("http://maps.google.com/maps?f=q&amp;hl=en&amp;geocode=&amp;q=27.61387,-81.40971")</f>
        <v>http://maps.google.com/maps?f=q&amp;hl=en&amp;geocode=&amp;q=27.61387,-81.40971</v>
      </c>
    </row>
    <row r="6306" spans="1:7" ht="15" x14ac:dyDescent="0.3">
      <c r="A6306">
        <v>39.994210000000002</v>
      </c>
      <c r="B6306">
        <v>-75.15831</v>
      </c>
      <c r="C6306" t="s">
        <v>41</v>
      </c>
      <c r="D6306" t="s">
        <v>3888</v>
      </c>
      <c r="F6306" s="21"/>
      <c r="G6306" s="16" t="str">
        <f>HYPERLINK("http://maps.google.com/maps?f=q&amp;hl=en&amp;geocode=&amp;q=39.99421,-75.15831")</f>
        <v>http://maps.google.com/maps?f=q&amp;hl=en&amp;geocode=&amp;q=39.99421,-75.15831</v>
      </c>
    </row>
    <row r="6307" spans="1:7" ht="15" x14ac:dyDescent="0.3">
      <c r="A6307">
        <v>54.485221862792997</v>
      </c>
      <c r="B6307">
        <v>-0.615140020847321</v>
      </c>
      <c r="C6307" t="s">
        <v>41</v>
      </c>
      <c r="D6307" t="s">
        <v>3889</v>
      </c>
      <c r="F6307" s="21"/>
      <c r="G6307" s="16" t="str">
        <f>HYPERLINK("http://maps.google.com/maps?f=q&amp;hl=en&amp;geocode=&amp;q=54.485221862793,-0.615140020847321")</f>
        <v>http://maps.google.com/maps?f=q&amp;hl=en&amp;geocode=&amp;q=54.485221862793,-0.615140020847321</v>
      </c>
    </row>
    <row r="6308" spans="1:7" ht="15" x14ac:dyDescent="0.3">
      <c r="A6308">
        <v>48.370506738475001</v>
      </c>
      <c r="B6308">
        <v>-95.336122437939594</v>
      </c>
      <c r="C6308" t="s">
        <v>42</v>
      </c>
      <c r="D6308" t="s">
        <v>3890</v>
      </c>
      <c r="F6308" s="21"/>
      <c r="G6308" s="16" t="str">
        <f>HYPERLINK("http://maps.google.com/maps?f=q&amp;hl=en&amp;geocode=&amp;q=48.370506738475,-95.3361224379396")</f>
        <v>http://maps.google.com/maps?f=q&amp;hl=en&amp;geocode=&amp;q=48.370506738475,-95.3361224379396</v>
      </c>
    </row>
    <row r="6309" spans="1:7" ht="15" x14ac:dyDescent="0.3">
      <c r="A6309">
        <v>39.920610000000003</v>
      </c>
      <c r="B6309">
        <v>-75.180289999999999</v>
      </c>
      <c r="C6309" t="s">
        <v>42</v>
      </c>
      <c r="D6309" t="s">
        <v>3891</v>
      </c>
      <c r="F6309" s="21"/>
      <c r="G6309" s="16" t="str">
        <f>HYPERLINK("http://maps.google.com/maps?f=q&amp;hl=en&amp;geocode=&amp;q=39.92061,-75.18029")</f>
        <v>http://maps.google.com/maps?f=q&amp;hl=en&amp;geocode=&amp;q=39.92061,-75.18029</v>
      </c>
    </row>
    <row r="6310" spans="1:7" ht="15" x14ac:dyDescent="0.3">
      <c r="A6310">
        <v>28.652539999999998</v>
      </c>
      <c r="B6310">
        <v>-81.468000000000004</v>
      </c>
      <c r="C6310" t="s">
        <v>42</v>
      </c>
      <c r="D6310" t="s">
        <v>3797</v>
      </c>
      <c r="F6310" s="21"/>
      <c r="G6310" s="16" t="str">
        <f>HYPERLINK("http://maps.google.com/maps?f=q&amp;hl=en&amp;geocode=&amp;q=28.65254,-81.468")</f>
        <v>http://maps.google.com/maps?f=q&amp;hl=en&amp;geocode=&amp;q=28.65254,-81.468</v>
      </c>
    </row>
    <row r="6311" spans="1:7" ht="15" x14ac:dyDescent="0.3">
      <c r="A6311">
        <v>39.669159999999998</v>
      </c>
      <c r="B6311">
        <v>-104.94051</v>
      </c>
      <c r="C6311" t="s">
        <v>41</v>
      </c>
      <c r="D6311" t="s">
        <v>3892</v>
      </c>
      <c r="F6311" s="21"/>
      <c r="G6311" s="16" t="str">
        <f>HYPERLINK("http://maps.google.com/maps?f=q&amp;hl=en&amp;geocode=&amp;q=39.66916,-104.94051")</f>
        <v>http://maps.google.com/maps?f=q&amp;hl=en&amp;geocode=&amp;q=39.66916,-104.94051</v>
      </c>
    </row>
    <row r="6312" spans="1:7" ht="15" x14ac:dyDescent="0.3">
      <c r="A6312">
        <v>50.325839996337898</v>
      </c>
      <c r="B6312">
        <v>4.4144639968872097</v>
      </c>
      <c r="C6312" t="s">
        <v>43</v>
      </c>
      <c r="D6312" t="s">
        <v>3893</v>
      </c>
      <c r="F6312" s="21"/>
      <c r="G6312" s="16" t="str">
        <f>HYPERLINK("http://maps.google.com/maps?f=q&amp;hl=en&amp;geocode=&amp;q=50.3258399963379,4.41446399688721")</f>
        <v>http://maps.google.com/maps?f=q&amp;hl=en&amp;geocode=&amp;q=50.3258399963379,4.41446399688721</v>
      </c>
    </row>
    <row r="6313" spans="1:7" ht="15" x14ac:dyDescent="0.3">
      <c r="A6313">
        <v>-33.138832092285199</v>
      </c>
      <c r="B6313">
        <v>137.29994201660199</v>
      </c>
      <c r="C6313" t="s">
        <v>41</v>
      </c>
      <c r="D6313" t="s">
        <v>293</v>
      </c>
      <c r="F6313" s="21"/>
      <c r="G6313" s="16" t="str">
        <f>HYPERLINK("http://maps.google.com/maps?f=q&amp;hl=en&amp;geocode=&amp;q=-33.1388320922852,137.299942016602")</f>
        <v>http://maps.google.com/maps?f=q&amp;hl=en&amp;geocode=&amp;q=-33.1388320922852,137.299942016602</v>
      </c>
    </row>
    <row r="6314" spans="1:7" ht="15" x14ac:dyDescent="0.3">
      <c r="A6314">
        <v>39.919803619384801</v>
      </c>
      <c r="B6314">
        <v>-86.281799316406307</v>
      </c>
      <c r="C6314" t="s">
        <v>41</v>
      </c>
      <c r="D6314" t="s">
        <v>3894</v>
      </c>
      <c r="F6314" s="21"/>
      <c r="G6314" s="16" t="str">
        <f>HYPERLINK("http://maps.google.com/maps?f=q&amp;hl=en&amp;geocode=&amp;q=39.9198036193848,-86.2817993164063")</f>
        <v>http://maps.google.com/maps?f=q&amp;hl=en&amp;geocode=&amp;q=39.9198036193848,-86.2817993164063</v>
      </c>
    </row>
    <row r="6315" spans="1:7" ht="15" x14ac:dyDescent="0.3">
      <c r="A6315">
        <v>40.634025000000001</v>
      </c>
      <c r="B6315">
        <v>-74.026015999999998</v>
      </c>
      <c r="C6315" t="s">
        <v>41</v>
      </c>
      <c r="D6315" t="s">
        <v>3895</v>
      </c>
      <c r="F6315" s="21"/>
      <c r="G6315" s="16" t="str">
        <f>HYPERLINK("http://maps.google.com/maps?f=q&amp;hl=en&amp;geocode=&amp;q=40.634025,-74.026016")</f>
        <v>http://maps.google.com/maps?f=q&amp;hl=en&amp;geocode=&amp;q=40.634025,-74.026016</v>
      </c>
    </row>
    <row r="6316" spans="1:7" ht="15" x14ac:dyDescent="0.3">
      <c r="A6316">
        <v>36.902949309302599</v>
      </c>
      <c r="B6316">
        <v>-78.894318796425395</v>
      </c>
      <c r="C6316" t="s">
        <v>43</v>
      </c>
      <c r="D6316" t="s">
        <v>3896</v>
      </c>
      <c r="F6316" s="21"/>
      <c r="G6316" s="16" t="str">
        <f>HYPERLINK("http://maps.google.com/maps?f=q&amp;hl=en&amp;geocode=&amp;q=36.9029493093026,-78.8943187964254")</f>
        <v>http://maps.google.com/maps?f=q&amp;hl=en&amp;geocode=&amp;q=36.9029493093026,-78.8943187964254</v>
      </c>
    </row>
    <row r="6317" spans="1:7" ht="15" x14ac:dyDescent="0.3">
      <c r="A6317">
        <v>41.968815437805503</v>
      </c>
      <c r="B6317">
        <v>-91.492033864593296</v>
      </c>
      <c r="C6317" t="s">
        <v>43</v>
      </c>
      <c r="D6317" t="s">
        <v>3285</v>
      </c>
      <c r="F6317" s="21"/>
      <c r="G6317" s="16" t="str">
        <f>HYPERLINK("http://maps.google.com/maps?f=q&amp;hl=en&amp;geocode=&amp;q=41.9688154378055,-91.4920338645933")</f>
        <v>http://maps.google.com/maps?f=q&amp;hl=en&amp;geocode=&amp;q=41.9688154378055,-91.4920338645933</v>
      </c>
    </row>
    <row r="6318" spans="1:7" ht="15" x14ac:dyDescent="0.3">
      <c r="A6318">
        <v>43.293369293212898</v>
      </c>
      <c r="B6318">
        <v>5.3713002204895002</v>
      </c>
      <c r="C6318" t="s">
        <v>43</v>
      </c>
      <c r="D6318" t="s">
        <v>3003</v>
      </c>
      <c r="F6318" s="21"/>
      <c r="G6318" s="16" t="str">
        <f>HYPERLINK("http://maps.google.com/maps?f=q&amp;hl=en&amp;geocode=&amp;q=43.2933692932129,5.3713002204895")</f>
        <v>http://maps.google.com/maps?f=q&amp;hl=en&amp;geocode=&amp;q=43.2933692932129,5.3713002204895</v>
      </c>
    </row>
    <row r="6319" spans="1:7" ht="15" x14ac:dyDescent="0.3">
      <c r="A6319">
        <v>38.938552497511097</v>
      </c>
      <c r="B6319">
        <v>-80.910831280464393</v>
      </c>
      <c r="C6319" t="s">
        <v>43</v>
      </c>
      <c r="D6319" t="s">
        <v>3897</v>
      </c>
      <c r="F6319" s="21"/>
      <c r="G6319" s="16" t="str">
        <f>HYPERLINK("http://maps.google.com/maps?f=q&amp;hl=en&amp;geocode=&amp;q=38.9385524975111,-80.9108312804644")</f>
        <v>http://maps.google.com/maps?f=q&amp;hl=en&amp;geocode=&amp;q=38.9385524975111,-80.9108312804644</v>
      </c>
    </row>
    <row r="6320" spans="1:7" ht="15" x14ac:dyDescent="0.3">
      <c r="A6320">
        <v>49.518180847167997</v>
      </c>
      <c r="B6320">
        <v>5.8978409767150897</v>
      </c>
      <c r="C6320" t="s">
        <v>41</v>
      </c>
      <c r="D6320" t="s">
        <v>2510</v>
      </c>
      <c r="F6320" s="21"/>
      <c r="G6320" s="16" t="str">
        <f>HYPERLINK("http://maps.google.com/maps?f=q&amp;hl=en&amp;geocode=&amp;q=49.518180847168,5.89784097671509")</f>
        <v>http://maps.google.com/maps?f=q&amp;hl=en&amp;geocode=&amp;q=49.518180847168,5.89784097671509</v>
      </c>
    </row>
    <row r="6321" spans="1:7" ht="15" x14ac:dyDescent="0.3">
      <c r="A6321">
        <v>49.518180847167997</v>
      </c>
      <c r="B6321">
        <v>5.8978409767150897</v>
      </c>
      <c r="C6321" t="s">
        <v>41</v>
      </c>
      <c r="D6321" t="s">
        <v>2510</v>
      </c>
      <c r="F6321" s="21"/>
      <c r="G6321" s="16" t="str">
        <f>HYPERLINK("http://maps.google.com/maps?f=q&amp;hl=en&amp;geocode=&amp;q=49.518180847168,5.89784097671509")</f>
        <v>http://maps.google.com/maps?f=q&amp;hl=en&amp;geocode=&amp;q=49.518180847168,5.89784097671509</v>
      </c>
    </row>
    <row r="6322" spans="1:7" ht="15" x14ac:dyDescent="0.3">
      <c r="A6322">
        <v>39.912550000000003</v>
      </c>
      <c r="B6322">
        <v>-75.237489999999994</v>
      </c>
      <c r="C6322" t="s">
        <v>41</v>
      </c>
      <c r="D6322" t="s">
        <v>481</v>
      </c>
      <c r="F6322" s="21"/>
      <c r="G6322" s="16" t="str">
        <f>HYPERLINK("http://maps.google.com/maps?f=q&amp;hl=en&amp;geocode=&amp;q=39.91255,-75.23749")</f>
        <v>http://maps.google.com/maps?f=q&amp;hl=en&amp;geocode=&amp;q=39.91255,-75.23749</v>
      </c>
    </row>
    <row r="6323" spans="1:7" ht="15" x14ac:dyDescent="0.3">
      <c r="A6323">
        <v>39.112859999999998</v>
      </c>
      <c r="B6323">
        <v>-84.507819999999995</v>
      </c>
      <c r="C6323" t="s">
        <v>42</v>
      </c>
      <c r="D6323" t="s">
        <v>2681</v>
      </c>
      <c r="F6323" s="21"/>
      <c r="G6323" s="16" t="str">
        <f>HYPERLINK("http://maps.google.com/maps?f=q&amp;hl=en&amp;geocode=&amp;q=39.11286,-84.50782")</f>
        <v>http://maps.google.com/maps?f=q&amp;hl=en&amp;geocode=&amp;q=39.11286,-84.50782</v>
      </c>
    </row>
    <row r="6324" spans="1:7" ht="15" x14ac:dyDescent="0.3">
      <c r="A6324">
        <v>31.243220000000001</v>
      </c>
      <c r="B6324">
        <v>-103.06478</v>
      </c>
      <c r="C6324" t="s">
        <v>43</v>
      </c>
      <c r="D6324" t="s">
        <v>2682</v>
      </c>
      <c r="F6324" s="21"/>
      <c r="G6324" s="16" t="str">
        <f>HYPERLINK("http://maps.google.com/maps?f=q&amp;hl=en&amp;geocode=&amp;q=31.24322,-103.06478")</f>
        <v>http://maps.google.com/maps?f=q&amp;hl=en&amp;geocode=&amp;q=31.24322,-103.06478</v>
      </c>
    </row>
    <row r="6325" spans="1:7" ht="15" x14ac:dyDescent="0.3">
      <c r="A6325">
        <v>40.023686634481201</v>
      </c>
      <c r="B6325">
        <v>-75.086509279715798</v>
      </c>
      <c r="C6325" t="s">
        <v>41</v>
      </c>
      <c r="D6325" t="s">
        <v>3898</v>
      </c>
      <c r="F6325" s="21"/>
      <c r="G6325" s="16" t="str">
        <f>HYPERLINK("http://maps.google.com/maps?f=q&amp;hl=en&amp;geocode=&amp;q=40.0236866344812,-75.0865092797158")</f>
        <v>http://maps.google.com/maps?f=q&amp;hl=en&amp;geocode=&amp;q=40.0236866344812,-75.0865092797158</v>
      </c>
    </row>
    <row r="6326" spans="1:7" ht="15" x14ac:dyDescent="0.3">
      <c r="A6326">
        <v>29.6948247475312</v>
      </c>
      <c r="B6326">
        <v>-95.352270013052305</v>
      </c>
      <c r="C6326" t="s">
        <v>41</v>
      </c>
      <c r="D6326" t="s">
        <v>2995</v>
      </c>
      <c r="F6326" s="21"/>
      <c r="G6326" s="16" t="str">
        <f>HYPERLINK("http://maps.google.com/maps?f=q&amp;hl=en&amp;geocode=&amp;q=29.6948247475312,-95.3522700130523")</f>
        <v>http://maps.google.com/maps?f=q&amp;hl=en&amp;geocode=&amp;q=29.6948247475312,-95.3522700130523</v>
      </c>
    </row>
    <row r="6327" spans="1:7" ht="15" x14ac:dyDescent="0.3">
      <c r="A6327">
        <v>38.591107438640897</v>
      </c>
      <c r="B6327">
        <v>-90.307767273304094</v>
      </c>
      <c r="C6327" t="s">
        <v>41</v>
      </c>
      <c r="D6327" t="s">
        <v>3774</v>
      </c>
      <c r="F6327" s="21"/>
      <c r="G6327" s="16" t="str">
        <f>HYPERLINK("http://maps.google.com/maps?f=q&amp;hl=en&amp;geocode=&amp;q=38.5911074386409,-90.3077672733041")</f>
        <v>http://maps.google.com/maps?f=q&amp;hl=en&amp;geocode=&amp;q=38.5911074386409,-90.3077672733041</v>
      </c>
    </row>
    <row r="6328" spans="1:7" ht="15" x14ac:dyDescent="0.3">
      <c r="A6328">
        <v>38.591107438640897</v>
      </c>
      <c r="B6328">
        <v>-90.307767273304094</v>
      </c>
      <c r="C6328" t="s">
        <v>41</v>
      </c>
      <c r="D6328" t="s">
        <v>3774</v>
      </c>
      <c r="F6328" s="21"/>
      <c r="G6328" s="16" t="str">
        <f>HYPERLINK("http://maps.google.com/maps?f=q&amp;hl=en&amp;geocode=&amp;q=38.5911074386409,-90.3077672733041")</f>
        <v>http://maps.google.com/maps?f=q&amp;hl=en&amp;geocode=&amp;q=38.5911074386409,-90.3077672733041</v>
      </c>
    </row>
    <row r="6329" spans="1:7" ht="15" x14ac:dyDescent="0.3">
      <c r="A6329">
        <v>39.4432563781738</v>
      </c>
      <c r="B6329">
        <v>-98.957336425781307</v>
      </c>
      <c r="C6329" t="s">
        <v>43</v>
      </c>
      <c r="D6329" t="s">
        <v>3899</v>
      </c>
      <c r="F6329" s="21"/>
      <c r="G6329" s="16" t="str">
        <f>HYPERLINK("http://maps.google.com/maps?f=q&amp;hl=en&amp;geocode=&amp;q=39.4432563781738,-98.9573364257813")</f>
        <v>http://maps.google.com/maps?f=q&amp;hl=en&amp;geocode=&amp;q=39.4432563781738,-98.9573364257813</v>
      </c>
    </row>
    <row r="6330" spans="1:7" ht="15" x14ac:dyDescent="0.3">
      <c r="A6330">
        <v>39.4432563781738</v>
      </c>
      <c r="B6330">
        <v>-98.957336425781307</v>
      </c>
      <c r="C6330" t="s">
        <v>43</v>
      </c>
      <c r="D6330" t="s">
        <v>3899</v>
      </c>
      <c r="F6330" s="21"/>
      <c r="G6330" s="16" t="str">
        <f>HYPERLINK("http://maps.google.com/maps?f=q&amp;hl=en&amp;geocode=&amp;q=39.4432563781738,-98.9573364257813")</f>
        <v>http://maps.google.com/maps?f=q&amp;hl=en&amp;geocode=&amp;q=39.4432563781738,-98.9573364257813</v>
      </c>
    </row>
    <row r="6331" spans="1:7" ht="15" x14ac:dyDescent="0.3">
      <c r="A6331">
        <v>35.201023363063399</v>
      </c>
      <c r="B6331">
        <v>-113.764842465432</v>
      </c>
      <c r="C6331" t="s">
        <v>43</v>
      </c>
      <c r="D6331" t="s">
        <v>3900</v>
      </c>
      <c r="F6331" s="21"/>
      <c r="G6331" s="16" t="str">
        <f>HYPERLINK("http://maps.google.com/maps?f=q&amp;hl=en&amp;geocode=&amp;q=35.2010233630634,-113.764842465432")</f>
        <v>http://maps.google.com/maps?f=q&amp;hl=en&amp;geocode=&amp;q=35.2010233630634,-113.764842465432</v>
      </c>
    </row>
    <row r="6332" spans="1:7" ht="15" x14ac:dyDescent="0.3">
      <c r="A6332">
        <v>40.063369999999999</v>
      </c>
      <c r="B6332">
        <v>-75.212469999999996</v>
      </c>
      <c r="C6332" t="s">
        <v>41</v>
      </c>
      <c r="D6332" t="s">
        <v>3901</v>
      </c>
      <c r="F6332" s="21"/>
      <c r="G6332" s="16" t="str">
        <f>HYPERLINK("http://maps.google.com/maps?f=q&amp;hl=en&amp;geocode=&amp;q=40.06337,-75.21247")</f>
        <v>http://maps.google.com/maps?f=q&amp;hl=en&amp;geocode=&amp;q=40.06337,-75.21247</v>
      </c>
    </row>
    <row r="6333" spans="1:7" ht="15" x14ac:dyDescent="0.3">
      <c r="A6333">
        <v>40.063369999999999</v>
      </c>
      <c r="B6333">
        <v>-75.212469999999996</v>
      </c>
      <c r="C6333" t="s">
        <v>41</v>
      </c>
      <c r="D6333" t="s">
        <v>3901</v>
      </c>
      <c r="F6333" s="21"/>
      <c r="G6333" s="16" t="str">
        <f>HYPERLINK("http://maps.google.com/maps?f=q&amp;hl=en&amp;geocode=&amp;q=40.06337,-75.21247")</f>
        <v>http://maps.google.com/maps?f=q&amp;hl=en&amp;geocode=&amp;q=40.06337,-75.21247</v>
      </c>
    </row>
    <row r="6334" spans="1:7" ht="15" x14ac:dyDescent="0.3">
      <c r="A6334">
        <v>39.995420000000003</v>
      </c>
      <c r="B6334">
        <v>-75.167749999999998</v>
      </c>
      <c r="C6334" t="s">
        <v>41</v>
      </c>
      <c r="D6334" t="s">
        <v>2442</v>
      </c>
      <c r="F6334" s="21"/>
      <c r="G6334" s="16" t="str">
        <f>HYPERLINK("http://maps.google.com/maps?f=q&amp;hl=en&amp;geocode=&amp;q=39.99542,-75.16775")</f>
        <v>http://maps.google.com/maps?f=q&amp;hl=en&amp;geocode=&amp;q=39.99542,-75.16775</v>
      </c>
    </row>
    <row r="6335" spans="1:7" ht="15" x14ac:dyDescent="0.3">
      <c r="A6335">
        <v>39.995420000000003</v>
      </c>
      <c r="B6335">
        <v>-75.167749999999998</v>
      </c>
      <c r="C6335" t="s">
        <v>41</v>
      </c>
      <c r="D6335" t="s">
        <v>2442</v>
      </c>
      <c r="F6335" s="21"/>
      <c r="G6335" s="16" t="str">
        <f>HYPERLINK("http://maps.google.com/maps?f=q&amp;hl=en&amp;geocode=&amp;q=39.99542,-75.16775")</f>
        <v>http://maps.google.com/maps?f=q&amp;hl=en&amp;geocode=&amp;q=39.99542,-75.16775</v>
      </c>
    </row>
    <row r="6336" spans="1:7" ht="15" x14ac:dyDescent="0.3">
      <c r="A6336">
        <v>31.0106773186406</v>
      </c>
      <c r="B6336">
        <v>-86.338380566299705</v>
      </c>
      <c r="C6336" t="s">
        <v>41</v>
      </c>
      <c r="D6336" t="s">
        <v>3902</v>
      </c>
      <c r="F6336" s="21"/>
      <c r="G6336" s="16" t="str">
        <f>HYPERLINK("http://maps.google.com/maps?f=q&amp;hl=en&amp;geocode=&amp;q=31.0106773186406,-86.3383805662997")</f>
        <v>http://maps.google.com/maps?f=q&amp;hl=en&amp;geocode=&amp;q=31.0106773186406,-86.3383805662997</v>
      </c>
    </row>
    <row r="6337" spans="1:7" ht="15" x14ac:dyDescent="0.3">
      <c r="A6337">
        <v>39.997095000000002</v>
      </c>
      <c r="B6337">
        <v>-75.178579999999997</v>
      </c>
      <c r="C6337" t="s">
        <v>42</v>
      </c>
      <c r="D6337" t="s">
        <v>3903</v>
      </c>
      <c r="F6337" s="21"/>
      <c r="G6337" s="16" t="str">
        <f>HYPERLINK("http://maps.google.com/maps?f=q&amp;hl=en&amp;geocode=&amp;q=39.997095,-75.17858")</f>
        <v>http://maps.google.com/maps?f=q&amp;hl=en&amp;geocode=&amp;q=39.997095,-75.17858</v>
      </c>
    </row>
    <row r="6338" spans="1:7" ht="15" x14ac:dyDescent="0.3">
      <c r="A6338" t="s">
        <v>44</v>
      </c>
      <c r="B6338" t="s">
        <v>44</v>
      </c>
      <c r="C6338" t="s">
        <v>44</v>
      </c>
      <c r="D6338" t="s">
        <v>3904</v>
      </c>
      <c r="F6338" s="21"/>
      <c r="G6338" s="16"/>
    </row>
    <row r="6339" spans="1:7" ht="15" x14ac:dyDescent="0.3">
      <c r="A6339">
        <v>39.919803619384801</v>
      </c>
      <c r="B6339">
        <v>-86.281799316406307</v>
      </c>
      <c r="C6339" t="s">
        <v>41</v>
      </c>
      <c r="D6339" t="s">
        <v>2328</v>
      </c>
      <c r="F6339" s="21"/>
      <c r="G6339" s="16" t="str">
        <f>HYPERLINK("http://maps.google.com/maps?f=q&amp;hl=en&amp;geocode=&amp;q=39.9198036193848,-86.2817993164063")</f>
        <v>http://maps.google.com/maps?f=q&amp;hl=en&amp;geocode=&amp;q=39.9198036193848,-86.2817993164063</v>
      </c>
    </row>
    <row r="6340" spans="1:7" ht="15" x14ac:dyDescent="0.3">
      <c r="A6340">
        <v>39.078589999999998</v>
      </c>
      <c r="B6340">
        <v>-94.543170000000003</v>
      </c>
      <c r="C6340" t="s">
        <v>43</v>
      </c>
      <c r="D6340" t="s">
        <v>2435</v>
      </c>
      <c r="F6340" s="21"/>
      <c r="G6340" s="16" t="str">
        <f>HYPERLINK("http://maps.google.com/maps?f=q&amp;hl=en&amp;geocode=&amp;q=39.07859,-94.54317")</f>
        <v>http://maps.google.com/maps?f=q&amp;hl=en&amp;geocode=&amp;q=39.07859,-94.54317</v>
      </c>
    </row>
    <row r="6341" spans="1:7" ht="15" x14ac:dyDescent="0.3">
      <c r="A6341">
        <v>36.585050000000003</v>
      </c>
      <c r="B6341">
        <v>-98.886690000000002</v>
      </c>
      <c r="C6341" t="s">
        <v>43</v>
      </c>
      <c r="D6341" t="s">
        <v>3905</v>
      </c>
      <c r="F6341" s="21"/>
      <c r="G6341" s="16" t="str">
        <f>HYPERLINK("http://maps.google.com/maps?f=q&amp;hl=en&amp;geocode=&amp;q=36.58505,-98.88669")</f>
        <v>http://maps.google.com/maps?f=q&amp;hl=en&amp;geocode=&amp;q=36.58505,-98.88669</v>
      </c>
    </row>
    <row r="6342" spans="1:7" ht="15" x14ac:dyDescent="0.3">
      <c r="A6342">
        <v>41.043218654933</v>
      </c>
      <c r="B6342">
        <v>-86.598993203051904</v>
      </c>
      <c r="C6342" t="s">
        <v>41</v>
      </c>
      <c r="D6342" t="s">
        <v>912</v>
      </c>
      <c r="F6342" s="21"/>
      <c r="G6342" s="16" t="str">
        <f>HYPERLINK("http://maps.google.com/maps?f=q&amp;hl=en&amp;geocode=&amp;q=41.043218654933,-86.5989932030519")</f>
        <v>http://maps.google.com/maps?f=q&amp;hl=en&amp;geocode=&amp;q=41.043218654933,-86.5989932030519</v>
      </c>
    </row>
    <row r="6343" spans="1:7" ht="15" x14ac:dyDescent="0.3">
      <c r="A6343">
        <v>45.781402723110901</v>
      </c>
      <c r="B6343">
        <v>-89.101368688207401</v>
      </c>
      <c r="C6343" t="s">
        <v>41</v>
      </c>
      <c r="D6343" t="s">
        <v>1318</v>
      </c>
      <c r="F6343" s="21"/>
      <c r="G6343" s="16" t="str">
        <f>HYPERLINK("http://maps.google.com/maps?f=q&amp;hl=en&amp;geocode=&amp;q=45.7814027231109,-89.1013686882074")</f>
        <v>http://maps.google.com/maps?f=q&amp;hl=en&amp;geocode=&amp;q=45.7814027231109,-89.1013686882074</v>
      </c>
    </row>
    <row r="6344" spans="1:7" ht="15" x14ac:dyDescent="0.3">
      <c r="A6344">
        <v>45.781402723110901</v>
      </c>
      <c r="B6344">
        <v>-89.101368688207401</v>
      </c>
      <c r="C6344" t="s">
        <v>41</v>
      </c>
      <c r="D6344" t="s">
        <v>1318</v>
      </c>
      <c r="F6344" s="21"/>
      <c r="G6344" s="16" t="str">
        <f>HYPERLINK("http://maps.google.com/maps?f=q&amp;hl=en&amp;geocode=&amp;q=45.7814027231109,-89.1013686882074")</f>
        <v>http://maps.google.com/maps?f=q&amp;hl=en&amp;geocode=&amp;q=45.7814027231109,-89.1013686882074</v>
      </c>
    </row>
    <row r="6345" spans="1:7" ht="15" x14ac:dyDescent="0.3">
      <c r="A6345">
        <v>45.781402723110901</v>
      </c>
      <c r="B6345">
        <v>-89.101368688207401</v>
      </c>
      <c r="C6345" t="s">
        <v>41</v>
      </c>
      <c r="D6345" t="s">
        <v>1318</v>
      </c>
      <c r="F6345" s="21"/>
      <c r="G6345" s="16" t="str">
        <f>HYPERLINK("http://maps.google.com/maps?f=q&amp;hl=en&amp;geocode=&amp;q=45.7814027231109,-89.1013686882074")</f>
        <v>http://maps.google.com/maps?f=q&amp;hl=en&amp;geocode=&amp;q=45.7814027231109,-89.1013686882074</v>
      </c>
    </row>
    <row r="6346" spans="1:7" ht="15" x14ac:dyDescent="0.3">
      <c r="A6346">
        <v>43.528829999999999</v>
      </c>
      <c r="B6346">
        <v>-116.5654</v>
      </c>
      <c r="C6346" t="s">
        <v>42</v>
      </c>
      <c r="D6346" t="s">
        <v>909</v>
      </c>
      <c r="F6346" s="21"/>
      <c r="G6346" s="16" t="str">
        <f>HYPERLINK("http://maps.google.com/maps?f=q&amp;hl=en&amp;geocode=&amp;q=43.52883,-116.5654")</f>
        <v>http://maps.google.com/maps?f=q&amp;hl=en&amp;geocode=&amp;q=43.52883,-116.5654</v>
      </c>
    </row>
    <row r="6347" spans="1:7" ht="15" x14ac:dyDescent="0.3">
      <c r="A6347">
        <v>41.584074506049902</v>
      </c>
      <c r="B6347">
        <v>-87.467648105157096</v>
      </c>
      <c r="C6347" t="s">
        <v>41</v>
      </c>
      <c r="D6347" t="s">
        <v>3906</v>
      </c>
      <c r="F6347" s="21"/>
      <c r="G6347" s="16" t="str">
        <f>HYPERLINK("http://maps.google.com/maps?f=q&amp;hl=en&amp;geocode=&amp;q=41.5840745060499,-87.4676481051571")</f>
        <v>http://maps.google.com/maps?f=q&amp;hl=en&amp;geocode=&amp;q=41.5840745060499,-87.4676481051571</v>
      </c>
    </row>
    <row r="6348" spans="1:7" ht="15" x14ac:dyDescent="0.3">
      <c r="A6348">
        <v>37.151180267333999</v>
      </c>
      <c r="B6348">
        <v>-8.2282800674438494</v>
      </c>
      <c r="C6348" t="s">
        <v>43</v>
      </c>
      <c r="D6348" t="s">
        <v>3907</v>
      </c>
      <c r="F6348" s="21"/>
      <c r="G6348" s="16" t="str">
        <f>HYPERLINK("http://maps.google.com/maps?f=q&amp;hl=en&amp;geocode=&amp;q=37.151180267334,-8.22828006744385")</f>
        <v>http://maps.google.com/maps?f=q&amp;hl=en&amp;geocode=&amp;q=37.151180267334,-8.22828006744385</v>
      </c>
    </row>
    <row r="6349" spans="1:7" ht="15" x14ac:dyDescent="0.3">
      <c r="A6349">
        <v>37.3584250339783</v>
      </c>
      <c r="B6349">
        <v>-90.693967867276498</v>
      </c>
      <c r="C6349" t="s">
        <v>41</v>
      </c>
      <c r="D6349" t="s">
        <v>3908</v>
      </c>
      <c r="F6349" s="21"/>
      <c r="G6349" s="16" t="str">
        <f>HYPERLINK("http://maps.google.com/maps?f=q&amp;hl=en&amp;geocode=&amp;q=37.3584250339783,-90.6939678672765")</f>
        <v>http://maps.google.com/maps?f=q&amp;hl=en&amp;geocode=&amp;q=37.3584250339783,-90.6939678672765</v>
      </c>
    </row>
    <row r="6350" spans="1:7" ht="15" x14ac:dyDescent="0.3">
      <c r="A6350">
        <v>37.3584250339783</v>
      </c>
      <c r="B6350">
        <v>-90.693967867276498</v>
      </c>
      <c r="C6350" t="s">
        <v>41</v>
      </c>
      <c r="D6350" t="s">
        <v>3908</v>
      </c>
      <c r="F6350" s="21"/>
      <c r="G6350" s="16" t="str">
        <f>HYPERLINK("http://maps.google.com/maps?f=q&amp;hl=en&amp;geocode=&amp;q=37.3584250339783,-90.6939678672765")</f>
        <v>http://maps.google.com/maps?f=q&amp;hl=en&amp;geocode=&amp;q=37.3584250339783,-90.6939678672765</v>
      </c>
    </row>
    <row r="6351" spans="1:7" ht="15" x14ac:dyDescent="0.3">
      <c r="A6351" t="s">
        <v>44</v>
      </c>
      <c r="B6351" t="s">
        <v>44</v>
      </c>
      <c r="C6351" t="s">
        <v>44</v>
      </c>
      <c r="D6351" t="s">
        <v>2885</v>
      </c>
      <c r="F6351" s="21"/>
      <c r="G6351" s="16"/>
    </row>
    <row r="6352" spans="1:7" ht="15" x14ac:dyDescent="0.3">
      <c r="A6352">
        <v>40.645060000000001</v>
      </c>
      <c r="B6352">
        <v>-73.572320000000005</v>
      </c>
      <c r="C6352" t="s">
        <v>43</v>
      </c>
      <c r="D6352" t="s">
        <v>3909</v>
      </c>
      <c r="F6352" s="21"/>
      <c r="G6352" s="16" t="str">
        <f>HYPERLINK("http://maps.google.com/maps?f=q&amp;hl=en&amp;geocode=&amp;q=40.64506,-73.57232")</f>
        <v>http://maps.google.com/maps?f=q&amp;hl=en&amp;geocode=&amp;q=40.64506,-73.57232</v>
      </c>
    </row>
    <row r="6353" spans="1:7" ht="15" x14ac:dyDescent="0.3">
      <c r="A6353" t="s">
        <v>44</v>
      </c>
      <c r="B6353" t="s">
        <v>44</v>
      </c>
      <c r="C6353" t="s">
        <v>44</v>
      </c>
      <c r="D6353" t="s">
        <v>3910</v>
      </c>
      <c r="F6353" s="21"/>
      <c r="G6353" s="16"/>
    </row>
    <row r="6354" spans="1:7" ht="15" x14ac:dyDescent="0.3">
      <c r="A6354">
        <v>41.419338226318402</v>
      </c>
      <c r="B6354">
        <v>-75.072662353515597</v>
      </c>
      <c r="C6354" t="s">
        <v>41</v>
      </c>
      <c r="D6354" t="s">
        <v>3911</v>
      </c>
      <c r="F6354" s="21"/>
      <c r="G6354" s="16" t="str">
        <f>HYPERLINK("http://maps.google.com/maps?f=q&amp;hl=en&amp;geocode=&amp;q=41.4193382263184,-75.0726623535156")</f>
        <v>http://maps.google.com/maps?f=q&amp;hl=en&amp;geocode=&amp;q=41.4193382263184,-75.0726623535156</v>
      </c>
    </row>
    <row r="6355" spans="1:7" ht="15" x14ac:dyDescent="0.3">
      <c r="A6355">
        <v>38.725276947021499</v>
      </c>
      <c r="B6355">
        <v>-77.047775268554702</v>
      </c>
      <c r="C6355" t="s">
        <v>41</v>
      </c>
      <c r="D6355" t="s">
        <v>2298</v>
      </c>
      <c r="F6355" s="21"/>
      <c r="G6355" s="16" t="str">
        <f>HYPERLINK("http://maps.google.com/maps?f=q&amp;hl=en&amp;geocode=&amp;q=38.7252769470215,-77.0477752685547")</f>
        <v>http://maps.google.com/maps?f=q&amp;hl=en&amp;geocode=&amp;q=38.7252769470215,-77.0477752685547</v>
      </c>
    </row>
    <row r="6356" spans="1:7" ht="15" x14ac:dyDescent="0.3">
      <c r="A6356">
        <v>33.516559600830099</v>
      </c>
      <c r="B6356">
        <v>36.317081451416001</v>
      </c>
      <c r="C6356" t="s">
        <v>43</v>
      </c>
      <c r="D6356" t="s">
        <v>3912</v>
      </c>
      <c r="F6356" s="21"/>
      <c r="G6356" s="16" t="str">
        <f>HYPERLINK("http://maps.google.com/maps?f=q&amp;hl=en&amp;geocode=&amp;q=33.5165596008301,36.317081451416")</f>
        <v>http://maps.google.com/maps?f=q&amp;hl=en&amp;geocode=&amp;q=33.5165596008301,36.317081451416</v>
      </c>
    </row>
    <row r="6357" spans="1:7" ht="15" x14ac:dyDescent="0.3">
      <c r="A6357">
        <v>39.898059844970703</v>
      </c>
      <c r="B6357">
        <v>-75.211669921875</v>
      </c>
      <c r="C6357" t="s">
        <v>41</v>
      </c>
      <c r="D6357" t="s">
        <v>3913</v>
      </c>
      <c r="F6357" s="21"/>
      <c r="G6357" s="16" t="str">
        <f>HYPERLINK("http://maps.google.com/maps?f=q&amp;hl=en&amp;geocode=&amp;q=39.8980598449707,-75.211669921875")</f>
        <v>http://maps.google.com/maps?f=q&amp;hl=en&amp;geocode=&amp;q=39.8980598449707,-75.211669921875</v>
      </c>
    </row>
    <row r="6358" spans="1:7" ht="15" x14ac:dyDescent="0.3">
      <c r="A6358">
        <v>39.898059844970703</v>
      </c>
      <c r="B6358">
        <v>-75.211669921875</v>
      </c>
      <c r="C6358" t="s">
        <v>41</v>
      </c>
      <c r="D6358" t="s">
        <v>3913</v>
      </c>
      <c r="F6358" s="21"/>
      <c r="G6358" s="16" t="str">
        <f>HYPERLINK("http://maps.google.com/maps?f=q&amp;hl=en&amp;geocode=&amp;q=39.8980598449707,-75.211669921875")</f>
        <v>http://maps.google.com/maps?f=q&amp;hl=en&amp;geocode=&amp;q=39.8980598449707,-75.211669921875</v>
      </c>
    </row>
    <row r="6359" spans="1:7" ht="15" x14ac:dyDescent="0.3">
      <c r="A6359">
        <v>47.055850982666001</v>
      </c>
      <c r="B6359">
        <v>6.7508301734924299</v>
      </c>
      <c r="C6359" t="s">
        <v>43</v>
      </c>
      <c r="D6359" t="s">
        <v>3914</v>
      </c>
      <c r="F6359" s="21"/>
      <c r="G6359" s="16" t="str">
        <f>HYPERLINK("http://maps.google.com/maps?f=q&amp;hl=en&amp;geocode=&amp;q=47.055850982666,6.75083017349243")</f>
        <v>http://maps.google.com/maps?f=q&amp;hl=en&amp;geocode=&amp;q=47.055850982666,6.75083017349243</v>
      </c>
    </row>
    <row r="6360" spans="1:7" ht="15" x14ac:dyDescent="0.3">
      <c r="A6360">
        <v>45.634151458740199</v>
      </c>
      <c r="B6360">
        <v>-84.782386779785199</v>
      </c>
      <c r="C6360" t="s">
        <v>43</v>
      </c>
      <c r="D6360" t="s">
        <v>1380</v>
      </c>
      <c r="F6360" s="21"/>
      <c r="G6360" s="16" t="str">
        <f>HYPERLINK("http://maps.google.com/maps?f=q&amp;hl=en&amp;geocode=&amp;q=45.6341514587402,-84.7823867797852")</f>
        <v>http://maps.google.com/maps?f=q&amp;hl=en&amp;geocode=&amp;q=45.6341514587402,-84.7823867797852</v>
      </c>
    </row>
    <row r="6361" spans="1:7" ht="15" x14ac:dyDescent="0.3">
      <c r="A6361">
        <v>40.221249999999998</v>
      </c>
      <c r="B6361">
        <v>-76.289599999999993</v>
      </c>
      <c r="C6361" t="s">
        <v>42</v>
      </c>
      <c r="D6361" t="s">
        <v>3915</v>
      </c>
      <c r="F6361" s="21"/>
      <c r="G6361" s="16" t="str">
        <f>HYPERLINK("http://maps.google.com/maps?f=q&amp;hl=en&amp;geocode=&amp;q=40.22125,-76.2896")</f>
        <v>http://maps.google.com/maps?f=q&amp;hl=en&amp;geocode=&amp;q=40.22125,-76.2896</v>
      </c>
    </row>
    <row r="6362" spans="1:7" ht="15" x14ac:dyDescent="0.3">
      <c r="A6362" t="s">
        <v>44</v>
      </c>
      <c r="B6362" t="s">
        <v>44</v>
      </c>
      <c r="C6362" t="s">
        <v>44</v>
      </c>
      <c r="D6362" t="s">
        <v>3916</v>
      </c>
      <c r="F6362" s="21"/>
      <c r="G6362" s="16"/>
    </row>
    <row r="6363" spans="1:7" ht="15" x14ac:dyDescent="0.3">
      <c r="A6363">
        <v>39.919600000000003</v>
      </c>
      <c r="B6363">
        <v>-75.227459999999994</v>
      </c>
      <c r="C6363" t="s">
        <v>41</v>
      </c>
      <c r="D6363" t="s">
        <v>2001</v>
      </c>
      <c r="F6363" s="21"/>
      <c r="G6363" s="16" t="str">
        <f>HYPERLINK("http://maps.google.com/maps?f=q&amp;hl=en&amp;geocode=&amp;q=39.9196,-75.22746")</f>
        <v>http://maps.google.com/maps?f=q&amp;hl=en&amp;geocode=&amp;q=39.9196,-75.22746</v>
      </c>
    </row>
    <row r="6364" spans="1:7" ht="15" x14ac:dyDescent="0.3">
      <c r="A6364">
        <v>39.924349999999997</v>
      </c>
      <c r="B6364">
        <v>-75.179500000000004</v>
      </c>
      <c r="C6364" t="s">
        <v>43</v>
      </c>
      <c r="D6364" t="s">
        <v>3917</v>
      </c>
      <c r="F6364" s="21"/>
      <c r="G6364" s="16" t="str">
        <f>HYPERLINK("http://maps.google.com/maps?f=q&amp;hl=en&amp;geocode=&amp;q=39.92435,-75.1795")</f>
        <v>http://maps.google.com/maps?f=q&amp;hl=en&amp;geocode=&amp;q=39.92435,-75.1795</v>
      </c>
    </row>
    <row r="6365" spans="1:7" ht="15" x14ac:dyDescent="0.3">
      <c r="A6365">
        <v>59.922351837158203</v>
      </c>
      <c r="B6365">
        <v>11.178321838378899</v>
      </c>
      <c r="C6365" t="s">
        <v>43</v>
      </c>
      <c r="D6365" t="s">
        <v>3918</v>
      </c>
      <c r="F6365" s="21"/>
      <c r="G6365" s="16" t="str">
        <f>HYPERLINK("http://maps.google.com/maps?f=q&amp;hl=en&amp;geocode=&amp;q=59.9223518371582,11.1783218383789")</f>
        <v>http://maps.google.com/maps?f=q&amp;hl=en&amp;geocode=&amp;q=59.9223518371582,11.1783218383789</v>
      </c>
    </row>
    <row r="6366" spans="1:7" ht="15" x14ac:dyDescent="0.3">
      <c r="A6366">
        <v>-26.188575744628899</v>
      </c>
      <c r="B6366">
        <v>27.929327011108398</v>
      </c>
      <c r="C6366" t="s">
        <v>43</v>
      </c>
      <c r="D6366" t="s">
        <v>3919</v>
      </c>
      <c r="F6366" s="21"/>
      <c r="G6366" s="16" t="str">
        <f>HYPERLINK("http://maps.google.com/maps?f=q&amp;hl=en&amp;geocode=&amp;q=-26.1885757446289,27.9293270111084")</f>
        <v>http://maps.google.com/maps?f=q&amp;hl=en&amp;geocode=&amp;q=-26.1885757446289,27.9293270111084</v>
      </c>
    </row>
    <row r="6367" spans="1:7" ht="15" x14ac:dyDescent="0.3">
      <c r="A6367">
        <v>32.993589999999998</v>
      </c>
      <c r="B6367">
        <v>-82.813860000000005</v>
      </c>
      <c r="C6367" t="s">
        <v>42</v>
      </c>
      <c r="D6367" t="s">
        <v>1601</v>
      </c>
      <c r="F6367" s="21"/>
      <c r="G6367" s="16" t="str">
        <f>HYPERLINK("http://maps.google.com/maps?f=q&amp;hl=en&amp;geocode=&amp;q=32.99359,-82.81386")</f>
        <v>http://maps.google.com/maps?f=q&amp;hl=en&amp;geocode=&amp;q=32.99359,-82.81386</v>
      </c>
    </row>
    <row r="6368" spans="1:7" ht="15" x14ac:dyDescent="0.3">
      <c r="A6368">
        <v>34.053489685058601</v>
      </c>
      <c r="B6368">
        <v>-118.245323181152</v>
      </c>
      <c r="C6368" t="s">
        <v>43</v>
      </c>
      <c r="D6368" t="s">
        <v>3920</v>
      </c>
      <c r="F6368" s="21"/>
      <c r="G6368" s="16" t="str">
        <f>HYPERLINK("http://maps.google.com/maps?f=q&amp;hl=en&amp;geocode=&amp;q=34.0534896850586,-118.245323181152")</f>
        <v>http://maps.google.com/maps?f=q&amp;hl=en&amp;geocode=&amp;q=34.0534896850586,-118.245323181152</v>
      </c>
    </row>
    <row r="6369" spans="1:7" ht="15" x14ac:dyDescent="0.3">
      <c r="A6369">
        <v>40.460018157958999</v>
      </c>
      <c r="B6369">
        <v>-78.591552734375</v>
      </c>
      <c r="C6369" t="s">
        <v>43</v>
      </c>
      <c r="D6369" t="s">
        <v>427</v>
      </c>
      <c r="F6369" s="21"/>
      <c r="G6369" s="16" t="str">
        <f>HYPERLINK("http://maps.google.com/maps?f=q&amp;hl=en&amp;geocode=&amp;q=40.460018157959,-78.591552734375")</f>
        <v>http://maps.google.com/maps?f=q&amp;hl=en&amp;geocode=&amp;q=40.460018157959,-78.591552734375</v>
      </c>
    </row>
    <row r="6370" spans="1:7" ht="15" x14ac:dyDescent="0.3">
      <c r="A6370">
        <v>39.922890000000002</v>
      </c>
      <c r="B6370">
        <v>-75.178190000000001</v>
      </c>
      <c r="C6370" t="s">
        <v>43</v>
      </c>
      <c r="D6370" t="s">
        <v>3921</v>
      </c>
      <c r="F6370" s="21"/>
      <c r="G6370" s="16" t="str">
        <f>HYPERLINK("http://maps.google.com/maps?f=q&amp;hl=en&amp;geocode=&amp;q=39.92289,-75.17819")</f>
        <v>http://maps.google.com/maps?f=q&amp;hl=en&amp;geocode=&amp;q=39.92289,-75.17819</v>
      </c>
    </row>
    <row r="6371" spans="1:7" ht="15" x14ac:dyDescent="0.3">
      <c r="A6371">
        <v>40.460018157958999</v>
      </c>
      <c r="B6371">
        <v>-78.591552734375</v>
      </c>
      <c r="C6371" t="s">
        <v>43</v>
      </c>
      <c r="D6371" t="s">
        <v>3922</v>
      </c>
      <c r="F6371" s="21"/>
      <c r="G6371" s="16" t="str">
        <f>HYPERLINK("http://maps.google.com/maps?f=q&amp;hl=en&amp;geocode=&amp;q=40.460018157959,-78.591552734375")</f>
        <v>http://maps.google.com/maps?f=q&amp;hl=en&amp;geocode=&amp;q=40.460018157959,-78.591552734375</v>
      </c>
    </row>
    <row r="6372" spans="1:7" ht="15" x14ac:dyDescent="0.3">
      <c r="A6372">
        <v>42.786174555414703</v>
      </c>
      <c r="B6372">
        <v>-83.223585988838295</v>
      </c>
      <c r="C6372" t="s">
        <v>43</v>
      </c>
      <c r="D6372" t="s">
        <v>3923</v>
      </c>
      <c r="F6372" s="21"/>
      <c r="G6372" s="16" t="str">
        <f>HYPERLINK("http://maps.google.com/maps?f=q&amp;hl=en&amp;geocode=&amp;q=42.7861745554147,-83.2235859888383")</f>
        <v>http://maps.google.com/maps?f=q&amp;hl=en&amp;geocode=&amp;q=42.7861745554147,-83.2235859888383</v>
      </c>
    </row>
    <row r="6373" spans="1:7" ht="15" x14ac:dyDescent="0.3">
      <c r="A6373">
        <v>40.290700000000001</v>
      </c>
      <c r="B6373">
        <v>-76.829700000000003</v>
      </c>
      <c r="C6373" t="s">
        <v>43</v>
      </c>
      <c r="D6373" t="s">
        <v>3924</v>
      </c>
      <c r="F6373" s="21"/>
      <c r="G6373" s="16" t="str">
        <f>HYPERLINK("http://maps.google.com/maps?f=q&amp;hl=en&amp;geocode=&amp;q=40.2907,-76.8297")</f>
        <v>http://maps.google.com/maps?f=q&amp;hl=en&amp;geocode=&amp;q=40.2907,-76.8297</v>
      </c>
    </row>
    <row r="6374" spans="1:7" ht="15" x14ac:dyDescent="0.3">
      <c r="A6374">
        <v>32.807560458383001</v>
      </c>
      <c r="B6374">
        <v>-117.066066544699</v>
      </c>
      <c r="C6374" t="s">
        <v>41</v>
      </c>
      <c r="D6374" t="s">
        <v>3925</v>
      </c>
      <c r="F6374" s="21"/>
      <c r="G6374" s="16" t="str">
        <f>HYPERLINK("http://maps.google.com/maps?f=q&amp;hl=en&amp;geocode=&amp;q=32.807560458383,-117.066066544699")</f>
        <v>http://maps.google.com/maps?f=q&amp;hl=en&amp;geocode=&amp;q=32.807560458383,-117.066066544699</v>
      </c>
    </row>
    <row r="6375" spans="1:7" ht="15" x14ac:dyDescent="0.3">
      <c r="A6375">
        <v>37.518749999999997</v>
      </c>
      <c r="B6375">
        <v>-77.453149999999994</v>
      </c>
      <c r="C6375" t="s">
        <v>43</v>
      </c>
      <c r="D6375" t="s">
        <v>3926</v>
      </c>
      <c r="F6375" s="21"/>
      <c r="G6375" s="16" t="str">
        <f>HYPERLINK("http://maps.google.com/maps?f=q&amp;hl=en&amp;geocode=&amp;q=37.51875,-77.45315")</f>
        <v>http://maps.google.com/maps?f=q&amp;hl=en&amp;geocode=&amp;q=37.51875,-77.45315</v>
      </c>
    </row>
    <row r="6376" spans="1:7" ht="15" x14ac:dyDescent="0.3">
      <c r="A6376">
        <v>42.470289999999999</v>
      </c>
      <c r="B6376">
        <v>-83.077780000000004</v>
      </c>
      <c r="C6376" t="s">
        <v>42</v>
      </c>
      <c r="D6376" t="s">
        <v>121</v>
      </c>
      <c r="F6376" s="21"/>
      <c r="G6376" s="16" t="str">
        <f>HYPERLINK("http://maps.google.com/maps?f=q&amp;hl=en&amp;geocode=&amp;q=42.47029,-83.07778")</f>
        <v>http://maps.google.com/maps?f=q&amp;hl=en&amp;geocode=&amp;q=42.47029,-83.07778</v>
      </c>
    </row>
    <row r="6377" spans="1:7" ht="15" x14ac:dyDescent="0.3">
      <c r="A6377">
        <v>-27.4657096862793</v>
      </c>
      <c r="B6377">
        <v>152.99693298339801</v>
      </c>
      <c r="C6377" t="s">
        <v>43</v>
      </c>
      <c r="D6377" t="s">
        <v>3927</v>
      </c>
      <c r="F6377" s="21"/>
      <c r="G6377" s="16" t="str">
        <f>HYPERLINK("http://maps.google.com/maps?f=q&amp;hl=en&amp;geocode=&amp;q=-27.4657096862793,152.996932983398")</f>
        <v>http://maps.google.com/maps?f=q&amp;hl=en&amp;geocode=&amp;q=-27.4657096862793,152.996932983398</v>
      </c>
    </row>
    <row r="6378" spans="1:7" ht="15" x14ac:dyDescent="0.3">
      <c r="A6378">
        <v>39.923110000000001</v>
      </c>
      <c r="B6378">
        <v>-75.179770000000005</v>
      </c>
      <c r="C6378" t="s">
        <v>43</v>
      </c>
      <c r="D6378" t="s">
        <v>3928</v>
      </c>
      <c r="F6378" s="21"/>
      <c r="G6378" s="16" t="str">
        <f>HYPERLINK("http://maps.google.com/maps?f=q&amp;hl=en&amp;geocode=&amp;q=39.92311,-75.17977")</f>
        <v>http://maps.google.com/maps?f=q&amp;hl=en&amp;geocode=&amp;q=39.92311,-75.17977</v>
      </c>
    </row>
    <row r="6379" spans="1:7" ht="15" x14ac:dyDescent="0.3">
      <c r="A6379">
        <v>40.044519999999999</v>
      </c>
      <c r="B6379">
        <v>-75.077770000000001</v>
      </c>
      <c r="C6379" t="s">
        <v>41</v>
      </c>
      <c r="D6379" t="s">
        <v>1226</v>
      </c>
      <c r="F6379" s="21"/>
      <c r="G6379" s="16" t="str">
        <f>HYPERLINK("http://maps.google.com/maps?f=q&amp;hl=en&amp;geocode=&amp;q=40.04452,-75.07777")</f>
        <v>http://maps.google.com/maps?f=q&amp;hl=en&amp;geocode=&amp;q=40.04452,-75.07777</v>
      </c>
    </row>
    <row r="6380" spans="1:7" ht="15" x14ac:dyDescent="0.3">
      <c r="A6380">
        <v>39.923110000000001</v>
      </c>
      <c r="B6380">
        <v>-75.179770000000005</v>
      </c>
      <c r="C6380" t="s">
        <v>43</v>
      </c>
      <c r="D6380" t="s">
        <v>3928</v>
      </c>
      <c r="F6380" s="21"/>
      <c r="G6380" s="16" t="str">
        <f>HYPERLINK("http://maps.google.com/maps?f=q&amp;hl=en&amp;geocode=&amp;q=39.92311,-75.17977")</f>
        <v>http://maps.google.com/maps?f=q&amp;hl=en&amp;geocode=&amp;q=39.92311,-75.17977</v>
      </c>
    </row>
    <row r="6381" spans="1:7" ht="15" x14ac:dyDescent="0.3">
      <c r="A6381">
        <v>38.890369415283203</v>
      </c>
      <c r="B6381">
        <v>-77.031959533691406</v>
      </c>
      <c r="C6381" t="s">
        <v>41</v>
      </c>
      <c r="D6381" t="s">
        <v>3929</v>
      </c>
      <c r="F6381" s="21"/>
      <c r="G6381" s="16" t="str">
        <f>HYPERLINK("http://maps.google.com/maps?f=q&amp;hl=en&amp;geocode=&amp;q=38.8903694152832,-77.0319595336914")</f>
        <v>http://maps.google.com/maps?f=q&amp;hl=en&amp;geocode=&amp;q=38.8903694152832,-77.0319595336914</v>
      </c>
    </row>
    <row r="6382" spans="1:7" ht="15" x14ac:dyDescent="0.3">
      <c r="A6382">
        <v>39.922310000000003</v>
      </c>
      <c r="B6382">
        <v>-75.183539999999994</v>
      </c>
      <c r="C6382" t="s">
        <v>43</v>
      </c>
      <c r="D6382" t="s">
        <v>3930</v>
      </c>
      <c r="F6382" s="21"/>
      <c r="G6382" s="16" t="str">
        <f>HYPERLINK("http://maps.google.com/maps?f=q&amp;hl=en&amp;geocode=&amp;q=39.92231,-75.18354")</f>
        <v>http://maps.google.com/maps?f=q&amp;hl=en&amp;geocode=&amp;q=39.92231,-75.18354</v>
      </c>
    </row>
    <row r="6383" spans="1:7" ht="15" x14ac:dyDescent="0.3">
      <c r="A6383">
        <v>37.371139526367202</v>
      </c>
      <c r="B6383">
        <v>-2.9727001190185498</v>
      </c>
      <c r="C6383" t="s">
        <v>43</v>
      </c>
      <c r="D6383" t="s">
        <v>3931</v>
      </c>
      <c r="F6383" s="21"/>
      <c r="G6383" s="16" t="str">
        <f>HYPERLINK("http://maps.google.com/maps?f=q&amp;hl=en&amp;geocode=&amp;q=37.3711395263672,-2.97270011901855")</f>
        <v>http://maps.google.com/maps?f=q&amp;hl=en&amp;geocode=&amp;q=37.3711395263672,-2.97270011901855</v>
      </c>
    </row>
    <row r="6384" spans="1:7" ht="15" x14ac:dyDescent="0.3">
      <c r="A6384">
        <v>37.15155</v>
      </c>
      <c r="B6384">
        <v>-77.300139999999999</v>
      </c>
      <c r="C6384" t="s">
        <v>41</v>
      </c>
      <c r="D6384" t="s">
        <v>329</v>
      </c>
      <c r="F6384" s="21"/>
      <c r="G6384" s="16" t="str">
        <f>HYPERLINK("http://maps.google.com/maps?f=q&amp;hl=en&amp;geocode=&amp;q=37.15155,-77.30014")</f>
        <v>http://maps.google.com/maps?f=q&amp;hl=en&amp;geocode=&amp;q=37.15155,-77.30014</v>
      </c>
    </row>
    <row r="6385" spans="1:7" ht="15" x14ac:dyDescent="0.3">
      <c r="F6385" s="21"/>
      <c r="G6385" s="16"/>
    </row>
    <row r="6386" spans="1:7" ht="15" x14ac:dyDescent="0.3">
      <c r="A6386">
        <v>51.523796081542997</v>
      </c>
      <c r="B6386">
        <v>5.95916795730591</v>
      </c>
      <c r="C6386" t="s">
        <v>43</v>
      </c>
      <c r="D6386" t="s">
        <v>1419</v>
      </c>
      <c r="F6386" s="21"/>
      <c r="G6386" s="16" t="str">
        <f>HYPERLINK("http://maps.google.com/maps?f=q&amp;hl=en&amp;geocode=&amp;q=51.523796081543,5.95916795730591")</f>
        <v>http://maps.google.com/maps?f=q&amp;hl=en&amp;geocode=&amp;q=51.523796081543,5.95916795730591</v>
      </c>
    </row>
    <row r="6387" spans="1:7" ht="15" x14ac:dyDescent="0.3">
      <c r="A6387">
        <v>41.5089111328125</v>
      </c>
      <c r="B6387">
        <v>-87.073318481445298</v>
      </c>
      <c r="C6387" t="s">
        <v>43</v>
      </c>
      <c r="D6387" t="s">
        <v>3932</v>
      </c>
      <c r="F6387" s="21"/>
      <c r="G6387" s="16" t="str">
        <f>HYPERLINK("http://maps.google.com/maps?f=q&amp;hl=en&amp;geocode=&amp;q=41.5089111328125,-87.0733184814453")</f>
        <v>http://maps.google.com/maps?f=q&amp;hl=en&amp;geocode=&amp;q=41.5089111328125,-87.0733184814453</v>
      </c>
    </row>
    <row r="6388" spans="1:7" ht="15" x14ac:dyDescent="0.3">
      <c r="A6388" t="s">
        <v>44</v>
      </c>
      <c r="B6388" t="s">
        <v>44</v>
      </c>
      <c r="C6388" t="s">
        <v>44</v>
      </c>
      <c r="D6388" t="s">
        <v>3933</v>
      </c>
      <c r="F6388" s="21"/>
      <c r="G6388" s="16"/>
    </row>
    <row r="6389" spans="1:7" ht="15" x14ac:dyDescent="0.3">
      <c r="A6389">
        <v>36.836219787597699</v>
      </c>
      <c r="B6389">
        <v>10.3110303878784</v>
      </c>
      <c r="C6389" t="s">
        <v>41</v>
      </c>
      <c r="D6389" t="s">
        <v>3934</v>
      </c>
      <c r="F6389" s="21"/>
      <c r="G6389" s="16" t="str">
        <f>HYPERLINK("http://maps.google.com/maps?f=q&amp;hl=en&amp;geocode=&amp;q=36.8362197875977,10.3110303878784")</f>
        <v>http://maps.google.com/maps?f=q&amp;hl=en&amp;geocode=&amp;q=36.8362197875977,10.3110303878784</v>
      </c>
    </row>
    <row r="6390" spans="1:7" ht="15" x14ac:dyDescent="0.3">
      <c r="A6390">
        <v>40.727969999999999</v>
      </c>
      <c r="B6390">
        <v>-111.81629</v>
      </c>
      <c r="C6390" t="s">
        <v>42</v>
      </c>
      <c r="D6390" t="s">
        <v>3935</v>
      </c>
      <c r="F6390" s="21"/>
      <c r="G6390" s="16" t="str">
        <f>HYPERLINK("http://maps.google.com/maps?f=q&amp;hl=en&amp;geocode=&amp;q=40.72797,-111.81629")</f>
        <v>http://maps.google.com/maps?f=q&amp;hl=en&amp;geocode=&amp;q=40.72797,-111.81629</v>
      </c>
    </row>
    <row r="6391" spans="1:7" ht="15" x14ac:dyDescent="0.3">
      <c r="A6391">
        <v>49.518180847167997</v>
      </c>
      <c r="B6391">
        <v>5.8978409767150897</v>
      </c>
      <c r="C6391" t="s">
        <v>41</v>
      </c>
      <c r="D6391" t="s">
        <v>2510</v>
      </c>
      <c r="F6391" s="21"/>
      <c r="G6391" s="16" t="str">
        <f>HYPERLINK("http://maps.google.com/maps?f=q&amp;hl=en&amp;geocode=&amp;q=49.518180847168,5.89784097671509")</f>
        <v>http://maps.google.com/maps?f=q&amp;hl=en&amp;geocode=&amp;q=49.518180847168,5.89784097671509</v>
      </c>
    </row>
    <row r="6392" spans="1:7" ht="15" x14ac:dyDescent="0.3">
      <c r="A6392">
        <v>-26.034427642822301</v>
      </c>
      <c r="B6392">
        <v>28.5431098937988</v>
      </c>
      <c r="C6392" t="s">
        <v>43</v>
      </c>
      <c r="D6392" t="s">
        <v>706</v>
      </c>
      <c r="F6392" s="21"/>
      <c r="G6392" s="16" t="str">
        <f>HYPERLINK("http://maps.google.com/maps?f=q&amp;hl=en&amp;geocode=&amp;q=-26.0344276428223,28.5431098937988")</f>
        <v>http://maps.google.com/maps?f=q&amp;hl=en&amp;geocode=&amp;q=-26.0344276428223,28.5431098937988</v>
      </c>
    </row>
    <row r="6393" spans="1:7" ht="15" x14ac:dyDescent="0.3">
      <c r="A6393">
        <v>49.518180847167997</v>
      </c>
      <c r="B6393">
        <v>5.8978409767150897</v>
      </c>
      <c r="C6393" t="s">
        <v>41</v>
      </c>
      <c r="D6393" t="s">
        <v>2510</v>
      </c>
      <c r="F6393" s="21"/>
      <c r="G6393" s="16" t="str">
        <f>HYPERLINK("http://maps.google.com/maps?f=q&amp;hl=en&amp;geocode=&amp;q=49.518180847168,5.89784097671509")</f>
        <v>http://maps.google.com/maps?f=q&amp;hl=en&amp;geocode=&amp;q=49.518180847168,5.89784097671509</v>
      </c>
    </row>
    <row r="6394" spans="1:7" ht="15" x14ac:dyDescent="0.3">
      <c r="A6394">
        <v>49.518180847167997</v>
      </c>
      <c r="B6394">
        <v>5.8978409767150897</v>
      </c>
      <c r="C6394" t="s">
        <v>41</v>
      </c>
      <c r="D6394" t="s">
        <v>2510</v>
      </c>
      <c r="F6394" s="21"/>
      <c r="G6394" s="16" t="str">
        <f>HYPERLINK("http://maps.google.com/maps?f=q&amp;hl=en&amp;geocode=&amp;q=49.518180847168,5.89784097671509")</f>
        <v>http://maps.google.com/maps?f=q&amp;hl=en&amp;geocode=&amp;q=49.518180847168,5.89784097671509</v>
      </c>
    </row>
    <row r="6395" spans="1:7" ht="15" x14ac:dyDescent="0.3">
      <c r="A6395">
        <v>49.518180847167997</v>
      </c>
      <c r="B6395">
        <v>5.8978409767150897</v>
      </c>
      <c r="C6395" t="s">
        <v>41</v>
      </c>
      <c r="D6395" t="s">
        <v>2510</v>
      </c>
      <c r="F6395" s="21"/>
      <c r="G6395" s="16" t="str">
        <f>HYPERLINK("http://maps.google.com/maps?f=q&amp;hl=en&amp;geocode=&amp;q=49.518180847168,5.89784097671509")</f>
        <v>http://maps.google.com/maps?f=q&amp;hl=en&amp;geocode=&amp;q=49.518180847168,5.89784097671509</v>
      </c>
    </row>
    <row r="6396" spans="1:7" ht="15" x14ac:dyDescent="0.3">
      <c r="A6396">
        <v>49.518180847167997</v>
      </c>
      <c r="B6396">
        <v>5.8978409767150897</v>
      </c>
      <c r="C6396" t="s">
        <v>41</v>
      </c>
      <c r="D6396" t="s">
        <v>2510</v>
      </c>
      <c r="F6396" s="21"/>
      <c r="G6396" s="16" t="str">
        <f>HYPERLINK("http://maps.google.com/maps?f=q&amp;hl=en&amp;geocode=&amp;q=49.518180847168,5.89784097671509")</f>
        <v>http://maps.google.com/maps?f=q&amp;hl=en&amp;geocode=&amp;q=49.518180847168,5.89784097671509</v>
      </c>
    </row>
    <row r="6397" spans="1:7" ht="15" x14ac:dyDescent="0.3">
      <c r="A6397" t="s">
        <v>44</v>
      </c>
      <c r="B6397" t="s">
        <v>44</v>
      </c>
      <c r="C6397" t="s">
        <v>44</v>
      </c>
      <c r="D6397" t="s">
        <v>981</v>
      </c>
      <c r="F6397" s="21"/>
      <c r="G6397" s="16"/>
    </row>
    <row r="6398" spans="1:7" ht="15" x14ac:dyDescent="0.3">
      <c r="A6398">
        <v>40.731639999999999</v>
      </c>
      <c r="B6398">
        <v>-74.155670000000001</v>
      </c>
      <c r="C6398" t="s">
        <v>41</v>
      </c>
      <c r="D6398" t="s">
        <v>3936</v>
      </c>
      <c r="F6398" s="21"/>
      <c r="G6398" s="16" t="str">
        <f>HYPERLINK("http://maps.google.com/maps?f=q&amp;hl=en&amp;geocode=&amp;q=40.73164,-74.15567")</f>
        <v>http://maps.google.com/maps?f=q&amp;hl=en&amp;geocode=&amp;q=40.73164,-74.15567</v>
      </c>
    </row>
    <row r="6399" spans="1:7" ht="15" x14ac:dyDescent="0.3">
      <c r="A6399">
        <v>38.811807802961901</v>
      </c>
      <c r="B6399">
        <v>-76.697224001562503</v>
      </c>
      <c r="C6399" t="s">
        <v>41</v>
      </c>
      <c r="D6399" t="s">
        <v>3937</v>
      </c>
      <c r="F6399" s="21"/>
      <c r="G6399" s="16" t="str">
        <f>HYPERLINK("http://maps.google.com/maps?f=q&amp;hl=en&amp;geocode=&amp;q=38.8118078029619,-76.6972240015625")</f>
        <v>http://maps.google.com/maps?f=q&amp;hl=en&amp;geocode=&amp;q=38.8118078029619,-76.6972240015625</v>
      </c>
    </row>
    <row r="6400" spans="1:7" ht="15" x14ac:dyDescent="0.3">
      <c r="A6400" t="s">
        <v>44</v>
      </c>
      <c r="B6400" t="s">
        <v>44</v>
      </c>
      <c r="C6400" t="s">
        <v>44</v>
      </c>
      <c r="D6400" t="s">
        <v>3938</v>
      </c>
      <c r="F6400" s="21"/>
      <c r="G6400" s="16"/>
    </row>
    <row r="6401" spans="1:7" ht="15" x14ac:dyDescent="0.3">
      <c r="A6401">
        <v>47.095829010009801</v>
      </c>
      <c r="B6401">
        <v>-122.62953948974599</v>
      </c>
      <c r="C6401" t="s">
        <v>43</v>
      </c>
      <c r="D6401" t="s">
        <v>236</v>
      </c>
      <c r="F6401" s="21"/>
      <c r="G6401" s="16" t="str">
        <f>HYPERLINK("http://maps.google.com/maps?f=q&amp;hl=en&amp;geocode=&amp;q=47.0958290100098,-122.629539489746")</f>
        <v>http://maps.google.com/maps?f=q&amp;hl=en&amp;geocode=&amp;q=47.0958290100098,-122.629539489746</v>
      </c>
    </row>
    <row r="6402" spans="1:7" ht="15" x14ac:dyDescent="0.3">
      <c r="A6402">
        <v>43.096769999999999</v>
      </c>
      <c r="B6402">
        <v>-78.873959999999997</v>
      </c>
      <c r="C6402" t="s">
        <v>43</v>
      </c>
      <c r="D6402" t="s">
        <v>3939</v>
      </c>
      <c r="F6402" s="21"/>
      <c r="G6402" s="16" t="str">
        <f>HYPERLINK("http://maps.google.com/maps?f=q&amp;hl=en&amp;geocode=&amp;q=43.09677,-78.87396")</f>
        <v>http://maps.google.com/maps?f=q&amp;hl=en&amp;geocode=&amp;q=43.09677,-78.87396</v>
      </c>
    </row>
    <row r="6403" spans="1:7" ht="15" x14ac:dyDescent="0.3">
      <c r="A6403">
        <v>-26.142440000000001</v>
      </c>
      <c r="B6403">
        <v>27.91825</v>
      </c>
      <c r="C6403" t="s">
        <v>41</v>
      </c>
      <c r="D6403" t="s">
        <v>2558</v>
      </c>
      <c r="F6403" s="21"/>
      <c r="G6403" s="16" t="str">
        <f>HYPERLINK("http://maps.google.com/maps?f=q&amp;hl=en&amp;geocode=&amp;q=-26.14244,27.91825")</f>
        <v>http://maps.google.com/maps?f=q&amp;hl=en&amp;geocode=&amp;q=-26.14244,27.91825</v>
      </c>
    </row>
    <row r="6404" spans="1:7" ht="15" x14ac:dyDescent="0.3">
      <c r="A6404">
        <v>46.371490270202898</v>
      </c>
      <c r="B6404">
        <v>-101.838714115603</v>
      </c>
      <c r="C6404" t="s">
        <v>41</v>
      </c>
      <c r="D6404" t="s">
        <v>3940</v>
      </c>
      <c r="F6404" s="21"/>
      <c r="G6404" s="16" t="str">
        <f>HYPERLINK("http://maps.google.com/maps?f=q&amp;hl=en&amp;geocode=&amp;q=46.3714902702029,-101.838714115603")</f>
        <v>http://maps.google.com/maps?f=q&amp;hl=en&amp;geocode=&amp;q=46.3714902702029,-101.838714115603</v>
      </c>
    </row>
    <row r="6405" spans="1:7" ht="15" x14ac:dyDescent="0.3">
      <c r="A6405">
        <v>39.931432553449</v>
      </c>
      <c r="B6405">
        <v>-75.157047806880101</v>
      </c>
      <c r="C6405" t="s">
        <v>41</v>
      </c>
      <c r="D6405" t="s">
        <v>3538</v>
      </c>
      <c r="F6405" s="21"/>
      <c r="G6405" s="16" t="str">
        <f>HYPERLINK("http://maps.google.com/maps?f=q&amp;hl=en&amp;geocode=&amp;q=39.931432553449,-75.1570478068801")</f>
        <v>http://maps.google.com/maps?f=q&amp;hl=en&amp;geocode=&amp;q=39.931432553449,-75.1570478068801</v>
      </c>
    </row>
    <row r="6406" spans="1:7" ht="15" x14ac:dyDescent="0.3">
      <c r="A6406">
        <v>34.7920669787107</v>
      </c>
      <c r="B6406">
        <v>-81.143619018681605</v>
      </c>
      <c r="C6406" t="s">
        <v>41</v>
      </c>
      <c r="D6406" t="s">
        <v>3453</v>
      </c>
      <c r="F6406" s="21"/>
      <c r="G6406" s="16" t="str">
        <f>HYPERLINK("http://maps.google.com/maps?f=q&amp;hl=en&amp;geocode=&amp;q=34.7920669787107,-81.1436190186816")</f>
        <v>http://maps.google.com/maps?f=q&amp;hl=en&amp;geocode=&amp;q=34.7920669787107,-81.1436190186816</v>
      </c>
    </row>
    <row r="6407" spans="1:7" ht="15" x14ac:dyDescent="0.3">
      <c r="A6407">
        <v>37.265300000000003</v>
      </c>
      <c r="B6407">
        <v>-93.320549999999997</v>
      </c>
      <c r="C6407" t="s">
        <v>43</v>
      </c>
      <c r="D6407" t="s">
        <v>3941</v>
      </c>
      <c r="F6407" s="21"/>
      <c r="G6407" s="16" t="str">
        <f>HYPERLINK("http://maps.google.com/maps?f=q&amp;hl=en&amp;geocode=&amp;q=37.2653,-93.32055")</f>
        <v>http://maps.google.com/maps?f=q&amp;hl=en&amp;geocode=&amp;q=37.2653,-93.32055</v>
      </c>
    </row>
    <row r="6408" spans="1:7" ht="15" x14ac:dyDescent="0.3">
      <c r="A6408">
        <v>49.518180847167997</v>
      </c>
      <c r="B6408">
        <v>5.8978409767150897</v>
      </c>
      <c r="C6408" t="s">
        <v>41</v>
      </c>
      <c r="D6408" t="s">
        <v>2510</v>
      </c>
      <c r="F6408" s="21"/>
      <c r="G6408" s="16" t="str">
        <f>HYPERLINK("http://maps.google.com/maps?f=q&amp;hl=en&amp;geocode=&amp;q=49.518180847168,5.89784097671509")</f>
        <v>http://maps.google.com/maps?f=q&amp;hl=en&amp;geocode=&amp;q=49.518180847168,5.89784097671509</v>
      </c>
    </row>
    <row r="6409" spans="1:7" ht="15" x14ac:dyDescent="0.3">
      <c r="A6409">
        <v>49.518180847167997</v>
      </c>
      <c r="B6409">
        <v>5.8978409767150897</v>
      </c>
      <c r="C6409" t="s">
        <v>41</v>
      </c>
      <c r="D6409" t="s">
        <v>2510</v>
      </c>
      <c r="F6409" s="21"/>
      <c r="G6409" s="16" t="str">
        <f>HYPERLINK("http://maps.google.com/maps?f=q&amp;hl=en&amp;geocode=&amp;q=49.518180847168,5.89784097671509")</f>
        <v>http://maps.google.com/maps?f=q&amp;hl=en&amp;geocode=&amp;q=49.518180847168,5.89784097671509</v>
      </c>
    </row>
    <row r="6410" spans="1:7" ht="15" x14ac:dyDescent="0.3">
      <c r="A6410">
        <v>40.445797327600403</v>
      </c>
      <c r="B6410">
        <v>-80.046893979024901</v>
      </c>
      <c r="C6410" t="s">
        <v>41</v>
      </c>
      <c r="D6410" t="s">
        <v>3942</v>
      </c>
      <c r="F6410" s="21"/>
      <c r="G6410" s="16" t="str">
        <f>HYPERLINK("http://maps.google.com/maps?f=q&amp;hl=en&amp;geocode=&amp;q=40.4457973276004,-80.0468939790249")</f>
        <v>http://maps.google.com/maps?f=q&amp;hl=en&amp;geocode=&amp;q=40.4457973276004,-80.0468939790249</v>
      </c>
    </row>
    <row r="6411" spans="1:7" ht="15" x14ac:dyDescent="0.3">
      <c r="A6411">
        <v>27.589342892899701</v>
      </c>
      <c r="B6411">
        <v>-82.051996660270504</v>
      </c>
      <c r="C6411" t="s">
        <v>42</v>
      </c>
      <c r="D6411" t="s">
        <v>3038</v>
      </c>
      <c r="F6411" s="21"/>
      <c r="G6411" s="16" t="str">
        <f>HYPERLINK("http://maps.google.com/maps?f=q&amp;hl=en&amp;geocode=&amp;q=27.5893428928997,-82.0519966602705")</f>
        <v>http://maps.google.com/maps?f=q&amp;hl=en&amp;geocode=&amp;q=27.5893428928997,-82.0519966602705</v>
      </c>
    </row>
    <row r="6412" spans="1:7" ht="15" x14ac:dyDescent="0.3">
      <c r="A6412">
        <v>40.040390000000002</v>
      </c>
      <c r="B6412">
        <v>-75.109629999999996</v>
      </c>
      <c r="C6412" t="s">
        <v>43</v>
      </c>
      <c r="D6412" t="s">
        <v>777</v>
      </c>
      <c r="F6412" s="21"/>
      <c r="G6412" s="16" t="str">
        <f>HYPERLINK("http://maps.google.com/maps?f=q&amp;hl=en&amp;geocode=&amp;q=40.04039,-75.10963")</f>
        <v>http://maps.google.com/maps?f=q&amp;hl=en&amp;geocode=&amp;q=40.04039,-75.10963</v>
      </c>
    </row>
    <row r="6413" spans="1:7" ht="15" x14ac:dyDescent="0.3">
      <c r="A6413">
        <v>40.040390000000002</v>
      </c>
      <c r="B6413">
        <v>-75.109629999999996</v>
      </c>
      <c r="C6413" t="s">
        <v>43</v>
      </c>
      <c r="D6413" t="s">
        <v>777</v>
      </c>
      <c r="F6413" s="21"/>
      <c r="G6413" s="16" t="str">
        <f>HYPERLINK("http://maps.google.com/maps?f=q&amp;hl=en&amp;geocode=&amp;q=40.04039,-75.10963")</f>
        <v>http://maps.google.com/maps?f=q&amp;hl=en&amp;geocode=&amp;q=40.04039,-75.10963</v>
      </c>
    </row>
    <row r="6414" spans="1:7" ht="15" x14ac:dyDescent="0.3">
      <c r="A6414">
        <v>43.026452978160499</v>
      </c>
      <c r="B6414">
        <v>-95.623947972903807</v>
      </c>
      <c r="C6414" t="s">
        <v>41</v>
      </c>
      <c r="D6414" t="s">
        <v>79</v>
      </c>
      <c r="F6414" s="21"/>
      <c r="G6414" s="16" t="str">
        <f>HYPERLINK("http://maps.google.com/maps?f=q&amp;hl=en&amp;geocode=&amp;q=43.0264529781605,-95.6239479729038")</f>
        <v>http://maps.google.com/maps?f=q&amp;hl=en&amp;geocode=&amp;q=43.0264529781605,-95.6239479729038</v>
      </c>
    </row>
    <row r="6415" spans="1:7" ht="15" x14ac:dyDescent="0.3">
      <c r="A6415">
        <v>43.026452978160499</v>
      </c>
      <c r="B6415">
        <v>-95.623947972903807</v>
      </c>
      <c r="C6415" t="s">
        <v>41</v>
      </c>
      <c r="D6415" t="s">
        <v>79</v>
      </c>
      <c r="F6415" s="21"/>
      <c r="G6415" s="16" t="str">
        <f>HYPERLINK("http://maps.google.com/maps?f=q&amp;hl=en&amp;geocode=&amp;q=43.0264529781605,-95.6239479729038")</f>
        <v>http://maps.google.com/maps?f=q&amp;hl=en&amp;geocode=&amp;q=43.0264529781605,-95.6239479729038</v>
      </c>
    </row>
    <row r="6416" spans="1:7" ht="15" x14ac:dyDescent="0.3">
      <c r="A6416">
        <v>35.4997635509473</v>
      </c>
      <c r="B6416">
        <v>-92.220770000698494</v>
      </c>
      <c r="C6416" t="s">
        <v>41</v>
      </c>
      <c r="D6416" t="s">
        <v>3579</v>
      </c>
      <c r="F6416" s="21"/>
      <c r="G6416" s="16" t="str">
        <f>HYPERLINK("http://maps.google.com/maps?f=q&amp;hl=en&amp;geocode=&amp;q=35.4997635509473,-92.2207700006985")</f>
        <v>http://maps.google.com/maps?f=q&amp;hl=en&amp;geocode=&amp;q=35.4997635509473,-92.2207700006985</v>
      </c>
    </row>
    <row r="6417" spans="1:7" ht="15" x14ac:dyDescent="0.3">
      <c r="A6417" t="s">
        <v>44</v>
      </c>
      <c r="B6417" t="s">
        <v>44</v>
      </c>
      <c r="C6417" t="s">
        <v>44</v>
      </c>
      <c r="D6417" t="s">
        <v>3014</v>
      </c>
      <c r="F6417" s="21"/>
      <c r="G6417" s="16"/>
    </row>
    <row r="6418" spans="1:7" ht="15" x14ac:dyDescent="0.3">
      <c r="A6418" t="s">
        <v>44</v>
      </c>
      <c r="B6418" t="s">
        <v>44</v>
      </c>
      <c r="C6418" t="s">
        <v>44</v>
      </c>
      <c r="D6418" t="s">
        <v>3014</v>
      </c>
      <c r="F6418" s="21"/>
      <c r="G6418" s="16"/>
    </row>
    <row r="6419" spans="1:7" ht="15" x14ac:dyDescent="0.3">
      <c r="A6419">
        <v>37.923854966160498</v>
      </c>
      <c r="B6419">
        <v>-122.380986139203</v>
      </c>
      <c r="C6419" t="s">
        <v>41</v>
      </c>
      <c r="D6419" t="s">
        <v>3943</v>
      </c>
      <c r="F6419" s="21"/>
      <c r="G6419" s="16" t="str">
        <f>HYPERLINK("http://maps.google.com/maps?f=q&amp;hl=en&amp;geocode=&amp;q=37.9238549661605,-122.380986139203")</f>
        <v>http://maps.google.com/maps?f=q&amp;hl=en&amp;geocode=&amp;q=37.9238549661605,-122.380986139203</v>
      </c>
    </row>
    <row r="6420" spans="1:7" ht="15" x14ac:dyDescent="0.3">
      <c r="A6420">
        <v>40.048934453123302</v>
      </c>
      <c r="B6420">
        <v>-75.189358293433401</v>
      </c>
      <c r="C6420" t="s">
        <v>41</v>
      </c>
      <c r="D6420" t="s">
        <v>3944</v>
      </c>
      <c r="F6420" s="21"/>
      <c r="G6420" s="16" t="str">
        <f>HYPERLINK("http://maps.google.com/maps?f=q&amp;hl=en&amp;geocode=&amp;q=40.0489344531233,-75.1893582934334")</f>
        <v>http://maps.google.com/maps?f=q&amp;hl=en&amp;geocode=&amp;q=40.0489344531233,-75.1893582934334</v>
      </c>
    </row>
    <row r="6421" spans="1:7" ht="15" x14ac:dyDescent="0.3">
      <c r="A6421">
        <v>37.193010000000001</v>
      </c>
      <c r="B6421">
        <v>-79.925550000000001</v>
      </c>
      <c r="C6421" t="s">
        <v>42</v>
      </c>
      <c r="D6421" t="s">
        <v>640</v>
      </c>
      <c r="F6421" s="21"/>
      <c r="G6421" s="16" t="str">
        <f>HYPERLINK("http://maps.google.com/maps?f=q&amp;hl=en&amp;geocode=&amp;q=37.19301,-79.92555")</f>
        <v>http://maps.google.com/maps?f=q&amp;hl=en&amp;geocode=&amp;q=37.19301,-79.92555</v>
      </c>
    </row>
    <row r="6422" spans="1:7" ht="15" x14ac:dyDescent="0.3">
      <c r="A6422">
        <v>36.721884866782297</v>
      </c>
      <c r="B6422">
        <v>-120.048786099035</v>
      </c>
      <c r="C6422" t="s">
        <v>41</v>
      </c>
      <c r="D6422" t="s">
        <v>3945</v>
      </c>
      <c r="F6422" s="21"/>
      <c r="G6422" s="16" t="str">
        <f>HYPERLINK("http://maps.google.com/maps?f=q&amp;hl=en&amp;geocode=&amp;q=36.7218848667823,-120.048786099035")</f>
        <v>http://maps.google.com/maps?f=q&amp;hl=en&amp;geocode=&amp;q=36.7218848667823,-120.048786099035</v>
      </c>
    </row>
    <row r="6423" spans="1:7" ht="15" x14ac:dyDescent="0.3">
      <c r="A6423">
        <v>50.068752288818402</v>
      </c>
      <c r="B6423">
        <v>-85.828125</v>
      </c>
      <c r="C6423" t="s">
        <v>41</v>
      </c>
      <c r="D6423" t="s">
        <v>1383</v>
      </c>
      <c r="F6423" s="21"/>
      <c r="G6423" s="16" t="str">
        <f>HYPERLINK("http://maps.google.com/maps?f=q&amp;hl=en&amp;geocode=&amp;q=50.0687522888184,-85.828125")</f>
        <v>http://maps.google.com/maps?f=q&amp;hl=en&amp;geocode=&amp;q=50.0687522888184,-85.828125</v>
      </c>
    </row>
    <row r="6424" spans="1:7" ht="15" x14ac:dyDescent="0.3">
      <c r="A6424">
        <v>29.144487691936799</v>
      </c>
      <c r="B6424">
        <v>-97.545163659378005</v>
      </c>
      <c r="C6424" t="s">
        <v>41</v>
      </c>
      <c r="D6424" t="s">
        <v>3946</v>
      </c>
      <c r="F6424" s="21"/>
      <c r="G6424" s="16" t="str">
        <f>HYPERLINK("http://maps.google.com/maps?f=q&amp;hl=en&amp;geocode=&amp;q=29.1444876919368,-97.545163659378")</f>
        <v>http://maps.google.com/maps?f=q&amp;hl=en&amp;geocode=&amp;q=29.1444876919368,-97.545163659378</v>
      </c>
    </row>
    <row r="6425" spans="1:7" ht="15" x14ac:dyDescent="0.3">
      <c r="A6425">
        <v>36.383634418760103</v>
      </c>
      <c r="B6425">
        <v>-78.635280298519305</v>
      </c>
      <c r="C6425" t="s">
        <v>41</v>
      </c>
      <c r="D6425" t="s">
        <v>51</v>
      </c>
      <c r="F6425" s="21"/>
      <c r="G6425" s="16" t="str">
        <f>HYPERLINK("http://maps.google.com/maps?f=q&amp;hl=en&amp;geocode=&amp;q=36.3836344187601,-78.6352802985193")</f>
        <v>http://maps.google.com/maps?f=q&amp;hl=en&amp;geocode=&amp;q=36.3836344187601,-78.6352802985193</v>
      </c>
    </row>
    <row r="6426" spans="1:7" ht="15" x14ac:dyDescent="0.3">
      <c r="A6426">
        <v>36.382385157353298</v>
      </c>
      <c r="B6426">
        <v>-78.628909711545006</v>
      </c>
      <c r="C6426" t="s">
        <v>41</v>
      </c>
      <c r="D6426" t="s">
        <v>138</v>
      </c>
      <c r="F6426" s="21"/>
      <c r="G6426" s="16" t="str">
        <f>HYPERLINK("http://maps.google.com/maps?f=q&amp;hl=en&amp;geocode=&amp;q=36.3823851573533,-78.628909711545")</f>
        <v>http://maps.google.com/maps?f=q&amp;hl=en&amp;geocode=&amp;q=36.3823851573533,-78.628909711545</v>
      </c>
    </row>
    <row r="6427" spans="1:7" ht="15" x14ac:dyDescent="0.3">
      <c r="A6427">
        <v>36.383634418760103</v>
      </c>
      <c r="B6427">
        <v>-78.635280298519305</v>
      </c>
      <c r="C6427" t="s">
        <v>41</v>
      </c>
      <c r="D6427" t="s">
        <v>51</v>
      </c>
      <c r="F6427" s="21"/>
      <c r="G6427" s="16" t="str">
        <f>HYPERLINK("http://maps.google.com/maps?f=q&amp;hl=en&amp;geocode=&amp;q=36.3836344187601,-78.6352802985193")</f>
        <v>http://maps.google.com/maps?f=q&amp;hl=en&amp;geocode=&amp;q=36.3836344187601,-78.6352802985193</v>
      </c>
    </row>
    <row r="6428" spans="1:7" ht="15" x14ac:dyDescent="0.3">
      <c r="A6428">
        <v>36.383634418760103</v>
      </c>
      <c r="B6428">
        <v>-78.635280298519305</v>
      </c>
      <c r="C6428" t="s">
        <v>41</v>
      </c>
      <c r="D6428" t="s">
        <v>51</v>
      </c>
      <c r="F6428" s="21"/>
      <c r="G6428" s="16" t="str">
        <f>HYPERLINK("http://maps.google.com/maps?f=q&amp;hl=en&amp;geocode=&amp;q=36.3836344187601,-78.6352802985193")</f>
        <v>http://maps.google.com/maps?f=q&amp;hl=en&amp;geocode=&amp;q=36.3836344187601,-78.6352802985193</v>
      </c>
    </row>
    <row r="6429" spans="1:7" ht="15" x14ac:dyDescent="0.3">
      <c r="A6429">
        <v>36.383634418760103</v>
      </c>
      <c r="B6429">
        <v>-78.635280298519305</v>
      </c>
      <c r="C6429" t="s">
        <v>41</v>
      </c>
      <c r="D6429" t="s">
        <v>51</v>
      </c>
      <c r="F6429" s="21"/>
      <c r="G6429" s="16" t="str">
        <f>HYPERLINK("http://maps.google.com/maps?f=q&amp;hl=en&amp;geocode=&amp;q=36.3836344187601,-78.6352802985193")</f>
        <v>http://maps.google.com/maps?f=q&amp;hl=en&amp;geocode=&amp;q=36.3836344187601,-78.6352802985193</v>
      </c>
    </row>
    <row r="6430" spans="1:7" ht="15" x14ac:dyDescent="0.3">
      <c r="A6430">
        <v>39.994419999999998</v>
      </c>
      <c r="B6430">
        <v>-75.182010000000005</v>
      </c>
      <c r="C6430" t="s">
        <v>41</v>
      </c>
      <c r="D6430" t="s">
        <v>3947</v>
      </c>
      <c r="F6430" s="21"/>
      <c r="G6430" s="16" t="str">
        <f>HYPERLINK("http://maps.google.com/maps?f=q&amp;hl=en&amp;geocode=&amp;q=39.99442,-75.18201")</f>
        <v>http://maps.google.com/maps?f=q&amp;hl=en&amp;geocode=&amp;q=39.99442,-75.18201</v>
      </c>
    </row>
    <row r="6431" spans="1:7" ht="15" x14ac:dyDescent="0.3">
      <c r="A6431">
        <v>35.321916428819399</v>
      </c>
      <c r="B6431">
        <v>-82.6866264349581</v>
      </c>
      <c r="C6431" t="s">
        <v>41</v>
      </c>
      <c r="D6431" t="s">
        <v>3100</v>
      </c>
      <c r="F6431" s="21"/>
      <c r="G6431" s="16" t="str">
        <f>HYPERLINK("http://maps.google.com/maps?f=q&amp;hl=en&amp;geocode=&amp;q=35.3219164288194,-82.6866264349581")</f>
        <v>http://maps.google.com/maps?f=q&amp;hl=en&amp;geocode=&amp;q=35.3219164288194,-82.6866264349581</v>
      </c>
    </row>
    <row r="6432" spans="1:7" ht="15" x14ac:dyDescent="0.3">
      <c r="A6432">
        <v>29.539559998433401</v>
      </c>
      <c r="B6432">
        <v>-96.279854997281006</v>
      </c>
      <c r="C6432" t="s">
        <v>41</v>
      </c>
      <c r="D6432" t="s">
        <v>2171</v>
      </c>
      <c r="F6432" s="21"/>
      <c r="G6432" s="16" t="str">
        <f>HYPERLINK("http://maps.google.com/maps?f=q&amp;hl=en&amp;geocode=&amp;q=29.5395599984334,-96.279854997281")</f>
        <v>http://maps.google.com/maps?f=q&amp;hl=en&amp;geocode=&amp;q=29.5395599984334,-96.279854997281</v>
      </c>
    </row>
    <row r="6433" spans="1:7" ht="15" x14ac:dyDescent="0.3">
      <c r="A6433">
        <v>29.539559998433401</v>
      </c>
      <c r="B6433">
        <v>-96.279854997281006</v>
      </c>
      <c r="C6433" t="s">
        <v>41</v>
      </c>
      <c r="D6433" t="s">
        <v>2171</v>
      </c>
      <c r="F6433" s="21"/>
      <c r="G6433" s="16" t="str">
        <f>HYPERLINK("http://maps.google.com/maps?f=q&amp;hl=en&amp;geocode=&amp;q=29.5395599984334,-96.279854997281")</f>
        <v>http://maps.google.com/maps?f=q&amp;hl=en&amp;geocode=&amp;q=29.5395599984334,-96.279854997281</v>
      </c>
    </row>
    <row r="6434" spans="1:7" ht="15" x14ac:dyDescent="0.3">
      <c r="A6434">
        <v>39.684371948242202</v>
      </c>
      <c r="B6434">
        <v>21.8974094390869</v>
      </c>
      <c r="C6434" t="s">
        <v>41</v>
      </c>
      <c r="D6434" t="s">
        <v>94</v>
      </c>
      <c r="F6434" s="21"/>
      <c r="G6434" s="16" t="str">
        <f>HYPERLINK("http://maps.google.com/maps?f=q&amp;hl=en&amp;geocode=&amp;q=39.6843719482422,21.8974094390869")</f>
        <v>http://maps.google.com/maps?f=q&amp;hl=en&amp;geocode=&amp;q=39.6843719482422,21.8974094390869</v>
      </c>
    </row>
    <row r="6435" spans="1:7" ht="15" x14ac:dyDescent="0.3">
      <c r="A6435">
        <v>29.539559998433401</v>
      </c>
      <c r="B6435">
        <v>-96.279854997281006</v>
      </c>
      <c r="C6435" t="s">
        <v>41</v>
      </c>
      <c r="D6435" t="s">
        <v>2171</v>
      </c>
      <c r="F6435" s="21"/>
      <c r="G6435" s="16" t="str">
        <f>HYPERLINK("http://maps.google.com/maps?f=q&amp;hl=en&amp;geocode=&amp;q=29.5395599984334,-96.279854997281")</f>
        <v>http://maps.google.com/maps?f=q&amp;hl=en&amp;geocode=&amp;q=29.5395599984334,-96.279854997281</v>
      </c>
    </row>
    <row r="6436" spans="1:7" ht="15" x14ac:dyDescent="0.3">
      <c r="A6436">
        <v>29.539559998433401</v>
      </c>
      <c r="B6436">
        <v>-96.279854997281006</v>
      </c>
      <c r="C6436" t="s">
        <v>41</v>
      </c>
      <c r="D6436" t="s">
        <v>2171</v>
      </c>
      <c r="F6436" s="21"/>
      <c r="G6436" s="16" t="str">
        <f>HYPERLINK("http://maps.google.com/maps?f=q&amp;hl=en&amp;geocode=&amp;q=29.5395599984334,-96.279854997281")</f>
        <v>http://maps.google.com/maps?f=q&amp;hl=en&amp;geocode=&amp;q=29.5395599984334,-96.279854997281</v>
      </c>
    </row>
    <row r="6437" spans="1:7" ht="15" x14ac:dyDescent="0.3">
      <c r="A6437">
        <v>29.539559998433401</v>
      </c>
      <c r="B6437">
        <v>-96.279854997281006</v>
      </c>
      <c r="C6437" t="s">
        <v>41</v>
      </c>
      <c r="D6437" t="s">
        <v>2171</v>
      </c>
      <c r="F6437" s="21"/>
      <c r="G6437" s="16" t="str">
        <f>HYPERLINK("http://maps.google.com/maps?f=q&amp;hl=en&amp;geocode=&amp;q=29.5395599984334,-96.279854997281")</f>
        <v>http://maps.google.com/maps?f=q&amp;hl=en&amp;geocode=&amp;q=29.5395599984334,-96.279854997281</v>
      </c>
    </row>
    <row r="6438" spans="1:7" ht="15" x14ac:dyDescent="0.3">
      <c r="A6438">
        <v>39.968179999999997</v>
      </c>
      <c r="B6438">
        <v>-74.94744</v>
      </c>
      <c r="C6438" t="s">
        <v>41</v>
      </c>
      <c r="D6438" t="s">
        <v>3948</v>
      </c>
      <c r="F6438" s="21"/>
      <c r="G6438" s="16" t="str">
        <f>HYPERLINK("http://maps.google.com/maps?f=q&amp;hl=en&amp;geocode=&amp;q=39.96818,-74.94744")</f>
        <v>http://maps.google.com/maps?f=q&amp;hl=en&amp;geocode=&amp;q=39.96818,-74.94744</v>
      </c>
    </row>
    <row r="6439" spans="1:7" ht="15" x14ac:dyDescent="0.3">
      <c r="A6439">
        <v>29.539559998433401</v>
      </c>
      <c r="B6439">
        <v>-96.279854997281006</v>
      </c>
      <c r="C6439" t="s">
        <v>41</v>
      </c>
      <c r="D6439" t="s">
        <v>2171</v>
      </c>
      <c r="F6439" s="21"/>
      <c r="G6439" s="16" t="str">
        <f>HYPERLINK("http://maps.google.com/maps?f=q&amp;hl=en&amp;geocode=&amp;q=29.5395599984334,-96.279854997281")</f>
        <v>http://maps.google.com/maps?f=q&amp;hl=en&amp;geocode=&amp;q=29.5395599984334,-96.279854997281</v>
      </c>
    </row>
    <row r="6440" spans="1:7" ht="15" x14ac:dyDescent="0.3">
      <c r="A6440">
        <v>29.539559998433401</v>
      </c>
      <c r="B6440">
        <v>-96.279854997281006</v>
      </c>
      <c r="C6440" t="s">
        <v>41</v>
      </c>
      <c r="D6440" t="s">
        <v>2171</v>
      </c>
      <c r="F6440" s="21"/>
      <c r="G6440" s="16" t="str">
        <f>HYPERLINK("http://maps.google.com/maps?f=q&amp;hl=en&amp;geocode=&amp;q=29.5395599984334,-96.279854997281")</f>
        <v>http://maps.google.com/maps?f=q&amp;hl=en&amp;geocode=&amp;q=29.5395599984334,-96.279854997281</v>
      </c>
    </row>
    <row r="6441" spans="1:7" ht="15" x14ac:dyDescent="0.3">
      <c r="A6441">
        <v>29.539559998433401</v>
      </c>
      <c r="B6441">
        <v>-96.279854997281006</v>
      </c>
      <c r="C6441" t="s">
        <v>41</v>
      </c>
      <c r="D6441" t="s">
        <v>2171</v>
      </c>
      <c r="F6441" s="21"/>
      <c r="G6441" s="16" t="str">
        <f>HYPERLINK("http://maps.google.com/maps?f=q&amp;hl=en&amp;geocode=&amp;q=29.5395599984334,-96.279854997281")</f>
        <v>http://maps.google.com/maps?f=q&amp;hl=en&amp;geocode=&amp;q=29.5395599984334,-96.279854997281</v>
      </c>
    </row>
    <row r="6442" spans="1:7" ht="15" x14ac:dyDescent="0.3">
      <c r="A6442">
        <v>43.680480000000003</v>
      </c>
      <c r="B6442">
        <v>-86.493219999999994</v>
      </c>
      <c r="C6442" t="s">
        <v>43</v>
      </c>
      <c r="D6442" t="s">
        <v>3342</v>
      </c>
      <c r="F6442" s="21"/>
      <c r="G6442" s="16" t="str">
        <f>HYPERLINK("http://maps.google.com/maps?f=q&amp;hl=en&amp;geocode=&amp;q=43.68048,-86.49322")</f>
        <v>http://maps.google.com/maps?f=q&amp;hl=en&amp;geocode=&amp;q=43.68048,-86.49322</v>
      </c>
    </row>
    <row r="6443" spans="1:7" ht="15" x14ac:dyDescent="0.3">
      <c r="A6443">
        <v>29.539559998433401</v>
      </c>
      <c r="B6443">
        <v>-96.279854997281006</v>
      </c>
      <c r="C6443" t="s">
        <v>41</v>
      </c>
      <c r="D6443" t="s">
        <v>2171</v>
      </c>
      <c r="F6443" s="21"/>
      <c r="G6443" s="16" t="str">
        <f>HYPERLINK("http://maps.google.com/maps?f=q&amp;hl=en&amp;geocode=&amp;q=29.5395599984334,-96.279854997281")</f>
        <v>http://maps.google.com/maps?f=q&amp;hl=en&amp;geocode=&amp;q=29.5395599984334,-96.279854997281</v>
      </c>
    </row>
    <row r="6444" spans="1:7" ht="15" x14ac:dyDescent="0.3">
      <c r="A6444">
        <v>29.539559998433401</v>
      </c>
      <c r="B6444">
        <v>-96.279854997281006</v>
      </c>
      <c r="C6444" t="s">
        <v>41</v>
      </c>
      <c r="D6444" t="s">
        <v>2171</v>
      </c>
      <c r="F6444" s="21"/>
      <c r="G6444" s="16" t="str">
        <f>HYPERLINK("http://maps.google.com/maps?f=q&amp;hl=en&amp;geocode=&amp;q=29.5395599984334,-96.279854997281")</f>
        <v>http://maps.google.com/maps?f=q&amp;hl=en&amp;geocode=&amp;q=29.5395599984334,-96.279854997281</v>
      </c>
    </row>
    <row r="6445" spans="1:7" ht="15" x14ac:dyDescent="0.3">
      <c r="A6445">
        <v>29.539559998433401</v>
      </c>
      <c r="B6445">
        <v>-96.279854997281006</v>
      </c>
      <c r="C6445" t="s">
        <v>41</v>
      </c>
      <c r="D6445" t="s">
        <v>2171</v>
      </c>
      <c r="F6445" s="21"/>
      <c r="G6445" s="16" t="str">
        <f>HYPERLINK("http://maps.google.com/maps?f=q&amp;hl=en&amp;geocode=&amp;q=29.5395599984334,-96.279854997281")</f>
        <v>http://maps.google.com/maps?f=q&amp;hl=en&amp;geocode=&amp;q=29.5395599984334,-96.279854997281</v>
      </c>
    </row>
    <row r="6446" spans="1:7" ht="15" x14ac:dyDescent="0.3">
      <c r="A6446">
        <v>29.539559998433401</v>
      </c>
      <c r="B6446">
        <v>-96.279854997281006</v>
      </c>
      <c r="C6446" t="s">
        <v>41</v>
      </c>
      <c r="D6446" t="s">
        <v>2171</v>
      </c>
      <c r="F6446" s="21"/>
      <c r="G6446" s="16" t="str">
        <f>HYPERLINK("http://maps.google.com/maps?f=q&amp;hl=en&amp;geocode=&amp;q=29.5395599984334,-96.279854997281")</f>
        <v>http://maps.google.com/maps?f=q&amp;hl=en&amp;geocode=&amp;q=29.5395599984334,-96.279854997281</v>
      </c>
    </row>
    <row r="6447" spans="1:7" ht="15" x14ac:dyDescent="0.3">
      <c r="A6447">
        <v>29.539559998433401</v>
      </c>
      <c r="B6447">
        <v>-96.279854997281006</v>
      </c>
      <c r="C6447" t="s">
        <v>41</v>
      </c>
      <c r="D6447" t="s">
        <v>2171</v>
      </c>
      <c r="F6447" s="21"/>
      <c r="G6447" s="16" t="str">
        <f>HYPERLINK("http://maps.google.com/maps?f=q&amp;hl=en&amp;geocode=&amp;q=29.5395599984334,-96.279854997281")</f>
        <v>http://maps.google.com/maps?f=q&amp;hl=en&amp;geocode=&amp;q=29.5395599984334,-96.279854997281</v>
      </c>
    </row>
    <row r="6448" spans="1:7" ht="15" x14ac:dyDescent="0.3">
      <c r="A6448">
        <v>29.539559998433401</v>
      </c>
      <c r="B6448">
        <v>-96.279854997281006</v>
      </c>
      <c r="C6448" t="s">
        <v>41</v>
      </c>
      <c r="D6448" t="s">
        <v>2171</v>
      </c>
      <c r="F6448" s="21"/>
      <c r="G6448" s="16" t="str">
        <f>HYPERLINK("http://maps.google.com/maps?f=q&amp;hl=en&amp;geocode=&amp;q=29.5395599984334,-96.279854997281")</f>
        <v>http://maps.google.com/maps?f=q&amp;hl=en&amp;geocode=&amp;q=29.5395599984334,-96.279854997281</v>
      </c>
    </row>
    <row r="6449" spans="1:7" ht="15" x14ac:dyDescent="0.3">
      <c r="A6449">
        <v>29.539559998433401</v>
      </c>
      <c r="B6449">
        <v>-96.279854997281006</v>
      </c>
      <c r="C6449" t="s">
        <v>41</v>
      </c>
      <c r="D6449" t="s">
        <v>2171</v>
      </c>
      <c r="F6449" s="21"/>
      <c r="G6449" s="16" t="str">
        <f>HYPERLINK("http://maps.google.com/maps?f=q&amp;hl=en&amp;geocode=&amp;q=29.5395599984334,-96.279854997281")</f>
        <v>http://maps.google.com/maps?f=q&amp;hl=en&amp;geocode=&amp;q=29.5395599984334,-96.279854997281</v>
      </c>
    </row>
    <row r="6450" spans="1:7" ht="15" x14ac:dyDescent="0.3">
      <c r="A6450">
        <v>36.902555965944998</v>
      </c>
      <c r="B6450">
        <v>-78.8948882131007</v>
      </c>
      <c r="C6450" t="s">
        <v>43</v>
      </c>
      <c r="D6450" t="s">
        <v>3748</v>
      </c>
      <c r="F6450" s="21"/>
      <c r="G6450" s="16" t="str">
        <f>HYPERLINK("http://maps.google.com/maps?f=q&amp;hl=en&amp;geocode=&amp;q=36.902555965945,-78.8948882131007")</f>
        <v>http://maps.google.com/maps?f=q&amp;hl=en&amp;geocode=&amp;q=36.902555965945,-78.8948882131007</v>
      </c>
    </row>
    <row r="6451" spans="1:7" ht="15" x14ac:dyDescent="0.3">
      <c r="A6451">
        <v>-40.001163482666001</v>
      </c>
      <c r="B6451">
        <v>176.55967712402301</v>
      </c>
      <c r="C6451" t="s">
        <v>43</v>
      </c>
      <c r="D6451" t="s">
        <v>3949</v>
      </c>
      <c r="F6451" s="21"/>
      <c r="G6451" s="16" t="str">
        <f>HYPERLINK("http://maps.google.com/maps?f=q&amp;hl=en&amp;geocode=&amp;q=-40.001163482666,176.559677124023")</f>
        <v>http://maps.google.com/maps?f=q&amp;hl=en&amp;geocode=&amp;q=-40.001163482666,176.559677124023</v>
      </c>
    </row>
    <row r="6452" spans="1:7" ht="15" x14ac:dyDescent="0.3">
      <c r="A6452">
        <v>32.767061528882401</v>
      </c>
      <c r="B6452">
        <v>-115.366395617064</v>
      </c>
      <c r="C6452" t="s">
        <v>41</v>
      </c>
      <c r="D6452" t="s">
        <v>3747</v>
      </c>
      <c r="F6452" s="21"/>
      <c r="G6452" s="16" t="str">
        <f>HYPERLINK("http://maps.google.com/maps?f=q&amp;hl=en&amp;geocode=&amp;q=32.7670615288824,-115.366395617064")</f>
        <v>http://maps.google.com/maps?f=q&amp;hl=en&amp;geocode=&amp;q=32.7670615288824,-115.366395617064</v>
      </c>
    </row>
    <row r="6453" spans="1:7" ht="15" x14ac:dyDescent="0.3">
      <c r="A6453">
        <v>36.073986641560502</v>
      </c>
      <c r="B6453">
        <v>-83.575670507877305</v>
      </c>
      <c r="C6453" t="s">
        <v>42</v>
      </c>
      <c r="D6453" t="s">
        <v>3950</v>
      </c>
      <c r="F6453" s="21"/>
      <c r="G6453" s="16" t="str">
        <f>HYPERLINK("http://maps.google.com/maps?f=q&amp;hl=en&amp;geocode=&amp;q=36.0739866415605,-83.5756705078773")</f>
        <v>http://maps.google.com/maps?f=q&amp;hl=en&amp;geocode=&amp;q=36.0739866415605,-83.5756705078773</v>
      </c>
    </row>
    <row r="6454" spans="1:7" ht="15" x14ac:dyDescent="0.3">
      <c r="A6454">
        <v>32.767061528882401</v>
      </c>
      <c r="B6454">
        <v>-115.366395617064</v>
      </c>
      <c r="C6454" t="s">
        <v>41</v>
      </c>
      <c r="D6454" t="s">
        <v>3747</v>
      </c>
      <c r="F6454" s="21"/>
      <c r="G6454" s="16" t="str">
        <f>HYPERLINK("http://maps.google.com/maps?f=q&amp;hl=en&amp;geocode=&amp;q=32.7670615288824,-115.366395617064")</f>
        <v>http://maps.google.com/maps?f=q&amp;hl=en&amp;geocode=&amp;q=32.7670615288824,-115.366395617064</v>
      </c>
    </row>
    <row r="6455" spans="1:7" ht="15" x14ac:dyDescent="0.3">
      <c r="A6455">
        <v>29.539559998433401</v>
      </c>
      <c r="B6455">
        <v>-96.279854997281006</v>
      </c>
      <c r="C6455" t="s">
        <v>41</v>
      </c>
      <c r="D6455" t="s">
        <v>2171</v>
      </c>
      <c r="F6455" s="21"/>
      <c r="G6455" s="16" t="str">
        <f>HYPERLINK("http://maps.google.com/maps?f=q&amp;hl=en&amp;geocode=&amp;q=29.5395599984334,-96.279854997281")</f>
        <v>http://maps.google.com/maps?f=q&amp;hl=en&amp;geocode=&amp;q=29.5395599984334,-96.279854997281</v>
      </c>
    </row>
    <row r="6456" spans="1:7" ht="15" x14ac:dyDescent="0.3">
      <c r="A6456">
        <v>39.575769999999999</v>
      </c>
      <c r="B6456">
        <v>-77.009630000000001</v>
      </c>
      <c r="C6456" t="s">
        <v>42</v>
      </c>
      <c r="D6456" t="s">
        <v>3951</v>
      </c>
      <c r="F6456" s="21"/>
      <c r="G6456" s="16" t="str">
        <f>HYPERLINK("http://maps.google.com/maps?f=q&amp;hl=en&amp;geocode=&amp;q=39.57577,-77.00963")</f>
        <v>http://maps.google.com/maps?f=q&amp;hl=en&amp;geocode=&amp;q=39.57577,-77.00963</v>
      </c>
    </row>
    <row r="6457" spans="1:7" ht="15" x14ac:dyDescent="0.3">
      <c r="A6457">
        <v>29.539559998433401</v>
      </c>
      <c r="B6457">
        <v>-96.279854997281006</v>
      </c>
      <c r="C6457" t="s">
        <v>41</v>
      </c>
      <c r="D6457" t="s">
        <v>2171</v>
      </c>
      <c r="F6457" s="21"/>
      <c r="G6457" s="16" t="str">
        <f>HYPERLINK("http://maps.google.com/maps?f=q&amp;hl=en&amp;geocode=&amp;q=29.5395599984334,-96.279854997281")</f>
        <v>http://maps.google.com/maps?f=q&amp;hl=en&amp;geocode=&amp;q=29.5395599984334,-96.279854997281</v>
      </c>
    </row>
    <row r="6458" spans="1:7" ht="15" x14ac:dyDescent="0.3">
      <c r="A6458">
        <v>46.331790281909299</v>
      </c>
      <c r="B6458">
        <v>-120.019439278402</v>
      </c>
      <c r="C6458" t="s">
        <v>42</v>
      </c>
      <c r="D6458" t="s">
        <v>3686</v>
      </c>
      <c r="F6458" s="21"/>
      <c r="G6458" s="16" t="str">
        <f>HYPERLINK("http://maps.google.com/maps?f=q&amp;hl=en&amp;geocode=&amp;q=46.3317902819093,-120.019439278402")</f>
        <v>http://maps.google.com/maps?f=q&amp;hl=en&amp;geocode=&amp;q=46.3317902819093,-120.019439278402</v>
      </c>
    </row>
    <row r="6459" spans="1:7" ht="15" x14ac:dyDescent="0.3">
      <c r="A6459">
        <v>41.255760000000002</v>
      </c>
      <c r="B6459">
        <v>-81.447999999999993</v>
      </c>
      <c r="C6459" t="s">
        <v>41</v>
      </c>
      <c r="D6459" t="s">
        <v>3338</v>
      </c>
      <c r="F6459" s="21"/>
      <c r="G6459" s="16" t="str">
        <f>HYPERLINK("http://maps.google.com/maps?f=q&amp;hl=en&amp;geocode=&amp;q=41.25576,-81.448")</f>
        <v>http://maps.google.com/maps?f=q&amp;hl=en&amp;geocode=&amp;q=41.25576,-81.448</v>
      </c>
    </row>
    <row r="6460" spans="1:7" ht="15" x14ac:dyDescent="0.3">
      <c r="A6460">
        <v>39.955309999999997</v>
      </c>
      <c r="B6460">
        <v>-75.221800000000002</v>
      </c>
      <c r="C6460" t="s">
        <v>43</v>
      </c>
      <c r="D6460" t="s">
        <v>3952</v>
      </c>
      <c r="F6460" s="21"/>
      <c r="G6460" s="16" t="str">
        <f>HYPERLINK("http://maps.google.com/maps?f=q&amp;hl=en&amp;geocode=&amp;q=39.95531,-75.2218")</f>
        <v>http://maps.google.com/maps?f=q&amp;hl=en&amp;geocode=&amp;q=39.95531,-75.2218</v>
      </c>
    </row>
    <row r="6461" spans="1:7" ht="15" x14ac:dyDescent="0.3">
      <c r="A6461">
        <v>38.025058746337898</v>
      </c>
      <c r="B6461">
        <v>-80.276618957519503</v>
      </c>
      <c r="C6461" t="s">
        <v>43</v>
      </c>
      <c r="D6461" t="s">
        <v>675</v>
      </c>
      <c r="F6461" s="21"/>
      <c r="G6461" s="16" t="str">
        <f>HYPERLINK("http://maps.google.com/maps?f=q&amp;hl=en&amp;geocode=&amp;q=38.0250587463379,-80.2766189575195")</f>
        <v>http://maps.google.com/maps?f=q&amp;hl=en&amp;geocode=&amp;q=38.0250587463379,-80.2766189575195</v>
      </c>
    </row>
    <row r="6462" spans="1:7" ht="15" x14ac:dyDescent="0.3">
      <c r="A6462">
        <v>-40.001163482666001</v>
      </c>
      <c r="B6462">
        <v>176.55967712402301</v>
      </c>
      <c r="C6462" t="s">
        <v>43</v>
      </c>
      <c r="D6462" t="s">
        <v>3355</v>
      </c>
      <c r="F6462" s="21"/>
      <c r="G6462" s="16" t="str">
        <f>HYPERLINK("http://maps.google.com/maps?f=q&amp;hl=en&amp;geocode=&amp;q=-40.001163482666,176.559677124023")</f>
        <v>http://maps.google.com/maps?f=q&amp;hl=en&amp;geocode=&amp;q=-40.001163482666,176.559677124023</v>
      </c>
    </row>
    <row r="6463" spans="1:7" ht="15" x14ac:dyDescent="0.3">
      <c r="A6463">
        <v>39.925247733903198</v>
      </c>
      <c r="B6463">
        <v>-75.237344675903799</v>
      </c>
      <c r="C6463" t="s">
        <v>43</v>
      </c>
      <c r="D6463" t="s">
        <v>1141</v>
      </c>
      <c r="F6463" s="21"/>
      <c r="G6463" s="16" t="str">
        <f>HYPERLINK("http://maps.google.com/maps?f=q&amp;hl=en&amp;geocode=&amp;q=39.9252477339032,-75.2373446759038")</f>
        <v>http://maps.google.com/maps?f=q&amp;hl=en&amp;geocode=&amp;q=39.9252477339032,-75.2373446759038</v>
      </c>
    </row>
    <row r="6464" spans="1:7" ht="15" x14ac:dyDescent="0.3">
      <c r="A6464">
        <v>40.112369999999999</v>
      </c>
      <c r="B6464">
        <v>-75.025739999999999</v>
      </c>
      <c r="C6464" t="s">
        <v>41</v>
      </c>
      <c r="D6464" t="s">
        <v>3953</v>
      </c>
      <c r="F6464" s="21"/>
      <c r="G6464" s="16" t="str">
        <f>HYPERLINK("http://maps.google.com/maps?f=q&amp;hl=en&amp;geocode=&amp;q=40.11237,-75.02574")</f>
        <v>http://maps.google.com/maps?f=q&amp;hl=en&amp;geocode=&amp;q=40.11237,-75.02574</v>
      </c>
    </row>
    <row r="6465" spans="1:7" ht="15" x14ac:dyDescent="0.3">
      <c r="A6465">
        <v>39.922890000000002</v>
      </c>
      <c r="B6465">
        <v>-75.178190000000001</v>
      </c>
      <c r="C6465" t="s">
        <v>43</v>
      </c>
      <c r="D6465" t="s">
        <v>3954</v>
      </c>
      <c r="F6465" s="21"/>
      <c r="G6465" s="16" t="str">
        <f>HYPERLINK("http://maps.google.com/maps?f=q&amp;hl=en&amp;geocode=&amp;q=39.92289,-75.17819")</f>
        <v>http://maps.google.com/maps?f=q&amp;hl=en&amp;geocode=&amp;q=39.92289,-75.17819</v>
      </c>
    </row>
    <row r="6466" spans="1:7" ht="15" x14ac:dyDescent="0.3">
      <c r="A6466">
        <v>47.775527954101598</v>
      </c>
      <c r="B6466">
        <v>27.531589508056602</v>
      </c>
      <c r="C6466" t="s">
        <v>43</v>
      </c>
      <c r="D6466" t="s">
        <v>3955</v>
      </c>
      <c r="F6466" s="21"/>
      <c r="G6466" s="16" t="str">
        <f>HYPERLINK("http://maps.google.com/maps?f=q&amp;hl=en&amp;geocode=&amp;q=47.7755279541016,27.5315895080566")</f>
        <v>http://maps.google.com/maps?f=q&amp;hl=en&amp;geocode=&amp;q=47.7755279541016,27.5315895080566</v>
      </c>
    </row>
    <row r="6467" spans="1:7" ht="15" x14ac:dyDescent="0.3">
      <c r="A6467">
        <v>-26.034427642822301</v>
      </c>
      <c r="B6467">
        <v>28.5431098937988</v>
      </c>
      <c r="C6467" t="s">
        <v>43</v>
      </c>
      <c r="D6467" t="s">
        <v>115</v>
      </c>
      <c r="F6467" s="21"/>
      <c r="G6467" s="16" t="str">
        <f>HYPERLINK("http://maps.google.com/maps?f=q&amp;hl=en&amp;geocode=&amp;q=-26.0344276428223,28.5431098937988")</f>
        <v>http://maps.google.com/maps?f=q&amp;hl=en&amp;geocode=&amp;q=-26.0344276428223,28.5431098937988</v>
      </c>
    </row>
    <row r="6468" spans="1:7" ht="15" x14ac:dyDescent="0.3">
      <c r="A6468">
        <v>31.883710000000001</v>
      </c>
      <c r="B6468">
        <v>-102.49551</v>
      </c>
      <c r="C6468" t="s">
        <v>41</v>
      </c>
      <c r="D6468" t="s">
        <v>119</v>
      </c>
      <c r="F6468" s="21"/>
      <c r="G6468" s="16" t="str">
        <f>HYPERLINK("http://maps.google.com/maps?f=q&amp;hl=en&amp;geocode=&amp;q=31.88371,-102.49551")</f>
        <v>http://maps.google.com/maps?f=q&amp;hl=en&amp;geocode=&amp;q=31.88371,-102.49551</v>
      </c>
    </row>
    <row r="6469" spans="1:7" ht="15" x14ac:dyDescent="0.3">
      <c r="A6469">
        <v>39.912030000000001</v>
      </c>
      <c r="B6469">
        <v>-75.174030000000002</v>
      </c>
      <c r="C6469" t="s">
        <v>43</v>
      </c>
      <c r="D6469" t="s">
        <v>3956</v>
      </c>
      <c r="F6469" s="21"/>
      <c r="G6469" s="16" t="str">
        <f>HYPERLINK("http://maps.google.com/maps?f=q&amp;hl=en&amp;geocode=&amp;q=39.91203,-75.17403")</f>
        <v>http://maps.google.com/maps?f=q&amp;hl=en&amp;geocode=&amp;q=39.91203,-75.17403</v>
      </c>
    </row>
    <row r="6470" spans="1:7" ht="15" x14ac:dyDescent="0.3">
      <c r="A6470">
        <v>50.536041259765597</v>
      </c>
      <c r="B6470">
        <v>9.6427402496337908</v>
      </c>
      <c r="C6470" t="s">
        <v>41</v>
      </c>
      <c r="D6470" t="s">
        <v>3957</v>
      </c>
      <c r="F6470" s="21"/>
      <c r="G6470" s="16" t="str">
        <f>HYPERLINK("http://maps.google.com/maps?f=q&amp;hl=en&amp;geocode=&amp;q=50.5360412597656,9.64274024963379")</f>
        <v>http://maps.google.com/maps?f=q&amp;hl=en&amp;geocode=&amp;q=50.5360412597656,9.64274024963379</v>
      </c>
    </row>
    <row r="6471" spans="1:7" ht="15" x14ac:dyDescent="0.3">
      <c r="A6471">
        <v>47.667839050292997</v>
      </c>
      <c r="B6471">
        <v>13.172150611877401</v>
      </c>
      <c r="C6471" t="s">
        <v>41</v>
      </c>
      <c r="D6471" t="s">
        <v>1501</v>
      </c>
      <c r="F6471" s="21"/>
      <c r="G6471" s="16" t="str">
        <f>HYPERLINK("http://maps.google.com/maps?f=q&amp;hl=en&amp;geocode=&amp;q=47.667839050293,13.1721506118774")</f>
        <v>http://maps.google.com/maps?f=q&amp;hl=en&amp;geocode=&amp;q=47.667839050293,13.1721506118774</v>
      </c>
    </row>
    <row r="6472" spans="1:7" ht="15" x14ac:dyDescent="0.3">
      <c r="A6472" t="s">
        <v>44</v>
      </c>
      <c r="B6472" t="s">
        <v>44</v>
      </c>
      <c r="C6472" t="s">
        <v>44</v>
      </c>
      <c r="D6472" t="s">
        <v>3958</v>
      </c>
      <c r="F6472" s="21"/>
      <c r="G6472" s="16"/>
    </row>
    <row r="6473" spans="1:7" ht="15" x14ac:dyDescent="0.3">
      <c r="A6473">
        <v>35.478633063115602</v>
      </c>
      <c r="B6473">
        <v>-97.590555996958599</v>
      </c>
      <c r="C6473" t="s">
        <v>41</v>
      </c>
      <c r="D6473" t="s">
        <v>3959</v>
      </c>
      <c r="F6473" s="21"/>
      <c r="G6473" s="16" t="str">
        <f>HYPERLINK("http://maps.google.com/maps?f=q&amp;hl=en&amp;geocode=&amp;q=35.4786330631156,-97.5905559969586")</f>
        <v>http://maps.google.com/maps?f=q&amp;hl=en&amp;geocode=&amp;q=35.4786330631156,-97.5905559969586</v>
      </c>
    </row>
    <row r="6474" spans="1:7" ht="15" x14ac:dyDescent="0.3">
      <c r="A6474">
        <v>32.082029226416701</v>
      </c>
      <c r="B6474">
        <v>-83.800633091073095</v>
      </c>
      <c r="C6474" t="s">
        <v>41</v>
      </c>
      <c r="D6474" t="s">
        <v>3540</v>
      </c>
      <c r="F6474" s="21"/>
      <c r="G6474" s="16" t="str">
        <f>HYPERLINK("http://maps.google.com/maps?f=q&amp;hl=en&amp;geocode=&amp;q=32.0820292264167,-83.8006330910731")</f>
        <v>http://maps.google.com/maps?f=q&amp;hl=en&amp;geocode=&amp;q=32.0820292264167,-83.8006330910731</v>
      </c>
    </row>
    <row r="6475" spans="1:7" ht="15" x14ac:dyDescent="0.3">
      <c r="A6475">
        <v>39.937330000000003</v>
      </c>
      <c r="B6475">
        <v>-75.151790000000005</v>
      </c>
      <c r="C6475" t="s">
        <v>43</v>
      </c>
      <c r="D6475" t="s">
        <v>3960</v>
      </c>
      <c r="F6475" s="21"/>
      <c r="G6475" s="16" t="str">
        <f>HYPERLINK("http://maps.google.com/maps?f=q&amp;hl=en&amp;geocode=&amp;q=39.93733,-75.15179")</f>
        <v>http://maps.google.com/maps?f=q&amp;hl=en&amp;geocode=&amp;q=39.93733,-75.15179</v>
      </c>
    </row>
    <row r="6476" spans="1:7" ht="15" x14ac:dyDescent="0.3">
      <c r="A6476" t="s">
        <v>44</v>
      </c>
      <c r="B6476" t="s">
        <v>44</v>
      </c>
      <c r="C6476" t="s">
        <v>44</v>
      </c>
      <c r="D6476" t="s">
        <v>981</v>
      </c>
      <c r="F6476" s="21"/>
      <c r="G6476" s="16"/>
    </row>
    <row r="6477" spans="1:7" ht="15" x14ac:dyDescent="0.3">
      <c r="A6477">
        <v>39.919803619384801</v>
      </c>
      <c r="B6477">
        <v>-86.281799316406307</v>
      </c>
      <c r="C6477" t="s">
        <v>41</v>
      </c>
      <c r="D6477" t="s">
        <v>3961</v>
      </c>
      <c r="F6477" s="21"/>
      <c r="G6477" s="16" t="str">
        <f>HYPERLINK("http://maps.google.com/maps?f=q&amp;hl=en&amp;geocode=&amp;q=39.9198036193848,-86.2817993164063")</f>
        <v>http://maps.google.com/maps?f=q&amp;hl=en&amp;geocode=&amp;q=39.9198036193848,-86.2817993164063</v>
      </c>
    </row>
    <row r="6478" spans="1:7" ht="15" x14ac:dyDescent="0.3">
      <c r="A6478">
        <v>40.005859999999998</v>
      </c>
      <c r="B6478">
        <v>-83.061350000000004</v>
      </c>
      <c r="C6478" t="s">
        <v>41</v>
      </c>
      <c r="D6478" t="s">
        <v>3962</v>
      </c>
      <c r="F6478" s="21"/>
      <c r="G6478" s="16" t="str">
        <f>HYPERLINK("http://maps.google.com/maps?f=q&amp;hl=en&amp;geocode=&amp;q=40.00586,-83.06135")</f>
        <v>http://maps.google.com/maps?f=q&amp;hl=en&amp;geocode=&amp;q=40.00586,-83.06135</v>
      </c>
    </row>
    <row r="6479" spans="1:7" ht="15" x14ac:dyDescent="0.3">
      <c r="A6479" t="s">
        <v>44</v>
      </c>
      <c r="B6479" t="s">
        <v>44</v>
      </c>
      <c r="C6479" t="s">
        <v>44</v>
      </c>
      <c r="D6479" t="s">
        <v>1004</v>
      </c>
      <c r="F6479" s="21"/>
      <c r="G6479" s="16"/>
    </row>
    <row r="6480" spans="1:7" ht="15" x14ac:dyDescent="0.3">
      <c r="A6480">
        <v>40.693229675292997</v>
      </c>
      <c r="B6480">
        <v>-78.9222412109375</v>
      </c>
      <c r="C6480" t="s">
        <v>41</v>
      </c>
      <c r="D6480" t="s">
        <v>1314</v>
      </c>
      <c r="F6480" s="21"/>
      <c r="G6480" s="16" t="str">
        <f>HYPERLINK("http://maps.google.com/maps?f=q&amp;hl=en&amp;geocode=&amp;q=40.693229675293,-78.9222412109375")</f>
        <v>http://maps.google.com/maps?f=q&amp;hl=en&amp;geocode=&amp;q=40.693229675293,-78.9222412109375</v>
      </c>
    </row>
    <row r="6481" spans="1:7" ht="15" x14ac:dyDescent="0.3">
      <c r="A6481">
        <v>40.0251205836285</v>
      </c>
      <c r="B6481">
        <v>-75.121422913168203</v>
      </c>
      <c r="C6481" t="s">
        <v>43</v>
      </c>
      <c r="D6481" t="s">
        <v>890</v>
      </c>
      <c r="F6481" s="21"/>
      <c r="G6481" s="16" t="str">
        <f>HYPERLINK("http://maps.google.com/maps?f=q&amp;hl=en&amp;geocode=&amp;q=40.0251205836285,-75.1214229131682")</f>
        <v>http://maps.google.com/maps?f=q&amp;hl=en&amp;geocode=&amp;q=40.0251205836285,-75.1214229131682</v>
      </c>
    </row>
    <row r="6482" spans="1:7" ht="15" x14ac:dyDescent="0.3">
      <c r="A6482">
        <v>38.707741855237799</v>
      </c>
      <c r="B6482">
        <v>-90.271877813569702</v>
      </c>
      <c r="C6482" t="s">
        <v>41</v>
      </c>
      <c r="D6482" t="s">
        <v>785</v>
      </c>
      <c r="F6482" s="21"/>
      <c r="G6482" s="16" t="str">
        <f>HYPERLINK("http://maps.google.com/maps?f=q&amp;hl=en&amp;geocode=&amp;q=38.7077418552378,-90.2718778135697")</f>
        <v>http://maps.google.com/maps?f=q&amp;hl=en&amp;geocode=&amp;q=38.7077418552378,-90.2718778135697</v>
      </c>
    </row>
    <row r="6483" spans="1:7" ht="15" x14ac:dyDescent="0.3">
      <c r="A6483">
        <v>50.731521606445298</v>
      </c>
      <c r="B6483">
        <v>4.4892997741699201</v>
      </c>
      <c r="C6483" t="s">
        <v>41</v>
      </c>
      <c r="D6483" t="s">
        <v>3963</v>
      </c>
      <c r="F6483" s="21"/>
      <c r="G6483" s="16" t="str">
        <f>HYPERLINK("http://maps.google.com/maps?f=q&amp;hl=en&amp;geocode=&amp;q=50.7315216064453,4.48929977416992")</f>
        <v>http://maps.google.com/maps?f=q&amp;hl=en&amp;geocode=&amp;q=50.7315216064453,4.48929977416992</v>
      </c>
    </row>
    <row r="6484" spans="1:7" ht="15" x14ac:dyDescent="0.3">
      <c r="A6484">
        <v>23.406011581420898</v>
      </c>
      <c r="B6484">
        <v>79.458091735839801</v>
      </c>
      <c r="C6484" t="s">
        <v>41</v>
      </c>
      <c r="D6484" t="s">
        <v>3964</v>
      </c>
      <c r="F6484" s="21"/>
      <c r="G6484" s="16" t="str">
        <f>HYPERLINK("http://maps.google.com/maps?f=q&amp;hl=en&amp;geocode=&amp;q=23.4060115814209,79.4580917358398")</f>
        <v>http://maps.google.com/maps?f=q&amp;hl=en&amp;geocode=&amp;q=23.4060115814209,79.4580917358398</v>
      </c>
    </row>
    <row r="6485" spans="1:7" ht="15" x14ac:dyDescent="0.3">
      <c r="A6485">
        <v>39.555210000000002</v>
      </c>
      <c r="B6485">
        <v>-76.094220000000007</v>
      </c>
      <c r="C6485" t="s">
        <v>43</v>
      </c>
      <c r="D6485" t="s">
        <v>2861</v>
      </c>
      <c r="F6485" s="21"/>
      <c r="G6485" s="16" t="str">
        <f>HYPERLINK("http://maps.google.com/maps?f=q&amp;hl=en&amp;geocode=&amp;q=39.55521,-76.09422")</f>
        <v>http://maps.google.com/maps?f=q&amp;hl=en&amp;geocode=&amp;q=39.55521,-76.09422</v>
      </c>
    </row>
    <row r="6486" spans="1:7" ht="15" x14ac:dyDescent="0.3">
      <c r="A6486">
        <v>39.844385147392998</v>
      </c>
      <c r="B6486">
        <v>-77.606395692691294</v>
      </c>
      <c r="C6486" t="s">
        <v>41</v>
      </c>
      <c r="D6486" t="s">
        <v>3965</v>
      </c>
      <c r="F6486" s="21"/>
      <c r="G6486" s="16" t="str">
        <f>HYPERLINK("http://maps.google.com/maps?f=q&amp;hl=en&amp;geocode=&amp;q=39.844385147393,-77.6063956926913")</f>
        <v>http://maps.google.com/maps?f=q&amp;hl=en&amp;geocode=&amp;q=39.844385147393,-77.6063956926913</v>
      </c>
    </row>
    <row r="6487" spans="1:7" ht="15" x14ac:dyDescent="0.3">
      <c r="A6487">
        <v>31.882580000000001</v>
      </c>
      <c r="B6487">
        <v>-95.66113</v>
      </c>
      <c r="C6487" t="s">
        <v>42</v>
      </c>
      <c r="D6487" t="s">
        <v>3966</v>
      </c>
      <c r="F6487" s="21"/>
      <c r="G6487" s="16" t="str">
        <f>HYPERLINK("http://maps.google.com/maps?f=q&amp;hl=en&amp;geocode=&amp;q=31.88258,-95.66113")</f>
        <v>http://maps.google.com/maps?f=q&amp;hl=en&amp;geocode=&amp;q=31.88258,-95.66113</v>
      </c>
    </row>
    <row r="6488" spans="1:7" ht="15" x14ac:dyDescent="0.3">
      <c r="A6488">
        <v>40.054649756707803</v>
      </c>
      <c r="B6488">
        <v>-75.070189591849399</v>
      </c>
      <c r="C6488" t="s">
        <v>41</v>
      </c>
      <c r="D6488" t="s">
        <v>3967</v>
      </c>
      <c r="F6488" s="21"/>
      <c r="G6488" s="16" t="str">
        <f>HYPERLINK("http://maps.google.com/maps?f=q&amp;hl=en&amp;geocode=&amp;q=40.0546497567078,-75.0701895918494")</f>
        <v>http://maps.google.com/maps?f=q&amp;hl=en&amp;geocode=&amp;q=40.0546497567078,-75.0701895918494</v>
      </c>
    </row>
    <row r="6489" spans="1:7" ht="15" x14ac:dyDescent="0.3">
      <c r="A6489">
        <v>31.882580000000001</v>
      </c>
      <c r="B6489">
        <v>-95.66113</v>
      </c>
      <c r="C6489" t="s">
        <v>42</v>
      </c>
      <c r="D6489" t="s">
        <v>3966</v>
      </c>
      <c r="F6489" s="21"/>
      <c r="G6489" s="16" t="str">
        <f>HYPERLINK("http://maps.google.com/maps?f=q&amp;hl=en&amp;geocode=&amp;q=31.88258,-95.66113")</f>
        <v>http://maps.google.com/maps?f=q&amp;hl=en&amp;geocode=&amp;q=31.88258,-95.66113</v>
      </c>
    </row>
    <row r="6490" spans="1:7" ht="15" x14ac:dyDescent="0.3">
      <c r="A6490">
        <v>31.882580000000001</v>
      </c>
      <c r="B6490">
        <v>-95.66113</v>
      </c>
      <c r="C6490" t="s">
        <v>42</v>
      </c>
      <c r="D6490" t="s">
        <v>3966</v>
      </c>
      <c r="F6490" s="21"/>
      <c r="G6490" s="16" t="str">
        <f>HYPERLINK("http://maps.google.com/maps?f=q&amp;hl=en&amp;geocode=&amp;q=31.88258,-95.66113")</f>
        <v>http://maps.google.com/maps?f=q&amp;hl=en&amp;geocode=&amp;q=31.88258,-95.66113</v>
      </c>
    </row>
    <row r="6491" spans="1:7" ht="15" x14ac:dyDescent="0.3">
      <c r="A6491">
        <v>31.882580000000001</v>
      </c>
      <c r="B6491">
        <v>-95.66113</v>
      </c>
      <c r="C6491" t="s">
        <v>42</v>
      </c>
      <c r="D6491" t="s">
        <v>3966</v>
      </c>
      <c r="F6491" s="21"/>
      <c r="G6491" s="16" t="str">
        <f>HYPERLINK("http://maps.google.com/maps?f=q&amp;hl=en&amp;geocode=&amp;q=31.88258,-95.66113")</f>
        <v>http://maps.google.com/maps?f=q&amp;hl=en&amp;geocode=&amp;q=31.88258,-95.66113</v>
      </c>
    </row>
    <row r="6492" spans="1:7" ht="15" x14ac:dyDescent="0.3">
      <c r="A6492">
        <v>31.882580000000001</v>
      </c>
      <c r="B6492">
        <v>-95.66113</v>
      </c>
      <c r="C6492" t="s">
        <v>42</v>
      </c>
      <c r="D6492" t="s">
        <v>3966</v>
      </c>
      <c r="F6492" s="21"/>
      <c r="G6492" s="16" t="str">
        <f>HYPERLINK("http://maps.google.com/maps?f=q&amp;hl=en&amp;geocode=&amp;q=31.88258,-95.66113")</f>
        <v>http://maps.google.com/maps?f=q&amp;hl=en&amp;geocode=&amp;q=31.88258,-95.66113</v>
      </c>
    </row>
    <row r="6493" spans="1:7" ht="15" x14ac:dyDescent="0.3">
      <c r="A6493">
        <v>26.7381177457336</v>
      </c>
      <c r="B6493">
        <v>-80.103514827440804</v>
      </c>
      <c r="C6493" t="s">
        <v>41</v>
      </c>
      <c r="D6493" t="s">
        <v>3968</v>
      </c>
      <c r="F6493" s="21"/>
      <c r="G6493" s="16" t="str">
        <f>HYPERLINK("http://maps.google.com/maps?f=q&amp;hl=en&amp;geocode=&amp;q=26.7381177457336,-80.1035148274408")</f>
        <v>http://maps.google.com/maps?f=q&amp;hl=en&amp;geocode=&amp;q=26.7381177457336,-80.1035148274408</v>
      </c>
    </row>
    <row r="6494" spans="1:7" ht="15" x14ac:dyDescent="0.3">
      <c r="A6494">
        <v>26.7381177457336</v>
      </c>
      <c r="B6494">
        <v>-80.103514827440804</v>
      </c>
      <c r="C6494" t="s">
        <v>41</v>
      </c>
      <c r="D6494" t="s">
        <v>3968</v>
      </c>
      <c r="F6494" s="21"/>
      <c r="G6494" s="16" t="str">
        <f>HYPERLINK("http://maps.google.com/maps?f=q&amp;hl=en&amp;geocode=&amp;q=26.7381177457336,-80.1035148274408")</f>
        <v>http://maps.google.com/maps?f=q&amp;hl=en&amp;geocode=&amp;q=26.7381177457336,-80.1035148274408</v>
      </c>
    </row>
    <row r="6495" spans="1:7" ht="15" x14ac:dyDescent="0.3">
      <c r="A6495">
        <v>31.882580000000001</v>
      </c>
      <c r="B6495">
        <v>-95.66113</v>
      </c>
      <c r="C6495" t="s">
        <v>42</v>
      </c>
      <c r="D6495" t="s">
        <v>3969</v>
      </c>
      <c r="F6495" s="21"/>
      <c r="G6495" s="16" t="str">
        <f>HYPERLINK("http://maps.google.com/maps?f=q&amp;hl=en&amp;geocode=&amp;q=31.88258,-95.66113")</f>
        <v>http://maps.google.com/maps?f=q&amp;hl=en&amp;geocode=&amp;q=31.88258,-95.66113</v>
      </c>
    </row>
    <row r="6496" spans="1:7" ht="15" x14ac:dyDescent="0.3">
      <c r="A6496">
        <v>40.255798159812898</v>
      </c>
      <c r="B6496">
        <v>-74.737254956354803</v>
      </c>
      <c r="C6496" t="s">
        <v>41</v>
      </c>
      <c r="D6496" t="s">
        <v>2521</v>
      </c>
      <c r="F6496" s="21"/>
      <c r="G6496" s="16" t="str">
        <f>HYPERLINK("http://maps.google.com/maps?f=q&amp;hl=en&amp;geocode=&amp;q=40.2557981598129,-74.7372549563548")</f>
        <v>http://maps.google.com/maps?f=q&amp;hl=en&amp;geocode=&amp;q=40.2557981598129,-74.7372549563548</v>
      </c>
    </row>
    <row r="6497" spans="1:7" ht="15" x14ac:dyDescent="0.3">
      <c r="A6497">
        <v>37.683824826566202</v>
      </c>
      <c r="B6497">
        <v>-122.063694473304</v>
      </c>
      <c r="C6497" t="s">
        <v>41</v>
      </c>
      <c r="D6497" t="s">
        <v>3970</v>
      </c>
      <c r="F6497" s="21"/>
      <c r="G6497" s="16" t="str">
        <f>HYPERLINK("http://maps.google.com/maps?f=q&amp;hl=en&amp;geocode=&amp;q=37.6838248265662,-122.063694473304")</f>
        <v>http://maps.google.com/maps?f=q&amp;hl=en&amp;geocode=&amp;q=37.6838248265662,-122.063694473304</v>
      </c>
    </row>
    <row r="6498" spans="1:7" ht="15" x14ac:dyDescent="0.3">
      <c r="A6498">
        <v>37.683824826566202</v>
      </c>
      <c r="B6498">
        <v>-122.063694473304</v>
      </c>
      <c r="C6498" t="s">
        <v>41</v>
      </c>
      <c r="D6498" t="s">
        <v>3970</v>
      </c>
      <c r="F6498" s="21"/>
      <c r="G6498" s="16" t="str">
        <f>HYPERLINK("http://maps.google.com/maps?f=q&amp;hl=en&amp;geocode=&amp;q=37.6838248265662,-122.063694473304")</f>
        <v>http://maps.google.com/maps?f=q&amp;hl=en&amp;geocode=&amp;q=37.6838248265662,-122.063694473304</v>
      </c>
    </row>
    <row r="6499" spans="1:7" ht="15" x14ac:dyDescent="0.3">
      <c r="A6499">
        <v>37.683824826566202</v>
      </c>
      <c r="B6499">
        <v>-122.063694473304</v>
      </c>
      <c r="C6499" t="s">
        <v>41</v>
      </c>
      <c r="D6499" t="s">
        <v>3970</v>
      </c>
      <c r="F6499" s="21"/>
      <c r="G6499" s="16" t="str">
        <f>HYPERLINK("http://maps.google.com/maps?f=q&amp;hl=en&amp;geocode=&amp;q=37.6838248265662,-122.063694473304")</f>
        <v>http://maps.google.com/maps?f=q&amp;hl=en&amp;geocode=&amp;q=37.6838248265662,-122.063694473304</v>
      </c>
    </row>
    <row r="6500" spans="1:7" ht="15" x14ac:dyDescent="0.3">
      <c r="A6500">
        <v>37.683824826566202</v>
      </c>
      <c r="B6500">
        <v>-122.063694473304</v>
      </c>
      <c r="C6500" t="s">
        <v>41</v>
      </c>
      <c r="D6500" t="s">
        <v>3970</v>
      </c>
      <c r="F6500" s="21"/>
      <c r="G6500" s="16" t="str">
        <f>HYPERLINK("http://maps.google.com/maps?f=q&amp;hl=en&amp;geocode=&amp;q=37.6838248265662,-122.063694473304")</f>
        <v>http://maps.google.com/maps?f=q&amp;hl=en&amp;geocode=&amp;q=37.6838248265662,-122.063694473304</v>
      </c>
    </row>
    <row r="6501" spans="1:7" ht="15" x14ac:dyDescent="0.3">
      <c r="A6501">
        <v>37.683824826566202</v>
      </c>
      <c r="B6501">
        <v>-122.063694473304</v>
      </c>
      <c r="C6501" t="s">
        <v>41</v>
      </c>
      <c r="D6501" t="s">
        <v>3970</v>
      </c>
      <c r="F6501" s="21"/>
      <c r="G6501" s="16" t="str">
        <f>HYPERLINK("http://maps.google.com/maps?f=q&amp;hl=en&amp;geocode=&amp;q=37.6838248265662,-122.063694473304")</f>
        <v>http://maps.google.com/maps?f=q&amp;hl=en&amp;geocode=&amp;q=37.6838248265662,-122.063694473304</v>
      </c>
    </row>
    <row r="6502" spans="1:7" ht="15" x14ac:dyDescent="0.3">
      <c r="A6502">
        <v>37.683824826566202</v>
      </c>
      <c r="B6502">
        <v>-122.063694473304</v>
      </c>
      <c r="C6502" t="s">
        <v>41</v>
      </c>
      <c r="D6502" t="s">
        <v>3970</v>
      </c>
      <c r="F6502" s="21"/>
      <c r="G6502" s="16" t="str">
        <f>HYPERLINK("http://maps.google.com/maps?f=q&amp;hl=en&amp;geocode=&amp;q=37.6838248265662,-122.063694473304")</f>
        <v>http://maps.google.com/maps?f=q&amp;hl=en&amp;geocode=&amp;q=37.6838248265662,-122.063694473304</v>
      </c>
    </row>
    <row r="6503" spans="1:7" ht="15" x14ac:dyDescent="0.3">
      <c r="A6503">
        <v>48.856765747070298</v>
      </c>
      <c r="B6503">
        <v>-95.7022705078125</v>
      </c>
      <c r="C6503" t="s">
        <v>43</v>
      </c>
      <c r="D6503" t="s">
        <v>1171</v>
      </c>
      <c r="F6503" s="21"/>
      <c r="G6503" s="16" t="str">
        <f>HYPERLINK("http://maps.google.com/maps?f=q&amp;hl=en&amp;geocode=&amp;q=48.8567657470703,-95.7022705078125")</f>
        <v>http://maps.google.com/maps?f=q&amp;hl=en&amp;geocode=&amp;q=48.8567657470703,-95.7022705078125</v>
      </c>
    </row>
    <row r="6504" spans="1:7" ht="15" x14ac:dyDescent="0.3">
      <c r="A6504">
        <v>40.002628439857901</v>
      </c>
      <c r="B6504">
        <v>-75.154556302303206</v>
      </c>
      <c r="C6504" t="s">
        <v>41</v>
      </c>
      <c r="D6504" t="s">
        <v>3971</v>
      </c>
      <c r="F6504" s="21"/>
      <c r="G6504" s="16" t="str">
        <f>HYPERLINK("http://maps.google.com/maps?f=q&amp;hl=en&amp;geocode=&amp;q=40.0026284398579,-75.1545563023032")</f>
        <v>http://maps.google.com/maps?f=q&amp;hl=en&amp;geocode=&amp;q=40.0026284398579,-75.1545563023032</v>
      </c>
    </row>
    <row r="6505" spans="1:7" ht="15" x14ac:dyDescent="0.3">
      <c r="A6505">
        <v>37.683824826566202</v>
      </c>
      <c r="B6505">
        <v>-122.063694473304</v>
      </c>
      <c r="C6505" t="s">
        <v>41</v>
      </c>
      <c r="D6505" t="s">
        <v>3970</v>
      </c>
      <c r="F6505" s="21"/>
      <c r="G6505" s="16" t="str">
        <f>HYPERLINK("http://maps.google.com/maps?f=q&amp;hl=en&amp;geocode=&amp;q=37.6838248265662,-122.063694473304")</f>
        <v>http://maps.google.com/maps?f=q&amp;hl=en&amp;geocode=&amp;q=37.6838248265662,-122.063694473304</v>
      </c>
    </row>
    <row r="6506" spans="1:7" ht="15" x14ac:dyDescent="0.3">
      <c r="A6506">
        <v>37.683824826566202</v>
      </c>
      <c r="B6506">
        <v>-122.063694473304</v>
      </c>
      <c r="C6506" t="s">
        <v>41</v>
      </c>
      <c r="D6506" t="s">
        <v>3970</v>
      </c>
      <c r="F6506" s="21"/>
      <c r="G6506" s="16" t="str">
        <f>HYPERLINK("http://maps.google.com/maps?f=q&amp;hl=en&amp;geocode=&amp;q=37.6838248265662,-122.063694473304")</f>
        <v>http://maps.google.com/maps?f=q&amp;hl=en&amp;geocode=&amp;q=37.6838248265662,-122.063694473304</v>
      </c>
    </row>
    <row r="6507" spans="1:7" ht="15" x14ac:dyDescent="0.3">
      <c r="A6507">
        <v>48.856765747070298</v>
      </c>
      <c r="B6507">
        <v>-95.7022705078125</v>
      </c>
      <c r="C6507" t="s">
        <v>43</v>
      </c>
      <c r="D6507" t="s">
        <v>1171</v>
      </c>
      <c r="F6507" s="21"/>
      <c r="G6507" s="16" t="str">
        <f>HYPERLINK("http://maps.google.com/maps?f=q&amp;hl=en&amp;geocode=&amp;q=48.8567657470703,-95.7022705078125")</f>
        <v>http://maps.google.com/maps?f=q&amp;hl=en&amp;geocode=&amp;q=48.8567657470703,-95.7022705078125</v>
      </c>
    </row>
    <row r="6508" spans="1:7" ht="15" x14ac:dyDescent="0.3">
      <c r="A6508">
        <v>39.270796387273499</v>
      </c>
      <c r="B6508">
        <v>-76.765132945397497</v>
      </c>
      <c r="C6508" t="s">
        <v>41</v>
      </c>
      <c r="D6508" t="s">
        <v>3972</v>
      </c>
      <c r="F6508" s="21"/>
      <c r="G6508" s="16" t="str">
        <f>HYPERLINK("http://maps.google.com/maps?f=q&amp;hl=en&amp;geocode=&amp;q=39.2707963872735,-76.7651329453975")</f>
        <v>http://maps.google.com/maps?f=q&amp;hl=en&amp;geocode=&amp;q=39.2707963872735,-76.7651329453975</v>
      </c>
    </row>
    <row r="6509" spans="1:7" ht="15" x14ac:dyDescent="0.3">
      <c r="A6509">
        <v>37.683824826566202</v>
      </c>
      <c r="B6509">
        <v>-122.063694473304</v>
      </c>
      <c r="C6509" t="s">
        <v>41</v>
      </c>
      <c r="D6509" t="s">
        <v>3970</v>
      </c>
      <c r="F6509" s="21"/>
      <c r="G6509" s="16" t="str">
        <f>HYPERLINK("http://maps.google.com/maps?f=q&amp;hl=en&amp;geocode=&amp;q=37.6838248265662,-122.063694473304")</f>
        <v>http://maps.google.com/maps?f=q&amp;hl=en&amp;geocode=&amp;q=37.6838248265662,-122.063694473304</v>
      </c>
    </row>
    <row r="6510" spans="1:7" ht="15" x14ac:dyDescent="0.3">
      <c r="A6510">
        <v>37.683824826566202</v>
      </c>
      <c r="B6510">
        <v>-122.063694473304</v>
      </c>
      <c r="C6510" t="s">
        <v>41</v>
      </c>
      <c r="D6510" t="s">
        <v>3970</v>
      </c>
      <c r="F6510" s="21"/>
      <c r="G6510" s="16" t="str">
        <f>HYPERLINK("http://maps.google.com/maps?f=q&amp;hl=en&amp;geocode=&amp;q=37.6838248265662,-122.063694473304")</f>
        <v>http://maps.google.com/maps?f=q&amp;hl=en&amp;geocode=&amp;q=37.6838248265662,-122.063694473304</v>
      </c>
    </row>
    <row r="6511" spans="1:7" ht="15" x14ac:dyDescent="0.3">
      <c r="A6511">
        <v>37.683824826566202</v>
      </c>
      <c r="B6511">
        <v>-122.063694473304</v>
      </c>
      <c r="C6511" t="s">
        <v>41</v>
      </c>
      <c r="D6511" t="s">
        <v>3970</v>
      </c>
      <c r="F6511" s="21"/>
      <c r="G6511" s="16" t="str">
        <f>HYPERLINK("http://maps.google.com/maps?f=q&amp;hl=en&amp;geocode=&amp;q=37.6838248265662,-122.063694473304")</f>
        <v>http://maps.google.com/maps?f=q&amp;hl=en&amp;geocode=&amp;q=37.6838248265662,-122.063694473304</v>
      </c>
    </row>
    <row r="6512" spans="1:7" ht="15" x14ac:dyDescent="0.3">
      <c r="A6512">
        <v>37.683824826566202</v>
      </c>
      <c r="B6512">
        <v>-122.063694473304</v>
      </c>
      <c r="C6512" t="s">
        <v>41</v>
      </c>
      <c r="D6512" t="s">
        <v>3970</v>
      </c>
      <c r="F6512" s="21"/>
      <c r="G6512" s="16" t="str">
        <f>HYPERLINK("http://maps.google.com/maps?f=q&amp;hl=en&amp;geocode=&amp;q=37.6838248265662,-122.063694473304")</f>
        <v>http://maps.google.com/maps?f=q&amp;hl=en&amp;geocode=&amp;q=37.6838248265662,-122.063694473304</v>
      </c>
    </row>
    <row r="6513" spans="1:7" ht="15" x14ac:dyDescent="0.3">
      <c r="A6513">
        <v>30.520505209270301</v>
      </c>
      <c r="B6513">
        <v>-85.957755193812204</v>
      </c>
      <c r="C6513" t="s">
        <v>41</v>
      </c>
      <c r="D6513" t="s">
        <v>2560</v>
      </c>
      <c r="F6513" s="21"/>
      <c r="G6513" s="16" t="str">
        <f>HYPERLINK("http://maps.google.com/maps?f=q&amp;hl=en&amp;geocode=&amp;q=30.5205052092703,-85.9577551938122")</f>
        <v>http://maps.google.com/maps?f=q&amp;hl=en&amp;geocode=&amp;q=30.5205052092703,-85.9577551938122</v>
      </c>
    </row>
    <row r="6514" spans="1:7" ht="15" x14ac:dyDescent="0.3">
      <c r="A6514">
        <v>37.683824826566202</v>
      </c>
      <c r="B6514">
        <v>-122.063694473304</v>
      </c>
      <c r="C6514" t="s">
        <v>41</v>
      </c>
      <c r="D6514" t="s">
        <v>3970</v>
      </c>
      <c r="F6514" s="21"/>
      <c r="G6514" s="16" t="str">
        <f>HYPERLINK("http://maps.google.com/maps?f=q&amp;hl=en&amp;geocode=&amp;q=37.6838248265662,-122.063694473304")</f>
        <v>http://maps.google.com/maps?f=q&amp;hl=en&amp;geocode=&amp;q=37.6838248265662,-122.063694473304</v>
      </c>
    </row>
    <row r="6515" spans="1:7" ht="15" x14ac:dyDescent="0.3">
      <c r="A6515">
        <v>37.683824826566202</v>
      </c>
      <c r="B6515">
        <v>-122.063694473304</v>
      </c>
      <c r="C6515" t="s">
        <v>41</v>
      </c>
      <c r="D6515" t="s">
        <v>3970</v>
      </c>
      <c r="F6515" s="21"/>
      <c r="G6515" s="16" t="str">
        <f>HYPERLINK("http://maps.google.com/maps?f=q&amp;hl=en&amp;geocode=&amp;q=37.6838248265662,-122.063694473304")</f>
        <v>http://maps.google.com/maps?f=q&amp;hl=en&amp;geocode=&amp;q=37.6838248265662,-122.063694473304</v>
      </c>
    </row>
    <row r="6516" spans="1:7" ht="15" x14ac:dyDescent="0.3">
      <c r="A6516">
        <v>37.683824826566202</v>
      </c>
      <c r="B6516">
        <v>-122.063694473304</v>
      </c>
      <c r="C6516" t="s">
        <v>41</v>
      </c>
      <c r="D6516" t="s">
        <v>3970</v>
      </c>
      <c r="F6516" s="21"/>
      <c r="G6516" s="16" t="str">
        <f>HYPERLINK("http://maps.google.com/maps?f=q&amp;hl=en&amp;geocode=&amp;q=37.6838248265662,-122.063694473304")</f>
        <v>http://maps.google.com/maps?f=q&amp;hl=en&amp;geocode=&amp;q=37.6838248265662,-122.063694473304</v>
      </c>
    </row>
    <row r="6517" spans="1:7" ht="15" x14ac:dyDescent="0.3">
      <c r="A6517">
        <v>37.683824826566202</v>
      </c>
      <c r="B6517">
        <v>-122.063694473304</v>
      </c>
      <c r="C6517" t="s">
        <v>41</v>
      </c>
      <c r="D6517" t="s">
        <v>3970</v>
      </c>
      <c r="F6517" s="21"/>
      <c r="G6517" s="16" t="str">
        <f>HYPERLINK("http://maps.google.com/maps?f=q&amp;hl=en&amp;geocode=&amp;q=37.6838248265662,-122.063694473304")</f>
        <v>http://maps.google.com/maps?f=q&amp;hl=en&amp;geocode=&amp;q=37.6838248265662,-122.063694473304</v>
      </c>
    </row>
    <row r="6518" spans="1:7" ht="15" x14ac:dyDescent="0.3">
      <c r="A6518">
        <v>37.683824826566202</v>
      </c>
      <c r="B6518">
        <v>-122.063694473304</v>
      </c>
      <c r="C6518" t="s">
        <v>41</v>
      </c>
      <c r="D6518" t="s">
        <v>3970</v>
      </c>
      <c r="F6518" s="21"/>
      <c r="G6518" s="16" t="str">
        <f>HYPERLINK("http://maps.google.com/maps?f=q&amp;hl=en&amp;geocode=&amp;q=37.6838248265662,-122.063694473304")</f>
        <v>http://maps.google.com/maps?f=q&amp;hl=en&amp;geocode=&amp;q=37.6838248265662,-122.063694473304</v>
      </c>
    </row>
    <row r="6519" spans="1:7" ht="15" x14ac:dyDescent="0.3">
      <c r="A6519">
        <v>37.683824826566202</v>
      </c>
      <c r="B6519">
        <v>-122.063694473304</v>
      </c>
      <c r="C6519" t="s">
        <v>41</v>
      </c>
      <c r="D6519" t="s">
        <v>3970</v>
      </c>
      <c r="F6519" s="21"/>
      <c r="G6519" s="16" t="str">
        <f>HYPERLINK("http://maps.google.com/maps?f=q&amp;hl=en&amp;geocode=&amp;q=37.6838248265662,-122.063694473304")</f>
        <v>http://maps.google.com/maps?f=q&amp;hl=en&amp;geocode=&amp;q=37.6838248265662,-122.063694473304</v>
      </c>
    </row>
    <row r="6520" spans="1:7" ht="15" x14ac:dyDescent="0.3">
      <c r="A6520">
        <v>40.020454357963601</v>
      </c>
      <c r="B6520">
        <v>-75.209858375107004</v>
      </c>
      <c r="C6520" t="s">
        <v>41</v>
      </c>
      <c r="D6520" t="s">
        <v>333</v>
      </c>
      <c r="F6520" s="21"/>
      <c r="G6520" s="16" t="str">
        <f>HYPERLINK("http://maps.google.com/maps?f=q&amp;hl=en&amp;geocode=&amp;q=40.0204543579636,-75.209858375107")</f>
        <v>http://maps.google.com/maps?f=q&amp;hl=en&amp;geocode=&amp;q=40.0204543579636,-75.209858375107</v>
      </c>
    </row>
    <row r="6521" spans="1:7" ht="15" x14ac:dyDescent="0.3">
      <c r="A6521">
        <v>37.683824826566202</v>
      </c>
      <c r="B6521">
        <v>-122.063694473304</v>
      </c>
      <c r="C6521" t="s">
        <v>41</v>
      </c>
      <c r="D6521" t="s">
        <v>3970</v>
      </c>
      <c r="F6521" s="21"/>
      <c r="G6521" s="16" t="str">
        <f>HYPERLINK("http://maps.google.com/maps?f=q&amp;hl=en&amp;geocode=&amp;q=37.6838248265662,-122.063694473304")</f>
        <v>http://maps.google.com/maps?f=q&amp;hl=en&amp;geocode=&amp;q=37.6838248265662,-122.063694473304</v>
      </c>
    </row>
    <row r="6522" spans="1:7" ht="15" x14ac:dyDescent="0.3">
      <c r="A6522">
        <v>39.918970000000002</v>
      </c>
      <c r="B6522">
        <v>-75.223219999999998</v>
      </c>
      <c r="C6522" t="s">
        <v>41</v>
      </c>
      <c r="D6522" t="s">
        <v>2019</v>
      </c>
      <c r="F6522" s="21"/>
      <c r="G6522" s="16" t="str">
        <f>HYPERLINK("http://maps.google.com/maps?f=q&amp;hl=en&amp;geocode=&amp;q=39.91897,-75.22322")</f>
        <v>http://maps.google.com/maps?f=q&amp;hl=en&amp;geocode=&amp;q=39.91897,-75.22322</v>
      </c>
    </row>
    <row r="6523" spans="1:7" ht="15" x14ac:dyDescent="0.3">
      <c r="A6523">
        <v>37.683824826566202</v>
      </c>
      <c r="B6523">
        <v>-122.063694473304</v>
      </c>
      <c r="C6523" t="s">
        <v>41</v>
      </c>
      <c r="D6523" t="s">
        <v>3970</v>
      </c>
      <c r="F6523" s="21"/>
      <c r="G6523" s="16" t="str">
        <f>HYPERLINK("http://maps.google.com/maps?f=q&amp;hl=en&amp;geocode=&amp;q=37.6838248265662,-122.063694473304")</f>
        <v>http://maps.google.com/maps?f=q&amp;hl=en&amp;geocode=&amp;q=37.6838248265662,-122.063694473304</v>
      </c>
    </row>
    <row r="6524" spans="1:7" ht="15" x14ac:dyDescent="0.3">
      <c r="A6524">
        <v>37.683824826566202</v>
      </c>
      <c r="B6524">
        <v>-122.063694473304</v>
      </c>
      <c r="C6524" t="s">
        <v>41</v>
      </c>
      <c r="D6524" t="s">
        <v>3970</v>
      </c>
      <c r="F6524" s="21"/>
      <c r="G6524" s="16" t="str">
        <f>HYPERLINK("http://maps.google.com/maps?f=q&amp;hl=en&amp;geocode=&amp;q=37.6838248265662,-122.063694473304")</f>
        <v>http://maps.google.com/maps?f=q&amp;hl=en&amp;geocode=&amp;q=37.6838248265662,-122.063694473304</v>
      </c>
    </row>
    <row r="6525" spans="1:7" ht="15" x14ac:dyDescent="0.3">
      <c r="A6525">
        <v>37.683824826566202</v>
      </c>
      <c r="B6525">
        <v>-122.063694473304</v>
      </c>
      <c r="C6525" t="s">
        <v>41</v>
      </c>
      <c r="D6525" t="s">
        <v>3970</v>
      </c>
      <c r="F6525" s="21"/>
      <c r="G6525" s="16" t="str">
        <f>HYPERLINK("http://maps.google.com/maps?f=q&amp;hl=en&amp;geocode=&amp;q=37.6838248265662,-122.063694473304")</f>
        <v>http://maps.google.com/maps?f=q&amp;hl=en&amp;geocode=&amp;q=37.6838248265662,-122.063694473304</v>
      </c>
    </row>
    <row r="6526" spans="1:7" ht="15" x14ac:dyDescent="0.3">
      <c r="A6526">
        <v>37.683824826566202</v>
      </c>
      <c r="B6526">
        <v>-122.063694473304</v>
      </c>
      <c r="C6526" t="s">
        <v>41</v>
      </c>
      <c r="D6526" t="s">
        <v>3970</v>
      </c>
      <c r="F6526" s="21"/>
      <c r="G6526" s="16" t="str">
        <f>HYPERLINK("http://maps.google.com/maps?f=q&amp;hl=en&amp;geocode=&amp;q=37.6838248265662,-122.063694473304")</f>
        <v>http://maps.google.com/maps?f=q&amp;hl=en&amp;geocode=&amp;q=37.6838248265662,-122.063694473304</v>
      </c>
    </row>
    <row r="6527" spans="1:7" ht="15" x14ac:dyDescent="0.3">
      <c r="A6527">
        <v>37.683824826566202</v>
      </c>
      <c r="B6527">
        <v>-122.063694473304</v>
      </c>
      <c r="C6527" t="s">
        <v>41</v>
      </c>
      <c r="D6527" t="s">
        <v>3970</v>
      </c>
      <c r="F6527" s="21"/>
      <c r="G6527" s="16" t="str">
        <f>HYPERLINK("http://maps.google.com/maps?f=q&amp;hl=en&amp;geocode=&amp;q=37.6838248265662,-122.063694473304")</f>
        <v>http://maps.google.com/maps?f=q&amp;hl=en&amp;geocode=&amp;q=37.6838248265662,-122.063694473304</v>
      </c>
    </row>
    <row r="6528" spans="1:7" ht="15" x14ac:dyDescent="0.3">
      <c r="A6528">
        <v>-26.081859999999999</v>
      </c>
      <c r="B6528">
        <v>27.963570000000001</v>
      </c>
      <c r="C6528" t="s">
        <v>43</v>
      </c>
      <c r="D6528" t="s">
        <v>3973</v>
      </c>
      <c r="F6528" s="21"/>
      <c r="G6528" s="16" t="str">
        <f>HYPERLINK("http://maps.google.com/maps?f=q&amp;hl=en&amp;geocode=&amp;q=-26.08186,27.96357")</f>
        <v>http://maps.google.com/maps?f=q&amp;hl=en&amp;geocode=&amp;q=-26.08186,27.96357</v>
      </c>
    </row>
    <row r="6529" spans="1:7" ht="15" x14ac:dyDescent="0.3">
      <c r="A6529">
        <v>-26.081859999999999</v>
      </c>
      <c r="B6529">
        <v>27.963570000000001</v>
      </c>
      <c r="C6529" t="s">
        <v>43</v>
      </c>
      <c r="D6529" t="s">
        <v>3973</v>
      </c>
      <c r="F6529" s="21"/>
      <c r="G6529" s="16" t="str">
        <f>HYPERLINK("http://maps.google.com/maps?f=q&amp;hl=en&amp;geocode=&amp;q=-26.08186,27.96357")</f>
        <v>http://maps.google.com/maps?f=q&amp;hl=en&amp;geocode=&amp;q=-26.08186,27.96357</v>
      </c>
    </row>
    <row r="6530" spans="1:7" ht="15" x14ac:dyDescent="0.3">
      <c r="A6530">
        <v>37.683824826566202</v>
      </c>
      <c r="B6530">
        <v>-122.063694473304</v>
      </c>
      <c r="C6530" t="s">
        <v>41</v>
      </c>
      <c r="D6530" t="s">
        <v>3970</v>
      </c>
      <c r="F6530" s="21"/>
      <c r="G6530" s="16" t="str">
        <f>HYPERLINK("http://maps.google.com/maps?f=q&amp;hl=en&amp;geocode=&amp;q=37.6838248265662,-122.063694473304")</f>
        <v>http://maps.google.com/maps?f=q&amp;hl=en&amp;geocode=&amp;q=37.6838248265662,-122.063694473304</v>
      </c>
    </row>
    <row r="6531" spans="1:7" ht="15" x14ac:dyDescent="0.3">
      <c r="A6531">
        <v>37.683824826566202</v>
      </c>
      <c r="B6531">
        <v>-122.063694473304</v>
      </c>
      <c r="C6531" t="s">
        <v>41</v>
      </c>
      <c r="D6531" t="s">
        <v>3970</v>
      </c>
      <c r="F6531" s="21"/>
      <c r="G6531" s="16" t="str">
        <f>HYPERLINK("http://maps.google.com/maps?f=q&amp;hl=en&amp;geocode=&amp;q=37.6838248265662,-122.063694473304")</f>
        <v>http://maps.google.com/maps?f=q&amp;hl=en&amp;geocode=&amp;q=37.6838248265662,-122.063694473304</v>
      </c>
    </row>
    <row r="6532" spans="1:7" ht="15" x14ac:dyDescent="0.3">
      <c r="A6532">
        <v>37.683824826566202</v>
      </c>
      <c r="B6532">
        <v>-122.063694473304</v>
      </c>
      <c r="C6532" t="s">
        <v>41</v>
      </c>
      <c r="D6532" t="s">
        <v>3970</v>
      </c>
      <c r="F6532" s="21"/>
      <c r="G6532" s="16" t="str">
        <f>HYPERLINK("http://maps.google.com/maps?f=q&amp;hl=en&amp;geocode=&amp;q=37.6838248265662,-122.063694473304")</f>
        <v>http://maps.google.com/maps?f=q&amp;hl=en&amp;geocode=&amp;q=37.6838248265662,-122.063694473304</v>
      </c>
    </row>
    <row r="6533" spans="1:7" ht="15" x14ac:dyDescent="0.3">
      <c r="A6533" t="s">
        <v>44</v>
      </c>
      <c r="B6533" t="s">
        <v>44</v>
      </c>
      <c r="C6533" t="s">
        <v>44</v>
      </c>
      <c r="D6533" t="s">
        <v>3974</v>
      </c>
      <c r="F6533" s="21"/>
      <c r="G6533" s="16"/>
    </row>
    <row r="6534" spans="1:7" ht="15" x14ac:dyDescent="0.3">
      <c r="A6534">
        <v>-26.081859999999999</v>
      </c>
      <c r="B6534">
        <v>27.963570000000001</v>
      </c>
      <c r="C6534" t="s">
        <v>43</v>
      </c>
      <c r="D6534" t="s">
        <v>3973</v>
      </c>
      <c r="F6534" s="21"/>
      <c r="G6534" s="16" t="str">
        <f>HYPERLINK("http://maps.google.com/maps?f=q&amp;hl=en&amp;geocode=&amp;q=-26.08186,27.96357")</f>
        <v>http://maps.google.com/maps?f=q&amp;hl=en&amp;geocode=&amp;q=-26.08186,27.96357</v>
      </c>
    </row>
    <row r="6535" spans="1:7" ht="15" x14ac:dyDescent="0.3">
      <c r="A6535">
        <v>-26.081859999999999</v>
      </c>
      <c r="B6535">
        <v>27.963570000000001</v>
      </c>
      <c r="C6535" t="s">
        <v>43</v>
      </c>
      <c r="D6535" t="s">
        <v>3973</v>
      </c>
      <c r="F6535" s="21"/>
      <c r="G6535" s="16" t="str">
        <f>HYPERLINK("http://maps.google.com/maps?f=q&amp;hl=en&amp;geocode=&amp;q=-26.08186,27.96357")</f>
        <v>http://maps.google.com/maps?f=q&amp;hl=en&amp;geocode=&amp;q=-26.08186,27.96357</v>
      </c>
    </row>
    <row r="6536" spans="1:7" ht="15" x14ac:dyDescent="0.3">
      <c r="A6536">
        <v>-26.081859999999999</v>
      </c>
      <c r="B6536">
        <v>27.963570000000001</v>
      </c>
      <c r="C6536" t="s">
        <v>43</v>
      </c>
      <c r="D6536" t="s">
        <v>3973</v>
      </c>
      <c r="F6536" s="21"/>
      <c r="G6536" s="16" t="str">
        <f>HYPERLINK("http://maps.google.com/maps?f=q&amp;hl=en&amp;geocode=&amp;q=-26.08186,27.96357")</f>
        <v>http://maps.google.com/maps?f=q&amp;hl=en&amp;geocode=&amp;q=-26.08186,27.96357</v>
      </c>
    </row>
    <row r="6537" spans="1:7" ht="15" x14ac:dyDescent="0.3">
      <c r="A6537">
        <v>37.683824826566202</v>
      </c>
      <c r="B6537">
        <v>-122.063694473304</v>
      </c>
      <c r="C6537" t="s">
        <v>41</v>
      </c>
      <c r="D6537" t="s">
        <v>3970</v>
      </c>
      <c r="F6537" s="21"/>
      <c r="G6537" s="16" t="str">
        <f>HYPERLINK("http://maps.google.com/maps?f=q&amp;hl=en&amp;geocode=&amp;q=37.6838248265662,-122.063694473304")</f>
        <v>http://maps.google.com/maps?f=q&amp;hl=en&amp;geocode=&amp;q=37.6838248265662,-122.063694473304</v>
      </c>
    </row>
    <row r="6538" spans="1:7" ht="15" x14ac:dyDescent="0.3">
      <c r="A6538">
        <v>37.683824826566202</v>
      </c>
      <c r="B6538">
        <v>-122.063694473304</v>
      </c>
      <c r="C6538" t="s">
        <v>41</v>
      </c>
      <c r="D6538" t="s">
        <v>3970</v>
      </c>
      <c r="F6538" s="21"/>
      <c r="G6538" s="16" t="str">
        <f>HYPERLINK("http://maps.google.com/maps?f=q&amp;hl=en&amp;geocode=&amp;q=37.6838248265662,-122.063694473304")</f>
        <v>http://maps.google.com/maps?f=q&amp;hl=en&amp;geocode=&amp;q=37.6838248265662,-122.063694473304</v>
      </c>
    </row>
    <row r="6539" spans="1:7" ht="15" x14ac:dyDescent="0.3">
      <c r="A6539">
        <v>-26.081859999999999</v>
      </c>
      <c r="B6539">
        <v>27.963570000000001</v>
      </c>
      <c r="C6539" t="s">
        <v>43</v>
      </c>
      <c r="D6539" t="s">
        <v>3973</v>
      </c>
      <c r="F6539" s="21"/>
      <c r="G6539" s="16" t="str">
        <f>HYPERLINK("http://maps.google.com/maps?f=q&amp;hl=en&amp;geocode=&amp;q=-26.08186,27.96357")</f>
        <v>http://maps.google.com/maps?f=q&amp;hl=en&amp;geocode=&amp;q=-26.08186,27.96357</v>
      </c>
    </row>
    <row r="6540" spans="1:7" ht="15" x14ac:dyDescent="0.3">
      <c r="A6540">
        <v>-26.081859999999999</v>
      </c>
      <c r="B6540">
        <v>27.963570000000001</v>
      </c>
      <c r="C6540" t="s">
        <v>43</v>
      </c>
      <c r="D6540" t="s">
        <v>3973</v>
      </c>
      <c r="F6540" s="21"/>
      <c r="G6540" s="16" t="str">
        <f>HYPERLINK("http://maps.google.com/maps?f=q&amp;hl=en&amp;geocode=&amp;q=-26.08186,27.96357")</f>
        <v>http://maps.google.com/maps?f=q&amp;hl=en&amp;geocode=&amp;q=-26.08186,27.96357</v>
      </c>
    </row>
    <row r="6541" spans="1:7" ht="15" x14ac:dyDescent="0.3">
      <c r="A6541">
        <v>37.683824826566202</v>
      </c>
      <c r="B6541">
        <v>-122.063694473304</v>
      </c>
      <c r="C6541" t="s">
        <v>41</v>
      </c>
      <c r="D6541" t="s">
        <v>3970</v>
      </c>
      <c r="F6541" s="21"/>
      <c r="G6541" s="16" t="str">
        <f>HYPERLINK("http://maps.google.com/maps?f=q&amp;hl=en&amp;geocode=&amp;q=37.6838248265662,-122.063694473304")</f>
        <v>http://maps.google.com/maps?f=q&amp;hl=en&amp;geocode=&amp;q=37.6838248265662,-122.063694473304</v>
      </c>
    </row>
    <row r="6542" spans="1:7" ht="15" x14ac:dyDescent="0.3">
      <c r="A6542">
        <v>-26.081859999999999</v>
      </c>
      <c r="B6542">
        <v>27.963570000000001</v>
      </c>
      <c r="C6542" t="s">
        <v>43</v>
      </c>
      <c r="D6542" t="s">
        <v>3973</v>
      </c>
      <c r="F6542" s="21"/>
      <c r="G6542" s="16" t="str">
        <f>HYPERLINK("http://maps.google.com/maps?f=q&amp;hl=en&amp;geocode=&amp;q=-26.08186,27.96357")</f>
        <v>http://maps.google.com/maps?f=q&amp;hl=en&amp;geocode=&amp;q=-26.08186,27.96357</v>
      </c>
    </row>
    <row r="6543" spans="1:7" ht="15" x14ac:dyDescent="0.3">
      <c r="A6543">
        <v>32.718940000000003</v>
      </c>
      <c r="B6543">
        <v>-97.095259999999996</v>
      </c>
      <c r="C6543" t="s">
        <v>43</v>
      </c>
      <c r="D6543" t="s">
        <v>3975</v>
      </c>
      <c r="F6543" s="21"/>
      <c r="G6543" s="16" t="str">
        <f>HYPERLINK("http://maps.google.com/maps?f=q&amp;hl=en&amp;geocode=&amp;q=32.71894,-97.09526")</f>
        <v>http://maps.google.com/maps?f=q&amp;hl=en&amp;geocode=&amp;q=32.71894,-97.09526</v>
      </c>
    </row>
    <row r="6544" spans="1:7" ht="15" x14ac:dyDescent="0.3">
      <c r="A6544">
        <v>32.718940000000003</v>
      </c>
      <c r="B6544">
        <v>-97.095259999999996</v>
      </c>
      <c r="C6544" t="s">
        <v>43</v>
      </c>
      <c r="D6544" t="s">
        <v>3975</v>
      </c>
      <c r="F6544" s="21"/>
      <c r="G6544" s="16" t="str">
        <f>HYPERLINK("http://maps.google.com/maps?f=q&amp;hl=en&amp;geocode=&amp;q=32.71894,-97.09526")</f>
        <v>http://maps.google.com/maps?f=q&amp;hl=en&amp;geocode=&amp;q=32.71894,-97.09526</v>
      </c>
    </row>
    <row r="6545" spans="1:7" ht="15" x14ac:dyDescent="0.3">
      <c r="A6545">
        <v>32.718940000000003</v>
      </c>
      <c r="B6545">
        <v>-97.095259999999996</v>
      </c>
      <c r="C6545" t="s">
        <v>43</v>
      </c>
      <c r="D6545" t="s">
        <v>3975</v>
      </c>
      <c r="F6545" s="21"/>
      <c r="G6545" s="16" t="str">
        <f>HYPERLINK("http://maps.google.com/maps?f=q&amp;hl=en&amp;geocode=&amp;q=32.71894,-97.09526")</f>
        <v>http://maps.google.com/maps?f=q&amp;hl=en&amp;geocode=&amp;q=32.71894,-97.09526</v>
      </c>
    </row>
    <row r="6546" spans="1:7" ht="15" x14ac:dyDescent="0.3">
      <c r="A6546">
        <v>32.718940000000003</v>
      </c>
      <c r="B6546">
        <v>-97.095259999999996</v>
      </c>
      <c r="C6546" t="s">
        <v>43</v>
      </c>
      <c r="D6546" t="s">
        <v>3975</v>
      </c>
      <c r="F6546" s="21"/>
      <c r="G6546" s="16" t="str">
        <f>HYPERLINK("http://maps.google.com/maps?f=q&amp;hl=en&amp;geocode=&amp;q=32.71894,-97.09526")</f>
        <v>http://maps.google.com/maps?f=q&amp;hl=en&amp;geocode=&amp;q=32.71894,-97.09526</v>
      </c>
    </row>
    <row r="6547" spans="1:7" ht="15" x14ac:dyDescent="0.3">
      <c r="A6547">
        <v>32.718940000000003</v>
      </c>
      <c r="B6547">
        <v>-97.095259999999996</v>
      </c>
      <c r="C6547" t="s">
        <v>43</v>
      </c>
      <c r="D6547" t="s">
        <v>3975</v>
      </c>
      <c r="F6547" s="21"/>
      <c r="G6547" s="16" t="str">
        <f>HYPERLINK("http://maps.google.com/maps?f=q&amp;hl=en&amp;geocode=&amp;q=32.71894,-97.09526")</f>
        <v>http://maps.google.com/maps?f=q&amp;hl=en&amp;geocode=&amp;q=32.71894,-97.09526</v>
      </c>
    </row>
    <row r="6548" spans="1:7" ht="15" x14ac:dyDescent="0.3">
      <c r="A6548">
        <v>32.718940000000003</v>
      </c>
      <c r="B6548">
        <v>-97.095259999999996</v>
      </c>
      <c r="C6548" t="s">
        <v>43</v>
      </c>
      <c r="D6548" t="s">
        <v>3975</v>
      </c>
      <c r="F6548" s="21"/>
      <c r="G6548" s="16" t="str">
        <f>HYPERLINK("http://maps.google.com/maps?f=q&amp;hl=en&amp;geocode=&amp;q=32.71894,-97.09526")</f>
        <v>http://maps.google.com/maps?f=q&amp;hl=en&amp;geocode=&amp;q=32.71894,-97.09526</v>
      </c>
    </row>
    <row r="6549" spans="1:7" ht="15" x14ac:dyDescent="0.3">
      <c r="A6549">
        <v>32.718940000000003</v>
      </c>
      <c r="B6549">
        <v>-97.095259999999996</v>
      </c>
      <c r="C6549" t="s">
        <v>43</v>
      </c>
      <c r="D6549" t="s">
        <v>3975</v>
      </c>
      <c r="F6549" s="21"/>
      <c r="G6549" s="16" t="str">
        <f>HYPERLINK("http://maps.google.com/maps?f=q&amp;hl=en&amp;geocode=&amp;q=32.71894,-97.09526")</f>
        <v>http://maps.google.com/maps?f=q&amp;hl=en&amp;geocode=&amp;q=32.71894,-97.09526</v>
      </c>
    </row>
    <row r="6550" spans="1:7" ht="15" x14ac:dyDescent="0.3">
      <c r="A6550" t="s">
        <v>44</v>
      </c>
      <c r="B6550" t="s">
        <v>44</v>
      </c>
      <c r="C6550" t="s">
        <v>44</v>
      </c>
      <c r="D6550" t="s">
        <v>3974</v>
      </c>
      <c r="F6550" s="21"/>
      <c r="G6550" s="16"/>
    </row>
    <row r="6551" spans="1:7" ht="15" x14ac:dyDescent="0.3">
      <c r="A6551">
        <v>-26.081859999999999</v>
      </c>
      <c r="B6551">
        <v>27.963570000000001</v>
      </c>
      <c r="C6551" t="s">
        <v>43</v>
      </c>
      <c r="D6551" t="s">
        <v>3973</v>
      </c>
      <c r="F6551" s="21"/>
      <c r="G6551" s="16" t="str">
        <f>HYPERLINK("http://maps.google.com/maps?f=q&amp;hl=en&amp;geocode=&amp;q=-26.08186,27.96357")</f>
        <v>http://maps.google.com/maps?f=q&amp;hl=en&amp;geocode=&amp;q=-26.08186,27.96357</v>
      </c>
    </row>
    <row r="6552" spans="1:7" ht="15" x14ac:dyDescent="0.3">
      <c r="A6552">
        <v>-26.081859999999999</v>
      </c>
      <c r="B6552">
        <v>27.963570000000001</v>
      </c>
      <c r="C6552" t="s">
        <v>43</v>
      </c>
      <c r="D6552" t="s">
        <v>3973</v>
      </c>
      <c r="F6552" s="21"/>
      <c r="G6552" s="16" t="str">
        <f>HYPERLINK("http://maps.google.com/maps?f=q&amp;hl=en&amp;geocode=&amp;q=-26.08186,27.96357")</f>
        <v>http://maps.google.com/maps?f=q&amp;hl=en&amp;geocode=&amp;q=-26.08186,27.96357</v>
      </c>
    </row>
    <row r="6553" spans="1:7" ht="15" x14ac:dyDescent="0.3">
      <c r="A6553">
        <v>40.707684</v>
      </c>
      <c r="B6553">
        <v>-73.900034000000005</v>
      </c>
      <c r="C6553" t="s">
        <v>41</v>
      </c>
      <c r="D6553" t="s">
        <v>2908</v>
      </c>
      <c r="F6553" s="21"/>
      <c r="G6553" s="16" t="str">
        <f>HYPERLINK("http://maps.google.com/maps?f=q&amp;hl=en&amp;geocode=&amp;q=40.707684,-73.900034")</f>
        <v>http://maps.google.com/maps?f=q&amp;hl=en&amp;geocode=&amp;q=40.707684,-73.900034</v>
      </c>
    </row>
    <row r="6554" spans="1:7" ht="15" x14ac:dyDescent="0.3">
      <c r="A6554">
        <v>39.966628334051698</v>
      </c>
      <c r="B6554">
        <v>-75.239175533639198</v>
      </c>
      <c r="C6554" t="s">
        <v>41</v>
      </c>
      <c r="D6554" t="s">
        <v>3976</v>
      </c>
      <c r="F6554" s="21"/>
      <c r="G6554" s="16" t="str">
        <f>HYPERLINK("http://maps.google.com/maps?f=q&amp;hl=en&amp;geocode=&amp;q=39.9666283340517,-75.2391755336392")</f>
        <v>http://maps.google.com/maps?f=q&amp;hl=en&amp;geocode=&amp;q=39.9666283340517,-75.2391755336392</v>
      </c>
    </row>
    <row r="6555" spans="1:7" ht="15" x14ac:dyDescent="0.3">
      <c r="A6555">
        <v>33.370189935864502</v>
      </c>
      <c r="B6555">
        <v>-82.353339848283994</v>
      </c>
      <c r="C6555" t="s">
        <v>41</v>
      </c>
      <c r="D6555" t="s">
        <v>3977</v>
      </c>
      <c r="F6555" s="21"/>
      <c r="G6555" s="16" t="str">
        <f>HYPERLINK("http://maps.google.com/maps?f=q&amp;hl=en&amp;geocode=&amp;q=33.3701899358645,-82.353339848284")</f>
        <v>http://maps.google.com/maps?f=q&amp;hl=en&amp;geocode=&amp;q=33.3701899358645,-82.353339848284</v>
      </c>
    </row>
    <row r="6556" spans="1:7" ht="15" x14ac:dyDescent="0.3">
      <c r="A6556">
        <v>32.380149841308601</v>
      </c>
      <c r="B6556">
        <v>-86.300079345703097</v>
      </c>
      <c r="C6556" t="s">
        <v>41</v>
      </c>
      <c r="D6556" t="s">
        <v>3978</v>
      </c>
      <c r="F6556" s="21"/>
      <c r="G6556" s="16" t="str">
        <f>HYPERLINK("http://maps.google.com/maps?f=q&amp;hl=en&amp;geocode=&amp;q=32.3801498413086,-86.3000793457031")</f>
        <v>http://maps.google.com/maps?f=q&amp;hl=en&amp;geocode=&amp;q=32.3801498413086,-86.3000793457031</v>
      </c>
    </row>
    <row r="6557" spans="1:7" ht="15" x14ac:dyDescent="0.3">
      <c r="A6557">
        <v>48.339828573156503</v>
      </c>
      <c r="B6557">
        <v>-97.405030112217901</v>
      </c>
      <c r="C6557" t="s">
        <v>42</v>
      </c>
      <c r="D6557" t="s">
        <v>3979</v>
      </c>
      <c r="F6557" s="21"/>
      <c r="G6557" s="16" t="str">
        <f>HYPERLINK("http://maps.google.com/maps?f=q&amp;hl=en&amp;geocode=&amp;q=48.3398285731565,-97.4050301122179")</f>
        <v>http://maps.google.com/maps?f=q&amp;hl=en&amp;geocode=&amp;q=48.3398285731565,-97.4050301122179</v>
      </c>
    </row>
    <row r="6558" spans="1:7" ht="15" x14ac:dyDescent="0.3">
      <c r="A6558">
        <v>41.149993206539698</v>
      </c>
      <c r="B6558">
        <v>-111.913570873949</v>
      </c>
      <c r="C6558" t="s">
        <v>41</v>
      </c>
      <c r="D6558" t="s">
        <v>782</v>
      </c>
      <c r="F6558" s="21"/>
      <c r="G6558" s="16" t="str">
        <f>HYPERLINK("http://maps.google.com/maps?f=q&amp;hl=en&amp;geocode=&amp;q=41.1499932065397,-111.913570873949")</f>
        <v>http://maps.google.com/maps?f=q&amp;hl=en&amp;geocode=&amp;q=41.1499932065397,-111.913570873949</v>
      </c>
    </row>
    <row r="6559" spans="1:7" ht="15" x14ac:dyDescent="0.3">
      <c r="A6559">
        <v>54.0989799499512</v>
      </c>
      <c r="B6559">
        <v>10.2606496810913</v>
      </c>
      <c r="C6559" t="s">
        <v>41</v>
      </c>
      <c r="D6559" t="s">
        <v>3980</v>
      </c>
      <c r="F6559" s="21"/>
      <c r="G6559" s="16" t="str">
        <f>HYPERLINK("http://maps.google.com/maps?f=q&amp;hl=en&amp;geocode=&amp;q=54.0989799499512,10.2606496810913")</f>
        <v>http://maps.google.com/maps?f=q&amp;hl=en&amp;geocode=&amp;q=54.0989799499512,10.2606496810913</v>
      </c>
    </row>
    <row r="6560" spans="1:7" ht="15" x14ac:dyDescent="0.3">
      <c r="A6560">
        <v>54.0989799499512</v>
      </c>
      <c r="B6560">
        <v>10.2606496810913</v>
      </c>
      <c r="C6560" t="s">
        <v>41</v>
      </c>
      <c r="D6560" t="s">
        <v>3980</v>
      </c>
      <c r="F6560" s="21"/>
      <c r="G6560" s="16" t="str">
        <f>HYPERLINK("http://maps.google.com/maps?f=q&amp;hl=en&amp;geocode=&amp;q=54.0989799499512,10.2606496810913")</f>
        <v>http://maps.google.com/maps?f=q&amp;hl=en&amp;geocode=&amp;q=54.0989799499512,10.2606496810913</v>
      </c>
    </row>
    <row r="6561" spans="1:7" ht="15" x14ac:dyDescent="0.3">
      <c r="A6561">
        <v>-32.476999900000003</v>
      </c>
      <c r="B6561">
        <v>115.78574</v>
      </c>
      <c r="C6561" t="s">
        <v>41</v>
      </c>
      <c r="D6561" t="s">
        <v>306</v>
      </c>
      <c r="F6561" s="21"/>
      <c r="G6561" s="16" t="str">
        <f>HYPERLINK("http://maps.google.com/maps?f=q&amp;hl=en&amp;geocode=&amp;q=-32.4769999,115.78574")</f>
        <v>http://maps.google.com/maps?f=q&amp;hl=en&amp;geocode=&amp;q=-32.4769999,115.78574</v>
      </c>
    </row>
    <row r="6562" spans="1:7" ht="15" x14ac:dyDescent="0.3">
      <c r="A6562">
        <v>-32.476999900000003</v>
      </c>
      <c r="B6562">
        <v>115.78574</v>
      </c>
      <c r="C6562" t="s">
        <v>41</v>
      </c>
      <c r="D6562" t="s">
        <v>306</v>
      </c>
      <c r="F6562" s="21"/>
      <c r="G6562" s="16" t="str">
        <f>HYPERLINK("http://maps.google.com/maps?f=q&amp;hl=en&amp;geocode=&amp;q=-32.4769999,115.78574")</f>
        <v>http://maps.google.com/maps?f=q&amp;hl=en&amp;geocode=&amp;q=-32.4769999,115.78574</v>
      </c>
    </row>
    <row r="6563" spans="1:7" ht="15" x14ac:dyDescent="0.3">
      <c r="A6563">
        <v>54.0989799499512</v>
      </c>
      <c r="B6563">
        <v>10.2606496810913</v>
      </c>
      <c r="C6563" t="s">
        <v>41</v>
      </c>
      <c r="D6563" t="s">
        <v>3980</v>
      </c>
      <c r="F6563" s="21"/>
      <c r="G6563" s="16" t="str">
        <f>HYPERLINK("http://maps.google.com/maps?f=q&amp;hl=en&amp;geocode=&amp;q=54.0989799499512,10.2606496810913")</f>
        <v>http://maps.google.com/maps?f=q&amp;hl=en&amp;geocode=&amp;q=54.0989799499512,10.2606496810913</v>
      </c>
    </row>
    <row r="6564" spans="1:7" ht="15" x14ac:dyDescent="0.3">
      <c r="A6564">
        <v>49.6048393249512</v>
      </c>
      <c r="B6564">
        <v>6.1162071228027299</v>
      </c>
      <c r="C6564" t="s">
        <v>41</v>
      </c>
      <c r="D6564" t="s">
        <v>3981</v>
      </c>
      <c r="F6564" s="21"/>
      <c r="G6564" s="16" t="str">
        <f>HYPERLINK("http://maps.google.com/maps?f=q&amp;hl=en&amp;geocode=&amp;q=49.6048393249512,6.11620712280273")</f>
        <v>http://maps.google.com/maps?f=q&amp;hl=en&amp;geocode=&amp;q=49.6048393249512,6.11620712280273</v>
      </c>
    </row>
    <row r="6565" spans="1:7" ht="15" x14ac:dyDescent="0.3">
      <c r="A6565">
        <v>30.951314634443602</v>
      </c>
      <c r="B6565">
        <v>-83.365722528855798</v>
      </c>
      <c r="C6565" t="s">
        <v>41</v>
      </c>
      <c r="D6565" t="s">
        <v>3982</v>
      </c>
      <c r="F6565" s="21"/>
      <c r="G6565" s="16" t="str">
        <f>HYPERLINK("http://maps.google.com/maps?f=q&amp;hl=en&amp;geocode=&amp;q=30.9513146344436,-83.3657225288558")</f>
        <v>http://maps.google.com/maps?f=q&amp;hl=en&amp;geocode=&amp;q=30.9513146344436,-83.3657225288558</v>
      </c>
    </row>
    <row r="6566" spans="1:7" ht="15" x14ac:dyDescent="0.3">
      <c r="A6566">
        <v>40.007539999999999</v>
      </c>
      <c r="B6566">
        <v>-75.133870000000002</v>
      </c>
      <c r="C6566" t="s">
        <v>42</v>
      </c>
      <c r="D6566" t="s">
        <v>3983</v>
      </c>
      <c r="F6566" s="21"/>
      <c r="G6566" s="16" t="str">
        <f>HYPERLINK("http://maps.google.com/maps?f=q&amp;hl=en&amp;geocode=&amp;q=40.00754,-75.13387")</f>
        <v>http://maps.google.com/maps?f=q&amp;hl=en&amp;geocode=&amp;q=40.00754,-75.13387</v>
      </c>
    </row>
    <row r="6567" spans="1:7" ht="15" x14ac:dyDescent="0.3">
      <c r="A6567">
        <v>39.980072979935201</v>
      </c>
      <c r="B6567">
        <v>-75.226684300097602</v>
      </c>
      <c r="C6567" t="s">
        <v>41</v>
      </c>
      <c r="D6567" t="s">
        <v>3984</v>
      </c>
      <c r="F6567" s="21"/>
      <c r="G6567" s="16" t="str">
        <f>HYPERLINK("http://maps.google.com/maps?f=q&amp;hl=en&amp;geocode=&amp;q=39.9800729799352,-75.2266843000976")</f>
        <v>http://maps.google.com/maps?f=q&amp;hl=en&amp;geocode=&amp;q=39.9800729799352,-75.2266843000976</v>
      </c>
    </row>
    <row r="6568" spans="1:7" ht="15" x14ac:dyDescent="0.3">
      <c r="A6568">
        <v>60.297019958496101</v>
      </c>
      <c r="B6568">
        <v>5.26104784011841</v>
      </c>
      <c r="C6568" t="s">
        <v>41</v>
      </c>
      <c r="D6568" t="s">
        <v>3985</v>
      </c>
      <c r="F6568" s="21"/>
      <c r="G6568" s="16" t="str">
        <f>HYPERLINK("http://maps.google.com/maps?f=q&amp;hl=en&amp;geocode=&amp;q=60.2970199584961,5.26104784011841")</f>
        <v>http://maps.google.com/maps?f=q&amp;hl=en&amp;geocode=&amp;q=60.2970199584961,5.26104784011841</v>
      </c>
    </row>
    <row r="6569" spans="1:7" ht="15" x14ac:dyDescent="0.3">
      <c r="A6569">
        <v>13.3421745300293</v>
      </c>
      <c r="B6569">
        <v>121.187538146973</v>
      </c>
      <c r="C6569" t="s">
        <v>43</v>
      </c>
      <c r="D6569" t="s">
        <v>3986</v>
      </c>
      <c r="F6569" s="21"/>
      <c r="G6569" s="16" t="str">
        <f>HYPERLINK("http://maps.google.com/maps?f=q&amp;hl=en&amp;geocode=&amp;q=13.3421745300293,121.187538146973")</f>
        <v>http://maps.google.com/maps?f=q&amp;hl=en&amp;geocode=&amp;q=13.3421745300293,121.187538146973</v>
      </c>
    </row>
    <row r="6570" spans="1:7" ht="15" x14ac:dyDescent="0.3">
      <c r="A6570" t="s">
        <v>44</v>
      </c>
      <c r="B6570" t="s">
        <v>44</v>
      </c>
      <c r="C6570" t="s">
        <v>44</v>
      </c>
      <c r="D6570" t="s">
        <v>3987</v>
      </c>
      <c r="F6570" s="21"/>
      <c r="G6570" s="16"/>
    </row>
    <row r="6571" spans="1:7" ht="15" x14ac:dyDescent="0.3">
      <c r="A6571">
        <v>40.972424652540901</v>
      </c>
      <c r="B6571">
        <v>-91.612340444334293</v>
      </c>
      <c r="C6571" t="s">
        <v>41</v>
      </c>
      <c r="D6571" t="s">
        <v>3988</v>
      </c>
      <c r="F6571" s="21"/>
      <c r="G6571" s="16" t="str">
        <f>HYPERLINK("http://maps.google.com/maps?f=q&amp;hl=en&amp;geocode=&amp;q=40.9724246525409,-91.6123404443343")</f>
        <v>http://maps.google.com/maps?f=q&amp;hl=en&amp;geocode=&amp;q=40.9724246525409,-91.6123404443343</v>
      </c>
    </row>
    <row r="6572" spans="1:7" ht="15" x14ac:dyDescent="0.3">
      <c r="A6572">
        <v>40.015337160306103</v>
      </c>
      <c r="B6572">
        <v>-75.137346076917595</v>
      </c>
      <c r="C6572" t="s">
        <v>43</v>
      </c>
      <c r="D6572" t="s">
        <v>3989</v>
      </c>
      <c r="F6572" s="21"/>
      <c r="G6572" s="16" t="str">
        <f>HYPERLINK("http://maps.google.com/maps?f=q&amp;hl=en&amp;geocode=&amp;q=40.0153371603061,-75.1373460769176")</f>
        <v>http://maps.google.com/maps?f=q&amp;hl=en&amp;geocode=&amp;q=40.0153371603061,-75.1373460769176</v>
      </c>
    </row>
    <row r="6573" spans="1:7" ht="15" x14ac:dyDescent="0.3">
      <c r="A6573">
        <v>40.015673540799</v>
      </c>
      <c r="B6573">
        <v>-75.140275258600496</v>
      </c>
      <c r="C6573" t="s">
        <v>43</v>
      </c>
      <c r="D6573" t="s">
        <v>2004</v>
      </c>
      <c r="F6573" s="21"/>
      <c r="G6573" s="16" t="str">
        <f>HYPERLINK("http://maps.google.com/maps?f=q&amp;hl=en&amp;geocode=&amp;q=40.015673540799,-75.1402752586005")</f>
        <v>http://maps.google.com/maps?f=q&amp;hl=en&amp;geocode=&amp;q=40.015673540799,-75.1402752586005</v>
      </c>
    </row>
    <row r="6574" spans="1:7" ht="15" x14ac:dyDescent="0.3">
      <c r="A6574" t="s">
        <v>44</v>
      </c>
      <c r="B6574" t="s">
        <v>44</v>
      </c>
      <c r="C6574" t="s">
        <v>44</v>
      </c>
      <c r="D6574" t="s">
        <v>3990</v>
      </c>
      <c r="F6574" s="21"/>
      <c r="G6574" s="16"/>
    </row>
    <row r="6575" spans="1:7" ht="15" x14ac:dyDescent="0.3">
      <c r="A6575">
        <v>40.035719999999998</v>
      </c>
      <c r="B6575">
        <v>-75.070629999999994</v>
      </c>
      <c r="C6575" t="s">
        <v>41</v>
      </c>
      <c r="D6575" t="s">
        <v>760</v>
      </c>
      <c r="F6575" s="21"/>
      <c r="G6575" s="16" t="str">
        <f>HYPERLINK("http://maps.google.com/maps?f=q&amp;hl=en&amp;geocode=&amp;q=40.03572,-75.07063")</f>
        <v>http://maps.google.com/maps?f=q&amp;hl=en&amp;geocode=&amp;q=40.03572,-75.07063</v>
      </c>
    </row>
    <row r="6576" spans="1:7" ht="15" x14ac:dyDescent="0.3">
      <c r="A6576">
        <v>38.707741855237799</v>
      </c>
      <c r="B6576">
        <v>-90.271877813569702</v>
      </c>
      <c r="C6576" t="s">
        <v>41</v>
      </c>
      <c r="D6576" t="s">
        <v>785</v>
      </c>
      <c r="F6576" s="21"/>
      <c r="G6576" s="16" t="str">
        <f>HYPERLINK("http://maps.google.com/maps?f=q&amp;hl=en&amp;geocode=&amp;q=38.7077418552378,-90.2718778135697")</f>
        <v>http://maps.google.com/maps?f=q&amp;hl=en&amp;geocode=&amp;q=38.7077418552378,-90.2718778135697</v>
      </c>
    </row>
    <row r="6577" spans="1:7" ht="15" x14ac:dyDescent="0.3">
      <c r="A6577">
        <v>37.0063803937621</v>
      </c>
      <c r="B6577">
        <v>-89.183859742388407</v>
      </c>
      <c r="C6577" t="s">
        <v>41</v>
      </c>
      <c r="D6577" t="s">
        <v>780</v>
      </c>
      <c r="F6577" s="21"/>
      <c r="G6577" s="16" t="str">
        <f>HYPERLINK("http://maps.google.com/maps?f=q&amp;hl=en&amp;geocode=&amp;q=37.0063803937621,-89.1838597423884")</f>
        <v>http://maps.google.com/maps?f=q&amp;hl=en&amp;geocode=&amp;q=37.0063803937621,-89.1838597423884</v>
      </c>
    </row>
    <row r="6578" spans="1:7" ht="15" x14ac:dyDescent="0.3">
      <c r="A6578">
        <v>37.0063803937621</v>
      </c>
      <c r="B6578">
        <v>-89.183859742388407</v>
      </c>
      <c r="C6578" t="s">
        <v>41</v>
      </c>
      <c r="D6578" t="s">
        <v>780</v>
      </c>
      <c r="F6578" s="21"/>
      <c r="G6578" s="16" t="str">
        <f>HYPERLINK("http://maps.google.com/maps?f=q&amp;hl=en&amp;geocode=&amp;q=37.0063803937621,-89.1838597423884")</f>
        <v>http://maps.google.com/maps?f=q&amp;hl=en&amp;geocode=&amp;q=37.0063803937621,-89.1838597423884</v>
      </c>
    </row>
    <row r="6579" spans="1:7" ht="15" x14ac:dyDescent="0.3">
      <c r="A6579">
        <v>37.0063803937621</v>
      </c>
      <c r="B6579">
        <v>-89.183859742388407</v>
      </c>
      <c r="C6579" t="s">
        <v>41</v>
      </c>
      <c r="D6579" t="s">
        <v>780</v>
      </c>
      <c r="F6579" s="21"/>
      <c r="G6579" s="16" t="str">
        <f>HYPERLINK("http://maps.google.com/maps?f=q&amp;hl=en&amp;geocode=&amp;q=37.0063803937621,-89.1838597423884")</f>
        <v>http://maps.google.com/maps?f=q&amp;hl=en&amp;geocode=&amp;q=37.0063803937621,-89.1838597423884</v>
      </c>
    </row>
    <row r="6580" spans="1:7" ht="15" x14ac:dyDescent="0.3">
      <c r="A6580">
        <v>42.832415529968998</v>
      </c>
      <c r="B6580">
        <v>-77.381095667409696</v>
      </c>
      <c r="C6580" t="s">
        <v>41</v>
      </c>
      <c r="D6580" t="s">
        <v>221</v>
      </c>
      <c r="F6580" s="21"/>
      <c r="G6580" s="16" t="str">
        <f>HYPERLINK("http://maps.google.com/maps?f=q&amp;hl=en&amp;geocode=&amp;q=42.832415529969,-77.3810956674097")</f>
        <v>http://maps.google.com/maps?f=q&amp;hl=en&amp;geocode=&amp;q=42.832415529969,-77.3810956674097</v>
      </c>
    </row>
    <row r="6581" spans="1:7" ht="15" x14ac:dyDescent="0.3">
      <c r="A6581">
        <v>41.163290000000003</v>
      </c>
      <c r="B6581">
        <v>-80.698909999999998</v>
      </c>
      <c r="C6581" t="s">
        <v>41</v>
      </c>
      <c r="D6581" t="s">
        <v>3991</v>
      </c>
      <c r="F6581" s="21"/>
      <c r="G6581" s="16" t="str">
        <f>HYPERLINK("http://maps.google.com/maps?f=q&amp;hl=en&amp;geocode=&amp;q=41.16329,-80.69891")</f>
        <v>http://maps.google.com/maps?f=q&amp;hl=en&amp;geocode=&amp;q=41.16329,-80.69891</v>
      </c>
    </row>
    <row r="6582" spans="1:7" ht="15" x14ac:dyDescent="0.3">
      <c r="A6582">
        <v>39.403060000000004</v>
      </c>
      <c r="B6582">
        <v>-83.982119999999995</v>
      </c>
      <c r="C6582" t="s">
        <v>43</v>
      </c>
      <c r="D6582" t="s">
        <v>3129</v>
      </c>
      <c r="F6582" s="21"/>
      <c r="G6582" s="16" t="str">
        <f>HYPERLINK("http://maps.google.com/maps?f=q&amp;hl=en&amp;geocode=&amp;q=39.40306,-83.98212")</f>
        <v>http://maps.google.com/maps?f=q&amp;hl=en&amp;geocode=&amp;q=39.40306,-83.98212</v>
      </c>
    </row>
    <row r="6583" spans="1:7" ht="15" x14ac:dyDescent="0.3">
      <c r="A6583">
        <v>42.7791938781738</v>
      </c>
      <c r="B6583">
        <v>-73.691421508789105</v>
      </c>
      <c r="C6583" t="s">
        <v>43</v>
      </c>
      <c r="D6583" t="s">
        <v>1559</v>
      </c>
      <c r="F6583" s="21"/>
      <c r="G6583" s="16" t="str">
        <f>HYPERLINK("http://maps.google.com/maps?f=q&amp;hl=en&amp;geocode=&amp;q=42.7791938781738,-73.6914215087891")</f>
        <v>http://maps.google.com/maps?f=q&amp;hl=en&amp;geocode=&amp;q=42.7791938781738,-73.6914215087891</v>
      </c>
    </row>
    <row r="6584" spans="1:7" ht="15" x14ac:dyDescent="0.3">
      <c r="A6584">
        <v>38.627659999999999</v>
      </c>
      <c r="B6584">
        <v>-112.22029000000001</v>
      </c>
      <c r="C6584" t="s">
        <v>43</v>
      </c>
      <c r="D6584" t="s">
        <v>3992</v>
      </c>
      <c r="F6584" s="21"/>
      <c r="G6584" s="16" t="str">
        <f>HYPERLINK("http://maps.google.com/maps?f=q&amp;hl=en&amp;geocode=&amp;q=38.62766,-112.22029")</f>
        <v>http://maps.google.com/maps?f=q&amp;hl=en&amp;geocode=&amp;q=38.62766,-112.22029</v>
      </c>
    </row>
    <row r="6585" spans="1:7" ht="15" x14ac:dyDescent="0.3">
      <c r="A6585">
        <v>48.024501800537102</v>
      </c>
      <c r="B6585">
        <v>3.6702299118042001</v>
      </c>
      <c r="C6585" t="s">
        <v>41</v>
      </c>
      <c r="D6585" t="s">
        <v>2884</v>
      </c>
      <c r="F6585" s="21"/>
      <c r="G6585" s="16" t="str">
        <f>HYPERLINK("http://maps.google.com/maps?f=q&amp;hl=en&amp;geocode=&amp;q=48.0245018005371,3.6702299118042")</f>
        <v>http://maps.google.com/maps?f=q&amp;hl=en&amp;geocode=&amp;q=48.0245018005371,3.6702299118042</v>
      </c>
    </row>
    <row r="6586" spans="1:7" ht="15" x14ac:dyDescent="0.3">
      <c r="A6586">
        <v>35.321916428819399</v>
      </c>
      <c r="B6586">
        <v>-82.6866264349581</v>
      </c>
      <c r="C6586" t="s">
        <v>41</v>
      </c>
      <c r="D6586" t="s">
        <v>3100</v>
      </c>
      <c r="F6586" s="21"/>
      <c r="G6586" s="16" t="str">
        <f>HYPERLINK("http://maps.google.com/maps?f=q&amp;hl=en&amp;geocode=&amp;q=35.3219164288194,-82.6866264349581")</f>
        <v>http://maps.google.com/maps?f=q&amp;hl=en&amp;geocode=&amp;q=35.3219164288194,-82.6866264349581</v>
      </c>
    </row>
    <row r="6587" spans="1:7" ht="15" x14ac:dyDescent="0.3">
      <c r="A6587">
        <v>36.847367341165402</v>
      </c>
      <c r="B6587">
        <v>-119.85534038147701</v>
      </c>
      <c r="C6587" t="s">
        <v>41</v>
      </c>
      <c r="D6587" t="s">
        <v>3993</v>
      </c>
      <c r="F6587" s="21"/>
      <c r="G6587" s="16" t="str">
        <f>HYPERLINK("http://maps.google.com/maps?f=q&amp;hl=en&amp;geocode=&amp;q=36.8473673411654,-119.855340381477")</f>
        <v>http://maps.google.com/maps?f=q&amp;hl=en&amp;geocode=&amp;q=36.8473673411654,-119.855340381477</v>
      </c>
    </row>
    <row r="6588" spans="1:7" ht="15" x14ac:dyDescent="0.3">
      <c r="A6588">
        <v>32.718940000000003</v>
      </c>
      <c r="B6588">
        <v>-97.095259999999996</v>
      </c>
      <c r="C6588" t="s">
        <v>43</v>
      </c>
      <c r="D6588" t="s">
        <v>3975</v>
      </c>
      <c r="F6588" s="21"/>
      <c r="G6588" s="16" t="str">
        <f>HYPERLINK("http://maps.google.com/maps?f=q&amp;hl=en&amp;geocode=&amp;q=32.71894,-97.09526")</f>
        <v>http://maps.google.com/maps?f=q&amp;hl=en&amp;geocode=&amp;q=32.71894,-97.09526</v>
      </c>
    </row>
    <row r="6589" spans="1:7" ht="15" x14ac:dyDescent="0.3">
      <c r="A6589">
        <v>40.031289999999998</v>
      </c>
      <c r="B6589">
        <v>-75.130070000000003</v>
      </c>
      <c r="C6589" t="s">
        <v>41</v>
      </c>
      <c r="D6589" t="s">
        <v>3994</v>
      </c>
      <c r="F6589" s="21"/>
      <c r="G6589" s="16" t="str">
        <f>HYPERLINK("http://maps.google.com/maps?f=q&amp;hl=en&amp;geocode=&amp;q=40.03129,-75.13007")</f>
        <v>http://maps.google.com/maps?f=q&amp;hl=en&amp;geocode=&amp;q=40.03129,-75.13007</v>
      </c>
    </row>
    <row r="6590" spans="1:7" ht="15" x14ac:dyDescent="0.3">
      <c r="A6590">
        <v>43.018824173148602</v>
      </c>
      <c r="B6590">
        <v>-83.804279379061001</v>
      </c>
      <c r="C6590" t="s">
        <v>43</v>
      </c>
      <c r="D6590" t="s">
        <v>3995</v>
      </c>
      <c r="F6590" s="21"/>
      <c r="G6590" s="16" t="str">
        <f>HYPERLINK("http://maps.google.com/maps?f=q&amp;hl=en&amp;geocode=&amp;q=43.0188241731486,-83.804279379061")</f>
        <v>http://maps.google.com/maps?f=q&amp;hl=en&amp;geocode=&amp;q=43.0188241731486,-83.804279379061</v>
      </c>
    </row>
    <row r="6591" spans="1:7" ht="15" x14ac:dyDescent="0.3">
      <c r="A6591">
        <v>39.95655</v>
      </c>
      <c r="B6591">
        <v>-75.241889999999998</v>
      </c>
      <c r="C6591" t="s">
        <v>43</v>
      </c>
      <c r="D6591" t="s">
        <v>2770</v>
      </c>
      <c r="F6591" s="21"/>
      <c r="G6591" s="16" t="str">
        <f>HYPERLINK("http://maps.google.com/maps?f=q&amp;hl=en&amp;geocode=&amp;q=39.95655,-75.24189")</f>
        <v>http://maps.google.com/maps?f=q&amp;hl=en&amp;geocode=&amp;q=39.95655,-75.24189</v>
      </c>
    </row>
    <row r="6592" spans="1:7" ht="15" x14ac:dyDescent="0.3">
      <c r="A6592">
        <v>39.920350908880501</v>
      </c>
      <c r="B6592">
        <v>-75.168576536206004</v>
      </c>
      <c r="C6592" t="s">
        <v>41</v>
      </c>
      <c r="D6592" t="s">
        <v>3996</v>
      </c>
      <c r="F6592" s="21"/>
      <c r="G6592" s="16" t="str">
        <f>HYPERLINK("http://maps.google.com/maps?f=q&amp;hl=en&amp;geocode=&amp;q=39.9203509088805,-75.168576536206")</f>
        <v>http://maps.google.com/maps?f=q&amp;hl=en&amp;geocode=&amp;q=39.9203509088805,-75.168576536206</v>
      </c>
    </row>
    <row r="6593" spans="1:7" ht="15" x14ac:dyDescent="0.3">
      <c r="A6593">
        <v>34.917470000000002</v>
      </c>
      <c r="B6593">
        <v>-112.52316</v>
      </c>
      <c r="C6593" t="s">
        <v>42</v>
      </c>
      <c r="D6593" t="s">
        <v>2242</v>
      </c>
      <c r="F6593" s="21"/>
      <c r="G6593" s="16" t="str">
        <f>HYPERLINK("http://maps.google.com/maps?f=q&amp;hl=en&amp;geocode=&amp;q=34.91747,-112.52316")</f>
        <v>http://maps.google.com/maps?f=q&amp;hl=en&amp;geocode=&amp;q=34.91747,-112.52316</v>
      </c>
    </row>
    <row r="6594" spans="1:7" ht="15" x14ac:dyDescent="0.3">
      <c r="A6594">
        <v>45.0852551948377</v>
      </c>
      <c r="B6594">
        <v>-93.522052770160599</v>
      </c>
      <c r="C6594" t="s">
        <v>41</v>
      </c>
      <c r="D6594" t="s">
        <v>1615</v>
      </c>
      <c r="F6594" s="21"/>
      <c r="G6594" s="16" t="str">
        <f>HYPERLINK("http://maps.google.com/maps?f=q&amp;hl=en&amp;geocode=&amp;q=45.0852551948377,-93.5220527701606")</f>
        <v>http://maps.google.com/maps?f=q&amp;hl=en&amp;geocode=&amp;q=45.0852551948377,-93.5220527701606</v>
      </c>
    </row>
    <row r="6595" spans="1:7" ht="15" x14ac:dyDescent="0.3">
      <c r="A6595">
        <v>39.684371948242202</v>
      </c>
      <c r="B6595">
        <v>21.8974094390869</v>
      </c>
      <c r="C6595" t="s">
        <v>41</v>
      </c>
      <c r="D6595" t="s">
        <v>94</v>
      </c>
      <c r="F6595" s="21"/>
      <c r="G6595" s="16" t="str">
        <f>HYPERLINK("http://maps.google.com/maps?f=q&amp;hl=en&amp;geocode=&amp;q=39.6843719482422,21.8974094390869")</f>
        <v>http://maps.google.com/maps?f=q&amp;hl=en&amp;geocode=&amp;q=39.6843719482422,21.8974094390869</v>
      </c>
    </row>
    <row r="6596" spans="1:7" ht="15" x14ac:dyDescent="0.3">
      <c r="A6596">
        <v>40.193464969506998</v>
      </c>
      <c r="B6596">
        <v>-110.04792045993</v>
      </c>
      <c r="C6596" t="s">
        <v>41</v>
      </c>
      <c r="D6596" t="s">
        <v>3997</v>
      </c>
      <c r="F6596" s="21"/>
      <c r="G6596" s="16" t="str">
        <f>HYPERLINK("http://maps.google.com/maps?f=q&amp;hl=en&amp;geocode=&amp;q=40.193464969507,-110.04792045993")</f>
        <v>http://maps.google.com/maps?f=q&amp;hl=en&amp;geocode=&amp;q=40.193464969507,-110.04792045993</v>
      </c>
    </row>
    <row r="6597" spans="1:7" ht="15" x14ac:dyDescent="0.3">
      <c r="A6597">
        <v>40.113320000000002</v>
      </c>
      <c r="B6597">
        <v>-75.02561</v>
      </c>
      <c r="C6597" t="s">
        <v>41</v>
      </c>
      <c r="D6597" t="s">
        <v>3998</v>
      </c>
      <c r="F6597" s="21"/>
      <c r="G6597" s="16" t="str">
        <f>HYPERLINK("http://maps.google.com/maps?f=q&amp;hl=en&amp;geocode=&amp;q=40.11332,-75.02561")</f>
        <v>http://maps.google.com/maps?f=q&amp;hl=en&amp;geocode=&amp;q=40.11332,-75.02561</v>
      </c>
    </row>
    <row r="6598" spans="1:7" ht="15" x14ac:dyDescent="0.3">
      <c r="A6598">
        <v>39.973068498654101</v>
      </c>
      <c r="B6598">
        <v>-75.1583662332785</v>
      </c>
      <c r="C6598" t="s">
        <v>41</v>
      </c>
      <c r="D6598" t="s">
        <v>3999</v>
      </c>
      <c r="F6598" s="21"/>
      <c r="G6598" s="16" t="str">
        <f>HYPERLINK("http://maps.google.com/maps?f=q&amp;hl=en&amp;geocode=&amp;q=39.9730684986541,-75.1583662332785")</f>
        <v>http://maps.google.com/maps?f=q&amp;hl=en&amp;geocode=&amp;q=39.9730684986541,-75.1583662332785</v>
      </c>
    </row>
    <row r="6599" spans="1:7" ht="15" x14ac:dyDescent="0.3">
      <c r="A6599">
        <v>34.48527</v>
      </c>
      <c r="B6599">
        <v>-88.206639999999993</v>
      </c>
      <c r="C6599" t="s">
        <v>43</v>
      </c>
      <c r="D6599" t="s">
        <v>4000</v>
      </c>
      <c r="F6599" s="21"/>
      <c r="G6599" s="16" t="str">
        <f>HYPERLINK("http://maps.google.com/maps?f=q&amp;hl=en&amp;geocode=&amp;q=34.48527,-88.20664")</f>
        <v>http://maps.google.com/maps?f=q&amp;hl=en&amp;geocode=&amp;q=34.48527,-88.20664</v>
      </c>
    </row>
    <row r="6600" spans="1:7" ht="15" x14ac:dyDescent="0.3">
      <c r="A6600">
        <v>40.017771904492299</v>
      </c>
      <c r="B6600">
        <v>-75.211005122136797</v>
      </c>
      <c r="C6600" t="s">
        <v>41</v>
      </c>
      <c r="D6600" t="s">
        <v>4001</v>
      </c>
      <c r="F6600" s="21"/>
      <c r="G6600" s="16" t="str">
        <f>HYPERLINK("http://maps.google.com/maps?f=q&amp;hl=en&amp;geocode=&amp;q=40.0177719044923,-75.2110051221368")</f>
        <v>http://maps.google.com/maps?f=q&amp;hl=en&amp;geocode=&amp;q=40.0177719044923,-75.2110051221368</v>
      </c>
    </row>
    <row r="6601" spans="1:7" ht="15" x14ac:dyDescent="0.3">
      <c r="A6601">
        <v>47.155059814453097</v>
      </c>
      <c r="B6601">
        <v>8.5326128005981392</v>
      </c>
      <c r="C6601" t="s">
        <v>43</v>
      </c>
      <c r="D6601" t="s">
        <v>903</v>
      </c>
      <c r="F6601" s="21"/>
      <c r="G6601" s="16" t="str">
        <f>HYPERLINK("http://maps.google.com/maps?f=q&amp;hl=en&amp;geocode=&amp;q=47.1550598144531,8.53261280059814")</f>
        <v>http://maps.google.com/maps?f=q&amp;hl=en&amp;geocode=&amp;q=47.1550598144531,8.53261280059814</v>
      </c>
    </row>
    <row r="6602" spans="1:7" ht="15" x14ac:dyDescent="0.3">
      <c r="A6602">
        <v>41.536692316840302</v>
      </c>
      <c r="B6602">
        <v>-83.854095243073999</v>
      </c>
      <c r="C6602" t="s">
        <v>41</v>
      </c>
      <c r="D6602" t="s">
        <v>2387</v>
      </c>
      <c r="F6602" s="21"/>
      <c r="G6602" s="16" t="str">
        <f>HYPERLINK("http://maps.google.com/maps?f=q&amp;hl=en&amp;geocode=&amp;q=41.5366923168403,-83.854095243074")</f>
        <v>http://maps.google.com/maps?f=q&amp;hl=en&amp;geocode=&amp;q=41.5366923168403,-83.854095243074</v>
      </c>
    </row>
    <row r="6603" spans="1:7" ht="15" x14ac:dyDescent="0.3">
      <c r="A6603">
        <v>40.487969999999997</v>
      </c>
      <c r="B6603">
        <v>-78.012150000000005</v>
      </c>
      <c r="C6603" t="s">
        <v>43</v>
      </c>
      <c r="D6603" t="s">
        <v>2777</v>
      </c>
      <c r="F6603" s="21"/>
      <c r="G6603" s="16" t="str">
        <f>HYPERLINK("http://maps.google.com/maps?f=q&amp;hl=en&amp;geocode=&amp;q=40.48797,-78.01215")</f>
        <v>http://maps.google.com/maps?f=q&amp;hl=en&amp;geocode=&amp;q=40.48797,-78.01215</v>
      </c>
    </row>
    <row r="6604" spans="1:7" ht="15" x14ac:dyDescent="0.3">
      <c r="A6604">
        <v>36.067732427247897</v>
      </c>
      <c r="B6604">
        <v>-79.397036006356103</v>
      </c>
      <c r="C6604" t="s">
        <v>41</v>
      </c>
      <c r="D6604" t="s">
        <v>1857</v>
      </c>
      <c r="F6604" s="21"/>
      <c r="G6604" s="16" t="str">
        <f>HYPERLINK("http://maps.google.com/maps?f=q&amp;hl=en&amp;geocode=&amp;q=36.0677324272479,-79.3970360063561")</f>
        <v>http://maps.google.com/maps?f=q&amp;hl=en&amp;geocode=&amp;q=36.0677324272479,-79.3970360063561</v>
      </c>
    </row>
    <row r="6605" spans="1:7" ht="15" x14ac:dyDescent="0.3">
      <c r="A6605">
        <v>40.097897968491303</v>
      </c>
      <c r="B6605">
        <v>-89.083102045688506</v>
      </c>
      <c r="C6605" t="s">
        <v>41</v>
      </c>
      <c r="D6605" t="s">
        <v>4002</v>
      </c>
      <c r="F6605" s="21"/>
      <c r="G6605" s="16" t="str">
        <f>HYPERLINK("http://maps.google.com/maps?f=q&amp;hl=en&amp;geocode=&amp;q=40.0978979684913,-89.0831020456885")</f>
        <v>http://maps.google.com/maps?f=q&amp;hl=en&amp;geocode=&amp;q=40.0978979684913,-89.0831020456885</v>
      </c>
    </row>
    <row r="6606" spans="1:7" ht="15" x14ac:dyDescent="0.3">
      <c r="A6606">
        <v>-26.453437805175799</v>
      </c>
      <c r="B6606">
        <v>27.684482574462901</v>
      </c>
      <c r="C6606" t="s">
        <v>43</v>
      </c>
      <c r="D6606" t="s">
        <v>1140</v>
      </c>
      <c r="F6606" s="21"/>
      <c r="G6606" s="16" t="str">
        <f>HYPERLINK("http://maps.google.com/maps?f=q&amp;hl=en&amp;geocode=&amp;q=-26.4534378051758,27.6844825744629")</f>
        <v>http://maps.google.com/maps?f=q&amp;hl=en&amp;geocode=&amp;q=-26.4534378051758,27.6844825744629</v>
      </c>
    </row>
    <row r="6607" spans="1:7" ht="15" x14ac:dyDescent="0.3">
      <c r="A6607">
        <v>41.729300000000002</v>
      </c>
      <c r="B6607">
        <v>-112.16028</v>
      </c>
      <c r="C6607" t="s">
        <v>42</v>
      </c>
      <c r="D6607" t="s">
        <v>4003</v>
      </c>
      <c r="F6607" s="21"/>
      <c r="G6607" s="16" t="str">
        <f>HYPERLINK("http://maps.google.com/maps?f=q&amp;hl=en&amp;geocode=&amp;q=41.7293,-112.16028")</f>
        <v>http://maps.google.com/maps?f=q&amp;hl=en&amp;geocode=&amp;q=41.7293,-112.16028</v>
      </c>
    </row>
    <row r="6608" spans="1:7" ht="15" x14ac:dyDescent="0.3">
      <c r="A6608">
        <v>34.995820000000002</v>
      </c>
      <c r="B6608">
        <v>-81.136610000000005</v>
      </c>
      <c r="C6608" t="s">
        <v>43</v>
      </c>
      <c r="D6608" t="s">
        <v>4004</v>
      </c>
      <c r="F6608" s="21"/>
      <c r="G6608" s="16" t="str">
        <f>HYPERLINK("http://maps.google.com/maps?f=q&amp;hl=en&amp;geocode=&amp;q=34.99582,-81.13661")</f>
        <v>http://maps.google.com/maps?f=q&amp;hl=en&amp;geocode=&amp;q=34.99582,-81.13661</v>
      </c>
    </row>
    <row r="6609" spans="1:7" ht="15" x14ac:dyDescent="0.3">
      <c r="A6609">
        <v>39.844385147392998</v>
      </c>
      <c r="B6609">
        <v>-77.606395692691294</v>
      </c>
      <c r="C6609" t="s">
        <v>41</v>
      </c>
      <c r="D6609" t="s">
        <v>3965</v>
      </c>
      <c r="F6609" s="21"/>
      <c r="G6609" s="16" t="str">
        <f>HYPERLINK("http://maps.google.com/maps?f=q&amp;hl=en&amp;geocode=&amp;q=39.844385147393,-77.6063956926913")</f>
        <v>http://maps.google.com/maps?f=q&amp;hl=en&amp;geocode=&amp;q=39.844385147393,-77.6063956926913</v>
      </c>
    </row>
    <row r="6610" spans="1:7" ht="15" x14ac:dyDescent="0.3">
      <c r="A6610">
        <v>41.692522993353897</v>
      </c>
      <c r="B6610">
        <v>-81.344249782340697</v>
      </c>
      <c r="C6610" t="s">
        <v>41</v>
      </c>
      <c r="D6610" t="s">
        <v>4005</v>
      </c>
      <c r="F6610" s="21"/>
      <c r="G6610" s="16" t="str">
        <f>HYPERLINK("http://maps.google.com/maps?f=q&amp;hl=en&amp;geocode=&amp;q=41.6925229933539,-81.3442497823407")</f>
        <v>http://maps.google.com/maps?f=q&amp;hl=en&amp;geocode=&amp;q=41.6925229933539,-81.3442497823407</v>
      </c>
    </row>
    <row r="6611" spans="1:7" ht="15" x14ac:dyDescent="0.3">
      <c r="A6611">
        <v>41.691074926233199</v>
      </c>
      <c r="B6611">
        <v>-81.344348237008205</v>
      </c>
      <c r="C6611" t="s">
        <v>41</v>
      </c>
      <c r="D6611" t="s">
        <v>4006</v>
      </c>
      <c r="F6611" s="21"/>
      <c r="G6611" s="16" t="str">
        <f>HYPERLINK("http://maps.google.com/maps?f=q&amp;hl=en&amp;geocode=&amp;q=41.6910749262332,-81.3443482370082")</f>
        <v>http://maps.google.com/maps?f=q&amp;hl=en&amp;geocode=&amp;q=41.6910749262332,-81.3443482370082</v>
      </c>
    </row>
    <row r="6612" spans="1:7" ht="15" x14ac:dyDescent="0.3">
      <c r="A6612">
        <v>39.543697357177699</v>
      </c>
      <c r="B6612">
        <v>-119.81617736816401</v>
      </c>
      <c r="C6612" t="s">
        <v>41</v>
      </c>
      <c r="D6612" t="s">
        <v>4007</v>
      </c>
      <c r="F6612" s="21"/>
      <c r="G6612" s="16" t="str">
        <f>HYPERLINK("http://maps.google.com/maps?f=q&amp;hl=en&amp;geocode=&amp;q=39.5436973571777,-119.816177368164")</f>
        <v>http://maps.google.com/maps?f=q&amp;hl=en&amp;geocode=&amp;q=39.5436973571777,-119.816177368164</v>
      </c>
    </row>
    <row r="6613" spans="1:7" ht="15" x14ac:dyDescent="0.3">
      <c r="A6613">
        <v>52.380950927734403</v>
      </c>
      <c r="B6613">
        <v>21.392240524291999</v>
      </c>
      <c r="C6613" t="s">
        <v>41</v>
      </c>
      <c r="D6613" t="s">
        <v>4008</v>
      </c>
      <c r="F6613" s="21"/>
      <c r="G6613" s="16" t="str">
        <f>HYPERLINK("http://maps.google.com/maps?f=q&amp;hl=en&amp;geocode=&amp;q=52.3809509277344,21.392240524292")</f>
        <v>http://maps.google.com/maps?f=q&amp;hl=en&amp;geocode=&amp;q=52.3809509277344,21.392240524292</v>
      </c>
    </row>
    <row r="6614" spans="1:7" ht="15" x14ac:dyDescent="0.3">
      <c r="A6614" t="s">
        <v>44</v>
      </c>
      <c r="B6614" t="s">
        <v>44</v>
      </c>
      <c r="C6614" t="s">
        <v>44</v>
      </c>
      <c r="D6614" t="s">
        <v>3728</v>
      </c>
      <c r="F6614" s="21"/>
      <c r="G6614" s="16"/>
    </row>
    <row r="6615" spans="1:7" ht="15" x14ac:dyDescent="0.3">
      <c r="A6615" t="s">
        <v>44</v>
      </c>
      <c r="B6615" t="s">
        <v>44</v>
      </c>
      <c r="C6615" t="s">
        <v>44</v>
      </c>
      <c r="D6615" t="s">
        <v>3728</v>
      </c>
      <c r="F6615" s="21"/>
      <c r="G6615" s="16"/>
    </row>
    <row r="6616" spans="1:7" ht="15" x14ac:dyDescent="0.3">
      <c r="A6616" t="s">
        <v>44</v>
      </c>
      <c r="B6616" t="s">
        <v>44</v>
      </c>
      <c r="C6616" t="s">
        <v>44</v>
      </c>
      <c r="D6616" t="s">
        <v>3728</v>
      </c>
      <c r="F6616" s="21"/>
      <c r="G6616" s="16"/>
    </row>
    <row r="6617" spans="1:7" ht="15" x14ac:dyDescent="0.3">
      <c r="A6617">
        <v>32.990949999999998</v>
      </c>
      <c r="B6617">
        <v>-97.446380000000005</v>
      </c>
      <c r="C6617" t="s">
        <v>42</v>
      </c>
      <c r="D6617" t="s">
        <v>4009</v>
      </c>
      <c r="F6617" s="21"/>
      <c r="G6617" s="16" t="str">
        <f>HYPERLINK("http://maps.google.com/maps?f=q&amp;hl=en&amp;geocode=&amp;q=32.99095,-97.44638")</f>
        <v>http://maps.google.com/maps?f=q&amp;hl=en&amp;geocode=&amp;q=32.99095,-97.44638</v>
      </c>
    </row>
    <row r="6618" spans="1:7" ht="15" x14ac:dyDescent="0.3">
      <c r="A6618">
        <v>38.973060607910199</v>
      </c>
      <c r="B6618">
        <v>-95.236526489257798</v>
      </c>
      <c r="C6618" t="s">
        <v>43</v>
      </c>
      <c r="D6618" t="s">
        <v>3200</v>
      </c>
      <c r="F6618" s="21"/>
      <c r="G6618" s="16" t="str">
        <f>HYPERLINK("http://maps.google.com/maps?f=q&amp;hl=en&amp;geocode=&amp;q=38.9730606079102,-95.2365264892578")</f>
        <v>http://maps.google.com/maps?f=q&amp;hl=en&amp;geocode=&amp;q=38.9730606079102,-95.2365264892578</v>
      </c>
    </row>
    <row r="6619" spans="1:7" ht="15" x14ac:dyDescent="0.3">
      <c r="A6619">
        <v>40.743331357612803</v>
      </c>
      <c r="B6619">
        <v>-111.83393064589499</v>
      </c>
      <c r="C6619" t="s">
        <v>41</v>
      </c>
      <c r="D6619" t="s">
        <v>3470</v>
      </c>
      <c r="F6619" s="21"/>
      <c r="G6619" s="16" t="str">
        <f>HYPERLINK("http://maps.google.com/maps?f=q&amp;hl=en&amp;geocode=&amp;q=40.7433313576128,-111.833930645895")</f>
        <v>http://maps.google.com/maps?f=q&amp;hl=en&amp;geocode=&amp;q=40.7433313576128,-111.833930645895</v>
      </c>
    </row>
    <row r="6620" spans="1:7" ht="15" x14ac:dyDescent="0.3">
      <c r="A6620">
        <v>40.743331357612803</v>
      </c>
      <c r="B6620">
        <v>-111.83393064589499</v>
      </c>
      <c r="C6620" t="s">
        <v>41</v>
      </c>
      <c r="D6620" t="s">
        <v>3470</v>
      </c>
      <c r="F6620" s="21"/>
      <c r="G6620" s="16" t="str">
        <f>HYPERLINK("http://maps.google.com/maps?f=q&amp;hl=en&amp;geocode=&amp;q=40.7433313576128,-111.833930645895")</f>
        <v>http://maps.google.com/maps?f=q&amp;hl=en&amp;geocode=&amp;q=40.7433313576128,-111.833930645895</v>
      </c>
    </row>
    <row r="6621" spans="1:7" ht="15" x14ac:dyDescent="0.3">
      <c r="A6621">
        <v>32.855235034246199</v>
      </c>
      <c r="B6621">
        <v>-97.337026738883097</v>
      </c>
      <c r="C6621" t="s">
        <v>41</v>
      </c>
      <c r="D6621" t="s">
        <v>4010</v>
      </c>
      <c r="F6621" s="21"/>
      <c r="G6621" s="16" t="str">
        <f>HYPERLINK("http://maps.google.com/maps?f=q&amp;hl=en&amp;geocode=&amp;q=32.8552350342462,-97.3370267388831")</f>
        <v>http://maps.google.com/maps?f=q&amp;hl=en&amp;geocode=&amp;q=32.8552350342462,-97.3370267388831</v>
      </c>
    </row>
    <row r="6622" spans="1:7" ht="15" x14ac:dyDescent="0.3">
      <c r="A6622">
        <v>39.913220000000003</v>
      </c>
      <c r="B6622">
        <v>-75.173820000000006</v>
      </c>
      <c r="C6622" t="s">
        <v>43</v>
      </c>
      <c r="D6622" t="s">
        <v>3854</v>
      </c>
      <c r="F6622" s="21"/>
      <c r="G6622" s="16" t="str">
        <f>HYPERLINK("http://maps.google.com/maps?f=q&amp;hl=en&amp;geocode=&amp;q=39.91322,-75.17382")</f>
        <v>http://maps.google.com/maps?f=q&amp;hl=en&amp;geocode=&amp;q=39.91322,-75.17382</v>
      </c>
    </row>
    <row r="6623" spans="1:7" ht="15" x14ac:dyDescent="0.3">
      <c r="A6623">
        <v>40.047139999999999</v>
      </c>
      <c r="B6623">
        <v>-75.064139999999995</v>
      </c>
      <c r="C6623" t="s">
        <v>41</v>
      </c>
      <c r="D6623" t="s">
        <v>4011</v>
      </c>
      <c r="F6623" s="21"/>
      <c r="G6623" s="16" t="str">
        <f>HYPERLINK("http://maps.google.com/maps?f=q&amp;hl=en&amp;geocode=&amp;q=40.04714,-75.06414")</f>
        <v>http://maps.google.com/maps?f=q&amp;hl=en&amp;geocode=&amp;q=40.04714,-75.06414</v>
      </c>
    </row>
    <row r="6624" spans="1:7" ht="15" x14ac:dyDescent="0.3">
      <c r="A6624">
        <v>-33.431339999999999</v>
      </c>
      <c r="B6624">
        <v>118.56184</v>
      </c>
      <c r="C6624" t="s">
        <v>41</v>
      </c>
      <c r="D6624" t="s">
        <v>4012</v>
      </c>
      <c r="F6624" s="21"/>
      <c r="G6624" s="16" t="str">
        <f>HYPERLINK("http://maps.google.com/maps?f=q&amp;hl=en&amp;geocode=&amp;q=-33.43134,118.56184")</f>
        <v>http://maps.google.com/maps?f=q&amp;hl=en&amp;geocode=&amp;q=-33.43134,118.56184</v>
      </c>
    </row>
    <row r="6625" spans="1:7" ht="15" x14ac:dyDescent="0.3">
      <c r="A6625">
        <v>59.364242553710902</v>
      </c>
      <c r="B6625">
        <v>24.683565139770501</v>
      </c>
      <c r="C6625" t="s">
        <v>41</v>
      </c>
      <c r="D6625" t="s">
        <v>4013</v>
      </c>
      <c r="F6625" s="21"/>
      <c r="G6625" s="16" t="str">
        <f>HYPERLINK("http://maps.google.com/maps?f=q&amp;hl=en&amp;geocode=&amp;q=59.3642425537109,24.6835651397705")</f>
        <v>http://maps.google.com/maps?f=q&amp;hl=en&amp;geocode=&amp;q=59.3642425537109,24.6835651397705</v>
      </c>
    </row>
    <row r="6626" spans="1:7" ht="15" x14ac:dyDescent="0.3">
      <c r="A6626">
        <v>42.7791938781738</v>
      </c>
      <c r="B6626">
        <v>-73.691421508789105</v>
      </c>
      <c r="C6626" t="s">
        <v>43</v>
      </c>
      <c r="D6626" t="s">
        <v>4014</v>
      </c>
      <c r="F6626" s="21"/>
      <c r="G6626" s="16" t="str">
        <f>HYPERLINK("http://maps.google.com/maps?f=q&amp;hl=en&amp;geocode=&amp;q=42.7791938781738,-73.6914215087891")</f>
        <v>http://maps.google.com/maps?f=q&amp;hl=en&amp;geocode=&amp;q=42.7791938781738,-73.6914215087891</v>
      </c>
    </row>
    <row r="6627" spans="1:7" ht="15" x14ac:dyDescent="0.3">
      <c r="A6627">
        <v>39.220829010009801</v>
      </c>
      <c r="B6627">
        <v>-87.636940002441406</v>
      </c>
      <c r="C6627" t="s">
        <v>43</v>
      </c>
      <c r="D6627" t="s">
        <v>2715</v>
      </c>
      <c r="F6627" s="21"/>
      <c r="G6627" s="16" t="str">
        <f>HYPERLINK("http://maps.google.com/maps?f=q&amp;hl=en&amp;geocode=&amp;q=39.2208290100098,-87.6369400024414")</f>
        <v>http://maps.google.com/maps?f=q&amp;hl=en&amp;geocode=&amp;q=39.2208290100098,-87.6369400024414</v>
      </c>
    </row>
    <row r="6628" spans="1:7" ht="15" x14ac:dyDescent="0.3">
      <c r="A6628">
        <v>54.896469116210902</v>
      </c>
      <c r="B6628">
        <v>-2.93629002571106</v>
      </c>
      <c r="C6628" t="s">
        <v>43</v>
      </c>
      <c r="D6628" t="s">
        <v>4015</v>
      </c>
      <c r="F6628" s="21"/>
      <c r="G6628" s="16" t="str">
        <f>HYPERLINK("http://maps.google.com/maps?f=q&amp;hl=en&amp;geocode=&amp;q=54.8964691162109,-2.93629002571106")</f>
        <v>http://maps.google.com/maps?f=q&amp;hl=en&amp;geocode=&amp;q=54.8964691162109,-2.93629002571106</v>
      </c>
    </row>
    <row r="6629" spans="1:7" ht="15" x14ac:dyDescent="0.3">
      <c r="A6629">
        <v>37.666582048593597</v>
      </c>
      <c r="B6629">
        <v>-113.15917707567</v>
      </c>
      <c r="C6629" t="s">
        <v>43</v>
      </c>
      <c r="D6629" t="s">
        <v>4016</v>
      </c>
      <c r="F6629" s="21"/>
      <c r="G6629" s="16" t="str">
        <f>HYPERLINK("http://maps.google.com/maps?f=q&amp;hl=en&amp;geocode=&amp;q=37.6665820485936,-113.15917707567")</f>
        <v>http://maps.google.com/maps?f=q&amp;hl=en&amp;geocode=&amp;q=37.6665820485936,-113.15917707567</v>
      </c>
    </row>
    <row r="6630" spans="1:7" ht="15" x14ac:dyDescent="0.3">
      <c r="A6630" t="s">
        <v>44</v>
      </c>
      <c r="B6630" t="s">
        <v>44</v>
      </c>
      <c r="C6630" t="s">
        <v>44</v>
      </c>
      <c r="D6630" t="s">
        <v>4017</v>
      </c>
      <c r="F6630" s="21"/>
      <c r="G6630" s="16"/>
    </row>
    <row r="6631" spans="1:7" ht="15" x14ac:dyDescent="0.3">
      <c r="A6631">
        <v>38.973060607910199</v>
      </c>
      <c r="B6631">
        <v>-95.236526489257798</v>
      </c>
      <c r="C6631" t="s">
        <v>43</v>
      </c>
      <c r="D6631" t="s">
        <v>3051</v>
      </c>
      <c r="F6631" s="21"/>
      <c r="G6631" s="16" t="str">
        <f>HYPERLINK("http://maps.google.com/maps?f=q&amp;hl=en&amp;geocode=&amp;q=38.9730606079102,-95.2365264892578")</f>
        <v>http://maps.google.com/maps?f=q&amp;hl=en&amp;geocode=&amp;q=38.9730606079102,-95.2365264892578</v>
      </c>
    </row>
    <row r="6632" spans="1:7" ht="15" x14ac:dyDescent="0.3">
      <c r="A6632">
        <v>39.989040000000003</v>
      </c>
      <c r="B6632">
        <v>-75.241219999999998</v>
      </c>
      <c r="C6632" t="s">
        <v>41</v>
      </c>
      <c r="D6632" t="s">
        <v>4018</v>
      </c>
      <c r="F6632" s="21"/>
      <c r="G6632" s="16" t="str">
        <f>HYPERLINK("http://maps.google.com/maps?f=q&amp;hl=en&amp;geocode=&amp;q=39.98904,-75.24122")</f>
        <v>http://maps.google.com/maps?f=q&amp;hl=en&amp;geocode=&amp;q=39.98904,-75.24122</v>
      </c>
    </row>
    <row r="6633" spans="1:7" ht="15" x14ac:dyDescent="0.3">
      <c r="A6633" t="s">
        <v>44</v>
      </c>
      <c r="B6633" t="s">
        <v>44</v>
      </c>
      <c r="C6633" t="s">
        <v>44</v>
      </c>
      <c r="D6633" t="s">
        <v>4019</v>
      </c>
      <c r="F6633" s="21"/>
      <c r="G6633" s="16"/>
    </row>
    <row r="6634" spans="1:7" ht="15" x14ac:dyDescent="0.3">
      <c r="A6634">
        <v>35.838209999999997</v>
      </c>
      <c r="B6634">
        <v>-78.91583</v>
      </c>
      <c r="C6634" t="s">
        <v>42</v>
      </c>
      <c r="D6634" t="s">
        <v>4020</v>
      </c>
      <c r="F6634" s="21"/>
      <c r="G6634" s="16" t="str">
        <f>HYPERLINK("http://maps.google.com/maps?f=q&amp;hl=en&amp;geocode=&amp;q=35.83821,-78.91583")</f>
        <v>http://maps.google.com/maps?f=q&amp;hl=en&amp;geocode=&amp;q=35.83821,-78.91583</v>
      </c>
    </row>
    <row r="6635" spans="1:7" ht="15" x14ac:dyDescent="0.3">
      <c r="A6635">
        <v>27.78706</v>
      </c>
      <c r="B6635">
        <v>-82.748519999999999</v>
      </c>
      <c r="C6635" t="s">
        <v>41</v>
      </c>
      <c r="D6635" t="s">
        <v>4021</v>
      </c>
      <c r="F6635" s="21"/>
      <c r="G6635" s="16" t="str">
        <f>HYPERLINK("http://maps.google.com/maps?f=q&amp;hl=en&amp;geocode=&amp;q=27.78706,-82.74852")</f>
        <v>http://maps.google.com/maps?f=q&amp;hl=en&amp;geocode=&amp;q=27.78706,-82.74852</v>
      </c>
    </row>
    <row r="6636" spans="1:7" ht="15" x14ac:dyDescent="0.3">
      <c r="A6636">
        <v>39.964741807726398</v>
      </c>
      <c r="B6636">
        <v>-75.231684684514804</v>
      </c>
      <c r="C6636" t="s">
        <v>41</v>
      </c>
      <c r="D6636" t="s">
        <v>1742</v>
      </c>
      <c r="F6636" s="21"/>
      <c r="G6636" s="16" t="str">
        <f>HYPERLINK("http://maps.google.com/maps?f=q&amp;hl=en&amp;geocode=&amp;q=39.9647418077264,-75.2316846845148")</f>
        <v>http://maps.google.com/maps?f=q&amp;hl=en&amp;geocode=&amp;q=39.9647418077264,-75.2316846845148</v>
      </c>
    </row>
    <row r="6637" spans="1:7" ht="15" x14ac:dyDescent="0.3">
      <c r="A6637" t="s">
        <v>44</v>
      </c>
      <c r="B6637" t="s">
        <v>44</v>
      </c>
      <c r="C6637" t="s">
        <v>44</v>
      </c>
      <c r="D6637" t="s">
        <v>4022</v>
      </c>
      <c r="F6637" s="21"/>
      <c r="G6637" s="16"/>
    </row>
    <row r="6638" spans="1:7" ht="15" x14ac:dyDescent="0.3">
      <c r="A6638" t="s">
        <v>44</v>
      </c>
      <c r="B6638" t="s">
        <v>44</v>
      </c>
      <c r="C6638" t="s">
        <v>44</v>
      </c>
      <c r="D6638" t="s">
        <v>4023</v>
      </c>
      <c r="F6638" s="21"/>
      <c r="G6638" s="16"/>
    </row>
    <row r="6639" spans="1:7" ht="15" x14ac:dyDescent="0.3">
      <c r="A6639">
        <v>40.105290750734902</v>
      </c>
      <c r="B6639">
        <v>-84.6796953379678</v>
      </c>
      <c r="C6639" t="s">
        <v>41</v>
      </c>
      <c r="D6639" t="s">
        <v>4024</v>
      </c>
      <c r="F6639" s="21"/>
      <c r="G6639" s="16" t="str">
        <f>HYPERLINK("http://maps.google.com/maps?f=q&amp;hl=en&amp;geocode=&amp;q=40.1052907507349,-84.6796953379678")</f>
        <v>http://maps.google.com/maps?f=q&amp;hl=en&amp;geocode=&amp;q=40.1052907507349,-84.6796953379678</v>
      </c>
    </row>
    <row r="6640" spans="1:7" ht="15" x14ac:dyDescent="0.3">
      <c r="A6640">
        <v>36.354469999999999</v>
      </c>
      <c r="B6640">
        <v>-82.222139999999996</v>
      </c>
      <c r="C6640" t="s">
        <v>42</v>
      </c>
      <c r="D6640" t="s">
        <v>3096</v>
      </c>
      <c r="F6640" s="21"/>
      <c r="G6640" s="16" t="str">
        <f>HYPERLINK("http://maps.google.com/maps?f=q&amp;hl=en&amp;geocode=&amp;q=36.35447,-82.22214")</f>
        <v>http://maps.google.com/maps?f=q&amp;hl=en&amp;geocode=&amp;q=36.35447,-82.22214</v>
      </c>
    </row>
    <row r="6641" spans="1:7" ht="15" x14ac:dyDescent="0.3">
      <c r="A6641">
        <v>40.002628439857901</v>
      </c>
      <c r="B6641">
        <v>-75.154556302303206</v>
      </c>
      <c r="C6641" t="s">
        <v>41</v>
      </c>
      <c r="D6641" t="s">
        <v>3971</v>
      </c>
      <c r="F6641" s="21"/>
      <c r="G6641" s="16" t="str">
        <f>HYPERLINK("http://maps.google.com/maps?f=q&amp;hl=en&amp;geocode=&amp;q=40.0026284398579,-75.1545563023032")</f>
        <v>http://maps.google.com/maps?f=q&amp;hl=en&amp;geocode=&amp;q=40.0026284398579,-75.1545563023032</v>
      </c>
    </row>
    <row r="6642" spans="1:7" ht="15" x14ac:dyDescent="0.3">
      <c r="A6642">
        <v>36.015928310111001</v>
      </c>
      <c r="B6642">
        <v>-78.928323937418</v>
      </c>
      <c r="C6642" t="s">
        <v>41</v>
      </c>
      <c r="D6642" t="s">
        <v>1288</v>
      </c>
      <c r="F6642" s="21"/>
      <c r="G6642" s="16" t="str">
        <f>HYPERLINK("http://maps.google.com/maps?f=q&amp;hl=en&amp;geocode=&amp;q=36.015928310111,-78.928323937418")</f>
        <v>http://maps.google.com/maps?f=q&amp;hl=en&amp;geocode=&amp;q=36.015928310111,-78.928323937418</v>
      </c>
    </row>
    <row r="6643" spans="1:7" ht="15" x14ac:dyDescent="0.3">
      <c r="A6643">
        <v>36.015928310111001</v>
      </c>
      <c r="B6643">
        <v>-78.928323937418</v>
      </c>
      <c r="C6643" t="s">
        <v>41</v>
      </c>
      <c r="D6643" t="s">
        <v>1288</v>
      </c>
      <c r="F6643" s="21"/>
      <c r="G6643" s="16" t="str">
        <f>HYPERLINK("http://maps.google.com/maps?f=q&amp;hl=en&amp;geocode=&amp;q=36.015928310111,-78.928323937418")</f>
        <v>http://maps.google.com/maps?f=q&amp;hl=en&amp;geocode=&amp;q=36.015928310111,-78.928323937418</v>
      </c>
    </row>
    <row r="6644" spans="1:7" ht="15" x14ac:dyDescent="0.3">
      <c r="A6644">
        <v>39.988930000000003</v>
      </c>
      <c r="B6644">
        <v>-75.241460000000004</v>
      </c>
      <c r="C6644" t="s">
        <v>41</v>
      </c>
      <c r="D6644" t="s">
        <v>4025</v>
      </c>
      <c r="F6644" s="21"/>
      <c r="G6644" s="16" t="str">
        <f>HYPERLINK("http://maps.google.com/maps?f=q&amp;hl=en&amp;geocode=&amp;q=39.98893,-75.24146")</f>
        <v>http://maps.google.com/maps?f=q&amp;hl=en&amp;geocode=&amp;q=39.98893,-75.24146</v>
      </c>
    </row>
    <row r="6645" spans="1:7" ht="15" x14ac:dyDescent="0.3">
      <c r="A6645">
        <v>36.015928310111001</v>
      </c>
      <c r="B6645">
        <v>-78.928323937418</v>
      </c>
      <c r="C6645" t="s">
        <v>41</v>
      </c>
      <c r="D6645" t="s">
        <v>1288</v>
      </c>
      <c r="F6645" s="21"/>
      <c r="G6645" s="16" t="str">
        <f>HYPERLINK("http://maps.google.com/maps?f=q&amp;hl=en&amp;geocode=&amp;q=36.015928310111,-78.928323937418")</f>
        <v>http://maps.google.com/maps?f=q&amp;hl=en&amp;geocode=&amp;q=36.015928310111,-78.928323937418</v>
      </c>
    </row>
    <row r="6646" spans="1:7" ht="15" x14ac:dyDescent="0.3">
      <c r="A6646">
        <v>48.5999946594238</v>
      </c>
      <c r="B6646">
        <v>-3.1012480258941699</v>
      </c>
      <c r="C6646" t="s">
        <v>41</v>
      </c>
      <c r="D6646" t="s">
        <v>4026</v>
      </c>
      <c r="F6646" s="21"/>
      <c r="G6646" s="16" t="str">
        <f>HYPERLINK("http://maps.google.com/maps?f=q&amp;hl=en&amp;geocode=&amp;q=48.5999946594238,-3.10124802589417")</f>
        <v>http://maps.google.com/maps?f=q&amp;hl=en&amp;geocode=&amp;q=48.5999946594238,-3.10124802589417</v>
      </c>
    </row>
    <row r="6647" spans="1:7" ht="15" x14ac:dyDescent="0.3">
      <c r="A6647">
        <v>42.999576568603501</v>
      </c>
      <c r="B6647">
        <v>-107.551513671875</v>
      </c>
      <c r="C6647" t="s">
        <v>41</v>
      </c>
      <c r="D6647" t="s">
        <v>3857</v>
      </c>
      <c r="F6647" s="21"/>
      <c r="G6647" s="16" t="str">
        <f>HYPERLINK("http://maps.google.com/maps?f=q&amp;hl=en&amp;geocode=&amp;q=42.9995765686035,-107.551513671875")</f>
        <v>http://maps.google.com/maps?f=q&amp;hl=en&amp;geocode=&amp;q=42.9995765686035,-107.551513671875</v>
      </c>
    </row>
    <row r="6648" spans="1:7" ht="15" x14ac:dyDescent="0.3">
      <c r="A6648">
        <v>42.999576568603501</v>
      </c>
      <c r="B6648">
        <v>-107.551513671875</v>
      </c>
      <c r="C6648" t="s">
        <v>41</v>
      </c>
      <c r="D6648" t="s">
        <v>3857</v>
      </c>
      <c r="F6648" s="21"/>
      <c r="G6648" s="16" t="str">
        <f>HYPERLINK("http://maps.google.com/maps?f=q&amp;hl=en&amp;geocode=&amp;q=42.9995765686035,-107.551513671875")</f>
        <v>http://maps.google.com/maps?f=q&amp;hl=en&amp;geocode=&amp;q=42.9995765686035,-107.551513671875</v>
      </c>
    </row>
    <row r="6649" spans="1:7" ht="15" x14ac:dyDescent="0.3">
      <c r="A6649">
        <v>-33.299518585205099</v>
      </c>
      <c r="B6649">
        <v>149.01606750488301</v>
      </c>
      <c r="C6649" t="s">
        <v>43</v>
      </c>
      <c r="D6649" t="s">
        <v>4027</v>
      </c>
      <c r="F6649" s="21"/>
      <c r="G6649" s="16" t="str">
        <f>HYPERLINK("http://maps.google.com/maps?f=q&amp;hl=en&amp;geocode=&amp;q=-33.2995185852051,149.016067504883")</f>
        <v>http://maps.google.com/maps?f=q&amp;hl=en&amp;geocode=&amp;q=-33.2995185852051,149.016067504883</v>
      </c>
    </row>
    <row r="6650" spans="1:7" ht="15" x14ac:dyDescent="0.3">
      <c r="A6650">
        <v>29.956340789794901</v>
      </c>
      <c r="B6650">
        <v>-90.190109252929702</v>
      </c>
      <c r="C6650" t="s">
        <v>41</v>
      </c>
      <c r="D6650" t="s">
        <v>4028</v>
      </c>
      <c r="F6650" s="21"/>
      <c r="G6650" s="16" t="str">
        <f>HYPERLINK("http://maps.google.com/maps?f=q&amp;hl=en&amp;geocode=&amp;q=29.9563407897949,-90.1901092529297")</f>
        <v>http://maps.google.com/maps?f=q&amp;hl=en&amp;geocode=&amp;q=29.9563407897949,-90.1901092529297</v>
      </c>
    </row>
    <row r="6651" spans="1:7" ht="15" x14ac:dyDescent="0.3">
      <c r="A6651" t="s">
        <v>44</v>
      </c>
      <c r="B6651" t="s">
        <v>44</v>
      </c>
      <c r="C6651" t="s">
        <v>44</v>
      </c>
      <c r="D6651" t="s">
        <v>254</v>
      </c>
      <c r="F6651" s="21"/>
      <c r="G6651" s="16"/>
    </row>
    <row r="6652" spans="1:7" ht="15" x14ac:dyDescent="0.3">
      <c r="A6652">
        <v>40.132370000000002</v>
      </c>
      <c r="B6652">
        <v>-75.007909999999995</v>
      </c>
      <c r="C6652" t="s">
        <v>41</v>
      </c>
      <c r="D6652" t="s">
        <v>55</v>
      </c>
      <c r="F6652" s="21"/>
      <c r="G6652" s="16" t="str">
        <f>HYPERLINK("http://maps.google.com/maps?f=q&amp;hl=en&amp;geocode=&amp;q=40.13237,-75.00791")</f>
        <v>http://maps.google.com/maps?f=q&amp;hl=en&amp;geocode=&amp;q=40.13237,-75.00791</v>
      </c>
    </row>
    <row r="6653" spans="1:7" ht="15" x14ac:dyDescent="0.3">
      <c r="A6653">
        <v>40.132370000000002</v>
      </c>
      <c r="B6653">
        <v>-75.007909999999995</v>
      </c>
      <c r="C6653" t="s">
        <v>41</v>
      </c>
      <c r="D6653" t="s">
        <v>55</v>
      </c>
      <c r="F6653" s="21"/>
      <c r="G6653" s="16" t="str">
        <f>HYPERLINK("http://maps.google.com/maps?f=q&amp;hl=en&amp;geocode=&amp;q=40.13237,-75.00791")</f>
        <v>http://maps.google.com/maps?f=q&amp;hl=en&amp;geocode=&amp;q=40.13237,-75.00791</v>
      </c>
    </row>
    <row r="6654" spans="1:7" ht="15" x14ac:dyDescent="0.3">
      <c r="A6654">
        <v>39.305960143236497</v>
      </c>
      <c r="B6654">
        <v>-76.594435092052805</v>
      </c>
      <c r="C6654" t="s">
        <v>41</v>
      </c>
      <c r="D6654" t="s">
        <v>4029</v>
      </c>
      <c r="F6654" s="21"/>
      <c r="G6654" s="16" t="str">
        <f>HYPERLINK("http://maps.google.com/maps?f=q&amp;hl=en&amp;geocode=&amp;q=39.3059601432365,-76.5944350920528")</f>
        <v>http://maps.google.com/maps?f=q&amp;hl=en&amp;geocode=&amp;q=39.3059601432365,-76.5944350920528</v>
      </c>
    </row>
    <row r="6655" spans="1:7" ht="15" x14ac:dyDescent="0.3">
      <c r="A6655">
        <v>41.729498572411501</v>
      </c>
      <c r="B6655">
        <v>-112.160115524044</v>
      </c>
      <c r="C6655" t="s">
        <v>41</v>
      </c>
      <c r="D6655" t="s">
        <v>4030</v>
      </c>
      <c r="F6655" s="21"/>
      <c r="G6655" s="16" t="str">
        <f>HYPERLINK("http://maps.google.com/maps?f=q&amp;hl=en&amp;geocode=&amp;q=41.7294985724115,-112.160115524044")</f>
        <v>http://maps.google.com/maps?f=q&amp;hl=en&amp;geocode=&amp;q=41.7294985724115,-112.160115524044</v>
      </c>
    </row>
    <row r="6656" spans="1:7" ht="15" x14ac:dyDescent="0.3">
      <c r="A6656">
        <v>36.207178027509698</v>
      </c>
      <c r="B6656">
        <v>-83.300129461372407</v>
      </c>
      <c r="C6656" t="s">
        <v>41</v>
      </c>
      <c r="D6656" t="s">
        <v>4031</v>
      </c>
      <c r="F6656" s="21"/>
      <c r="G6656" s="16" t="str">
        <f>HYPERLINK("http://maps.google.com/maps?f=q&amp;hl=en&amp;geocode=&amp;q=36.2071780275097,-83.3001294613724")</f>
        <v>http://maps.google.com/maps?f=q&amp;hl=en&amp;geocode=&amp;q=36.2071780275097,-83.3001294613724</v>
      </c>
    </row>
    <row r="6657" spans="1:7" ht="15" x14ac:dyDescent="0.3">
      <c r="A6657">
        <v>53.513919830322301</v>
      </c>
      <c r="B6657">
        <v>13.018739700317401</v>
      </c>
      <c r="C6657" t="s">
        <v>43</v>
      </c>
      <c r="D6657" t="s">
        <v>4032</v>
      </c>
      <c r="F6657" s="21"/>
      <c r="G6657" s="16" t="str">
        <f>HYPERLINK("http://maps.google.com/maps?f=q&amp;hl=en&amp;geocode=&amp;q=53.5139198303223,13.0187397003174")</f>
        <v>http://maps.google.com/maps?f=q&amp;hl=en&amp;geocode=&amp;q=53.5139198303223,13.0187397003174</v>
      </c>
    </row>
    <row r="6658" spans="1:7" ht="15" x14ac:dyDescent="0.3">
      <c r="A6658">
        <v>47.37574</v>
      </c>
      <c r="B6658">
        <v>7.35372</v>
      </c>
      <c r="C6658" t="s">
        <v>41</v>
      </c>
      <c r="D6658" t="s">
        <v>1412</v>
      </c>
      <c r="F6658" s="21"/>
      <c r="G6658" s="16" t="str">
        <f>HYPERLINK("http://maps.google.com/maps?f=q&amp;hl=en&amp;geocode=&amp;q=47.37574,7.35372")</f>
        <v>http://maps.google.com/maps?f=q&amp;hl=en&amp;geocode=&amp;q=47.37574,7.35372</v>
      </c>
    </row>
    <row r="6659" spans="1:7" ht="15" x14ac:dyDescent="0.3">
      <c r="A6659" t="s">
        <v>44</v>
      </c>
      <c r="B6659" t="s">
        <v>44</v>
      </c>
      <c r="C6659" t="s">
        <v>44</v>
      </c>
      <c r="D6659" t="s">
        <v>101</v>
      </c>
      <c r="F6659" s="21"/>
      <c r="G6659" s="16"/>
    </row>
    <row r="6660" spans="1:7" ht="15" x14ac:dyDescent="0.3">
      <c r="F6660" s="21"/>
      <c r="G6660" s="16"/>
    </row>
    <row r="6661" spans="1:7" ht="15" x14ac:dyDescent="0.3">
      <c r="A6661">
        <v>45.981311798095703</v>
      </c>
      <c r="B6661">
        <v>-61.1373291015625</v>
      </c>
      <c r="C6661" t="s">
        <v>41</v>
      </c>
      <c r="D6661" t="s">
        <v>4033</v>
      </c>
      <c r="F6661" s="21"/>
      <c r="G6661" s="16" t="str">
        <f>HYPERLINK("http://maps.google.com/maps?f=q&amp;hl=en&amp;geocode=&amp;q=45.9813117980957,-61.1373291015625")</f>
        <v>http://maps.google.com/maps?f=q&amp;hl=en&amp;geocode=&amp;q=45.9813117980957,-61.1373291015625</v>
      </c>
    </row>
    <row r="6662" spans="1:7" ht="15" x14ac:dyDescent="0.3">
      <c r="A6662">
        <v>45.981311798095703</v>
      </c>
      <c r="B6662">
        <v>-61.1373291015625</v>
      </c>
      <c r="C6662" t="s">
        <v>41</v>
      </c>
      <c r="D6662" t="s">
        <v>4033</v>
      </c>
      <c r="F6662" s="21"/>
      <c r="G6662" s="16" t="str">
        <f>HYPERLINK("http://maps.google.com/maps?f=q&amp;hl=en&amp;geocode=&amp;q=45.9813117980957,-61.1373291015625")</f>
        <v>http://maps.google.com/maps?f=q&amp;hl=en&amp;geocode=&amp;q=45.9813117980957,-61.1373291015625</v>
      </c>
    </row>
    <row r="6663" spans="1:7" ht="15" x14ac:dyDescent="0.3">
      <c r="A6663">
        <v>47.147350311279297</v>
      </c>
      <c r="B6663">
        <v>6.90004682540894</v>
      </c>
      <c r="C6663" t="s">
        <v>43</v>
      </c>
      <c r="D6663" t="s">
        <v>4034</v>
      </c>
      <c r="F6663" s="21"/>
      <c r="G6663" s="16" t="str">
        <f>HYPERLINK("http://maps.google.com/maps?f=q&amp;hl=en&amp;geocode=&amp;q=47.1473503112793,6.90004682540894")</f>
        <v>http://maps.google.com/maps?f=q&amp;hl=en&amp;geocode=&amp;q=47.1473503112793,6.90004682540894</v>
      </c>
    </row>
    <row r="6664" spans="1:7" ht="15" x14ac:dyDescent="0.3">
      <c r="A6664">
        <v>-34.989310000000003</v>
      </c>
      <c r="B6664">
        <v>117.84967</v>
      </c>
      <c r="C6664" t="s">
        <v>41</v>
      </c>
      <c r="D6664" t="s">
        <v>4035</v>
      </c>
      <c r="F6664" s="21"/>
      <c r="G6664" s="16" t="str">
        <f>HYPERLINK("http://maps.google.com/maps?f=q&amp;hl=en&amp;geocode=&amp;q=-34.98931,117.84967")</f>
        <v>http://maps.google.com/maps?f=q&amp;hl=en&amp;geocode=&amp;q=-34.98931,117.84967</v>
      </c>
    </row>
    <row r="6665" spans="1:7" ht="15" x14ac:dyDescent="0.3">
      <c r="A6665">
        <v>29.9976918315161</v>
      </c>
      <c r="B6665">
        <v>-96.125286147448094</v>
      </c>
      <c r="C6665" t="s">
        <v>41</v>
      </c>
      <c r="D6665" t="s">
        <v>3388</v>
      </c>
      <c r="F6665" s="21"/>
      <c r="G6665" s="16" t="str">
        <f>HYPERLINK("http://maps.google.com/maps?f=q&amp;hl=en&amp;geocode=&amp;q=29.9976918315161,-96.1252861474481")</f>
        <v>http://maps.google.com/maps?f=q&amp;hl=en&amp;geocode=&amp;q=29.9976918315161,-96.1252861474481</v>
      </c>
    </row>
    <row r="6666" spans="1:7" ht="15" x14ac:dyDescent="0.3">
      <c r="A6666">
        <v>43.762551480203697</v>
      </c>
      <c r="B6666">
        <v>-87.726511412615906</v>
      </c>
      <c r="C6666" t="s">
        <v>41</v>
      </c>
      <c r="D6666" t="s">
        <v>3366</v>
      </c>
      <c r="F6666" s="21"/>
      <c r="G6666" s="16" t="str">
        <f>HYPERLINK("http://maps.google.com/maps?f=q&amp;hl=en&amp;geocode=&amp;q=43.7625514802037,-87.7265114126159")</f>
        <v>http://maps.google.com/maps?f=q&amp;hl=en&amp;geocode=&amp;q=43.7625514802037,-87.7265114126159</v>
      </c>
    </row>
    <row r="6667" spans="1:7" ht="15" x14ac:dyDescent="0.3">
      <c r="A6667">
        <v>33.925411224365199</v>
      </c>
      <c r="B6667">
        <v>35.899726867675803</v>
      </c>
      <c r="C6667" t="s">
        <v>41</v>
      </c>
      <c r="D6667" t="s">
        <v>4036</v>
      </c>
      <c r="F6667" s="21"/>
      <c r="G6667" s="16" t="str">
        <f>HYPERLINK("http://maps.google.com/maps?f=q&amp;hl=en&amp;geocode=&amp;q=33.9254112243652,35.8997268676758")</f>
        <v>http://maps.google.com/maps?f=q&amp;hl=en&amp;geocode=&amp;q=33.9254112243652,35.8997268676758</v>
      </c>
    </row>
    <row r="6668" spans="1:7" ht="15" x14ac:dyDescent="0.3">
      <c r="A6668">
        <v>39.922890000000002</v>
      </c>
      <c r="B6668">
        <v>-75.178190000000001</v>
      </c>
      <c r="C6668" t="s">
        <v>43</v>
      </c>
      <c r="D6668" t="s">
        <v>3954</v>
      </c>
      <c r="F6668" s="21"/>
      <c r="G6668" s="16" t="str">
        <f>HYPERLINK("http://maps.google.com/maps?f=q&amp;hl=en&amp;geocode=&amp;q=39.92289,-75.17819")</f>
        <v>http://maps.google.com/maps?f=q&amp;hl=en&amp;geocode=&amp;q=39.92289,-75.17819</v>
      </c>
    </row>
    <row r="6669" spans="1:7" ht="15" x14ac:dyDescent="0.3">
      <c r="A6669">
        <v>50.723228454589801</v>
      </c>
      <c r="B6669">
        <v>4.6152939796447798</v>
      </c>
      <c r="C6669" t="s">
        <v>43</v>
      </c>
      <c r="D6669" t="s">
        <v>3485</v>
      </c>
      <c r="F6669" s="21"/>
      <c r="G6669" s="16" t="str">
        <f>HYPERLINK("http://maps.google.com/maps?f=q&amp;hl=en&amp;geocode=&amp;q=50.7232284545898,4.61529397964478")</f>
        <v>http://maps.google.com/maps?f=q&amp;hl=en&amp;geocode=&amp;q=50.7232284545898,4.61529397964478</v>
      </c>
    </row>
    <row r="6670" spans="1:7" ht="15" x14ac:dyDescent="0.3">
      <c r="A6670">
        <v>38.725276947021499</v>
      </c>
      <c r="B6670">
        <v>-77.047775268554702</v>
      </c>
      <c r="C6670" t="s">
        <v>41</v>
      </c>
      <c r="D6670" t="s">
        <v>2298</v>
      </c>
      <c r="F6670" s="21"/>
      <c r="G6670" s="16" t="str">
        <f>HYPERLINK("http://maps.google.com/maps?f=q&amp;hl=en&amp;geocode=&amp;q=38.7252769470215,-77.0477752685547")</f>
        <v>http://maps.google.com/maps?f=q&amp;hl=en&amp;geocode=&amp;q=38.7252769470215,-77.0477752685547</v>
      </c>
    </row>
    <row r="6671" spans="1:7" ht="15" x14ac:dyDescent="0.3">
      <c r="A6671">
        <v>50.723228454589801</v>
      </c>
      <c r="B6671">
        <v>4.6152939796447798</v>
      </c>
      <c r="C6671" t="s">
        <v>43</v>
      </c>
      <c r="D6671" t="s">
        <v>3485</v>
      </c>
      <c r="F6671" s="21"/>
      <c r="G6671" s="16" t="str">
        <f>HYPERLINK("http://maps.google.com/maps?f=q&amp;hl=en&amp;geocode=&amp;q=50.7232284545898,4.61529397964478")</f>
        <v>http://maps.google.com/maps?f=q&amp;hl=en&amp;geocode=&amp;q=50.7232284545898,4.61529397964478</v>
      </c>
    </row>
    <row r="6672" spans="1:7" ht="15" x14ac:dyDescent="0.3">
      <c r="A6672">
        <v>50.723228454589801</v>
      </c>
      <c r="B6672">
        <v>4.6152939796447798</v>
      </c>
      <c r="C6672" t="s">
        <v>43</v>
      </c>
      <c r="D6672" t="s">
        <v>3485</v>
      </c>
      <c r="F6672" s="21"/>
      <c r="G6672" s="16" t="str">
        <f>HYPERLINK("http://maps.google.com/maps?f=q&amp;hl=en&amp;geocode=&amp;q=50.7232284545898,4.61529397964478")</f>
        <v>http://maps.google.com/maps?f=q&amp;hl=en&amp;geocode=&amp;q=50.7232284545898,4.61529397964478</v>
      </c>
    </row>
    <row r="6673" spans="1:7" ht="15" x14ac:dyDescent="0.3">
      <c r="A6673">
        <v>39.969520568847699</v>
      </c>
      <c r="B6673">
        <v>-79.613929748535199</v>
      </c>
      <c r="C6673" t="s">
        <v>43</v>
      </c>
      <c r="D6673" t="s">
        <v>4037</v>
      </c>
      <c r="F6673" s="21"/>
      <c r="G6673" s="16" t="str">
        <f>HYPERLINK("http://maps.google.com/maps?f=q&amp;hl=en&amp;geocode=&amp;q=39.9695205688477,-79.6139297485352")</f>
        <v>http://maps.google.com/maps?f=q&amp;hl=en&amp;geocode=&amp;q=39.9695205688477,-79.6139297485352</v>
      </c>
    </row>
    <row r="6674" spans="1:7" ht="15" x14ac:dyDescent="0.3">
      <c r="A6674">
        <v>38.241720000000001</v>
      </c>
      <c r="B6674">
        <v>-77.491100000000003</v>
      </c>
      <c r="C6674" t="s">
        <v>42</v>
      </c>
      <c r="D6674" t="s">
        <v>4038</v>
      </c>
      <c r="F6674" s="21"/>
      <c r="G6674" s="16" t="str">
        <f>HYPERLINK("http://maps.google.com/maps?f=q&amp;hl=en&amp;geocode=&amp;q=38.24172,-77.4911")</f>
        <v>http://maps.google.com/maps?f=q&amp;hl=en&amp;geocode=&amp;q=38.24172,-77.4911</v>
      </c>
    </row>
    <row r="6675" spans="1:7" ht="15" x14ac:dyDescent="0.3">
      <c r="A6675">
        <v>40.027747354564497</v>
      </c>
      <c r="B6675">
        <v>-75.130656151245802</v>
      </c>
      <c r="C6675" t="s">
        <v>41</v>
      </c>
      <c r="D6675" t="s">
        <v>555</v>
      </c>
      <c r="F6675" s="21"/>
      <c r="G6675" s="16" t="str">
        <f>HYPERLINK("http://maps.google.com/maps?f=q&amp;hl=en&amp;geocode=&amp;q=40.0277473545645,-75.1306561512458")</f>
        <v>http://maps.google.com/maps?f=q&amp;hl=en&amp;geocode=&amp;q=40.0277473545645,-75.1306561512458</v>
      </c>
    </row>
    <row r="6676" spans="1:7" ht="15" x14ac:dyDescent="0.3">
      <c r="A6676">
        <v>39.956560000000003</v>
      </c>
      <c r="B6676">
        <v>-75.209729999999993</v>
      </c>
      <c r="C6676" t="s">
        <v>43</v>
      </c>
      <c r="D6676" t="s">
        <v>4039</v>
      </c>
      <c r="F6676" s="21"/>
      <c r="G6676" s="16" t="str">
        <f>HYPERLINK("http://maps.google.com/maps?f=q&amp;hl=en&amp;geocode=&amp;q=39.95656,-75.20973")</f>
        <v>http://maps.google.com/maps?f=q&amp;hl=en&amp;geocode=&amp;q=39.95656,-75.20973</v>
      </c>
    </row>
    <row r="6677" spans="1:7" ht="15" x14ac:dyDescent="0.3">
      <c r="A6677">
        <v>52.950611114502003</v>
      </c>
      <c r="B6677">
        <v>-0.95639002323150601</v>
      </c>
      <c r="C6677" t="s">
        <v>41</v>
      </c>
      <c r="D6677" t="s">
        <v>4040</v>
      </c>
      <c r="F6677" s="21"/>
      <c r="G6677" s="16" t="str">
        <f>HYPERLINK("http://maps.google.com/maps?f=q&amp;hl=en&amp;geocode=&amp;q=52.950611114502,-0.956390023231506")</f>
        <v>http://maps.google.com/maps?f=q&amp;hl=en&amp;geocode=&amp;q=52.950611114502,-0.956390023231506</v>
      </c>
    </row>
    <row r="6678" spans="1:7" ht="15" x14ac:dyDescent="0.3">
      <c r="A6678">
        <v>40.217579999999998</v>
      </c>
      <c r="B6678">
        <v>-78.255319999999998</v>
      </c>
      <c r="C6678" t="s">
        <v>43</v>
      </c>
      <c r="D6678" t="s">
        <v>3486</v>
      </c>
      <c r="F6678" s="21"/>
      <c r="G6678" s="16" t="str">
        <f>HYPERLINK("http://maps.google.com/maps?f=q&amp;hl=en&amp;geocode=&amp;q=40.21758,-78.25532")</f>
        <v>http://maps.google.com/maps?f=q&amp;hl=en&amp;geocode=&amp;q=40.21758,-78.25532</v>
      </c>
    </row>
    <row r="6679" spans="1:7" ht="15" x14ac:dyDescent="0.3">
      <c r="A6679">
        <v>44.348992705912202</v>
      </c>
      <c r="B6679">
        <v>-84.262422795082102</v>
      </c>
      <c r="C6679" t="s">
        <v>43</v>
      </c>
      <c r="D6679" t="s">
        <v>4041</v>
      </c>
      <c r="F6679" s="21"/>
      <c r="G6679" s="16" t="str">
        <f>HYPERLINK("http://maps.google.com/maps?f=q&amp;hl=en&amp;geocode=&amp;q=44.3489927059122,-84.2624227950821")</f>
        <v>http://maps.google.com/maps?f=q&amp;hl=en&amp;geocode=&amp;q=44.3489927059122,-84.2624227950821</v>
      </c>
    </row>
    <row r="6680" spans="1:7" ht="15" x14ac:dyDescent="0.3">
      <c r="A6680">
        <v>40.024738311767599</v>
      </c>
      <c r="B6680">
        <v>-75.213882446289105</v>
      </c>
      <c r="C6680" t="s">
        <v>43</v>
      </c>
      <c r="D6680" t="s">
        <v>3588</v>
      </c>
      <c r="F6680" s="21"/>
      <c r="G6680" s="16" t="str">
        <f>HYPERLINK("http://maps.google.com/maps?f=q&amp;hl=en&amp;geocode=&amp;q=40.0247383117676,-75.2138824462891")</f>
        <v>http://maps.google.com/maps?f=q&amp;hl=en&amp;geocode=&amp;q=40.0247383117676,-75.2138824462891</v>
      </c>
    </row>
    <row r="6681" spans="1:7" ht="15" x14ac:dyDescent="0.3">
      <c r="A6681">
        <v>40.024738311767599</v>
      </c>
      <c r="B6681">
        <v>-75.213882446289105</v>
      </c>
      <c r="C6681" t="s">
        <v>43</v>
      </c>
      <c r="D6681" t="s">
        <v>2474</v>
      </c>
      <c r="F6681" s="21"/>
      <c r="G6681" s="16" t="str">
        <f>HYPERLINK("http://maps.google.com/maps?f=q&amp;hl=en&amp;geocode=&amp;q=40.0247383117676,-75.2138824462891")</f>
        <v>http://maps.google.com/maps?f=q&amp;hl=en&amp;geocode=&amp;q=40.0247383117676,-75.2138824462891</v>
      </c>
    </row>
    <row r="6682" spans="1:7" ht="15" x14ac:dyDescent="0.3">
      <c r="A6682" t="s">
        <v>44</v>
      </c>
      <c r="B6682" t="s">
        <v>44</v>
      </c>
      <c r="C6682" t="s">
        <v>44</v>
      </c>
      <c r="D6682" t="s">
        <v>4042</v>
      </c>
      <c r="F6682" s="21"/>
      <c r="G6682" s="16"/>
    </row>
    <row r="6683" spans="1:7" ht="15" x14ac:dyDescent="0.3">
      <c r="A6683" t="s">
        <v>44</v>
      </c>
      <c r="B6683" t="s">
        <v>44</v>
      </c>
      <c r="C6683" t="s">
        <v>44</v>
      </c>
      <c r="D6683" t="s">
        <v>3263</v>
      </c>
      <c r="F6683" s="21"/>
      <c r="G6683" s="16"/>
    </row>
    <row r="6684" spans="1:7" ht="15" x14ac:dyDescent="0.3">
      <c r="A6684" t="s">
        <v>44</v>
      </c>
      <c r="B6684" t="s">
        <v>44</v>
      </c>
      <c r="C6684" t="s">
        <v>44</v>
      </c>
      <c r="D6684" t="s">
        <v>4043</v>
      </c>
      <c r="F6684" s="21"/>
      <c r="G6684" s="16"/>
    </row>
    <row r="6685" spans="1:7" ht="15" x14ac:dyDescent="0.3">
      <c r="A6685">
        <v>39.918709999999997</v>
      </c>
      <c r="B6685">
        <v>-75.228719999999996</v>
      </c>
      <c r="C6685" t="s">
        <v>41</v>
      </c>
      <c r="D6685" t="s">
        <v>381</v>
      </c>
      <c r="F6685" s="21"/>
      <c r="G6685" s="16" t="str">
        <f>HYPERLINK("http://maps.google.com/maps?f=q&amp;hl=en&amp;geocode=&amp;q=39.91871,-75.22872")</f>
        <v>http://maps.google.com/maps?f=q&amp;hl=en&amp;geocode=&amp;q=39.91871,-75.22872</v>
      </c>
    </row>
    <row r="6686" spans="1:7" ht="15" x14ac:dyDescent="0.3">
      <c r="A6686">
        <v>39.964120000000001</v>
      </c>
      <c r="B6686">
        <v>-75.2303</v>
      </c>
      <c r="C6686" t="s">
        <v>41</v>
      </c>
      <c r="D6686" t="s">
        <v>827</v>
      </c>
      <c r="F6686" s="21"/>
      <c r="G6686" s="16" t="str">
        <f>HYPERLINK("http://maps.google.com/maps?f=q&amp;hl=en&amp;geocode=&amp;q=39.96412,-75.2303")</f>
        <v>http://maps.google.com/maps?f=q&amp;hl=en&amp;geocode=&amp;q=39.96412,-75.2303</v>
      </c>
    </row>
    <row r="6687" spans="1:7" ht="15" x14ac:dyDescent="0.3">
      <c r="A6687">
        <v>37.069565061924798</v>
      </c>
      <c r="B6687">
        <v>-88.636004995450506</v>
      </c>
      <c r="C6687" t="s">
        <v>41</v>
      </c>
      <c r="D6687" t="s">
        <v>4044</v>
      </c>
      <c r="F6687" s="21"/>
      <c r="G6687" s="16" t="str">
        <f>HYPERLINK("http://maps.google.com/maps?f=q&amp;hl=en&amp;geocode=&amp;q=37.0695650619248,-88.6360049954505")</f>
        <v>http://maps.google.com/maps?f=q&amp;hl=en&amp;geocode=&amp;q=37.0695650619248,-88.6360049954505</v>
      </c>
    </row>
    <row r="6688" spans="1:7" ht="15" x14ac:dyDescent="0.3">
      <c r="A6688">
        <v>35.1497611999512</v>
      </c>
      <c r="B6688">
        <v>-90.049247741699205</v>
      </c>
      <c r="C6688" t="s">
        <v>41</v>
      </c>
      <c r="D6688" t="s">
        <v>4045</v>
      </c>
      <c r="F6688" s="21"/>
      <c r="G6688" s="16" t="str">
        <f>HYPERLINK("http://maps.google.com/maps?f=q&amp;hl=en&amp;geocode=&amp;q=35.1497611999512,-90.0492477416992")</f>
        <v>http://maps.google.com/maps?f=q&amp;hl=en&amp;geocode=&amp;q=35.1497611999512,-90.0492477416992</v>
      </c>
    </row>
    <row r="6689" spans="1:7" ht="15" x14ac:dyDescent="0.3">
      <c r="A6689">
        <v>31.356929999999998</v>
      </c>
      <c r="B6689">
        <v>-89.800349999999995</v>
      </c>
      <c r="C6689" t="s">
        <v>43</v>
      </c>
      <c r="D6689" t="s">
        <v>3143</v>
      </c>
      <c r="F6689" s="21"/>
      <c r="G6689" s="16" t="str">
        <f>HYPERLINK("http://maps.google.com/maps?f=q&amp;hl=en&amp;geocode=&amp;q=31.35693,-89.80035")</f>
        <v>http://maps.google.com/maps?f=q&amp;hl=en&amp;geocode=&amp;q=31.35693,-89.80035</v>
      </c>
    </row>
    <row r="6690" spans="1:7" ht="15" x14ac:dyDescent="0.3">
      <c r="A6690">
        <v>41.022918701171903</v>
      </c>
      <c r="B6690">
        <v>-78.438087463378906</v>
      </c>
      <c r="C6690" t="s">
        <v>41</v>
      </c>
      <c r="D6690" t="s">
        <v>4046</v>
      </c>
      <c r="F6690" s="21"/>
      <c r="G6690" s="16" t="str">
        <f>HYPERLINK("http://maps.google.com/maps?f=q&amp;hl=en&amp;geocode=&amp;q=41.0229187011719,-78.4380874633789")</f>
        <v>http://maps.google.com/maps?f=q&amp;hl=en&amp;geocode=&amp;q=41.0229187011719,-78.4380874633789</v>
      </c>
    </row>
    <row r="6691" spans="1:7" ht="15" x14ac:dyDescent="0.3">
      <c r="A6691">
        <v>32.384909999999998</v>
      </c>
      <c r="B6691">
        <v>-86.193430000000006</v>
      </c>
      <c r="C6691" t="s">
        <v>42</v>
      </c>
      <c r="D6691" t="s">
        <v>1351</v>
      </c>
      <c r="F6691" s="21"/>
      <c r="G6691" s="16" t="str">
        <f>HYPERLINK("http://maps.google.com/maps?f=q&amp;hl=en&amp;geocode=&amp;q=32.38491,-86.19343")</f>
        <v>http://maps.google.com/maps?f=q&amp;hl=en&amp;geocode=&amp;q=32.38491,-86.19343</v>
      </c>
    </row>
    <row r="6692" spans="1:7" ht="15" x14ac:dyDescent="0.3">
      <c r="A6692">
        <v>34.103317726499498</v>
      </c>
      <c r="B6692">
        <v>-90.646060049279001</v>
      </c>
      <c r="C6692" t="s">
        <v>41</v>
      </c>
      <c r="D6692" t="s">
        <v>4047</v>
      </c>
      <c r="F6692" s="21"/>
      <c r="G6692" s="16" t="str">
        <f>HYPERLINK("http://maps.google.com/maps?f=q&amp;hl=en&amp;geocode=&amp;q=34.1033177264995,-90.646060049279")</f>
        <v>http://maps.google.com/maps?f=q&amp;hl=en&amp;geocode=&amp;q=34.1033177264995,-90.646060049279</v>
      </c>
    </row>
    <row r="6693" spans="1:7" ht="15" x14ac:dyDescent="0.3">
      <c r="A6693">
        <v>35.197429999999997</v>
      </c>
      <c r="B6693">
        <v>-89.84348</v>
      </c>
      <c r="C6693" t="s">
        <v>41</v>
      </c>
      <c r="D6693" t="s">
        <v>3580</v>
      </c>
      <c r="F6693" s="21"/>
      <c r="G6693" s="16" t="str">
        <f>HYPERLINK("http://maps.google.com/maps?f=q&amp;hl=en&amp;geocode=&amp;q=35.19743,-89.84348")</f>
        <v>http://maps.google.com/maps?f=q&amp;hl=en&amp;geocode=&amp;q=35.19743,-89.84348</v>
      </c>
    </row>
    <row r="6694" spans="1:7" ht="15" x14ac:dyDescent="0.3">
      <c r="A6694">
        <v>39.182571411132798</v>
      </c>
      <c r="B6694">
        <v>-77.270347595214801</v>
      </c>
      <c r="C6694" t="s">
        <v>41</v>
      </c>
      <c r="D6694" t="s">
        <v>4048</v>
      </c>
      <c r="F6694" s="21"/>
      <c r="G6694" s="16" t="str">
        <f>HYPERLINK("http://maps.google.com/maps?f=q&amp;hl=en&amp;geocode=&amp;q=39.1825714111328,-77.2703475952148")</f>
        <v>http://maps.google.com/maps?f=q&amp;hl=en&amp;geocode=&amp;q=39.1825714111328,-77.2703475952148</v>
      </c>
    </row>
    <row r="6695" spans="1:7" ht="15" x14ac:dyDescent="0.3">
      <c r="A6695">
        <v>39.690309999999997</v>
      </c>
      <c r="B6695">
        <v>-105.03874</v>
      </c>
      <c r="C6695" t="s">
        <v>41</v>
      </c>
      <c r="D6695" t="s">
        <v>4049</v>
      </c>
      <c r="F6695" s="21"/>
      <c r="G6695" s="16" t="str">
        <f>HYPERLINK("http://maps.google.com/maps?f=q&amp;hl=en&amp;geocode=&amp;q=39.69031,-105.03874")</f>
        <v>http://maps.google.com/maps?f=q&amp;hl=en&amp;geocode=&amp;q=39.69031,-105.03874</v>
      </c>
    </row>
    <row r="6696" spans="1:7" ht="15" x14ac:dyDescent="0.3">
      <c r="A6696" t="s">
        <v>44</v>
      </c>
      <c r="B6696" t="s">
        <v>44</v>
      </c>
      <c r="C6696" t="s">
        <v>44</v>
      </c>
      <c r="D6696" t="s">
        <v>4050</v>
      </c>
      <c r="F6696" s="21"/>
      <c r="G6696" s="16"/>
    </row>
    <row r="6697" spans="1:7" ht="15" x14ac:dyDescent="0.3">
      <c r="F6697" s="21"/>
      <c r="G6697" s="16"/>
    </row>
    <row r="6698" spans="1:7" ht="15" x14ac:dyDescent="0.3">
      <c r="A6698">
        <v>39.955100000000002</v>
      </c>
      <c r="B6698">
        <v>-75.219840000000005</v>
      </c>
      <c r="C6698" t="s">
        <v>43</v>
      </c>
      <c r="D6698" t="s">
        <v>2905</v>
      </c>
      <c r="F6698" s="21"/>
      <c r="G6698" s="16" t="str">
        <f>HYPERLINK("http://maps.google.com/maps?f=q&amp;hl=en&amp;geocode=&amp;q=39.9551,-75.21984")</f>
        <v>http://maps.google.com/maps?f=q&amp;hl=en&amp;geocode=&amp;q=39.9551,-75.21984</v>
      </c>
    </row>
    <row r="6699" spans="1:7" ht="15" x14ac:dyDescent="0.3">
      <c r="A6699">
        <v>39.955100000000002</v>
      </c>
      <c r="B6699">
        <v>-75.219840000000005</v>
      </c>
      <c r="C6699" t="s">
        <v>43</v>
      </c>
      <c r="D6699" t="s">
        <v>2905</v>
      </c>
      <c r="F6699" s="21"/>
      <c r="G6699" s="16" t="str">
        <f>HYPERLINK("http://maps.google.com/maps?f=q&amp;hl=en&amp;geocode=&amp;q=39.9551,-75.21984")</f>
        <v>http://maps.google.com/maps?f=q&amp;hl=en&amp;geocode=&amp;q=39.9551,-75.21984</v>
      </c>
    </row>
    <row r="6700" spans="1:7" ht="15" x14ac:dyDescent="0.3">
      <c r="A6700">
        <v>33.17886</v>
      </c>
      <c r="B6700">
        <v>-81.37133</v>
      </c>
      <c r="C6700" t="s">
        <v>42</v>
      </c>
      <c r="D6700" t="s">
        <v>4051</v>
      </c>
      <c r="F6700" s="21"/>
      <c r="G6700" s="16" t="str">
        <f>HYPERLINK("http://maps.google.com/maps?f=q&amp;hl=en&amp;geocode=&amp;q=33.17886,-81.37133")</f>
        <v>http://maps.google.com/maps?f=q&amp;hl=en&amp;geocode=&amp;q=33.17886,-81.37133</v>
      </c>
    </row>
    <row r="6701" spans="1:7" ht="15" x14ac:dyDescent="0.3">
      <c r="A6701">
        <v>52.487190246582003</v>
      </c>
      <c r="B6701">
        <v>0.679989993572235</v>
      </c>
      <c r="C6701" t="s">
        <v>41</v>
      </c>
      <c r="D6701" t="s">
        <v>4052</v>
      </c>
      <c r="F6701" s="21"/>
      <c r="G6701" s="16" t="str">
        <f>HYPERLINK("http://maps.google.com/maps?f=q&amp;hl=en&amp;geocode=&amp;q=52.487190246582,0.679989993572235")</f>
        <v>http://maps.google.com/maps?f=q&amp;hl=en&amp;geocode=&amp;q=52.487190246582,0.679989993572235</v>
      </c>
    </row>
    <row r="6702" spans="1:7" ht="15" x14ac:dyDescent="0.3">
      <c r="A6702">
        <v>40.193464969506998</v>
      </c>
      <c r="B6702">
        <v>-110.04792045993</v>
      </c>
      <c r="C6702" t="s">
        <v>41</v>
      </c>
      <c r="D6702" t="s">
        <v>3997</v>
      </c>
      <c r="F6702" s="21"/>
      <c r="G6702" s="16" t="str">
        <f>HYPERLINK("http://maps.google.com/maps?f=q&amp;hl=en&amp;geocode=&amp;q=40.193464969507,-110.04792045993")</f>
        <v>http://maps.google.com/maps?f=q&amp;hl=en&amp;geocode=&amp;q=40.193464969507,-110.04792045993</v>
      </c>
    </row>
    <row r="6703" spans="1:7" ht="15" x14ac:dyDescent="0.3">
      <c r="A6703">
        <v>36.137649536132798</v>
      </c>
      <c r="B6703">
        <v>45.090461730957003</v>
      </c>
      <c r="C6703" t="s">
        <v>41</v>
      </c>
      <c r="D6703" t="s">
        <v>4053</v>
      </c>
      <c r="F6703" s="21"/>
      <c r="G6703" s="16" t="str">
        <f>HYPERLINK("http://maps.google.com/maps?f=q&amp;hl=en&amp;geocode=&amp;q=36.1376495361328,45.090461730957")</f>
        <v>http://maps.google.com/maps?f=q&amp;hl=en&amp;geocode=&amp;q=36.1376495361328,45.090461730957</v>
      </c>
    </row>
    <row r="6704" spans="1:7" ht="15" x14ac:dyDescent="0.3">
      <c r="A6704" t="s">
        <v>44</v>
      </c>
      <c r="B6704" t="s">
        <v>44</v>
      </c>
      <c r="C6704" t="s">
        <v>44</v>
      </c>
      <c r="D6704" t="s">
        <v>4054</v>
      </c>
      <c r="F6704" s="21"/>
      <c r="G6704" s="16"/>
    </row>
    <row r="6705" spans="1:7" ht="15" x14ac:dyDescent="0.3">
      <c r="A6705">
        <v>54.841087341308601</v>
      </c>
      <c r="B6705">
        <v>11.161624908447299</v>
      </c>
      <c r="C6705" t="s">
        <v>41</v>
      </c>
      <c r="D6705" t="s">
        <v>4055</v>
      </c>
      <c r="F6705" s="21"/>
      <c r="G6705" s="16" t="str">
        <f>HYPERLINK("http://maps.google.com/maps?f=q&amp;hl=en&amp;geocode=&amp;q=54.8410873413086,11.1616249084473")</f>
        <v>http://maps.google.com/maps?f=q&amp;hl=en&amp;geocode=&amp;q=54.8410873413086,11.1616249084473</v>
      </c>
    </row>
    <row r="6706" spans="1:7" ht="15" x14ac:dyDescent="0.3">
      <c r="A6706">
        <v>42.738353788800801</v>
      </c>
      <c r="B6706">
        <v>-89.269499055220507</v>
      </c>
      <c r="C6706" t="s">
        <v>41</v>
      </c>
      <c r="D6706" t="s">
        <v>4056</v>
      </c>
      <c r="F6706" s="21"/>
      <c r="G6706" s="16" t="str">
        <f>HYPERLINK("http://maps.google.com/maps?f=q&amp;hl=en&amp;geocode=&amp;q=42.7383537888008,-89.2694990552205")</f>
        <v>http://maps.google.com/maps?f=q&amp;hl=en&amp;geocode=&amp;q=42.7383537888008,-89.2694990552205</v>
      </c>
    </row>
    <row r="6707" spans="1:7" ht="15" x14ac:dyDescent="0.3">
      <c r="A6707">
        <v>40.028410619038503</v>
      </c>
      <c r="B6707">
        <v>-75.141746780470399</v>
      </c>
      <c r="C6707" t="s">
        <v>41</v>
      </c>
      <c r="D6707" t="s">
        <v>4057</v>
      </c>
      <c r="F6707" s="21"/>
      <c r="G6707" s="16" t="str">
        <f>HYPERLINK("http://maps.google.com/maps?f=q&amp;hl=en&amp;geocode=&amp;q=40.0284106190385,-75.1417467804704")</f>
        <v>http://maps.google.com/maps?f=q&amp;hl=en&amp;geocode=&amp;q=40.0284106190385,-75.1417467804704</v>
      </c>
    </row>
    <row r="6708" spans="1:7" ht="15" x14ac:dyDescent="0.3">
      <c r="A6708">
        <v>42.734560969150202</v>
      </c>
      <c r="B6708">
        <v>-89.269334974295802</v>
      </c>
      <c r="C6708" t="s">
        <v>41</v>
      </c>
      <c r="D6708" t="s">
        <v>4058</v>
      </c>
      <c r="F6708" s="21"/>
      <c r="G6708" s="16" t="str">
        <f>HYPERLINK("http://maps.google.com/maps?f=q&amp;hl=en&amp;geocode=&amp;q=42.7345609691502,-89.2693349742958")</f>
        <v>http://maps.google.com/maps?f=q&amp;hl=en&amp;geocode=&amp;q=42.7345609691502,-89.2693349742958</v>
      </c>
    </row>
    <row r="6709" spans="1:7" ht="15" x14ac:dyDescent="0.3">
      <c r="A6709">
        <v>38.96143</v>
      </c>
      <c r="B6709">
        <v>-76.958799999999997</v>
      </c>
      <c r="C6709" t="s">
        <v>43</v>
      </c>
      <c r="D6709" t="s">
        <v>4059</v>
      </c>
      <c r="F6709" s="21"/>
      <c r="G6709" s="16" t="str">
        <f>HYPERLINK("http://maps.google.com/maps?f=q&amp;hl=en&amp;geocode=&amp;q=38.96143,-76.9588")</f>
        <v>http://maps.google.com/maps?f=q&amp;hl=en&amp;geocode=&amp;q=38.96143,-76.9588</v>
      </c>
    </row>
    <row r="6710" spans="1:7" ht="15" x14ac:dyDescent="0.3">
      <c r="A6710">
        <v>34.249409999999997</v>
      </c>
      <c r="B6710">
        <v>-111.31628000000001</v>
      </c>
      <c r="C6710" t="s">
        <v>41</v>
      </c>
      <c r="D6710" t="s">
        <v>4060</v>
      </c>
      <c r="F6710" s="21"/>
      <c r="G6710" s="16" t="str">
        <f>HYPERLINK("http://maps.google.com/maps?f=q&amp;hl=en&amp;geocode=&amp;q=34.24941,-111.31628")</f>
        <v>http://maps.google.com/maps?f=q&amp;hl=en&amp;geocode=&amp;q=34.24941,-111.31628</v>
      </c>
    </row>
    <row r="6711" spans="1:7" ht="15" x14ac:dyDescent="0.3">
      <c r="A6711">
        <v>37.93871</v>
      </c>
      <c r="B6711">
        <v>-86.754599999999996</v>
      </c>
      <c r="C6711" t="s">
        <v>42</v>
      </c>
      <c r="D6711" t="s">
        <v>4061</v>
      </c>
      <c r="F6711" s="21"/>
      <c r="G6711" s="16" t="str">
        <f>HYPERLINK("http://maps.google.com/maps?f=q&amp;hl=en&amp;geocode=&amp;q=37.93871,-86.7546")</f>
        <v>http://maps.google.com/maps?f=q&amp;hl=en&amp;geocode=&amp;q=37.93871,-86.7546</v>
      </c>
    </row>
    <row r="6712" spans="1:7" ht="15" x14ac:dyDescent="0.3">
      <c r="A6712">
        <v>30.286940000000001</v>
      </c>
      <c r="B6712">
        <v>-81.399500000000003</v>
      </c>
      <c r="C6712" t="s">
        <v>42</v>
      </c>
      <c r="D6712" t="s">
        <v>4062</v>
      </c>
      <c r="F6712" s="21"/>
      <c r="G6712" s="16" t="str">
        <f>HYPERLINK("http://maps.google.com/maps?f=q&amp;hl=en&amp;geocode=&amp;q=30.28694,-81.3995")</f>
        <v>http://maps.google.com/maps?f=q&amp;hl=en&amp;geocode=&amp;q=30.28694,-81.3995</v>
      </c>
    </row>
    <row r="6713" spans="1:7" ht="15" x14ac:dyDescent="0.3">
      <c r="A6713">
        <v>43.293369293212898</v>
      </c>
      <c r="B6713">
        <v>5.3713002204895002</v>
      </c>
      <c r="C6713" t="s">
        <v>43</v>
      </c>
      <c r="D6713" t="s">
        <v>3003</v>
      </c>
      <c r="F6713" s="21"/>
      <c r="G6713" s="16" t="str">
        <f>HYPERLINK("http://maps.google.com/maps?f=q&amp;hl=en&amp;geocode=&amp;q=43.2933692932129,5.3713002204895")</f>
        <v>http://maps.google.com/maps?f=q&amp;hl=en&amp;geocode=&amp;q=43.2933692932129,5.3713002204895</v>
      </c>
    </row>
    <row r="6714" spans="1:7" ht="15" x14ac:dyDescent="0.3">
      <c r="A6714">
        <v>43.289665222167997</v>
      </c>
      <c r="B6714">
        <v>5.4732770919799796</v>
      </c>
      <c r="C6714" t="s">
        <v>41</v>
      </c>
      <c r="D6714" t="s">
        <v>4063</v>
      </c>
      <c r="F6714" s="21"/>
      <c r="G6714" s="16" t="str">
        <f>HYPERLINK("http://maps.google.com/maps?f=q&amp;hl=en&amp;geocode=&amp;q=43.289665222168,5.47327709197998")</f>
        <v>http://maps.google.com/maps?f=q&amp;hl=en&amp;geocode=&amp;q=43.289665222168,5.47327709197998</v>
      </c>
    </row>
    <row r="6715" spans="1:7" ht="15" x14ac:dyDescent="0.3">
      <c r="A6715" t="s">
        <v>44</v>
      </c>
      <c r="B6715" t="s">
        <v>44</v>
      </c>
      <c r="C6715" t="s">
        <v>44</v>
      </c>
      <c r="D6715" t="s">
        <v>546</v>
      </c>
      <c r="F6715" s="21"/>
      <c r="G6715" s="16"/>
    </row>
    <row r="6716" spans="1:7" ht="15" x14ac:dyDescent="0.3">
      <c r="A6716">
        <v>43.293369293212898</v>
      </c>
      <c r="B6716">
        <v>5.3713002204895002</v>
      </c>
      <c r="C6716" t="s">
        <v>43</v>
      </c>
      <c r="D6716" t="s">
        <v>3003</v>
      </c>
      <c r="F6716" s="21"/>
      <c r="G6716" s="16" t="str">
        <f>HYPERLINK("http://maps.google.com/maps?f=q&amp;hl=en&amp;geocode=&amp;q=43.2933692932129,5.3713002204895")</f>
        <v>http://maps.google.com/maps?f=q&amp;hl=en&amp;geocode=&amp;q=43.2933692932129,5.3713002204895</v>
      </c>
    </row>
    <row r="6717" spans="1:7" ht="15" x14ac:dyDescent="0.3">
      <c r="A6717">
        <v>43.293369293212898</v>
      </c>
      <c r="B6717">
        <v>5.3713002204895002</v>
      </c>
      <c r="C6717" t="s">
        <v>43</v>
      </c>
      <c r="D6717" t="s">
        <v>3003</v>
      </c>
      <c r="F6717" s="21"/>
      <c r="G6717" s="16" t="str">
        <f>HYPERLINK("http://maps.google.com/maps?f=q&amp;hl=en&amp;geocode=&amp;q=43.2933692932129,5.3713002204895")</f>
        <v>http://maps.google.com/maps?f=q&amp;hl=en&amp;geocode=&amp;q=43.2933692932129,5.3713002204895</v>
      </c>
    </row>
    <row r="6718" spans="1:7" ht="15" x14ac:dyDescent="0.3">
      <c r="A6718">
        <v>52.281749725341797</v>
      </c>
      <c r="B6718">
        <v>-1.59103000164032</v>
      </c>
      <c r="C6718" t="s">
        <v>41</v>
      </c>
      <c r="D6718" t="s">
        <v>4064</v>
      </c>
      <c r="F6718" s="21"/>
      <c r="G6718" s="16" t="str">
        <f>HYPERLINK("http://maps.google.com/maps?f=q&amp;hl=en&amp;geocode=&amp;q=52.2817497253418,-1.59103000164032")</f>
        <v>http://maps.google.com/maps?f=q&amp;hl=en&amp;geocode=&amp;q=52.2817497253418,-1.59103000164032</v>
      </c>
    </row>
    <row r="6719" spans="1:7" ht="15" x14ac:dyDescent="0.3">
      <c r="A6719">
        <v>38.893448399472</v>
      </c>
      <c r="B6719">
        <v>-76.944344875550001</v>
      </c>
      <c r="C6719" t="s">
        <v>41</v>
      </c>
      <c r="D6719" t="s">
        <v>4065</v>
      </c>
      <c r="F6719" s="21"/>
      <c r="G6719" s="16" t="str">
        <f>HYPERLINK("http://maps.google.com/maps?f=q&amp;hl=en&amp;geocode=&amp;q=38.893448399472,-76.94434487555")</f>
        <v>http://maps.google.com/maps?f=q&amp;hl=en&amp;geocode=&amp;q=38.893448399472,-76.94434487555</v>
      </c>
    </row>
    <row r="6720" spans="1:7" ht="15" x14ac:dyDescent="0.3">
      <c r="A6720">
        <v>39.995420000000003</v>
      </c>
      <c r="B6720">
        <v>-75.167749999999998</v>
      </c>
      <c r="C6720" t="s">
        <v>41</v>
      </c>
      <c r="D6720" t="s">
        <v>2442</v>
      </c>
      <c r="F6720" s="21"/>
      <c r="G6720" s="16" t="str">
        <f>HYPERLINK("http://maps.google.com/maps?f=q&amp;hl=en&amp;geocode=&amp;q=39.99542,-75.16775")</f>
        <v>http://maps.google.com/maps?f=q&amp;hl=en&amp;geocode=&amp;q=39.99542,-75.16775</v>
      </c>
    </row>
    <row r="6721" spans="1:7" ht="15" x14ac:dyDescent="0.3">
      <c r="A6721">
        <v>39.992980000000003</v>
      </c>
      <c r="B6721">
        <v>-75.126350000000002</v>
      </c>
      <c r="C6721" t="s">
        <v>41</v>
      </c>
      <c r="D6721" t="s">
        <v>4066</v>
      </c>
      <c r="F6721" s="21"/>
      <c r="G6721" s="16" t="str">
        <f>HYPERLINK("http://maps.google.com/maps?f=q&amp;hl=en&amp;geocode=&amp;q=39.99298,-75.12635")</f>
        <v>http://maps.google.com/maps?f=q&amp;hl=en&amp;geocode=&amp;q=39.99298,-75.12635</v>
      </c>
    </row>
    <row r="6722" spans="1:7" ht="15" x14ac:dyDescent="0.3">
      <c r="A6722">
        <v>40.132370000000002</v>
      </c>
      <c r="B6722">
        <v>-75.007909999999995</v>
      </c>
      <c r="C6722" t="s">
        <v>41</v>
      </c>
      <c r="D6722" t="s">
        <v>55</v>
      </c>
      <c r="F6722" s="21"/>
      <c r="G6722" s="16" t="str">
        <f>HYPERLINK("http://maps.google.com/maps?f=q&amp;hl=en&amp;geocode=&amp;q=40.13237,-75.00791")</f>
        <v>http://maps.google.com/maps?f=q&amp;hl=en&amp;geocode=&amp;q=40.13237,-75.00791</v>
      </c>
    </row>
    <row r="6723" spans="1:7" ht="15" x14ac:dyDescent="0.3">
      <c r="A6723">
        <v>36.015928310111001</v>
      </c>
      <c r="B6723">
        <v>-78.928323937418</v>
      </c>
      <c r="C6723" t="s">
        <v>41</v>
      </c>
      <c r="D6723" t="s">
        <v>1288</v>
      </c>
      <c r="F6723" s="21"/>
      <c r="G6723" s="16" t="str">
        <f>HYPERLINK("http://maps.google.com/maps?f=q&amp;hl=en&amp;geocode=&amp;q=36.015928310111,-78.928323937418")</f>
        <v>http://maps.google.com/maps?f=q&amp;hl=en&amp;geocode=&amp;q=36.015928310111,-78.928323937418</v>
      </c>
    </row>
    <row r="6724" spans="1:7" ht="15" x14ac:dyDescent="0.3">
      <c r="A6724">
        <v>39.994509000000001</v>
      </c>
      <c r="B6724">
        <v>-75.092248999999995</v>
      </c>
      <c r="C6724" t="s">
        <v>41</v>
      </c>
      <c r="D6724" t="s">
        <v>553</v>
      </c>
      <c r="F6724" s="21"/>
      <c r="G6724" s="16" t="str">
        <f>HYPERLINK("http://maps.google.com/maps?f=q&amp;hl=en&amp;geocode=&amp;q=39.994509,-75.092249")</f>
        <v>http://maps.google.com/maps?f=q&amp;hl=en&amp;geocode=&amp;q=39.994509,-75.092249</v>
      </c>
    </row>
    <row r="6725" spans="1:7" ht="15" x14ac:dyDescent="0.3">
      <c r="A6725" t="s">
        <v>44</v>
      </c>
      <c r="B6725" t="s">
        <v>44</v>
      </c>
      <c r="C6725" t="s">
        <v>44</v>
      </c>
      <c r="D6725" t="s">
        <v>4067</v>
      </c>
      <c r="F6725" s="21"/>
      <c r="G6725" s="16"/>
    </row>
    <row r="6726" spans="1:7" ht="15" x14ac:dyDescent="0.3">
      <c r="A6726">
        <v>37.194240570068402</v>
      </c>
      <c r="B6726">
        <v>-8.5855684280395508</v>
      </c>
      <c r="C6726" t="s">
        <v>41</v>
      </c>
      <c r="D6726" t="s">
        <v>4068</v>
      </c>
      <c r="F6726" s="21"/>
      <c r="G6726" s="16" t="str">
        <f>HYPERLINK("http://maps.google.com/maps?f=q&amp;hl=en&amp;geocode=&amp;q=37.1942405700684,-8.58556842803955")</f>
        <v>http://maps.google.com/maps?f=q&amp;hl=en&amp;geocode=&amp;q=37.1942405700684,-8.58556842803955</v>
      </c>
    </row>
    <row r="6727" spans="1:7" ht="15" x14ac:dyDescent="0.3">
      <c r="A6727">
        <v>46.955677382686702</v>
      </c>
      <c r="B6727">
        <v>-114.011175638149</v>
      </c>
      <c r="C6727" t="s">
        <v>41</v>
      </c>
      <c r="D6727" t="s">
        <v>4069</v>
      </c>
      <c r="F6727" s="21"/>
      <c r="G6727" s="16" t="str">
        <f>HYPERLINK("http://maps.google.com/maps?f=q&amp;hl=en&amp;geocode=&amp;q=46.9556773826867,-114.011175638149")</f>
        <v>http://maps.google.com/maps?f=q&amp;hl=en&amp;geocode=&amp;q=46.9556773826867,-114.011175638149</v>
      </c>
    </row>
    <row r="6728" spans="1:7" ht="15" x14ac:dyDescent="0.3">
      <c r="A6728">
        <v>36.015928310111001</v>
      </c>
      <c r="B6728">
        <v>-78.928323937418</v>
      </c>
      <c r="C6728" t="s">
        <v>41</v>
      </c>
      <c r="D6728" t="s">
        <v>1288</v>
      </c>
      <c r="F6728" s="21"/>
      <c r="G6728" s="16" t="str">
        <f>HYPERLINK("http://maps.google.com/maps?f=q&amp;hl=en&amp;geocode=&amp;q=36.015928310111,-78.928323937418")</f>
        <v>http://maps.google.com/maps?f=q&amp;hl=en&amp;geocode=&amp;q=36.015928310111,-78.928323937418</v>
      </c>
    </row>
    <row r="6729" spans="1:7" ht="15" x14ac:dyDescent="0.3">
      <c r="A6729">
        <v>36.015928310111001</v>
      </c>
      <c r="B6729">
        <v>-78.928323937418</v>
      </c>
      <c r="C6729" t="s">
        <v>41</v>
      </c>
      <c r="D6729" t="s">
        <v>1288</v>
      </c>
      <c r="F6729" s="21"/>
      <c r="G6729" s="16" t="str">
        <f>HYPERLINK("http://maps.google.com/maps?f=q&amp;hl=en&amp;geocode=&amp;q=36.015928310111,-78.928323937418")</f>
        <v>http://maps.google.com/maps?f=q&amp;hl=en&amp;geocode=&amp;q=36.015928310111,-78.928323937418</v>
      </c>
    </row>
    <row r="6730" spans="1:7" ht="15" x14ac:dyDescent="0.3">
      <c r="A6730">
        <v>36.015928310111001</v>
      </c>
      <c r="B6730">
        <v>-78.928323937418</v>
      </c>
      <c r="C6730" t="s">
        <v>41</v>
      </c>
      <c r="D6730" t="s">
        <v>1288</v>
      </c>
      <c r="F6730" s="21"/>
      <c r="G6730" s="16" t="str">
        <f>HYPERLINK("http://maps.google.com/maps?f=q&amp;hl=en&amp;geocode=&amp;q=36.015928310111,-78.928323937418")</f>
        <v>http://maps.google.com/maps?f=q&amp;hl=en&amp;geocode=&amp;q=36.015928310111,-78.928323937418</v>
      </c>
    </row>
    <row r="6731" spans="1:7" ht="15" x14ac:dyDescent="0.3">
      <c r="A6731">
        <v>36.015928310111001</v>
      </c>
      <c r="B6731">
        <v>-78.928323937418</v>
      </c>
      <c r="C6731" t="s">
        <v>41</v>
      </c>
      <c r="D6731" t="s">
        <v>1288</v>
      </c>
      <c r="F6731" s="21"/>
      <c r="G6731" s="16" t="str">
        <f>HYPERLINK("http://maps.google.com/maps?f=q&amp;hl=en&amp;geocode=&amp;q=36.015928310111,-78.928323937418")</f>
        <v>http://maps.google.com/maps?f=q&amp;hl=en&amp;geocode=&amp;q=36.015928310111,-78.928323937418</v>
      </c>
    </row>
    <row r="6732" spans="1:7" ht="15" x14ac:dyDescent="0.3">
      <c r="A6732">
        <v>32.8512491798596</v>
      </c>
      <c r="B6732">
        <v>-104.41311305052901</v>
      </c>
      <c r="C6732" t="s">
        <v>43</v>
      </c>
      <c r="D6732" t="s">
        <v>4070</v>
      </c>
      <c r="F6732" s="21"/>
      <c r="G6732" s="16" t="str">
        <f>HYPERLINK("http://maps.google.com/maps?f=q&amp;hl=en&amp;geocode=&amp;q=32.8512491798596,-104.413113050529")</f>
        <v>http://maps.google.com/maps?f=q&amp;hl=en&amp;geocode=&amp;q=32.8512491798596,-104.413113050529</v>
      </c>
    </row>
    <row r="6733" spans="1:7" ht="15" x14ac:dyDescent="0.3">
      <c r="A6733">
        <v>49.518180847167997</v>
      </c>
      <c r="B6733">
        <v>5.8978409767150897</v>
      </c>
      <c r="C6733" t="s">
        <v>41</v>
      </c>
      <c r="D6733" t="s">
        <v>2510</v>
      </c>
      <c r="F6733" s="21"/>
      <c r="G6733" s="16" t="str">
        <f>HYPERLINK("http://maps.google.com/maps?f=q&amp;hl=en&amp;geocode=&amp;q=49.518180847168,5.89784097671509")</f>
        <v>http://maps.google.com/maps?f=q&amp;hl=en&amp;geocode=&amp;q=49.518180847168,5.89784097671509</v>
      </c>
    </row>
    <row r="6734" spans="1:7" ht="15" x14ac:dyDescent="0.3">
      <c r="A6734">
        <v>49.510299682617202</v>
      </c>
      <c r="B6734">
        <v>6.10628318786621</v>
      </c>
      <c r="C6734" t="s">
        <v>41</v>
      </c>
      <c r="D6734" t="s">
        <v>820</v>
      </c>
      <c r="F6734" s="21"/>
      <c r="G6734" s="16" t="str">
        <f>HYPERLINK("http://maps.google.com/maps?f=q&amp;hl=en&amp;geocode=&amp;q=49.5102996826172,6.10628318786621")</f>
        <v>http://maps.google.com/maps?f=q&amp;hl=en&amp;geocode=&amp;q=49.5102996826172,6.10628318786621</v>
      </c>
    </row>
    <row r="6735" spans="1:7" ht="15" x14ac:dyDescent="0.3">
      <c r="A6735">
        <v>42.589581292288102</v>
      </c>
      <c r="B6735">
        <v>-83.119924182834197</v>
      </c>
      <c r="C6735" t="s">
        <v>41</v>
      </c>
      <c r="D6735" t="s">
        <v>4071</v>
      </c>
      <c r="F6735" s="21"/>
      <c r="G6735" s="16" t="str">
        <f>HYPERLINK("http://maps.google.com/maps?f=q&amp;hl=en&amp;geocode=&amp;q=42.5895812922881,-83.1199241828342")</f>
        <v>http://maps.google.com/maps?f=q&amp;hl=en&amp;geocode=&amp;q=42.5895812922881,-83.1199241828342</v>
      </c>
    </row>
    <row r="6736" spans="1:7" ht="15" x14ac:dyDescent="0.3">
      <c r="A6736">
        <v>42.589294203735797</v>
      </c>
      <c r="B6736">
        <v>-83.119902989197399</v>
      </c>
      <c r="C6736" t="s">
        <v>41</v>
      </c>
      <c r="D6736" t="s">
        <v>4072</v>
      </c>
      <c r="F6736" s="21"/>
      <c r="G6736" s="16" t="str">
        <f>HYPERLINK("http://maps.google.com/maps?f=q&amp;hl=en&amp;geocode=&amp;q=42.5892942037358,-83.1199029891974")</f>
        <v>http://maps.google.com/maps?f=q&amp;hl=en&amp;geocode=&amp;q=42.5892942037358,-83.1199029891974</v>
      </c>
    </row>
    <row r="6737" spans="1:7" ht="15" x14ac:dyDescent="0.3">
      <c r="A6737">
        <v>29.8510822214683</v>
      </c>
      <c r="B6737">
        <v>-95.389589366318106</v>
      </c>
      <c r="C6737" t="s">
        <v>43</v>
      </c>
      <c r="D6737" t="s">
        <v>4073</v>
      </c>
      <c r="F6737" s="21"/>
      <c r="G6737" s="16" t="str">
        <f>HYPERLINK("http://maps.google.com/maps?f=q&amp;hl=en&amp;geocode=&amp;q=29.8510822214683,-95.3895893663181")</f>
        <v>http://maps.google.com/maps?f=q&amp;hl=en&amp;geocode=&amp;q=29.8510822214683,-95.3895893663181</v>
      </c>
    </row>
    <row r="6738" spans="1:7" ht="15" x14ac:dyDescent="0.3">
      <c r="A6738">
        <v>59.922351837158203</v>
      </c>
      <c r="B6738">
        <v>11.178321838378899</v>
      </c>
      <c r="C6738" t="s">
        <v>43</v>
      </c>
      <c r="D6738" t="s">
        <v>4074</v>
      </c>
      <c r="F6738" s="21"/>
      <c r="G6738" s="16" t="str">
        <f>HYPERLINK("http://maps.google.com/maps?f=q&amp;hl=en&amp;geocode=&amp;q=59.9223518371582,11.1783218383789")</f>
        <v>http://maps.google.com/maps?f=q&amp;hl=en&amp;geocode=&amp;q=59.9223518371582,11.1783218383789</v>
      </c>
    </row>
    <row r="6739" spans="1:7" ht="15" x14ac:dyDescent="0.3">
      <c r="A6739">
        <v>59.922351837158203</v>
      </c>
      <c r="B6739">
        <v>11.178321838378899</v>
      </c>
      <c r="C6739" t="s">
        <v>43</v>
      </c>
      <c r="D6739" t="s">
        <v>4075</v>
      </c>
      <c r="F6739" s="21"/>
      <c r="G6739" s="16" t="str">
        <f>HYPERLINK("http://maps.google.com/maps?f=q&amp;hl=en&amp;geocode=&amp;q=59.9223518371582,11.1783218383789")</f>
        <v>http://maps.google.com/maps?f=q&amp;hl=en&amp;geocode=&amp;q=59.9223518371582,11.1783218383789</v>
      </c>
    </row>
    <row r="6740" spans="1:7" ht="15" x14ac:dyDescent="0.3">
      <c r="A6740">
        <v>59.922351837158203</v>
      </c>
      <c r="B6740">
        <v>11.178321838378899</v>
      </c>
      <c r="C6740" t="s">
        <v>43</v>
      </c>
      <c r="D6740" t="s">
        <v>4074</v>
      </c>
      <c r="F6740" s="21"/>
      <c r="G6740" s="16" t="str">
        <f>HYPERLINK("http://maps.google.com/maps?f=q&amp;hl=en&amp;geocode=&amp;q=59.9223518371582,11.1783218383789")</f>
        <v>http://maps.google.com/maps?f=q&amp;hl=en&amp;geocode=&amp;q=59.9223518371582,11.1783218383789</v>
      </c>
    </row>
    <row r="6741" spans="1:7" ht="15" x14ac:dyDescent="0.3">
      <c r="A6741">
        <v>42.999576568603501</v>
      </c>
      <c r="B6741">
        <v>-107.551513671875</v>
      </c>
      <c r="C6741" t="s">
        <v>41</v>
      </c>
      <c r="D6741" t="s">
        <v>3857</v>
      </c>
      <c r="F6741" s="21"/>
      <c r="G6741" s="16" t="str">
        <f>HYPERLINK("http://maps.google.com/maps?f=q&amp;hl=en&amp;geocode=&amp;q=42.9995765686035,-107.551513671875")</f>
        <v>http://maps.google.com/maps?f=q&amp;hl=en&amp;geocode=&amp;q=42.9995765686035,-107.551513671875</v>
      </c>
    </row>
    <row r="6742" spans="1:7" ht="15" x14ac:dyDescent="0.3">
      <c r="A6742">
        <v>40.664693800400002</v>
      </c>
      <c r="B6742">
        <v>-74.894008135833701</v>
      </c>
      <c r="C6742" t="s">
        <v>41</v>
      </c>
      <c r="D6742" t="s">
        <v>4076</v>
      </c>
      <c r="F6742" s="21"/>
      <c r="G6742" s="16" t="str">
        <f>HYPERLINK("http://maps.google.com/maps?f=q&amp;hl=en&amp;geocode=&amp;q=40.6646938004,-74.8940081358337")</f>
        <v>http://maps.google.com/maps?f=q&amp;hl=en&amp;geocode=&amp;q=40.6646938004,-74.8940081358337</v>
      </c>
    </row>
    <row r="6743" spans="1:7" ht="15" x14ac:dyDescent="0.3">
      <c r="A6743">
        <v>42.999576568603501</v>
      </c>
      <c r="B6743">
        <v>-107.551513671875</v>
      </c>
      <c r="C6743" t="s">
        <v>41</v>
      </c>
      <c r="D6743" t="s">
        <v>3857</v>
      </c>
      <c r="F6743" s="21"/>
      <c r="G6743" s="16" t="str">
        <f>HYPERLINK("http://maps.google.com/maps?f=q&amp;hl=en&amp;geocode=&amp;q=42.9995765686035,-107.551513671875")</f>
        <v>http://maps.google.com/maps?f=q&amp;hl=en&amp;geocode=&amp;q=42.9995765686035,-107.551513671875</v>
      </c>
    </row>
    <row r="6744" spans="1:7" ht="15" x14ac:dyDescent="0.3">
      <c r="A6744">
        <v>38.998542785644503</v>
      </c>
      <c r="B6744">
        <v>-105.547813415527</v>
      </c>
      <c r="C6744" t="s">
        <v>41</v>
      </c>
      <c r="D6744" t="s">
        <v>4077</v>
      </c>
      <c r="F6744" s="21"/>
      <c r="G6744" s="16" t="str">
        <f>HYPERLINK("http://maps.google.com/maps?f=q&amp;hl=en&amp;geocode=&amp;q=38.9985427856445,-105.547813415527")</f>
        <v>http://maps.google.com/maps?f=q&amp;hl=en&amp;geocode=&amp;q=38.9985427856445,-105.547813415527</v>
      </c>
    </row>
    <row r="6745" spans="1:7" ht="15" x14ac:dyDescent="0.3">
      <c r="A6745">
        <v>39.931432553449</v>
      </c>
      <c r="B6745">
        <v>-75.157047806880101</v>
      </c>
      <c r="C6745" t="s">
        <v>41</v>
      </c>
      <c r="D6745" t="s">
        <v>3538</v>
      </c>
      <c r="F6745" s="21"/>
      <c r="G6745" s="16" t="str">
        <f>HYPERLINK("http://maps.google.com/maps?f=q&amp;hl=en&amp;geocode=&amp;q=39.931432553449,-75.1570478068801")</f>
        <v>http://maps.google.com/maps?f=q&amp;hl=en&amp;geocode=&amp;q=39.931432553449,-75.1570478068801</v>
      </c>
    </row>
    <row r="6746" spans="1:7" ht="15" x14ac:dyDescent="0.3">
      <c r="A6746">
        <v>30.390115737915</v>
      </c>
      <c r="B6746">
        <v>-81.570152282714801</v>
      </c>
      <c r="C6746" t="s">
        <v>41</v>
      </c>
      <c r="D6746" t="s">
        <v>4078</v>
      </c>
      <c r="F6746" s="21"/>
      <c r="G6746" s="16" t="str">
        <f>HYPERLINK("http://maps.google.com/maps?f=q&amp;hl=en&amp;geocode=&amp;q=30.390115737915,-81.5701522827148")</f>
        <v>http://maps.google.com/maps?f=q&amp;hl=en&amp;geocode=&amp;q=30.390115737915,-81.5701522827148</v>
      </c>
    </row>
    <row r="6747" spans="1:7" ht="15" x14ac:dyDescent="0.3">
      <c r="A6747">
        <v>36.53387</v>
      </c>
      <c r="B6747">
        <v>-87.226830000000007</v>
      </c>
      <c r="C6747" t="s">
        <v>43</v>
      </c>
      <c r="D6747" t="s">
        <v>4079</v>
      </c>
      <c r="F6747" s="21"/>
      <c r="G6747" s="16" t="str">
        <f>HYPERLINK("http://maps.google.com/maps?f=q&amp;hl=en&amp;geocode=&amp;q=36.53387,-87.22683")</f>
        <v>http://maps.google.com/maps?f=q&amp;hl=en&amp;geocode=&amp;q=36.53387,-87.22683</v>
      </c>
    </row>
    <row r="6748" spans="1:7" ht="15" x14ac:dyDescent="0.3">
      <c r="A6748" t="s">
        <v>44</v>
      </c>
      <c r="B6748" t="s">
        <v>44</v>
      </c>
      <c r="C6748" t="s">
        <v>44</v>
      </c>
      <c r="D6748" t="s">
        <v>101</v>
      </c>
      <c r="F6748" s="21"/>
      <c r="G6748" s="16"/>
    </row>
    <row r="6749" spans="1:7" ht="15" x14ac:dyDescent="0.3">
      <c r="A6749" t="s">
        <v>44</v>
      </c>
      <c r="B6749" t="s">
        <v>44</v>
      </c>
      <c r="C6749" t="s">
        <v>44</v>
      </c>
      <c r="D6749" t="s">
        <v>101</v>
      </c>
      <c r="F6749" s="21"/>
      <c r="G6749" s="16"/>
    </row>
    <row r="6750" spans="1:7" ht="15" x14ac:dyDescent="0.3">
      <c r="A6750">
        <v>-26.034427642822301</v>
      </c>
      <c r="B6750">
        <v>28.5431098937988</v>
      </c>
      <c r="C6750" t="s">
        <v>43</v>
      </c>
      <c r="D6750" t="s">
        <v>4080</v>
      </c>
      <c r="F6750" s="21"/>
      <c r="G6750" s="16" t="str">
        <f>HYPERLINK("http://maps.google.com/maps?f=q&amp;hl=en&amp;geocode=&amp;q=-26.0344276428223,28.5431098937988")</f>
        <v>http://maps.google.com/maps?f=q&amp;hl=en&amp;geocode=&amp;q=-26.0344276428223,28.5431098937988</v>
      </c>
    </row>
    <row r="6751" spans="1:7" ht="15" x14ac:dyDescent="0.3">
      <c r="A6751">
        <v>-3.0964000225067099</v>
      </c>
      <c r="B6751">
        <v>-79.007461547851605</v>
      </c>
      <c r="C6751" t="s">
        <v>41</v>
      </c>
      <c r="D6751" t="s">
        <v>4081</v>
      </c>
      <c r="F6751" s="21"/>
      <c r="G6751" s="16" t="str">
        <f>HYPERLINK("http://maps.google.com/maps?f=q&amp;hl=en&amp;geocode=&amp;q=-3.09640002250671,-79.0074615478516")</f>
        <v>http://maps.google.com/maps?f=q&amp;hl=en&amp;geocode=&amp;q=-3.09640002250671,-79.0074615478516</v>
      </c>
    </row>
    <row r="6752" spans="1:7" ht="15" x14ac:dyDescent="0.3">
      <c r="A6752">
        <v>-26.034427642822301</v>
      </c>
      <c r="B6752">
        <v>28.5431098937988</v>
      </c>
      <c r="C6752" t="s">
        <v>43</v>
      </c>
      <c r="D6752" t="s">
        <v>4080</v>
      </c>
      <c r="F6752" s="21"/>
      <c r="G6752" s="16" t="str">
        <f>HYPERLINK("http://maps.google.com/maps?f=q&amp;hl=en&amp;geocode=&amp;q=-26.0344276428223,28.5431098937988")</f>
        <v>http://maps.google.com/maps?f=q&amp;hl=en&amp;geocode=&amp;q=-26.0344276428223,28.5431098937988</v>
      </c>
    </row>
    <row r="6753" spans="1:7" ht="15" x14ac:dyDescent="0.3">
      <c r="A6753" t="s">
        <v>44</v>
      </c>
      <c r="B6753" t="s">
        <v>44</v>
      </c>
      <c r="C6753" t="s">
        <v>44</v>
      </c>
      <c r="D6753" t="s">
        <v>4082</v>
      </c>
      <c r="F6753" s="21"/>
      <c r="G6753" s="16"/>
    </row>
    <row r="6754" spans="1:7" ht="15" x14ac:dyDescent="0.3">
      <c r="A6754">
        <v>-26.034427642822301</v>
      </c>
      <c r="B6754">
        <v>28.5431098937988</v>
      </c>
      <c r="C6754" t="s">
        <v>43</v>
      </c>
      <c r="D6754" t="s">
        <v>4080</v>
      </c>
      <c r="F6754" s="21"/>
      <c r="G6754" s="16" t="str">
        <f>HYPERLINK("http://maps.google.com/maps?f=q&amp;hl=en&amp;geocode=&amp;q=-26.0344276428223,28.5431098937988")</f>
        <v>http://maps.google.com/maps?f=q&amp;hl=en&amp;geocode=&amp;q=-26.0344276428223,28.5431098937988</v>
      </c>
    </row>
    <row r="6755" spans="1:7" ht="15" x14ac:dyDescent="0.3">
      <c r="A6755">
        <v>-3.0964000225067099</v>
      </c>
      <c r="B6755">
        <v>-79.007461547851605</v>
      </c>
      <c r="C6755" t="s">
        <v>41</v>
      </c>
      <c r="D6755" t="s">
        <v>4081</v>
      </c>
      <c r="F6755" s="21"/>
      <c r="G6755" s="16" t="str">
        <f>HYPERLINK("http://maps.google.com/maps?f=q&amp;hl=en&amp;geocode=&amp;q=-3.09640002250671,-79.0074615478516")</f>
        <v>http://maps.google.com/maps?f=q&amp;hl=en&amp;geocode=&amp;q=-3.09640002250671,-79.0074615478516</v>
      </c>
    </row>
    <row r="6756" spans="1:7" ht="15" x14ac:dyDescent="0.3">
      <c r="A6756">
        <v>-26.034427642822301</v>
      </c>
      <c r="B6756">
        <v>28.5431098937988</v>
      </c>
      <c r="C6756" t="s">
        <v>43</v>
      </c>
      <c r="D6756" t="s">
        <v>4080</v>
      </c>
      <c r="F6756" s="21"/>
      <c r="G6756" s="16" t="str">
        <f>HYPERLINK("http://maps.google.com/maps?f=q&amp;hl=en&amp;geocode=&amp;q=-26.0344276428223,28.5431098937988")</f>
        <v>http://maps.google.com/maps?f=q&amp;hl=en&amp;geocode=&amp;q=-26.0344276428223,28.5431098937988</v>
      </c>
    </row>
    <row r="6757" spans="1:7" ht="15" x14ac:dyDescent="0.3">
      <c r="A6757">
        <v>-5.5385999679565403</v>
      </c>
      <c r="B6757">
        <v>150.131591796875</v>
      </c>
      <c r="C6757" t="s">
        <v>41</v>
      </c>
      <c r="D6757" t="s">
        <v>1482</v>
      </c>
      <c r="F6757" s="21"/>
      <c r="G6757" s="16" t="str">
        <f>HYPERLINK("http://maps.google.com/maps?f=q&amp;hl=en&amp;geocode=&amp;q=-5.53859996795654,150.131591796875")</f>
        <v>http://maps.google.com/maps?f=q&amp;hl=en&amp;geocode=&amp;q=-5.53859996795654,150.131591796875</v>
      </c>
    </row>
    <row r="6758" spans="1:7" ht="15" x14ac:dyDescent="0.3">
      <c r="A6758">
        <v>29.978032504012599</v>
      </c>
      <c r="B6758">
        <v>-81.819867052260193</v>
      </c>
      <c r="C6758" t="s">
        <v>41</v>
      </c>
      <c r="D6758" t="s">
        <v>4083</v>
      </c>
      <c r="F6758" s="21"/>
      <c r="G6758" s="16" t="str">
        <f>HYPERLINK("http://maps.google.com/maps?f=q&amp;hl=en&amp;geocode=&amp;q=29.9780325040126,-81.8198670522602")</f>
        <v>http://maps.google.com/maps?f=q&amp;hl=en&amp;geocode=&amp;q=29.9780325040126,-81.8198670522602</v>
      </c>
    </row>
    <row r="6759" spans="1:7" ht="15" x14ac:dyDescent="0.3">
      <c r="A6759" t="s">
        <v>44</v>
      </c>
      <c r="B6759" t="s">
        <v>44</v>
      </c>
      <c r="C6759" t="s">
        <v>44</v>
      </c>
      <c r="D6759" t="s">
        <v>4084</v>
      </c>
      <c r="F6759" s="21"/>
      <c r="G6759" s="16"/>
    </row>
    <row r="6760" spans="1:7" ht="15" x14ac:dyDescent="0.3">
      <c r="A6760">
        <v>36.5854650367217</v>
      </c>
      <c r="B6760">
        <v>-98.878657403074499</v>
      </c>
      <c r="C6760" t="s">
        <v>43</v>
      </c>
      <c r="D6760" t="s">
        <v>4085</v>
      </c>
      <c r="F6760" s="21"/>
      <c r="G6760" s="16" t="str">
        <f>HYPERLINK("http://maps.google.com/maps?f=q&amp;hl=en&amp;geocode=&amp;q=36.5854650367217,-98.8786574030745")</f>
        <v>http://maps.google.com/maps?f=q&amp;hl=en&amp;geocode=&amp;q=36.5854650367217,-98.8786574030745</v>
      </c>
    </row>
    <row r="6761" spans="1:7" ht="15" x14ac:dyDescent="0.3">
      <c r="A6761">
        <v>39.944999694824197</v>
      </c>
      <c r="B6761">
        <v>-74.0780029296875</v>
      </c>
      <c r="C6761" t="s">
        <v>43</v>
      </c>
      <c r="D6761" t="s">
        <v>2825</v>
      </c>
      <c r="F6761" s="21"/>
      <c r="G6761" s="16" t="str">
        <f>HYPERLINK("http://maps.google.com/maps?f=q&amp;hl=en&amp;geocode=&amp;q=39.9449996948242,-74.0780029296875")</f>
        <v>http://maps.google.com/maps?f=q&amp;hl=en&amp;geocode=&amp;q=39.9449996948242,-74.0780029296875</v>
      </c>
    </row>
    <row r="6762" spans="1:7" ht="15" x14ac:dyDescent="0.3">
      <c r="A6762">
        <v>35.744709118352098</v>
      </c>
      <c r="B6762">
        <v>-84.316882077442003</v>
      </c>
      <c r="C6762" t="s">
        <v>43</v>
      </c>
      <c r="D6762" t="s">
        <v>4086</v>
      </c>
      <c r="F6762" s="21"/>
      <c r="G6762" s="16" t="str">
        <f>HYPERLINK("http://maps.google.com/maps?f=q&amp;hl=en&amp;geocode=&amp;q=35.7447091183521,-84.316882077442")</f>
        <v>http://maps.google.com/maps?f=q&amp;hl=en&amp;geocode=&amp;q=35.7447091183521,-84.316882077442</v>
      </c>
    </row>
    <row r="6763" spans="1:7" ht="15" x14ac:dyDescent="0.3">
      <c r="A6763">
        <v>40.460018157958999</v>
      </c>
      <c r="B6763">
        <v>-78.591552734375</v>
      </c>
      <c r="C6763" t="s">
        <v>43</v>
      </c>
      <c r="D6763" t="s">
        <v>4087</v>
      </c>
      <c r="F6763" s="21"/>
      <c r="G6763" s="16" t="str">
        <f>HYPERLINK("http://maps.google.com/maps?f=q&amp;hl=en&amp;geocode=&amp;q=40.460018157959,-78.591552734375")</f>
        <v>http://maps.google.com/maps?f=q&amp;hl=en&amp;geocode=&amp;q=40.460018157959,-78.591552734375</v>
      </c>
    </row>
    <row r="6764" spans="1:7" ht="15" x14ac:dyDescent="0.3">
      <c r="A6764">
        <v>-28.6630954742432</v>
      </c>
      <c r="B6764">
        <v>140.15759277343801</v>
      </c>
      <c r="C6764" t="s">
        <v>41</v>
      </c>
      <c r="D6764" t="s">
        <v>4088</v>
      </c>
      <c r="F6764" s="21"/>
      <c r="G6764" s="16" t="str">
        <f>HYPERLINK("http://maps.google.com/maps?f=q&amp;hl=en&amp;geocode=&amp;q=-28.6630954742432,140.157592773438")</f>
        <v>http://maps.google.com/maps?f=q&amp;hl=en&amp;geocode=&amp;q=-28.6630954742432,140.157592773438</v>
      </c>
    </row>
    <row r="6765" spans="1:7" ht="15" x14ac:dyDescent="0.3">
      <c r="A6765">
        <v>39.996519999999997</v>
      </c>
      <c r="B6765">
        <v>-75.078249999999997</v>
      </c>
      <c r="C6765" t="s">
        <v>41</v>
      </c>
      <c r="D6765" t="s">
        <v>3576</v>
      </c>
      <c r="F6765" s="21"/>
      <c r="G6765" s="16" t="str">
        <f>HYPERLINK("http://maps.google.com/maps?f=q&amp;hl=en&amp;geocode=&amp;q=39.99652,-75.07825")</f>
        <v>http://maps.google.com/maps?f=q&amp;hl=en&amp;geocode=&amp;q=39.99652,-75.07825</v>
      </c>
    </row>
    <row r="6766" spans="1:7" ht="15" x14ac:dyDescent="0.3">
      <c r="A6766">
        <v>40.042020000000001</v>
      </c>
      <c r="B6766">
        <v>-75.080160000000006</v>
      </c>
      <c r="C6766" t="s">
        <v>41</v>
      </c>
      <c r="D6766" t="s">
        <v>1506</v>
      </c>
      <c r="F6766" s="21"/>
      <c r="G6766" s="16" t="str">
        <f>HYPERLINK("http://maps.google.com/maps?f=q&amp;hl=en&amp;geocode=&amp;q=40.04202,-75.08016")</f>
        <v>http://maps.google.com/maps?f=q&amp;hl=en&amp;geocode=&amp;q=40.04202,-75.08016</v>
      </c>
    </row>
    <row r="6767" spans="1:7" ht="15" x14ac:dyDescent="0.3">
      <c r="A6767">
        <v>39.182571411132798</v>
      </c>
      <c r="B6767">
        <v>-77.270347595214801</v>
      </c>
      <c r="C6767" t="s">
        <v>41</v>
      </c>
      <c r="D6767" t="s">
        <v>3450</v>
      </c>
      <c r="F6767" s="21"/>
      <c r="G6767" s="16" t="str">
        <f>HYPERLINK("http://maps.google.com/maps?f=q&amp;hl=en&amp;geocode=&amp;q=39.1825714111328,-77.2703475952148")</f>
        <v>http://maps.google.com/maps?f=q&amp;hl=en&amp;geocode=&amp;q=39.1825714111328,-77.2703475952148</v>
      </c>
    </row>
    <row r="6768" spans="1:7" ht="15" x14ac:dyDescent="0.3">
      <c r="A6768">
        <v>42.234210968017599</v>
      </c>
      <c r="B6768">
        <v>-121.522842407227</v>
      </c>
      <c r="C6768" t="s">
        <v>43</v>
      </c>
      <c r="D6768" t="s">
        <v>4089</v>
      </c>
      <c r="F6768" s="21"/>
      <c r="G6768" s="16" t="str">
        <f>HYPERLINK("http://maps.google.com/maps?f=q&amp;hl=en&amp;geocode=&amp;q=42.2342109680176,-121.522842407227")</f>
        <v>http://maps.google.com/maps?f=q&amp;hl=en&amp;geocode=&amp;q=42.2342109680176,-121.522842407227</v>
      </c>
    </row>
    <row r="6769" spans="1:7" ht="15" x14ac:dyDescent="0.3">
      <c r="A6769">
        <v>42.234210968017599</v>
      </c>
      <c r="B6769">
        <v>-121.522842407227</v>
      </c>
      <c r="C6769" t="s">
        <v>43</v>
      </c>
      <c r="D6769" t="s">
        <v>4089</v>
      </c>
      <c r="F6769" s="21"/>
      <c r="G6769" s="16" t="str">
        <f>HYPERLINK("http://maps.google.com/maps?f=q&amp;hl=en&amp;geocode=&amp;q=42.2342109680176,-121.522842407227")</f>
        <v>http://maps.google.com/maps?f=q&amp;hl=en&amp;geocode=&amp;q=42.2342109680176,-121.522842407227</v>
      </c>
    </row>
    <row r="6770" spans="1:7" ht="15" x14ac:dyDescent="0.3">
      <c r="A6770">
        <v>53.6021118164063</v>
      </c>
      <c r="B6770">
        <v>-1.92121994495392</v>
      </c>
      <c r="C6770" t="s">
        <v>43</v>
      </c>
      <c r="D6770" t="s">
        <v>4090</v>
      </c>
      <c r="F6770" s="21"/>
      <c r="G6770" s="16" t="str">
        <f>HYPERLINK("http://maps.google.com/maps?f=q&amp;hl=en&amp;geocode=&amp;q=53.6021118164063,-1.92121994495392")</f>
        <v>http://maps.google.com/maps?f=q&amp;hl=en&amp;geocode=&amp;q=53.6021118164063,-1.92121994495392</v>
      </c>
    </row>
    <row r="6771" spans="1:7" ht="15" x14ac:dyDescent="0.3">
      <c r="A6771">
        <v>43.280860900878899</v>
      </c>
      <c r="B6771">
        <v>-71.464241027832003</v>
      </c>
      <c r="C6771" t="s">
        <v>41</v>
      </c>
      <c r="D6771" t="s">
        <v>4091</v>
      </c>
      <c r="F6771" s="21"/>
      <c r="G6771" s="16" t="str">
        <f>HYPERLINK("http://maps.google.com/maps?f=q&amp;hl=en&amp;geocode=&amp;q=43.2808609008789,-71.464241027832")</f>
        <v>http://maps.google.com/maps?f=q&amp;hl=en&amp;geocode=&amp;q=43.2808609008789,-71.464241027832</v>
      </c>
    </row>
    <row r="6772" spans="1:7" ht="15" x14ac:dyDescent="0.3">
      <c r="A6772">
        <v>44.097568511962898</v>
      </c>
      <c r="B6772">
        <v>-69.129096984863295</v>
      </c>
      <c r="C6772" t="s">
        <v>41</v>
      </c>
      <c r="D6772" t="s">
        <v>4092</v>
      </c>
      <c r="F6772" s="21"/>
      <c r="G6772" s="16" t="str">
        <f>HYPERLINK("http://maps.google.com/maps?f=q&amp;hl=en&amp;geocode=&amp;q=44.0975685119629,-69.1290969848633")</f>
        <v>http://maps.google.com/maps?f=q&amp;hl=en&amp;geocode=&amp;q=44.0975685119629,-69.1290969848633</v>
      </c>
    </row>
    <row r="6773" spans="1:7" ht="15" x14ac:dyDescent="0.3">
      <c r="A6773">
        <v>40.047899999999998</v>
      </c>
      <c r="B6773">
        <v>-105.25042999999999</v>
      </c>
      <c r="C6773" t="s">
        <v>43</v>
      </c>
      <c r="D6773" t="s">
        <v>4093</v>
      </c>
      <c r="F6773" s="21"/>
      <c r="G6773" s="16" t="str">
        <f>HYPERLINK("http://maps.google.com/maps?f=q&amp;hl=en&amp;geocode=&amp;q=40.0479,-105.25043")</f>
        <v>http://maps.google.com/maps?f=q&amp;hl=en&amp;geocode=&amp;q=40.0479,-105.25043</v>
      </c>
    </row>
    <row r="6774" spans="1:7" ht="15" x14ac:dyDescent="0.3">
      <c r="A6774">
        <v>-28.1275939941406</v>
      </c>
      <c r="B6774">
        <v>153.45494079589801</v>
      </c>
      <c r="C6774" t="s">
        <v>41</v>
      </c>
      <c r="D6774" t="s">
        <v>4094</v>
      </c>
      <c r="F6774" s="21"/>
      <c r="G6774" s="16" t="str">
        <f>HYPERLINK("http://maps.google.com/maps?f=q&amp;hl=en&amp;geocode=&amp;q=-28.1275939941406,153.454940795898")</f>
        <v>http://maps.google.com/maps?f=q&amp;hl=en&amp;geocode=&amp;q=-28.1275939941406,153.454940795898</v>
      </c>
    </row>
    <row r="6775" spans="1:7" ht="15" x14ac:dyDescent="0.3">
      <c r="A6775">
        <v>39.920610000000003</v>
      </c>
      <c r="B6775">
        <v>-75.180289999999999</v>
      </c>
      <c r="C6775" t="s">
        <v>42</v>
      </c>
      <c r="D6775" t="s">
        <v>3891</v>
      </c>
      <c r="F6775" s="21"/>
      <c r="G6775" s="16" t="str">
        <f>HYPERLINK("http://maps.google.com/maps?f=q&amp;hl=en&amp;geocode=&amp;q=39.92061,-75.18029")</f>
        <v>http://maps.google.com/maps?f=q&amp;hl=en&amp;geocode=&amp;q=39.92061,-75.18029</v>
      </c>
    </row>
    <row r="6776" spans="1:7" ht="15" x14ac:dyDescent="0.3">
      <c r="A6776" t="s">
        <v>44</v>
      </c>
      <c r="B6776" t="s">
        <v>44</v>
      </c>
      <c r="C6776" t="s">
        <v>44</v>
      </c>
      <c r="D6776" t="s">
        <v>4095</v>
      </c>
      <c r="F6776" s="21"/>
      <c r="G6776" s="16"/>
    </row>
    <row r="6777" spans="1:7" ht="15" x14ac:dyDescent="0.3">
      <c r="A6777">
        <v>36.167973095479802</v>
      </c>
      <c r="B6777">
        <v>-90.526400897077295</v>
      </c>
      <c r="C6777" t="s">
        <v>42</v>
      </c>
      <c r="D6777" t="s">
        <v>2106</v>
      </c>
      <c r="F6777" s="21"/>
      <c r="G6777" s="16" t="str">
        <f>HYPERLINK("http://maps.google.com/maps?f=q&amp;hl=en&amp;geocode=&amp;q=36.1679730954798,-90.5264008970773")</f>
        <v>http://maps.google.com/maps?f=q&amp;hl=en&amp;geocode=&amp;q=36.1679730954798,-90.5264008970773</v>
      </c>
    </row>
    <row r="6778" spans="1:7" ht="15" x14ac:dyDescent="0.3">
      <c r="A6778">
        <v>39.923110000000001</v>
      </c>
      <c r="B6778">
        <v>-75.179770000000005</v>
      </c>
      <c r="C6778" t="s">
        <v>43</v>
      </c>
      <c r="D6778" t="s">
        <v>4096</v>
      </c>
      <c r="F6778" s="21"/>
      <c r="G6778" s="16" t="str">
        <f>HYPERLINK("http://maps.google.com/maps?f=q&amp;hl=en&amp;geocode=&amp;q=39.92311,-75.17977")</f>
        <v>http://maps.google.com/maps?f=q&amp;hl=en&amp;geocode=&amp;q=39.92311,-75.17977</v>
      </c>
    </row>
    <row r="6779" spans="1:7" ht="15" x14ac:dyDescent="0.3">
      <c r="A6779">
        <v>40.037979125976598</v>
      </c>
      <c r="B6779">
        <v>-75.223060607910199</v>
      </c>
      <c r="C6779" t="s">
        <v>41</v>
      </c>
      <c r="D6779" t="s">
        <v>3459</v>
      </c>
      <c r="F6779" s="21"/>
      <c r="G6779" s="16" t="str">
        <f>HYPERLINK("http://maps.google.com/maps?f=q&amp;hl=en&amp;geocode=&amp;q=40.0379791259766,-75.2230606079102")</f>
        <v>http://maps.google.com/maps?f=q&amp;hl=en&amp;geocode=&amp;q=40.0379791259766,-75.2230606079102</v>
      </c>
    </row>
    <row r="6780" spans="1:7" ht="15" x14ac:dyDescent="0.3">
      <c r="A6780">
        <v>49.606731414794901</v>
      </c>
      <c r="B6780">
        <v>6.1429781913757298</v>
      </c>
      <c r="C6780" t="s">
        <v>43</v>
      </c>
      <c r="D6780" t="s">
        <v>4097</v>
      </c>
      <c r="F6780" s="21"/>
      <c r="G6780" s="16" t="str">
        <f>HYPERLINK("http://maps.google.com/maps?f=q&amp;hl=en&amp;geocode=&amp;q=49.6067314147949,6.14297819137573")</f>
        <v>http://maps.google.com/maps?f=q&amp;hl=en&amp;geocode=&amp;q=49.6067314147949,6.14297819137573</v>
      </c>
    </row>
    <row r="6781" spans="1:7" ht="15" x14ac:dyDescent="0.3">
      <c r="A6781">
        <v>48.267347063651897</v>
      </c>
      <c r="B6781">
        <v>-97.470142070667507</v>
      </c>
      <c r="C6781" t="s">
        <v>41</v>
      </c>
      <c r="D6781" t="s">
        <v>693</v>
      </c>
      <c r="F6781" s="21"/>
      <c r="G6781" s="16" t="str">
        <f>HYPERLINK("http://maps.google.com/maps?f=q&amp;hl=en&amp;geocode=&amp;q=48.2673470636519,-97.4701420706675")</f>
        <v>http://maps.google.com/maps?f=q&amp;hl=en&amp;geocode=&amp;q=48.2673470636519,-97.4701420706675</v>
      </c>
    </row>
    <row r="6782" spans="1:7" ht="15" x14ac:dyDescent="0.3">
      <c r="A6782">
        <v>41.5089111328125</v>
      </c>
      <c r="B6782">
        <v>-87.073318481445298</v>
      </c>
      <c r="C6782" t="s">
        <v>43</v>
      </c>
      <c r="D6782" t="s">
        <v>1498</v>
      </c>
      <c r="F6782" s="21"/>
      <c r="G6782" s="16" t="str">
        <f>HYPERLINK("http://maps.google.com/maps?f=q&amp;hl=en&amp;geocode=&amp;q=41.5089111328125,-87.0733184814453")</f>
        <v>http://maps.google.com/maps?f=q&amp;hl=en&amp;geocode=&amp;q=41.5089111328125,-87.0733184814453</v>
      </c>
    </row>
    <row r="6783" spans="1:7" ht="15" x14ac:dyDescent="0.3">
      <c r="A6783">
        <v>40.558715647956603</v>
      </c>
      <c r="B6783">
        <v>-76.381486046429202</v>
      </c>
      <c r="C6783" t="s">
        <v>43</v>
      </c>
      <c r="D6783" t="s">
        <v>4098</v>
      </c>
      <c r="F6783" s="21"/>
      <c r="G6783" s="16" t="str">
        <f>HYPERLINK("http://maps.google.com/maps?f=q&amp;hl=en&amp;geocode=&amp;q=40.5587156479566,-76.3814860464292")</f>
        <v>http://maps.google.com/maps?f=q&amp;hl=en&amp;geocode=&amp;q=40.5587156479566,-76.3814860464292</v>
      </c>
    </row>
    <row r="6784" spans="1:7" ht="15" x14ac:dyDescent="0.3">
      <c r="A6784">
        <v>40.069189999999999</v>
      </c>
      <c r="B6784">
        <v>-75.052300000000002</v>
      </c>
      <c r="C6784" t="s">
        <v>41</v>
      </c>
      <c r="D6784" t="s">
        <v>4099</v>
      </c>
      <c r="F6784" s="21"/>
      <c r="G6784" s="16" t="str">
        <f>HYPERLINK("http://maps.google.com/maps?f=q&amp;hl=en&amp;geocode=&amp;q=40.06919,-75.0523")</f>
        <v>http://maps.google.com/maps?f=q&amp;hl=en&amp;geocode=&amp;q=40.06919,-75.0523</v>
      </c>
    </row>
    <row r="6785" spans="1:7" ht="15" x14ac:dyDescent="0.3">
      <c r="A6785" t="s">
        <v>44</v>
      </c>
      <c r="B6785" t="s">
        <v>44</v>
      </c>
      <c r="C6785" t="s">
        <v>44</v>
      </c>
      <c r="D6785" t="s">
        <v>4100</v>
      </c>
      <c r="F6785" s="21"/>
      <c r="G6785" s="16"/>
    </row>
    <row r="6786" spans="1:7" ht="15" x14ac:dyDescent="0.3">
      <c r="A6786">
        <v>29.7082328796387</v>
      </c>
      <c r="B6786">
        <v>-90.006401062011705</v>
      </c>
      <c r="C6786" t="s">
        <v>43</v>
      </c>
      <c r="D6786" t="s">
        <v>4101</v>
      </c>
      <c r="F6786" s="21"/>
      <c r="G6786" s="16" t="str">
        <f>HYPERLINK("http://maps.google.com/maps?f=q&amp;hl=en&amp;geocode=&amp;q=29.7082328796387,-90.0064010620117")</f>
        <v>http://maps.google.com/maps?f=q&amp;hl=en&amp;geocode=&amp;q=29.7082328796387,-90.0064010620117</v>
      </c>
    </row>
    <row r="6787" spans="1:7" ht="15" x14ac:dyDescent="0.3">
      <c r="A6787">
        <v>40.896511077880902</v>
      </c>
      <c r="B6787">
        <v>-77.838752746582003</v>
      </c>
      <c r="C6787" t="s">
        <v>41</v>
      </c>
      <c r="D6787" t="s">
        <v>4102</v>
      </c>
      <c r="F6787" s="21"/>
      <c r="G6787" s="16" t="str">
        <f>HYPERLINK("http://maps.google.com/maps?f=q&amp;hl=en&amp;geocode=&amp;q=40.8965110778809,-77.838752746582")</f>
        <v>http://maps.google.com/maps?f=q&amp;hl=en&amp;geocode=&amp;q=40.8965110778809,-77.838752746582</v>
      </c>
    </row>
    <row r="6788" spans="1:7" ht="15" x14ac:dyDescent="0.3">
      <c r="A6788">
        <v>34.053489685058601</v>
      </c>
      <c r="B6788">
        <v>-118.245323181152</v>
      </c>
      <c r="C6788" t="s">
        <v>43</v>
      </c>
      <c r="D6788" t="s">
        <v>4103</v>
      </c>
      <c r="F6788" s="21"/>
      <c r="G6788" s="16" t="str">
        <f>HYPERLINK("http://maps.google.com/maps?f=q&amp;hl=en&amp;geocode=&amp;q=34.0534896850586,-118.245323181152")</f>
        <v>http://maps.google.com/maps?f=q&amp;hl=en&amp;geocode=&amp;q=34.0534896850586,-118.245323181152</v>
      </c>
    </row>
    <row r="6789" spans="1:7" ht="15" x14ac:dyDescent="0.3">
      <c r="A6789">
        <v>55.459780000000002</v>
      </c>
      <c r="B6789">
        <v>11.20115</v>
      </c>
      <c r="C6789" t="s">
        <v>41</v>
      </c>
      <c r="D6789" t="s">
        <v>757</v>
      </c>
      <c r="F6789" s="21"/>
      <c r="G6789" s="16" t="str">
        <f>HYPERLINK("http://maps.google.com/maps?f=q&amp;hl=en&amp;geocode=&amp;q=55.45978,11.20115")</f>
        <v>http://maps.google.com/maps?f=q&amp;hl=en&amp;geocode=&amp;q=55.45978,11.20115</v>
      </c>
    </row>
    <row r="6790" spans="1:7" ht="15" x14ac:dyDescent="0.3">
      <c r="A6790">
        <v>46.408790588378899</v>
      </c>
      <c r="B6790">
        <v>12.017880439758301</v>
      </c>
      <c r="C6790" t="s">
        <v>41</v>
      </c>
      <c r="D6790" t="s">
        <v>3062</v>
      </c>
      <c r="F6790" s="21"/>
      <c r="G6790" s="16" t="str">
        <f>HYPERLINK("http://maps.google.com/maps?f=q&amp;hl=en&amp;geocode=&amp;q=46.4087905883789,12.0178804397583")</f>
        <v>http://maps.google.com/maps?f=q&amp;hl=en&amp;geocode=&amp;q=46.4087905883789,12.0178804397583</v>
      </c>
    </row>
    <row r="6791" spans="1:7" ht="15" x14ac:dyDescent="0.3">
      <c r="A6791">
        <v>47.202430725097699</v>
      </c>
      <c r="B6791">
        <v>19.835624694824201</v>
      </c>
      <c r="C6791" t="s">
        <v>43</v>
      </c>
      <c r="D6791" t="s">
        <v>3434</v>
      </c>
      <c r="F6791" s="21"/>
      <c r="G6791" s="16" t="str">
        <f>HYPERLINK("http://maps.google.com/maps?f=q&amp;hl=en&amp;geocode=&amp;q=47.2024307250977,19.8356246948242")</f>
        <v>http://maps.google.com/maps?f=q&amp;hl=en&amp;geocode=&amp;q=47.2024307250977,19.8356246948242</v>
      </c>
    </row>
    <row r="6792" spans="1:7" ht="15" x14ac:dyDescent="0.3">
      <c r="A6792">
        <v>50.124649047851598</v>
      </c>
      <c r="B6792">
        <v>-107.051307678223</v>
      </c>
      <c r="C6792" t="s">
        <v>43</v>
      </c>
      <c r="D6792" t="s">
        <v>4104</v>
      </c>
      <c r="F6792" s="21"/>
      <c r="G6792" s="16" t="str">
        <f>HYPERLINK("http://maps.google.com/maps?f=q&amp;hl=en&amp;geocode=&amp;q=50.1246490478516,-107.051307678223")</f>
        <v>http://maps.google.com/maps?f=q&amp;hl=en&amp;geocode=&amp;q=50.1246490478516,-107.051307678223</v>
      </c>
    </row>
    <row r="6793" spans="1:7" ht="15" x14ac:dyDescent="0.3">
      <c r="A6793">
        <v>40.612789154052699</v>
      </c>
      <c r="B6793">
        <v>-75.592453002929702</v>
      </c>
      <c r="C6793" t="s">
        <v>41</v>
      </c>
      <c r="D6793" t="s">
        <v>4105</v>
      </c>
      <c r="F6793" s="21"/>
      <c r="G6793" s="16" t="str">
        <f>HYPERLINK("http://maps.google.com/maps?f=q&amp;hl=en&amp;geocode=&amp;q=40.6127891540527,-75.5924530029297")</f>
        <v>http://maps.google.com/maps?f=q&amp;hl=en&amp;geocode=&amp;q=40.6127891540527,-75.5924530029297</v>
      </c>
    </row>
    <row r="6794" spans="1:7" ht="15" x14ac:dyDescent="0.3">
      <c r="A6794">
        <v>39.99729</v>
      </c>
      <c r="B6794">
        <v>-75.177090000000007</v>
      </c>
      <c r="C6794" t="s">
        <v>41</v>
      </c>
      <c r="D6794" t="s">
        <v>3247</v>
      </c>
      <c r="F6794" s="21"/>
      <c r="G6794" s="16" t="str">
        <f>HYPERLINK("http://maps.google.com/maps?f=q&amp;hl=en&amp;geocode=&amp;q=39.99729,-75.17709")</f>
        <v>http://maps.google.com/maps?f=q&amp;hl=en&amp;geocode=&amp;q=39.99729,-75.17709</v>
      </c>
    </row>
    <row r="6795" spans="1:7" ht="15" x14ac:dyDescent="0.3">
      <c r="A6795">
        <v>42.234210968017599</v>
      </c>
      <c r="B6795">
        <v>-121.522842407227</v>
      </c>
      <c r="C6795" t="s">
        <v>43</v>
      </c>
      <c r="D6795" t="s">
        <v>4089</v>
      </c>
      <c r="F6795" s="21"/>
      <c r="G6795" s="16" t="str">
        <f>HYPERLINK("http://maps.google.com/maps?f=q&amp;hl=en&amp;geocode=&amp;q=42.2342109680176,-121.522842407227")</f>
        <v>http://maps.google.com/maps?f=q&amp;hl=en&amp;geocode=&amp;q=42.2342109680176,-121.522842407227</v>
      </c>
    </row>
    <row r="6796" spans="1:7" ht="15" x14ac:dyDescent="0.3">
      <c r="A6796">
        <v>39.368589999999998</v>
      </c>
      <c r="B6796">
        <v>-84.026880000000006</v>
      </c>
      <c r="C6796" t="s">
        <v>42</v>
      </c>
      <c r="D6796" t="s">
        <v>4106</v>
      </c>
      <c r="F6796" s="21"/>
      <c r="G6796" s="16" t="str">
        <f>HYPERLINK("http://maps.google.com/maps?f=q&amp;hl=en&amp;geocode=&amp;q=39.36859,-84.02688")</f>
        <v>http://maps.google.com/maps?f=q&amp;hl=en&amp;geocode=&amp;q=39.36859,-84.02688</v>
      </c>
    </row>
    <row r="6797" spans="1:7" ht="15" x14ac:dyDescent="0.3">
      <c r="A6797">
        <v>39.368589999999998</v>
      </c>
      <c r="B6797">
        <v>-84.026880000000006</v>
      </c>
      <c r="C6797" t="s">
        <v>42</v>
      </c>
      <c r="D6797" t="s">
        <v>4106</v>
      </c>
      <c r="F6797" s="21"/>
      <c r="G6797" s="16" t="str">
        <f>HYPERLINK("http://maps.google.com/maps?f=q&amp;hl=en&amp;geocode=&amp;q=39.36859,-84.02688")</f>
        <v>http://maps.google.com/maps?f=q&amp;hl=en&amp;geocode=&amp;q=39.36859,-84.02688</v>
      </c>
    </row>
    <row r="6798" spans="1:7" ht="15" x14ac:dyDescent="0.3">
      <c r="A6798">
        <v>47.716148376464801</v>
      </c>
      <c r="B6798">
        <v>18.893857955932599</v>
      </c>
      <c r="C6798" t="s">
        <v>43</v>
      </c>
      <c r="D6798" t="s">
        <v>4107</v>
      </c>
      <c r="F6798" s="21"/>
      <c r="G6798" s="16" t="str">
        <f>HYPERLINK("http://maps.google.com/maps?f=q&amp;hl=en&amp;geocode=&amp;q=47.7161483764648,18.8938579559326")</f>
        <v>http://maps.google.com/maps?f=q&amp;hl=en&amp;geocode=&amp;q=47.7161483764648,18.8938579559326</v>
      </c>
    </row>
    <row r="6799" spans="1:7" ht="15" x14ac:dyDescent="0.3">
      <c r="A6799">
        <v>40.040390000000002</v>
      </c>
      <c r="B6799">
        <v>-75.109629999999996</v>
      </c>
      <c r="C6799" t="s">
        <v>43</v>
      </c>
      <c r="D6799" t="s">
        <v>777</v>
      </c>
      <c r="F6799" s="21"/>
      <c r="G6799" s="16" t="str">
        <f>HYPERLINK("http://maps.google.com/maps?f=q&amp;hl=en&amp;geocode=&amp;q=40.04039,-75.10963")</f>
        <v>http://maps.google.com/maps?f=q&amp;hl=en&amp;geocode=&amp;q=40.04039,-75.10963</v>
      </c>
    </row>
    <row r="6800" spans="1:7" ht="15" x14ac:dyDescent="0.3">
      <c r="A6800">
        <v>39.205581000000002</v>
      </c>
      <c r="B6800">
        <v>-94.529197999999994</v>
      </c>
      <c r="C6800" t="s">
        <v>41</v>
      </c>
      <c r="D6800" t="s">
        <v>1267</v>
      </c>
      <c r="F6800" s="21"/>
      <c r="G6800" s="16" t="str">
        <f>HYPERLINK("http://maps.google.com/maps?f=q&amp;hl=en&amp;geocode=&amp;q=39.205581,-94.529198")</f>
        <v>http://maps.google.com/maps?f=q&amp;hl=en&amp;geocode=&amp;q=39.205581,-94.529198</v>
      </c>
    </row>
    <row r="6801" spans="1:7" ht="15" x14ac:dyDescent="0.3">
      <c r="A6801">
        <v>-32.7033500671387</v>
      </c>
      <c r="B6801">
        <v>137.70617675781301</v>
      </c>
      <c r="C6801" t="s">
        <v>41</v>
      </c>
      <c r="D6801" t="s">
        <v>2204</v>
      </c>
      <c r="F6801" s="21"/>
      <c r="G6801" s="16" t="str">
        <f>HYPERLINK("http://maps.google.com/maps?f=q&amp;hl=en&amp;geocode=&amp;q=-32.7033500671387,137.706176757813")</f>
        <v>http://maps.google.com/maps?f=q&amp;hl=en&amp;geocode=&amp;q=-32.7033500671387,137.706176757813</v>
      </c>
    </row>
    <row r="6802" spans="1:7" ht="15" x14ac:dyDescent="0.3">
      <c r="A6802" t="s">
        <v>44</v>
      </c>
      <c r="B6802" t="s">
        <v>44</v>
      </c>
      <c r="C6802" t="s">
        <v>44</v>
      </c>
      <c r="D6802" t="s">
        <v>4108</v>
      </c>
      <c r="F6802" s="21"/>
      <c r="G6802" s="16"/>
    </row>
    <row r="6803" spans="1:7" ht="15" x14ac:dyDescent="0.3">
      <c r="A6803">
        <v>38.693466299132702</v>
      </c>
      <c r="B6803">
        <v>-90.245721999450794</v>
      </c>
      <c r="C6803" t="s">
        <v>41</v>
      </c>
      <c r="D6803" t="s">
        <v>4109</v>
      </c>
      <c r="F6803" s="21"/>
      <c r="G6803" s="16" t="str">
        <f>HYPERLINK("http://maps.google.com/maps?f=q&amp;hl=en&amp;geocode=&amp;q=38.6934662991327,-90.2457219994508")</f>
        <v>http://maps.google.com/maps?f=q&amp;hl=en&amp;geocode=&amp;q=38.6934662991327,-90.2457219994508</v>
      </c>
    </row>
    <row r="6804" spans="1:7" ht="15" x14ac:dyDescent="0.3">
      <c r="A6804">
        <v>51.514442443847699</v>
      </c>
      <c r="B6804">
        <v>-5.8611001819372198E-2</v>
      </c>
      <c r="C6804" t="s">
        <v>41</v>
      </c>
      <c r="D6804" t="s">
        <v>4110</v>
      </c>
      <c r="F6804" s="21"/>
      <c r="G6804" s="16" t="str">
        <f>HYPERLINK("http://maps.google.com/maps?f=q&amp;hl=en&amp;geocode=&amp;q=51.5144424438477,-0.0586110018193722")</f>
        <v>http://maps.google.com/maps?f=q&amp;hl=en&amp;geocode=&amp;q=51.5144424438477,-0.0586110018193722</v>
      </c>
    </row>
    <row r="6805" spans="1:7" ht="15" x14ac:dyDescent="0.3">
      <c r="A6805">
        <v>-33.299518585205099</v>
      </c>
      <c r="B6805">
        <v>149.01606750488301</v>
      </c>
      <c r="C6805" t="s">
        <v>43</v>
      </c>
      <c r="D6805" t="s">
        <v>4111</v>
      </c>
      <c r="F6805" s="21"/>
      <c r="G6805" s="16" t="str">
        <f>HYPERLINK("http://maps.google.com/maps?f=q&amp;hl=en&amp;geocode=&amp;q=-33.2995185852051,149.016067504883")</f>
        <v>http://maps.google.com/maps?f=q&amp;hl=en&amp;geocode=&amp;q=-33.2995185852051,149.016067504883</v>
      </c>
    </row>
    <row r="6806" spans="1:7" ht="15" x14ac:dyDescent="0.3">
      <c r="A6806">
        <v>36.7929474720599</v>
      </c>
      <c r="B6806">
        <v>-76.363755325437893</v>
      </c>
      <c r="C6806" t="s">
        <v>41</v>
      </c>
      <c r="D6806" t="s">
        <v>4112</v>
      </c>
      <c r="F6806" s="21"/>
      <c r="G6806" s="16" t="str">
        <f>HYPERLINK("http://maps.google.com/maps?f=q&amp;hl=en&amp;geocode=&amp;q=36.7929474720599,-76.3637553254379")</f>
        <v>http://maps.google.com/maps?f=q&amp;hl=en&amp;geocode=&amp;q=36.7929474720599,-76.3637553254379</v>
      </c>
    </row>
    <row r="6807" spans="1:7" ht="15" x14ac:dyDescent="0.3">
      <c r="A6807">
        <v>44.266651153564503</v>
      </c>
      <c r="B6807">
        <v>10.117626190185501</v>
      </c>
      <c r="C6807" t="s">
        <v>43</v>
      </c>
      <c r="D6807" t="s">
        <v>3310</v>
      </c>
      <c r="F6807" s="21"/>
      <c r="G6807" s="16" t="str">
        <f>HYPERLINK("http://maps.google.com/maps?f=q&amp;hl=en&amp;geocode=&amp;q=44.2666511535645,10.1176261901855")</f>
        <v>http://maps.google.com/maps?f=q&amp;hl=en&amp;geocode=&amp;q=44.2666511535645,10.1176261901855</v>
      </c>
    </row>
    <row r="6808" spans="1:7" ht="15" x14ac:dyDescent="0.3">
      <c r="A6808">
        <v>-38.163530000000002</v>
      </c>
      <c r="B6808">
        <v>144.57117</v>
      </c>
      <c r="C6808" t="s">
        <v>41</v>
      </c>
      <c r="D6808" t="s">
        <v>4113</v>
      </c>
      <c r="F6808" s="21"/>
      <c r="G6808" s="16" t="str">
        <f>HYPERLINK("http://maps.google.com/maps?f=q&amp;hl=en&amp;geocode=&amp;q=-38.16353,144.57117")</f>
        <v>http://maps.google.com/maps?f=q&amp;hl=en&amp;geocode=&amp;q=-38.16353,144.57117</v>
      </c>
    </row>
    <row r="6809" spans="1:7" ht="15" x14ac:dyDescent="0.3">
      <c r="A6809">
        <v>39.803339999999999</v>
      </c>
      <c r="B6809">
        <v>-87.681610000000006</v>
      </c>
      <c r="C6809" t="s">
        <v>42</v>
      </c>
      <c r="D6809" t="s">
        <v>4114</v>
      </c>
      <c r="F6809" s="21"/>
      <c r="G6809" s="16" t="str">
        <f>HYPERLINK("http://maps.google.com/maps?f=q&amp;hl=en&amp;geocode=&amp;q=39.80334,-87.68161")</f>
        <v>http://maps.google.com/maps?f=q&amp;hl=en&amp;geocode=&amp;q=39.80334,-87.68161</v>
      </c>
    </row>
    <row r="6810" spans="1:7" ht="15" x14ac:dyDescent="0.3">
      <c r="A6810">
        <v>39.919820000000001</v>
      </c>
      <c r="B6810">
        <v>-75.184089999999998</v>
      </c>
      <c r="C6810" t="s">
        <v>43</v>
      </c>
      <c r="D6810" t="s">
        <v>4115</v>
      </c>
      <c r="F6810" s="21"/>
      <c r="G6810" s="16" t="str">
        <f>HYPERLINK("http://maps.google.com/maps?f=q&amp;hl=en&amp;geocode=&amp;q=39.91982,-75.18409")</f>
        <v>http://maps.google.com/maps?f=q&amp;hl=en&amp;geocode=&amp;q=39.91982,-75.18409</v>
      </c>
    </row>
    <row r="6811" spans="1:7" ht="15" x14ac:dyDescent="0.3">
      <c r="A6811">
        <v>39.931432553449</v>
      </c>
      <c r="B6811">
        <v>-75.157047806880101</v>
      </c>
      <c r="C6811" t="s">
        <v>41</v>
      </c>
      <c r="D6811" t="s">
        <v>3538</v>
      </c>
      <c r="F6811" s="21"/>
      <c r="G6811" s="16" t="str">
        <f>HYPERLINK("http://maps.google.com/maps?f=q&amp;hl=en&amp;geocode=&amp;q=39.931432553449,-75.1570478068801")</f>
        <v>http://maps.google.com/maps?f=q&amp;hl=en&amp;geocode=&amp;q=39.931432553449,-75.1570478068801</v>
      </c>
    </row>
    <row r="6812" spans="1:7" ht="15" x14ac:dyDescent="0.3">
      <c r="A6812">
        <v>45.634151458740199</v>
      </c>
      <c r="B6812">
        <v>-84.782386779785199</v>
      </c>
      <c r="C6812" t="s">
        <v>43</v>
      </c>
      <c r="D6812" t="s">
        <v>1380</v>
      </c>
      <c r="F6812" s="21"/>
      <c r="G6812" s="16" t="str">
        <f>HYPERLINK("http://maps.google.com/maps?f=q&amp;hl=en&amp;geocode=&amp;q=45.6341514587402,-84.7823867797852")</f>
        <v>http://maps.google.com/maps?f=q&amp;hl=en&amp;geocode=&amp;q=45.6341514587402,-84.7823867797852</v>
      </c>
    </row>
    <row r="6813" spans="1:7" ht="15" x14ac:dyDescent="0.3">
      <c r="A6813">
        <v>43.623327157918297</v>
      </c>
      <c r="B6813">
        <v>-82.9175426595597</v>
      </c>
      <c r="C6813" t="s">
        <v>41</v>
      </c>
      <c r="D6813" t="s">
        <v>4116</v>
      </c>
      <c r="F6813" s="21"/>
      <c r="G6813" s="16" t="str">
        <f>HYPERLINK("http://maps.google.com/maps?f=q&amp;hl=en&amp;geocode=&amp;q=43.6233271579183,-82.9175426595597")</f>
        <v>http://maps.google.com/maps?f=q&amp;hl=en&amp;geocode=&amp;q=43.6233271579183,-82.9175426595597</v>
      </c>
    </row>
    <row r="6814" spans="1:7" ht="15" x14ac:dyDescent="0.3">
      <c r="A6814" t="s">
        <v>44</v>
      </c>
      <c r="B6814" t="s">
        <v>44</v>
      </c>
      <c r="C6814" t="s">
        <v>44</v>
      </c>
      <c r="D6814" t="s">
        <v>4117</v>
      </c>
      <c r="F6814" s="21"/>
      <c r="G6814" s="16"/>
    </row>
    <row r="6815" spans="1:7" ht="15" x14ac:dyDescent="0.3">
      <c r="A6815">
        <v>39.999130000000001</v>
      </c>
      <c r="B6815">
        <v>-75.118799999999993</v>
      </c>
      <c r="C6815" t="s">
        <v>41</v>
      </c>
      <c r="D6815" t="s">
        <v>1832</v>
      </c>
      <c r="F6815" s="21"/>
      <c r="G6815" s="16" t="str">
        <f>HYPERLINK("http://maps.google.com/maps?f=q&amp;hl=en&amp;geocode=&amp;q=39.99913,-75.1188")</f>
        <v>http://maps.google.com/maps?f=q&amp;hl=en&amp;geocode=&amp;q=39.99913,-75.1188</v>
      </c>
    </row>
    <row r="6816" spans="1:7" ht="15" x14ac:dyDescent="0.3">
      <c r="A6816">
        <v>36.53387</v>
      </c>
      <c r="B6816">
        <v>-87.226830000000007</v>
      </c>
      <c r="C6816" t="s">
        <v>43</v>
      </c>
      <c r="D6816" t="s">
        <v>4079</v>
      </c>
      <c r="F6816" s="21"/>
      <c r="G6816" s="16" t="str">
        <f>HYPERLINK("http://maps.google.com/maps?f=q&amp;hl=en&amp;geocode=&amp;q=36.53387,-87.22683")</f>
        <v>http://maps.google.com/maps?f=q&amp;hl=en&amp;geocode=&amp;q=36.53387,-87.22683</v>
      </c>
    </row>
    <row r="6817" spans="1:7" ht="15" x14ac:dyDescent="0.3">
      <c r="A6817" t="s">
        <v>44</v>
      </c>
      <c r="B6817" t="s">
        <v>44</v>
      </c>
      <c r="C6817" t="s">
        <v>44</v>
      </c>
      <c r="D6817" t="s">
        <v>4118</v>
      </c>
      <c r="F6817" s="21"/>
      <c r="G6817" s="16"/>
    </row>
    <row r="6818" spans="1:7" ht="15" x14ac:dyDescent="0.3">
      <c r="A6818">
        <v>39.954315000000001</v>
      </c>
      <c r="B6818">
        <v>-75.236315000000005</v>
      </c>
      <c r="C6818" t="s">
        <v>43</v>
      </c>
      <c r="D6818" t="s">
        <v>4119</v>
      </c>
      <c r="F6818" s="21"/>
      <c r="G6818" s="16" t="str">
        <f>HYPERLINK("http://maps.google.com/maps?f=q&amp;hl=en&amp;geocode=&amp;q=39.954315,-75.236315")</f>
        <v>http://maps.google.com/maps?f=q&amp;hl=en&amp;geocode=&amp;q=39.954315,-75.236315</v>
      </c>
    </row>
    <row r="6819" spans="1:7" ht="15" x14ac:dyDescent="0.3">
      <c r="A6819">
        <v>41.479885455911997</v>
      </c>
      <c r="B6819">
        <v>-93.196092782611302</v>
      </c>
      <c r="C6819" t="s">
        <v>41</v>
      </c>
      <c r="D6819" t="s">
        <v>4120</v>
      </c>
      <c r="F6819" s="21"/>
      <c r="G6819" s="16" t="str">
        <f>HYPERLINK("http://maps.google.com/maps?f=q&amp;hl=en&amp;geocode=&amp;q=41.479885455912,-93.1960927826113")</f>
        <v>http://maps.google.com/maps?f=q&amp;hl=en&amp;geocode=&amp;q=41.479885455912,-93.1960927826113</v>
      </c>
    </row>
    <row r="6820" spans="1:7" ht="15" x14ac:dyDescent="0.3">
      <c r="A6820">
        <v>43.030412489974502</v>
      </c>
      <c r="B6820">
        <v>-83.726415389988304</v>
      </c>
      <c r="C6820" t="s">
        <v>41</v>
      </c>
      <c r="D6820" t="s">
        <v>4121</v>
      </c>
      <c r="F6820" s="21"/>
      <c r="G6820" s="16" t="str">
        <f>HYPERLINK("http://maps.google.com/maps?f=q&amp;hl=en&amp;geocode=&amp;q=43.0304124899745,-83.7264153899883")</f>
        <v>http://maps.google.com/maps?f=q&amp;hl=en&amp;geocode=&amp;q=43.0304124899745,-83.7264153899883</v>
      </c>
    </row>
    <row r="6821" spans="1:7" ht="15" x14ac:dyDescent="0.3">
      <c r="A6821">
        <v>43.030105808226601</v>
      </c>
      <c r="B6821">
        <v>-83.7254476667636</v>
      </c>
      <c r="C6821" t="s">
        <v>41</v>
      </c>
      <c r="D6821" t="s">
        <v>4122</v>
      </c>
      <c r="F6821" s="21"/>
      <c r="G6821" s="16" t="str">
        <f>HYPERLINK("http://maps.google.com/maps?f=q&amp;hl=en&amp;geocode=&amp;q=43.0301058082266,-83.7254476667636")</f>
        <v>http://maps.google.com/maps?f=q&amp;hl=en&amp;geocode=&amp;q=43.0301058082266,-83.7254476667636</v>
      </c>
    </row>
    <row r="6822" spans="1:7" ht="15" x14ac:dyDescent="0.3">
      <c r="A6822">
        <v>47.116134643554702</v>
      </c>
      <c r="B6822">
        <v>6.8440089225768999</v>
      </c>
      <c r="C6822" t="s">
        <v>43</v>
      </c>
      <c r="D6822" t="s">
        <v>2373</v>
      </c>
      <c r="F6822" s="21"/>
      <c r="G6822" s="16" t="str">
        <f>HYPERLINK("http://maps.google.com/maps?f=q&amp;hl=en&amp;geocode=&amp;q=47.1161346435547,6.8440089225769")</f>
        <v>http://maps.google.com/maps?f=q&amp;hl=en&amp;geocode=&amp;q=47.1161346435547,6.8440089225769</v>
      </c>
    </row>
    <row r="6823" spans="1:7" ht="15" x14ac:dyDescent="0.3">
      <c r="A6823">
        <v>-33.299518585205099</v>
      </c>
      <c r="B6823">
        <v>149.01606750488301</v>
      </c>
      <c r="C6823" t="s">
        <v>43</v>
      </c>
      <c r="D6823" t="s">
        <v>3204</v>
      </c>
      <c r="F6823" s="21"/>
      <c r="G6823" s="16" t="str">
        <f>HYPERLINK("http://maps.google.com/maps?f=q&amp;hl=en&amp;geocode=&amp;q=-33.2995185852051,149.016067504883")</f>
        <v>http://maps.google.com/maps?f=q&amp;hl=en&amp;geocode=&amp;q=-33.2995185852051,149.016067504883</v>
      </c>
    </row>
    <row r="6824" spans="1:7" ht="15" x14ac:dyDescent="0.3">
      <c r="A6824">
        <v>47.4780117993445</v>
      </c>
      <c r="B6824">
        <v>-122.229477974437</v>
      </c>
      <c r="C6824" t="s">
        <v>41</v>
      </c>
      <c r="D6824" t="s">
        <v>4123</v>
      </c>
      <c r="F6824" s="21"/>
      <c r="G6824" s="16" t="str">
        <f>HYPERLINK("http://maps.google.com/maps?f=q&amp;hl=en&amp;geocode=&amp;q=47.4780117993445,-122.229477974437")</f>
        <v>http://maps.google.com/maps?f=q&amp;hl=en&amp;geocode=&amp;q=47.4780117993445,-122.229477974437</v>
      </c>
    </row>
    <row r="6825" spans="1:7" ht="15" x14ac:dyDescent="0.3">
      <c r="A6825" t="s">
        <v>44</v>
      </c>
      <c r="B6825" t="s">
        <v>44</v>
      </c>
      <c r="C6825" t="s">
        <v>44</v>
      </c>
      <c r="D6825" t="s">
        <v>4124</v>
      </c>
      <c r="F6825" s="21"/>
      <c r="G6825" s="16"/>
    </row>
    <row r="6826" spans="1:7" ht="15" x14ac:dyDescent="0.3">
      <c r="A6826" t="s">
        <v>44</v>
      </c>
      <c r="B6826" t="s">
        <v>44</v>
      </c>
      <c r="C6826" t="s">
        <v>44</v>
      </c>
      <c r="D6826" t="s">
        <v>4125</v>
      </c>
      <c r="F6826" s="21"/>
      <c r="G6826" s="16"/>
    </row>
    <row r="6827" spans="1:7" ht="15" x14ac:dyDescent="0.3">
      <c r="A6827">
        <v>35.197429999999997</v>
      </c>
      <c r="B6827">
        <v>-89.84348</v>
      </c>
      <c r="C6827" t="s">
        <v>41</v>
      </c>
      <c r="D6827" t="s">
        <v>3580</v>
      </c>
      <c r="F6827" s="21"/>
      <c r="G6827" s="16" t="str">
        <f>HYPERLINK("http://maps.google.com/maps?f=q&amp;hl=en&amp;geocode=&amp;q=35.19743,-89.84348")</f>
        <v>http://maps.google.com/maps?f=q&amp;hl=en&amp;geocode=&amp;q=35.19743,-89.84348</v>
      </c>
    </row>
    <row r="6828" spans="1:7" ht="15" x14ac:dyDescent="0.3">
      <c r="A6828">
        <v>49.592727661132798</v>
      </c>
      <c r="B6828">
        <v>6.1201848983764604</v>
      </c>
      <c r="C6828" t="s">
        <v>43</v>
      </c>
      <c r="D6828" t="s">
        <v>4126</v>
      </c>
      <c r="F6828" s="21"/>
      <c r="G6828" s="16" t="str">
        <f>HYPERLINK("http://maps.google.com/maps?f=q&amp;hl=en&amp;geocode=&amp;q=49.5927276611328,6.12018489837646")</f>
        <v>http://maps.google.com/maps?f=q&amp;hl=en&amp;geocode=&amp;q=49.5927276611328,6.12018489837646</v>
      </c>
    </row>
    <row r="6829" spans="1:7" ht="15" x14ac:dyDescent="0.3">
      <c r="A6829" t="s">
        <v>44</v>
      </c>
      <c r="B6829" t="s">
        <v>44</v>
      </c>
      <c r="C6829" t="s">
        <v>44</v>
      </c>
      <c r="D6829" t="s">
        <v>2472</v>
      </c>
      <c r="F6829" s="21"/>
      <c r="G6829" s="16"/>
    </row>
    <row r="6830" spans="1:7" ht="15" x14ac:dyDescent="0.3">
      <c r="A6830">
        <v>30.431122719578099</v>
      </c>
      <c r="B6830">
        <v>-88.860367473042601</v>
      </c>
      <c r="C6830" t="s">
        <v>41</v>
      </c>
      <c r="D6830" t="s">
        <v>4127</v>
      </c>
      <c r="F6830" s="21"/>
      <c r="G6830" s="16" t="str">
        <f>HYPERLINK("http://maps.google.com/maps?f=q&amp;hl=en&amp;geocode=&amp;q=30.4311227195781,-88.8603674730426")</f>
        <v>http://maps.google.com/maps?f=q&amp;hl=en&amp;geocode=&amp;q=30.4311227195781,-88.8603674730426</v>
      </c>
    </row>
    <row r="6831" spans="1:7" ht="15" x14ac:dyDescent="0.3">
      <c r="A6831">
        <v>34.026931762695298</v>
      </c>
      <c r="B6831">
        <v>-117.84049987793</v>
      </c>
      <c r="C6831" t="s">
        <v>43</v>
      </c>
      <c r="D6831" t="s">
        <v>4128</v>
      </c>
      <c r="F6831" s="21"/>
      <c r="G6831" s="16" t="str">
        <f>HYPERLINK("http://maps.google.com/maps?f=q&amp;hl=en&amp;geocode=&amp;q=34.0269317626953,-117.84049987793")</f>
        <v>http://maps.google.com/maps?f=q&amp;hl=en&amp;geocode=&amp;q=34.0269317626953,-117.84049987793</v>
      </c>
    </row>
    <row r="6832" spans="1:7" ht="15" x14ac:dyDescent="0.3">
      <c r="A6832">
        <v>-25.800334930419901</v>
      </c>
      <c r="B6832">
        <v>29.860040664672901</v>
      </c>
      <c r="C6832" t="s">
        <v>43</v>
      </c>
      <c r="D6832" t="s">
        <v>4129</v>
      </c>
      <c r="F6832" s="21"/>
      <c r="G6832" s="16" t="str">
        <f>HYPERLINK("http://maps.google.com/maps?f=q&amp;hl=en&amp;geocode=&amp;q=-25.8003349304199,29.8600406646729")</f>
        <v>http://maps.google.com/maps?f=q&amp;hl=en&amp;geocode=&amp;q=-25.8003349304199,29.8600406646729</v>
      </c>
    </row>
    <row r="6833" spans="1:7" ht="15" x14ac:dyDescent="0.3">
      <c r="A6833">
        <v>40.460018157958999</v>
      </c>
      <c r="B6833">
        <v>-78.591552734375</v>
      </c>
      <c r="C6833" t="s">
        <v>43</v>
      </c>
      <c r="D6833" t="s">
        <v>2422</v>
      </c>
      <c r="F6833" s="21"/>
      <c r="G6833" s="16" t="str">
        <f>HYPERLINK("http://maps.google.com/maps?f=q&amp;hl=en&amp;geocode=&amp;q=40.460018157959,-78.591552734375")</f>
        <v>http://maps.google.com/maps?f=q&amp;hl=en&amp;geocode=&amp;q=40.460018157959,-78.591552734375</v>
      </c>
    </row>
    <row r="6834" spans="1:7" ht="15" x14ac:dyDescent="0.3">
      <c r="A6834">
        <v>40.460018157958999</v>
      </c>
      <c r="B6834">
        <v>-78.591552734375</v>
      </c>
      <c r="C6834" t="s">
        <v>43</v>
      </c>
      <c r="D6834" t="s">
        <v>2983</v>
      </c>
      <c r="F6834" s="21"/>
      <c r="G6834" s="16" t="str">
        <f>HYPERLINK("http://maps.google.com/maps?f=q&amp;hl=en&amp;geocode=&amp;q=40.460018157959,-78.591552734375")</f>
        <v>http://maps.google.com/maps?f=q&amp;hl=en&amp;geocode=&amp;q=40.460018157959,-78.591552734375</v>
      </c>
    </row>
    <row r="6835" spans="1:7" ht="15" x14ac:dyDescent="0.3">
      <c r="A6835">
        <v>40.078620000000001</v>
      </c>
      <c r="B6835">
        <v>-75.086420000000004</v>
      </c>
      <c r="C6835" t="s">
        <v>41</v>
      </c>
      <c r="D6835" t="s">
        <v>247</v>
      </c>
      <c r="F6835" s="21"/>
      <c r="G6835" s="16" t="str">
        <f>HYPERLINK("http://maps.google.com/maps?f=q&amp;hl=en&amp;geocode=&amp;q=40.07862,-75.08642")</f>
        <v>http://maps.google.com/maps?f=q&amp;hl=en&amp;geocode=&amp;q=40.07862,-75.08642</v>
      </c>
    </row>
    <row r="6836" spans="1:7" ht="15" x14ac:dyDescent="0.3">
      <c r="A6836">
        <v>39.962699999999998</v>
      </c>
      <c r="B6836">
        <v>-75.209950000000006</v>
      </c>
      <c r="C6836" t="s">
        <v>41</v>
      </c>
      <c r="D6836" t="s">
        <v>4130</v>
      </c>
      <c r="F6836" s="21"/>
      <c r="G6836" s="16" t="str">
        <f>HYPERLINK("http://maps.google.com/maps?f=q&amp;hl=en&amp;geocode=&amp;q=39.9627,-75.20995")</f>
        <v>http://maps.google.com/maps?f=q&amp;hl=en&amp;geocode=&amp;q=39.9627,-75.20995</v>
      </c>
    </row>
    <row r="6837" spans="1:7" ht="15" x14ac:dyDescent="0.3">
      <c r="A6837">
        <v>42.622840881347699</v>
      </c>
      <c r="B6837">
        <v>-73.831192016601605</v>
      </c>
      <c r="C6837" t="s">
        <v>43</v>
      </c>
      <c r="D6837" t="s">
        <v>4131</v>
      </c>
      <c r="F6837" s="21"/>
      <c r="G6837" s="16" t="str">
        <f>HYPERLINK("http://maps.google.com/maps?f=q&amp;hl=en&amp;geocode=&amp;q=42.6228408813477,-73.8311920166016")</f>
        <v>http://maps.google.com/maps?f=q&amp;hl=en&amp;geocode=&amp;q=42.6228408813477,-73.8311920166016</v>
      </c>
    </row>
    <row r="6838" spans="1:7" ht="15" x14ac:dyDescent="0.3">
      <c r="A6838">
        <v>40.460018157958999</v>
      </c>
      <c r="B6838">
        <v>-78.591552734375</v>
      </c>
      <c r="C6838" t="s">
        <v>43</v>
      </c>
      <c r="D6838" t="s">
        <v>3881</v>
      </c>
      <c r="F6838" s="21"/>
      <c r="G6838" s="16" t="str">
        <f>HYPERLINK("http://maps.google.com/maps?f=q&amp;hl=en&amp;geocode=&amp;q=40.460018157959,-78.591552734375")</f>
        <v>http://maps.google.com/maps?f=q&amp;hl=en&amp;geocode=&amp;q=40.460018157959,-78.591552734375</v>
      </c>
    </row>
    <row r="6839" spans="1:7" ht="15" x14ac:dyDescent="0.3">
      <c r="A6839">
        <v>26.383980000000001</v>
      </c>
      <c r="B6839">
        <v>-80.176910000000007</v>
      </c>
      <c r="C6839" t="s">
        <v>43</v>
      </c>
      <c r="D6839" t="s">
        <v>4132</v>
      </c>
      <c r="F6839" s="21"/>
      <c r="G6839" s="16" t="str">
        <f>HYPERLINK("http://maps.google.com/maps?f=q&amp;hl=en&amp;geocode=&amp;q=26.38398,-80.17691")</f>
        <v>http://maps.google.com/maps?f=q&amp;hl=en&amp;geocode=&amp;q=26.38398,-80.17691</v>
      </c>
    </row>
    <row r="6840" spans="1:7" ht="15" x14ac:dyDescent="0.3">
      <c r="A6840">
        <v>44.495087146376903</v>
      </c>
      <c r="B6840">
        <v>-111.335546961494</v>
      </c>
      <c r="C6840" t="s">
        <v>41</v>
      </c>
      <c r="D6840" t="s">
        <v>719</v>
      </c>
      <c r="F6840" s="21"/>
      <c r="G6840" s="16" t="str">
        <f>HYPERLINK("http://maps.google.com/maps?f=q&amp;hl=en&amp;geocode=&amp;q=44.4950871463769,-111.335546961494")</f>
        <v>http://maps.google.com/maps?f=q&amp;hl=en&amp;geocode=&amp;q=44.4950871463769,-111.335546961494</v>
      </c>
    </row>
    <row r="6841" spans="1:7" ht="15" x14ac:dyDescent="0.3">
      <c r="A6841">
        <v>39.925247733903198</v>
      </c>
      <c r="B6841">
        <v>-75.237344675903799</v>
      </c>
      <c r="C6841" t="s">
        <v>43</v>
      </c>
      <c r="D6841" t="s">
        <v>1141</v>
      </c>
      <c r="F6841" s="21"/>
      <c r="G6841" s="16" t="str">
        <f>HYPERLINK("http://maps.google.com/maps?f=q&amp;hl=en&amp;geocode=&amp;q=39.9252477339032,-75.2373446759038")</f>
        <v>http://maps.google.com/maps?f=q&amp;hl=en&amp;geocode=&amp;q=39.9252477339032,-75.2373446759038</v>
      </c>
    </row>
    <row r="6842" spans="1:7" ht="15" x14ac:dyDescent="0.3">
      <c r="A6842">
        <v>31.883710000000001</v>
      </c>
      <c r="B6842">
        <v>-102.49551</v>
      </c>
      <c r="C6842" t="s">
        <v>41</v>
      </c>
      <c r="D6842" t="s">
        <v>119</v>
      </c>
      <c r="F6842" s="21"/>
      <c r="G6842" s="16" t="str">
        <f>HYPERLINK("http://maps.google.com/maps?f=q&amp;hl=en&amp;geocode=&amp;q=31.88371,-102.49551")</f>
        <v>http://maps.google.com/maps?f=q&amp;hl=en&amp;geocode=&amp;q=31.88371,-102.49551</v>
      </c>
    </row>
    <row r="6843" spans="1:7" ht="15" x14ac:dyDescent="0.3">
      <c r="A6843">
        <v>42.234210968017599</v>
      </c>
      <c r="B6843">
        <v>-121.522842407227</v>
      </c>
      <c r="C6843" t="s">
        <v>43</v>
      </c>
      <c r="D6843" t="s">
        <v>4089</v>
      </c>
      <c r="F6843" s="21"/>
      <c r="G6843" s="16" t="str">
        <f>HYPERLINK("http://maps.google.com/maps?f=q&amp;hl=en&amp;geocode=&amp;q=42.2342109680176,-121.522842407227")</f>
        <v>http://maps.google.com/maps?f=q&amp;hl=en&amp;geocode=&amp;q=42.2342109680176,-121.522842407227</v>
      </c>
    </row>
    <row r="6844" spans="1:7" ht="15" x14ac:dyDescent="0.3">
      <c r="A6844">
        <v>42.234210968017599</v>
      </c>
      <c r="B6844">
        <v>-121.522842407227</v>
      </c>
      <c r="C6844" t="s">
        <v>43</v>
      </c>
      <c r="D6844" t="s">
        <v>4089</v>
      </c>
      <c r="F6844" s="21"/>
      <c r="G6844" s="16" t="str">
        <f>HYPERLINK("http://maps.google.com/maps?f=q&amp;hl=en&amp;geocode=&amp;q=42.2342109680176,-121.522842407227")</f>
        <v>http://maps.google.com/maps?f=q&amp;hl=en&amp;geocode=&amp;q=42.2342109680176,-121.522842407227</v>
      </c>
    </row>
    <row r="6845" spans="1:7" ht="15" x14ac:dyDescent="0.3">
      <c r="A6845">
        <v>37.241072477694097</v>
      </c>
      <c r="B6845">
        <v>-79.998654977856503</v>
      </c>
      <c r="C6845" t="s">
        <v>41</v>
      </c>
      <c r="D6845" t="s">
        <v>372</v>
      </c>
      <c r="F6845" s="21"/>
      <c r="G6845" s="16" t="str">
        <f>HYPERLINK("http://maps.google.com/maps?f=q&amp;hl=en&amp;geocode=&amp;q=37.2410724776941,-79.9986549778565")</f>
        <v>http://maps.google.com/maps?f=q&amp;hl=en&amp;geocode=&amp;q=37.2410724776941,-79.9986549778565</v>
      </c>
    </row>
    <row r="6846" spans="1:7" ht="15" x14ac:dyDescent="0.3">
      <c r="A6846">
        <v>43.938812255859403</v>
      </c>
      <c r="B6846">
        <v>-120.558586120605</v>
      </c>
      <c r="C6846" t="s">
        <v>41</v>
      </c>
      <c r="D6846" t="s">
        <v>4133</v>
      </c>
      <c r="F6846" s="21"/>
      <c r="G6846" s="16" t="str">
        <f>HYPERLINK("http://maps.google.com/maps?f=q&amp;hl=en&amp;geocode=&amp;q=43.9388122558594,-120.558586120605")</f>
        <v>http://maps.google.com/maps?f=q&amp;hl=en&amp;geocode=&amp;q=43.9388122558594,-120.558586120605</v>
      </c>
    </row>
    <row r="6847" spans="1:7" ht="15" x14ac:dyDescent="0.3">
      <c r="A6847">
        <v>43.938812255859403</v>
      </c>
      <c r="B6847">
        <v>-120.558586120605</v>
      </c>
      <c r="C6847" t="s">
        <v>41</v>
      </c>
      <c r="D6847" t="s">
        <v>4133</v>
      </c>
      <c r="F6847" s="21"/>
      <c r="G6847" s="16" t="str">
        <f>HYPERLINK("http://maps.google.com/maps?f=q&amp;hl=en&amp;geocode=&amp;q=43.9388122558594,-120.558586120605")</f>
        <v>http://maps.google.com/maps?f=q&amp;hl=en&amp;geocode=&amp;q=43.9388122558594,-120.558586120605</v>
      </c>
    </row>
    <row r="6848" spans="1:7" ht="15" x14ac:dyDescent="0.3">
      <c r="A6848">
        <v>38.591189384221501</v>
      </c>
      <c r="B6848">
        <v>-90.307681530077502</v>
      </c>
      <c r="C6848" t="s">
        <v>41</v>
      </c>
      <c r="D6848" t="s">
        <v>4134</v>
      </c>
      <c r="F6848" s="21"/>
      <c r="G6848" s="16" t="str">
        <f>HYPERLINK("http://maps.google.com/maps?f=q&amp;hl=en&amp;geocode=&amp;q=38.5911893842215,-90.3076815300775")</f>
        <v>http://maps.google.com/maps?f=q&amp;hl=en&amp;geocode=&amp;q=38.5911893842215,-90.3076815300775</v>
      </c>
    </row>
    <row r="6849" spans="1:7" ht="15" x14ac:dyDescent="0.3">
      <c r="A6849">
        <v>42.470289999999999</v>
      </c>
      <c r="B6849">
        <v>-83.077780000000004</v>
      </c>
      <c r="C6849" t="s">
        <v>42</v>
      </c>
      <c r="D6849" t="s">
        <v>130</v>
      </c>
      <c r="F6849" s="21"/>
      <c r="G6849" s="16" t="str">
        <f>HYPERLINK("http://maps.google.com/maps?f=q&amp;hl=en&amp;geocode=&amp;q=42.47029,-83.07778")</f>
        <v>http://maps.google.com/maps?f=q&amp;hl=en&amp;geocode=&amp;q=42.47029,-83.07778</v>
      </c>
    </row>
    <row r="6850" spans="1:7" ht="15" x14ac:dyDescent="0.3">
      <c r="A6850">
        <v>-34.450752258300803</v>
      </c>
      <c r="B6850">
        <v>138.66142272949199</v>
      </c>
      <c r="C6850" t="s">
        <v>41</v>
      </c>
      <c r="D6850" t="s">
        <v>863</v>
      </c>
      <c r="F6850" s="21"/>
      <c r="G6850" s="16" t="str">
        <f>HYPERLINK("http://maps.google.com/maps?f=q&amp;hl=en&amp;geocode=&amp;q=-34.4507522583008,138.661422729492")</f>
        <v>http://maps.google.com/maps?f=q&amp;hl=en&amp;geocode=&amp;q=-34.4507522583008,138.661422729492</v>
      </c>
    </row>
    <row r="6851" spans="1:7" ht="15" x14ac:dyDescent="0.3">
      <c r="A6851">
        <v>42.93853</v>
      </c>
      <c r="B6851">
        <v>-90.973929999999996</v>
      </c>
      <c r="C6851" t="s">
        <v>43</v>
      </c>
      <c r="D6851" t="s">
        <v>4135</v>
      </c>
      <c r="F6851" s="21"/>
      <c r="G6851" s="16" t="str">
        <f>HYPERLINK("http://maps.google.com/maps?f=q&amp;hl=en&amp;geocode=&amp;q=42.93853,-90.97393")</f>
        <v>http://maps.google.com/maps?f=q&amp;hl=en&amp;geocode=&amp;q=42.93853,-90.97393</v>
      </c>
    </row>
    <row r="6852" spans="1:7" ht="15" x14ac:dyDescent="0.3">
      <c r="A6852">
        <v>32.990949999999998</v>
      </c>
      <c r="B6852">
        <v>-97.446380000000005</v>
      </c>
      <c r="C6852" t="s">
        <v>42</v>
      </c>
      <c r="D6852" t="s">
        <v>2067</v>
      </c>
      <c r="F6852" s="21"/>
      <c r="G6852" s="16" t="str">
        <f>HYPERLINK("http://maps.google.com/maps?f=q&amp;hl=en&amp;geocode=&amp;q=32.99095,-97.44638")</f>
        <v>http://maps.google.com/maps?f=q&amp;hl=en&amp;geocode=&amp;q=32.99095,-97.44638</v>
      </c>
    </row>
    <row r="6853" spans="1:7" ht="15" x14ac:dyDescent="0.3">
      <c r="A6853" t="s">
        <v>44</v>
      </c>
      <c r="B6853" t="s">
        <v>44</v>
      </c>
      <c r="C6853" t="s">
        <v>44</v>
      </c>
      <c r="D6853" t="s">
        <v>4136</v>
      </c>
      <c r="F6853" s="21"/>
      <c r="G6853" s="16"/>
    </row>
    <row r="6854" spans="1:7" ht="15" x14ac:dyDescent="0.3">
      <c r="A6854">
        <v>43.26088</v>
      </c>
      <c r="B6854">
        <v>-112.14492</v>
      </c>
      <c r="C6854" t="s">
        <v>42</v>
      </c>
      <c r="D6854" t="s">
        <v>305</v>
      </c>
      <c r="F6854" s="21"/>
      <c r="G6854" s="16" t="str">
        <f>HYPERLINK("http://maps.google.com/maps?f=q&amp;hl=en&amp;geocode=&amp;q=43.26088,-112.14492")</f>
        <v>http://maps.google.com/maps?f=q&amp;hl=en&amp;geocode=&amp;q=43.26088,-112.14492</v>
      </c>
    </row>
    <row r="6855" spans="1:7" ht="15" x14ac:dyDescent="0.3">
      <c r="A6855">
        <v>32.807560458383001</v>
      </c>
      <c r="B6855">
        <v>-117.066066544699</v>
      </c>
      <c r="C6855" t="s">
        <v>41</v>
      </c>
      <c r="D6855" t="s">
        <v>3925</v>
      </c>
      <c r="F6855" s="21"/>
      <c r="G6855" s="16" t="str">
        <f>HYPERLINK("http://maps.google.com/maps?f=q&amp;hl=en&amp;geocode=&amp;q=32.807560458383,-117.066066544699")</f>
        <v>http://maps.google.com/maps?f=q&amp;hl=en&amp;geocode=&amp;q=32.807560458383,-117.066066544699</v>
      </c>
    </row>
    <row r="6856" spans="1:7" ht="15" x14ac:dyDescent="0.3">
      <c r="A6856">
        <v>40.984580000000001</v>
      </c>
      <c r="B6856">
        <v>-81.435839999999999</v>
      </c>
      <c r="C6856" t="s">
        <v>42</v>
      </c>
      <c r="D6856" t="s">
        <v>4137</v>
      </c>
      <c r="F6856" s="21"/>
      <c r="G6856" s="16" t="str">
        <f>HYPERLINK("http://maps.google.com/maps?f=q&amp;hl=en&amp;geocode=&amp;q=40.98458,-81.43584")</f>
        <v>http://maps.google.com/maps?f=q&amp;hl=en&amp;geocode=&amp;q=40.98458,-81.43584</v>
      </c>
    </row>
    <row r="6857" spans="1:7" ht="15" x14ac:dyDescent="0.3">
      <c r="A6857">
        <v>35.260847260481199</v>
      </c>
      <c r="B6857">
        <v>-114.008671515771</v>
      </c>
      <c r="C6857" t="s">
        <v>41</v>
      </c>
      <c r="D6857" t="s">
        <v>4138</v>
      </c>
      <c r="F6857" s="21"/>
      <c r="G6857" s="16" t="str">
        <f>HYPERLINK("http://maps.google.com/maps?f=q&amp;hl=en&amp;geocode=&amp;q=35.2608472604812,-114.008671515771")</f>
        <v>http://maps.google.com/maps?f=q&amp;hl=en&amp;geocode=&amp;q=35.2608472604812,-114.008671515771</v>
      </c>
    </row>
    <row r="6858" spans="1:7" ht="15" x14ac:dyDescent="0.3">
      <c r="A6858">
        <v>39.922310000000003</v>
      </c>
      <c r="B6858">
        <v>-75.179940000000002</v>
      </c>
      <c r="C6858" t="s">
        <v>43</v>
      </c>
      <c r="D6858" t="s">
        <v>4139</v>
      </c>
      <c r="F6858" s="21"/>
      <c r="G6858" s="16" t="str">
        <f>HYPERLINK("http://maps.google.com/maps?f=q&amp;hl=en&amp;geocode=&amp;q=39.92231,-75.17994")</f>
        <v>http://maps.google.com/maps?f=q&amp;hl=en&amp;geocode=&amp;q=39.92231,-75.17994</v>
      </c>
    </row>
    <row r="6859" spans="1:7" ht="15" x14ac:dyDescent="0.3">
      <c r="A6859">
        <v>-26.149269104003899</v>
      </c>
      <c r="B6859">
        <v>28.4761657714844</v>
      </c>
      <c r="C6859" t="s">
        <v>43</v>
      </c>
      <c r="D6859" t="s">
        <v>4140</v>
      </c>
      <c r="F6859" s="21"/>
      <c r="G6859" s="16" t="str">
        <f>HYPERLINK("http://maps.google.com/maps?f=q&amp;hl=en&amp;geocode=&amp;q=-26.1492691040039,28.4761657714844")</f>
        <v>http://maps.google.com/maps?f=q&amp;hl=en&amp;geocode=&amp;q=-26.1492691040039,28.4761657714844</v>
      </c>
    </row>
    <row r="6860" spans="1:7" ht="15" x14ac:dyDescent="0.3">
      <c r="A6860" t="s">
        <v>44</v>
      </c>
      <c r="B6860" t="s">
        <v>44</v>
      </c>
      <c r="C6860" t="s">
        <v>44</v>
      </c>
      <c r="D6860" t="s">
        <v>4108</v>
      </c>
      <c r="F6860" s="21"/>
      <c r="G6860" s="16"/>
    </row>
    <row r="6861" spans="1:7" ht="15" x14ac:dyDescent="0.3">
      <c r="A6861">
        <v>43.938812255859403</v>
      </c>
      <c r="B6861">
        <v>-120.558586120605</v>
      </c>
      <c r="C6861" t="s">
        <v>41</v>
      </c>
      <c r="D6861" t="s">
        <v>4133</v>
      </c>
      <c r="F6861" s="21"/>
      <c r="G6861" s="16" t="str">
        <f>HYPERLINK("http://maps.google.com/maps?f=q&amp;hl=en&amp;geocode=&amp;q=43.9388122558594,-120.558586120605")</f>
        <v>http://maps.google.com/maps?f=q&amp;hl=en&amp;geocode=&amp;q=43.9388122558594,-120.558586120605</v>
      </c>
    </row>
    <row r="6862" spans="1:7" ht="15" x14ac:dyDescent="0.3">
      <c r="A6862" t="s">
        <v>44</v>
      </c>
      <c r="B6862" t="s">
        <v>44</v>
      </c>
      <c r="C6862" t="s">
        <v>44</v>
      </c>
      <c r="D6862" t="s">
        <v>4141</v>
      </c>
      <c r="F6862" s="21"/>
      <c r="G6862" s="16"/>
    </row>
    <row r="6863" spans="1:7" ht="15" x14ac:dyDescent="0.3">
      <c r="A6863">
        <v>40.137160000000002</v>
      </c>
      <c r="B6863">
        <v>-79.902590000000004</v>
      </c>
      <c r="C6863" t="s">
        <v>43</v>
      </c>
      <c r="D6863" t="s">
        <v>4142</v>
      </c>
      <c r="F6863" s="21"/>
      <c r="G6863" s="16" t="str">
        <f>HYPERLINK("http://maps.google.com/maps?f=q&amp;hl=en&amp;geocode=&amp;q=40.13716,-79.90259")</f>
        <v>http://maps.google.com/maps?f=q&amp;hl=en&amp;geocode=&amp;q=40.13716,-79.90259</v>
      </c>
    </row>
    <row r="6864" spans="1:7" ht="15" x14ac:dyDescent="0.3">
      <c r="A6864">
        <v>39.99588</v>
      </c>
      <c r="B6864">
        <v>-75.167929999999998</v>
      </c>
      <c r="C6864" t="s">
        <v>41</v>
      </c>
      <c r="D6864" t="s">
        <v>4143</v>
      </c>
      <c r="F6864" s="21"/>
      <c r="G6864" s="16" t="str">
        <f>HYPERLINK("http://maps.google.com/maps?f=q&amp;hl=en&amp;geocode=&amp;q=39.99588,-75.16793")</f>
        <v>http://maps.google.com/maps?f=q&amp;hl=en&amp;geocode=&amp;q=39.99588,-75.16793</v>
      </c>
    </row>
    <row r="6865" spans="1:7" ht="15" x14ac:dyDescent="0.3">
      <c r="A6865">
        <v>39.996079999999999</v>
      </c>
      <c r="B6865">
        <v>-75.169529999999995</v>
      </c>
      <c r="C6865" t="s">
        <v>41</v>
      </c>
      <c r="D6865" t="s">
        <v>4144</v>
      </c>
      <c r="F6865" s="21"/>
      <c r="G6865" s="16" t="str">
        <f>HYPERLINK("http://maps.google.com/maps?f=q&amp;hl=en&amp;geocode=&amp;q=39.99608,-75.16953")</f>
        <v>http://maps.google.com/maps?f=q&amp;hl=en&amp;geocode=&amp;q=39.99608,-75.16953</v>
      </c>
    </row>
    <row r="6866" spans="1:7" ht="15" x14ac:dyDescent="0.3">
      <c r="A6866">
        <v>39.981771269152198</v>
      </c>
      <c r="B6866">
        <v>-75.117648045662506</v>
      </c>
      <c r="C6866" t="s">
        <v>41</v>
      </c>
      <c r="D6866" t="s">
        <v>4145</v>
      </c>
      <c r="F6866" s="21"/>
      <c r="G6866" s="16" t="str">
        <f>HYPERLINK("http://maps.google.com/maps?f=q&amp;hl=en&amp;geocode=&amp;q=39.9817712691522,-75.1176480456625")</f>
        <v>http://maps.google.com/maps?f=q&amp;hl=en&amp;geocode=&amp;q=39.9817712691522,-75.1176480456625</v>
      </c>
    </row>
    <row r="6867" spans="1:7" ht="15" x14ac:dyDescent="0.3">
      <c r="A6867">
        <v>39.996459999999999</v>
      </c>
      <c r="B6867">
        <v>-75.173010000000005</v>
      </c>
      <c r="C6867" t="s">
        <v>41</v>
      </c>
      <c r="D6867" t="s">
        <v>4146</v>
      </c>
      <c r="F6867" s="21"/>
      <c r="G6867" s="16" t="str">
        <f>HYPERLINK("http://maps.google.com/maps?f=q&amp;hl=en&amp;geocode=&amp;q=39.99646,-75.17301")</f>
        <v>http://maps.google.com/maps?f=q&amp;hl=en&amp;geocode=&amp;q=39.99646,-75.17301</v>
      </c>
    </row>
    <row r="6868" spans="1:7" ht="15" x14ac:dyDescent="0.3">
      <c r="A6868">
        <v>40.032700300157998</v>
      </c>
      <c r="B6868">
        <v>-75.0892185494328</v>
      </c>
      <c r="C6868" t="s">
        <v>41</v>
      </c>
      <c r="D6868" t="s">
        <v>4147</v>
      </c>
      <c r="F6868" s="21"/>
      <c r="G6868" s="16" t="str">
        <f>HYPERLINK("http://maps.google.com/maps?f=q&amp;hl=en&amp;geocode=&amp;q=40.032700300158,-75.0892185494328")</f>
        <v>http://maps.google.com/maps?f=q&amp;hl=en&amp;geocode=&amp;q=40.032700300158,-75.0892185494328</v>
      </c>
    </row>
    <row r="6869" spans="1:7" ht="15" x14ac:dyDescent="0.3">
      <c r="A6869">
        <v>40.032700300157998</v>
      </c>
      <c r="B6869">
        <v>-75.0892185494328</v>
      </c>
      <c r="C6869" t="s">
        <v>41</v>
      </c>
      <c r="D6869" t="s">
        <v>4147</v>
      </c>
      <c r="F6869" s="21"/>
      <c r="G6869" s="16" t="str">
        <f>HYPERLINK("http://maps.google.com/maps?f=q&amp;hl=en&amp;geocode=&amp;q=40.032700300158,-75.0892185494328")</f>
        <v>http://maps.google.com/maps?f=q&amp;hl=en&amp;geocode=&amp;q=40.032700300158,-75.0892185494328</v>
      </c>
    </row>
    <row r="6870" spans="1:7" ht="15" x14ac:dyDescent="0.3">
      <c r="A6870">
        <v>40.032700300157998</v>
      </c>
      <c r="B6870">
        <v>-75.0892185494328</v>
      </c>
      <c r="C6870" t="s">
        <v>41</v>
      </c>
      <c r="D6870" t="s">
        <v>4147</v>
      </c>
      <c r="F6870" s="21"/>
      <c r="G6870" s="16" t="str">
        <f>HYPERLINK("http://maps.google.com/maps?f=q&amp;hl=en&amp;geocode=&amp;q=40.032700300158,-75.0892185494328")</f>
        <v>http://maps.google.com/maps?f=q&amp;hl=en&amp;geocode=&amp;q=40.032700300158,-75.0892185494328</v>
      </c>
    </row>
    <row r="6871" spans="1:7" ht="15" x14ac:dyDescent="0.3">
      <c r="A6871">
        <v>32.214788665996203</v>
      </c>
      <c r="B6871">
        <v>-98.673915862983307</v>
      </c>
      <c r="C6871" t="s">
        <v>41</v>
      </c>
      <c r="D6871" t="s">
        <v>4148</v>
      </c>
      <c r="F6871" s="21"/>
      <c r="G6871" s="16" t="str">
        <f>HYPERLINK("http://maps.google.com/maps?f=q&amp;hl=en&amp;geocode=&amp;q=32.2147886659962,-98.6739158629833")</f>
        <v>http://maps.google.com/maps?f=q&amp;hl=en&amp;geocode=&amp;q=32.2147886659962,-98.6739158629833</v>
      </c>
    </row>
    <row r="6872" spans="1:7" ht="15" x14ac:dyDescent="0.3">
      <c r="A6872">
        <v>59.364242553710902</v>
      </c>
      <c r="B6872">
        <v>24.683565139770501</v>
      </c>
      <c r="C6872" t="s">
        <v>41</v>
      </c>
      <c r="D6872" t="s">
        <v>4013</v>
      </c>
      <c r="F6872" s="21"/>
      <c r="G6872" s="16" t="str">
        <f>HYPERLINK("http://maps.google.com/maps?f=q&amp;hl=en&amp;geocode=&amp;q=59.3642425537109,24.6835651397705")</f>
        <v>http://maps.google.com/maps?f=q&amp;hl=en&amp;geocode=&amp;q=59.3642425537109,24.6835651397705</v>
      </c>
    </row>
    <row r="6873" spans="1:7" ht="15" x14ac:dyDescent="0.3">
      <c r="A6873">
        <v>26.925350000000002</v>
      </c>
      <c r="B6873">
        <v>-82.278289999999998</v>
      </c>
      <c r="C6873" t="s">
        <v>41</v>
      </c>
      <c r="D6873" t="s">
        <v>3031</v>
      </c>
      <c r="F6873" s="21"/>
      <c r="G6873" s="16" t="str">
        <f>HYPERLINK("http://maps.google.com/maps?f=q&amp;hl=en&amp;geocode=&amp;q=26.92535,-82.27829")</f>
        <v>http://maps.google.com/maps?f=q&amp;hl=en&amp;geocode=&amp;q=26.92535,-82.27829</v>
      </c>
    </row>
    <row r="6874" spans="1:7" ht="15" x14ac:dyDescent="0.3">
      <c r="A6874">
        <v>50.723228454589801</v>
      </c>
      <c r="B6874">
        <v>4.6152939796447798</v>
      </c>
      <c r="C6874" t="s">
        <v>43</v>
      </c>
      <c r="D6874" t="s">
        <v>4149</v>
      </c>
      <c r="F6874" s="21"/>
      <c r="G6874" s="16" t="str">
        <f>HYPERLINK("http://maps.google.com/maps?f=q&amp;hl=en&amp;geocode=&amp;q=50.7232284545898,4.61529397964478")</f>
        <v>http://maps.google.com/maps?f=q&amp;hl=en&amp;geocode=&amp;q=50.7232284545898,4.61529397964478</v>
      </c>
    </row>
    <row r="6875" spans="1:7" ht="15" x14ac:dyDescent="0.3">
      <c r="A6875">
        <v>50.723228454589801</v>
      </c>
      <c r="B6875">
        <v>4.6152939796447798</v>
      </c>
      <c r="C6875" t="s">
        <v>43</v>
      </c>
      <c r="D6875" t="s">
        <v>4149</v>
      </c>
      <c r="F6875" s="21"/>
      <c r="G6875" s="16" t="str">
        <f>HYPERLINK("http://maps.google.com/maps?f=q&amp;hl=en&amp;geocode=&amp;q=50.7232284545898,4.61529397964478")</f>
        <v>http://maps.google.com/maps?f=q&amp;hl=en&amp;geocode=&amp;q=50.7232284545898,4.61529397964478</v>
      </c>
    </row>
    <row r="6876" spans="1:7" ht="15" x14ac:dyDescent="0.3">
      <c r="A6876">
        <v>36.53387</v>
      </c>
      <c r="B6876">
        <v>-87.226830000000007</v>
      </c>
      <c r="C6876" t="s">
        <v>42</v>
      </c>
      <c r="D6876" t="s">
        <v>4150</v>
      </c>
      <c r="F6876" s="21"/>
      <c r="G6876" s="16" t="str">
        <f>HYPERLINK("http://maps.google.com/maps?f=q&amp;hl=en&amp;geocode=&amp;q=36.53387,-87.22683")</f>
        <v>http://maps.google.com/maps?f=q&amp;hl=en&amp;geocode=&amp;q=36.53387,-87.22683</v>
      </c>
    </row>
    <row r="6877" spans="1:7" ht="15" x14ac:dyDescent="0.3">
      <c r="A6877">
        <v>49.595565795898402</v>
      </c>
      <c r="B6877">
        <v>6.1428971290588397</v>
      </c>
      <c r="C6877" t="s">
        <v>41</v>
      </c>
      <c r="D6877" t="s">
        <v>4151</v>
      </c>
      <c r="F6877" s="21"/>
      <c r="G6877" s="16" t="str">
        <f>HYPERLINK("http://maps.google.com/maps?f=q&amp;hl=en&amp;geocode=&amp;q=49.5955657958984,6.14289712905884")</f>
        <v>http://maps.google.com/maps?f=q&amp;hl=en&amp;geocode=&amp;q=49.5955657958984,6.14289712905884</v>
      </c>
    </row>
    <row r="6878" spans="1:7" ht="15" x14ac:dyDescent="0.3">
      <c r="A6878">
        <v>33.948239905563298</v>
      </c>
      <c r="B6878">
        <v>-96.2499157941741</v>
      </c>
      <c r="C6878" t="s">
        <v>43</v>
      </c>
      <c r="D6878" t="s">
        <v>2199</v>
      </c>
      <c r="F6878" s="21"/>
      <c r="G6878" s="16" t="str">
        <f>HYPERLINK("http://maps.google.com/maps?f=q&amp;hl=en&amp;geocode=&amp;q=33.9482399055633,-96.2499157941741")</f>
        <v>http://maps.google.com/maps?f=q&amp;hl=en&amp;geocode=&amp;q=33.9482399055633,-96.2499157941741</v>
      </c>
    </row>
    <row r="6879" spans="1:7" ht="15" x14ac:dyDescent="0.3">
      <c r="A6879">
        <v>39.9462869527257</v>
      </c>
      <c r="B6879">
        <v>-75.149016130455195</v>
      </c>
      <c r="C6879" t="s">
        <v>41</v>
      </c>
      <c r="D6879" t="s">
        <v>4152</v>
      </c>
      <c r="F6879" s="21"/>
      <c r="G6879" s="16" t="str">
        <f>HYPERLINK("http://maps.google.com/maps?f=q&amp;hl=en&amp;geocode=&amp;q=39.9462869527257,-75.1490161304552")</f>
        <v>http://maps.google.com/maps?f=q&amp;hl=en&amp;geocode=&amp;q=39.9462869527257,-75.1490161304552</v>
      </c>
    </row>
    <row r="6880" spans="1:7" ht="15" x14ac:dyDescent="0.3">
      <c r="A6880">
        <v>31.243220000000001</v>
      </c>
      <c r="B6880">
        <v>-103.06478</v>
      </c>
      <c r="C6880" t="s">
        <v>43</v>
      </c>
      <c r="D6880" t="s">
        <v>2682</v>
      </c>
      <c r="F6880" s="21"/>
      <c r="G6880" s="16" t="str">
        <f>HYPERLINK("http://maps.google.com/maps?f=q&amp;hl=en&amp;geocode=&amp;q=31.24322,-103.06478")</f>
        <v>http://maps.google.com/maps?f=q&amp;hl=en&amp;geocode=&amp;q=31.24322,-103.06478</v>
      </c>
    </row>
    <row r="6881" spans="1:7" ht="15" x14ac:dyDescent="0.3">
      <c r="A6881">
        <v>34.357109999999999</v>
      </c>
      <c r="B6881">
        <v>-88.688230000000004</v>
      </c>
      <c r="C6881" t="s">
        <v>41</v>
      </c>
      <c r="D6881" t="s">
        <v>4153</v>
      </c>
      <c r="F6881" s="21"/>
      <c r="G6881" s="16" t="str">
        <f>HYPERLINK("http://maps.google.com/maps?f=q&amp;hl=en&amp;geocode=&amp;q=34.35711,-88.68823")</f>
        <v>http://maps.google.com/maps?f=q&amp;hl=en&amp;geocode=&amp;q=34.35711,-88.68823</v>
      </c>
    </row>
    <row r="6882" spans="1:7" ht="15" x14ac:dyDescent="0.3">
      <c r="A6882" t="s">
        <v>44</v>
      </c>
      <c r="B6882" t="s">
        <v>44</v>
      </c>
      <c r="C6882" t="s">
        <v>44</v>
      </c>
      <c r="D6882" t="s">
        <v>120</v>
      </c>
      <c r="F6882" s="21"/>
      <c r="G6882" s="16"/>
    </row>
    <row r="6883" spans="1:7" ht="15" x14ac:dyDescent="0.3">
      <c r="A6883">
        <v>32.9852581192145</v>
      </c>
      <c r="B6883">
        <v>-96.801636084177403</v>
      </c>
      <c r="C6883" t="s">
        <v>41</v>
      </c>
      <c r="D6883" t="s">
        <v>4154</v>
      </c>
      <c r="F6883" s="21"/>
      <c r="G6883" s="16" t="str">
        <f>HYPERLINK("http://maps.google.com/maps?f=q&amp;hl=en&amp;geocode=&amp;q=32.9852581192145,-96.8016360841774")</f>
        <v>http://maps.google.com/maps?f=q&amp;hl=en&amp;geocode=&amp;q=32.9852581192145,-96.8016360841774</v>
      </c>
    </row>
    <row r="6884" spans="1:7" ht="15" x14ac:dyDescent="0.3">
      <c r="A6884">
        <v>45.108163054347301</v>
      </c>
      <c r="B6884">
        <v>-87.2300151011206</v>
      </c>
      <c r="C6884" t="s">
        <v>41</v>
      </c>
      <c r="D6884" t="s">
        <v>4155</v>
      </c>
      <c r="F6884" s="21"/>
      <c r="G6884" s="16" t="str">
        <f>HYPERLINK("http://maps.google.com/maps?f=q&amp;hl=en&amp;geocode=&amp;q=45.1081630543473,-87.2300151011206")</f>
        <v>http://maps.google.com/maps?f=q&amp;hl=en&amp;geocode=&amp;q=45.1081630543473,-87.2300151011206</v>
      </c>
    </row>
    <row r="6885" spans="1:7" ht="15" x14ac:dyDescent="0.3">
      <c r="A6885">
        <v>40.047795024169403</v>
      </c>
      <c r="B6885">
        <v>-75.059858803679006</v>
      </c>
      <c r="C6885" t="s">
        <v>41</v>
      </c>
      <c r="D6885" t="s">
        <v>4156</v>
      </c>
      <c r="F6885" s="21"/>
      <c r="G6885" s="16" t="str">
        <f>HYPERLINK("http://maps.google.com/maps?f=q&amp;hl=en&amp;geocode=&amp;q=40.0477950241694,-75.059858803679")</f>
        <v>http://maps.google.com/maps?f=q&amp;hl=en&amp;geocode=&amp;q=40.0477950241694,-75.059858803679</v>
      </c>
    </row>
    <row r="6886" spans="1:7" ht="15" x14ac:dyDescent="0.3">
      <c r="A6886">
        <v>54.841087341308601</v>
      </c>
      <c r="B6886">
        <v>11.161624908447299</v>
      </c>
      <c r="C6886" t="s">
        <v>41</v>
      </c>
      <c r="D6886" t="s">
        <v>307</v>
      </c>
      <c r="F6886" s="21"/>
      <c r="G6886" s="16" t="str">
        <f>HYPERLINK("http://maps.google.com/maps?f=q&amp;hl=en&amp;geocode=&amp;q=54.8410873413086,11.1616249084473")</f>
        <v>http://maps.google.com/maps?f=q&amp;hl=en&amp;geocode=&amp;q=54.8410873413086,11.1616249084473</v>
      </c>
    </row>
    <row r="6887" spans="1:7" ht="15" x14ac:dyDescent="0.3">
      <c r="A6887">
        <v>32.842390000000002</v>
      </c>
      <c r="B6887">
        <v>-79.961029999999994</v>
      </c>
      <c r="C6887" t="s">
        <v>42</v>
      </c>
      <c r="D6887" t="s">
        <v>3608</v>
      </c>
      <c r="F6887" s="21"/>
      <c r="G6887" s="16" t="str">
        <f>HYPERLINK("http://maps.google.com/maps?f=q&amp;hl=en&amp;geocode=&amp;q=32.84239,-79.96103")</f>
        <v>http://maps.google.com/maps?f=q&amp;hl=en&amp;geocode=&amp;q=32.84239,-79.96103</v>
      </c>
    </row>
    <row r="6888" spans="1:7" ht="15" x14ac:dyDescent="0.3">
      <c r="A6888" t="s">
        <v>44</v>
      </c>
      <c r="B6888" t="s">
        <v>44</v>
      </c>
      <c r="C6888" t="s">
        <v>44</v>
      </c>
      <c r="D6888" t="s">
        <v>229</v>
      </c>
      <c r="F6888" s="21"/>
      <c r="G6888" s="16"/>
    </row>
    <row r="6889" spans="1:7" ht="15" x14ac:dyDescent="0.3">
      <c r="A6889">
        <v>41.510819484024303</v>
      </c>
      <c r="B6889">
        <v>-78.227598509256197</v>
      </c>
      <c r="C6889" t="s">
        <v>41</v>
      </c>
      <c r="D6889" t="s">
        <v>4157</v>
      </c>
      <c r="F6889" s="21"/>
      <c r="G6889" s="16" t="str">
        <f>HYPERLINK("http://maps.google.com/maps?f=q&amp;hl=en&amp;geocode=&amp;q=41.5108194840243,-78.2275985092562")</f>
        <v>http://maps.google.com/maps?f=q&amp;hl=en&amp;geocode=&amp;q=41.5108194840243,-78.2275985092562</v>
      </c>
    </row>
    <row r="6890" spans="1:7" ht="15" x14ac:dyDescent="0.3">
      <c r="A6890">
        <v>41.510819484024303</v>
      </c>
      <c r="B6890">
        <v>-78.227598509256197</v>
      </c>
      <c r="C6890" t="s">
        <v>41</v>
      </c>
      <c r="D6890" t="s">
        <v>4157</v>
      </c>
      <c r="F6890" s="21"/>
      <c r="G6890" s="16" t="str">
        <f>HYPERLINK("http://maps.google.com/maps?f=q&amp;hl=en&amp;geocode=&amp;q=41.5108194840243,-78.2275985092562")</f>
        <v>http://maps.google.com/maps?f=q&amp;hl=en&amp;geocode=&amp;q=41.5108194840243,-78.2275985092562</v>
      </c>
    </row>
    <row r="6891" spans="1:7" ht="15" x14ac:dyDescent="0.3">
      <c r="A6891">
        <v>36.042897307840803</v>
      </c>
      <c r="B6891">
        <v>-83.821545413198706</v>
      </c>
      <c r="C6891" t="s">
        <v>41</v>
      </c>
      <c r="D6891" t="s">
        <v>2948</v>
      </c>
      <c r="F6891" s="21"/>
      <c r="G6891" s="16" t="str">
        <f>HYPERLINK("http://maps.google.com/maps?f=q&amp;hl=en&amp;geocode=&amp;q=36.0428973078408,-83.8215454131987")</f>
        <v>http://maps.google.com/maps?f=q&amp;hl=en&amp;geocode=&amp;q=36.0428973078408,-83.8215454131987</v>
      </c>
    </row>
    <row r="6892" spans="1:7" ht="15" x14ac:dyDescent="0.3">
      <c r="A6892">
        <v>39.988252514856804</v>
      </c>
      <c r="B6892">
        <v>-75.134029779680404</v>
      </c>
      <c r="C6892" t="s">
        <v>41</v>
      </c>
      <c r="D6892" t="s">
        <v>4158</v>
      </c>
      <c r="F6892" s="21"/>
      <c r="G6892" s="16" t="str">
        <f>HYPERLINK("http://maps.google.com/maps?f=q&amp;hl=en&amp;geocode=&amp;q=39.9882525148568,-75.1340297796804")</f>
        <v>http://maps.google.com/maps?f=q&amp;hl=en&amp;geocode=&amp;q=39.9882525148568,-75.1340297796804</v>
      </c>
    </row>
    <row r="6893" spans="1:7" ht="15" x14ac:dyDescent="0.3">
      <c r="A6893">
        <v>55.673130035400398</v>
      </c>
      <c r="B6893">
        <v>12.574734687805201</v>
      </c>
      <c r="C6893" t="s">
        <v>43</v>
      </c>
      <c r="D6893" t="s">
        <v>4159</v>
      </c>
      <c r="F6893" s="21"/>
      <c r="G6893" s="16" t="str">
        <f>HYPERLINK("http://maps.google.com/maps?f=q&amp;hl=en&amp;geocode=&amp;q=55.6731300354004,12.5747346878052")</f>
        <v>http://maps.google.com/maps?f=q&amp;hl=en&amp;geocode=&amp;q=55.6731300354004,12.5747346878052</v>
      </c>
    </row>
    <row r="6894" spans="1:7" ht="15" x14ac:dyDescent="0.3">
      <c r="A6894">
        <v>35.321349686674999</v>
      </c>
      <c r="B6894">
        <v>-82.6875950094812</v>
      </c>
      <c r="C6894" t="s">
        <v>41</v>
      </c>
      <c r="D6894" t="s">
        <v>4160</v>
      </c>
      <c r="F6894" s="21"/>
      <c r="G6894" s="16" t="str">
        <f>HYPERLINK("http://maps.google.com/maps?f=q&amp;hl=en&amp;geocode=&amp;q=35.321349686675,-82.6875950094812")</f>
        <v>http://maps.google.com/maps?f=q&amp;hl=en&amp;geocode=&amp;q=35.321349686675,-82.6875950094812</v>
      </c>
    </row>
    <row r="6895" spans="1:7" ht="15" x14ac:dyDescent="0.3">
      <c r="A6895">
        <v>50.4301147460938</v>
      </c>
      <c r="B6895">
        <v>3.7866749763488801</v>
      </c>
      <c r="C6895" t="s">
        <v>43</v>
      </c>
      <c r="D6895" t="s">
        <v>4161</v>
      </c>
      <c r="F6895" s="21"/>
      <c r="G6895" s="16" t="str">
        <f>HYPERLINK("http://maps.google.com/maps?f=q&amp;hl=en&amp;geocode=&amp;q=50.4301147460938,3.78667497634888")</f>
        <v>http://maps.google.com/maps?f=q&amp;hl=en&amp;geocode=&amp;q=50.4301147460938,3.78667497634888</v>
      </c>
    </row>
    <row r="6896" spans="1:7" ht="15" x14ac:dyDescent="0.3">
      <c r="A6896">
        <v>29.539559998433401</v>
      </c>
      <c r="B6896">
        <v>-96.279854997281006</v>
      </c>
      <c r="C6896" t="s">
        <v>41</v>
      </c>
      <c r="D6896" t="s">
        <v>2171</v>
      </c>
      <c r="F6896" s="21"/>
      <c r="G6896" s="16" t="str">
        <f>HYPERLINK("http://maps.google.com/maps?f=q&amp;hl=en&amp;geocode=&amp;q=29.5395599984334,-96.279854997281")</f>
        <v>http://maps.google.com/maps?f=q&amp;hl=en&amp;geocode=&amp;q=29.5395599984334,-96.279854997281</v>
      </c>
    </row>
    <row r="6897" spans="1:7" ht="15" x14ac:dyDescent="0.3">
      <c r="A6897">
        <v>46.237621307372997</v>
      </c>
      <c r="B6897">
        <v>10.094079017639199</v>
      </c>
      <c r="C6897" t="s">
        <v>41</v>
      </c>
      <c r="D6897" t="s">
        <v>4162</v>
      </c>
      <c r="F6897" s="21"/>
      <c r="G6897" s="16" t="str">
        <f>HYPERLINK("http://maps.google.com/maps?f=q&amp;hl=en&amp;geocode=&amp;q=46.237621307373,10.0940790176392")</f>
        <v>http://maps.google.com/maps?f=q&amp;hl=en&amp;geocode=&amp;q=46.237621307373,10.0940790176392</v>
      </c>
    </row>
    <row r="6898" spans="1:7" ht="15" x14ac:dyDescent="0.3">
      <c r="A6898">
        <v>39.865511624769297</v>
      </c>
      <c r="B6898">
        <v>-75.523476531166395</v>
      </c>
      <c r="C6898" t="s">
        <v>41</v>
      </c>
      <c r="D6898" t="s">
        <v>1645</v>
      </c>
      <c r="F6898" s="21"/>
      <c r="G6898" s="16" t="str">
        <f>HYPERLINK("http://maps.google.com/maps?f=q&amp;hl=en&amp;geocode=&amp;q=39.8655116247693,-75.5234765311664")</f>
        <v>http://maps.google.com/maps?f=q&amp;hl=en&amp;geocode=&amp;q=39.8655116247693,-75.5234765311664</v>
      </c>
    </row>
    <row r="6899" spans="1:7" ht="15" x14ac:dyDescent="0.3">
      <c r="A6899">
        <v>39.490769999999998</v>
      </c>
      <c r="B6899">
        <v>-77.345569999999995</v>
      </c>
      <c r="C6899" t="s">
        <v>41</v>
      </c>
      <c r="D6899" t="s">
        <v>4163</v>
      </c>
      <c r="F6899" s="21"/>
      <c r="G6899" s="16" t="str">
        <f>HYPERLINK("http://maps.google.com/maps?f=q&amp;hl=en&amp;geocode=&amp;q=39.49077,-77.34557")</f>
        <v>http://maps.google.com/maps?f=q&amp;hl=en&amp;geocode=&amp;q=39.49077,-77.34557</v>
      </c>
    </row>
    <row r="6900" spans="1:7" ht="15" x14ac:dyDescent="0.3">
      <c r="A6900">
        <v>32.717151641845703</v>
      </c>
      <c r="B6900">
        <v>-100.917762756348</v>
      </c>
      <c r="C6900" t="s">
        <v>43</v>
      </c>
      <c r="D6900" t="s">
        <v>4164</v>
      </c>
      <c r="F6900" s="21"/>
      <c r="G6900" s="16" t="str">
        <f>HYPERLINK("http://maps.google.com/maps?f=q&amp;hl=en&amp;geocode=&amp;q=32.7171516418457,-100.917762756348")</f>
        <v>http://maps.google.com/maps?f=q&amp;hl=en&amp;geocode=&amp;q=32.7171516418457,-100.917762756348</v>
      </c>
    </row>
    <row r="6901" spans="1:7" ht="15" x14ac:dyDescent="0.3">
      <c r="A6901">
        <v>40.781711578369098</v>
      </c>
      <c r="B6901">
        <v>-73.951248168945298</v>
      </c>
      <c r="C6901" t="s">
        <v>43</v>
      </c>
      <c r="D6901" t="s">
        <v>4165</v>
      </c>
      <c r="F6901" s="21"/>
      <c r="G6901" s="16" t="str">
        <f>HYPERLINK("http://maps.google.com/maps?f=q&amp;hl=en&amp;geocode=&amp;q=40.7817115783691,-73.9512481689453")</f>
        <v>http://maps.google.com/maps?f=q&amp;hl=en&amp;geocode=&amp;q=40.7817115783691,-73.9512481689453</v>
      </c>
    </row>
    <row r="6902" spans="1:7" ht="15" x14ac:dyDescent="0.3">
      <c r="A6902">
        <v>36.8820610046387</v>
      </c>
      <c r="B6902">
        <v>-97.053619384765597</v>
      </c>
      <c r="C6902" t="s">
        <v>43</v>
      </c>
      <c r="D6902" t="s">
        <v>4166</v>
      </c>
      <c r="F6902" s="21"/>
      <c r="G6902" s="16" t="str">
        <f>HYPERLINK("http://maps.google.com/maps?f=q&amp;hl=en&amp;geocode=&amp;q=36.8820610046387,-97.0536193847656")</f>
        <v>http://maps.google.com/maps?f=q&amp;hl=en&amp;geocode=&amp;q=36.8820610046387,-97.0536193847656</v>
      </c>
    </row>
    <row r="6903" spans="1:7" ht="15" x14ac:dyDescent="0.3">
      <c r="A6903">
        <v>-14.7807703018188</v>
      </c>
      <c r="B6903">
        <v>143.50372314453099</v>
      </c>
      <c r="C6903" t="s">
        <v>43</v>
      </c>
      <c r="D6903" t="s">
        <v>4167</v>
      </c>
      <c r="F6903" s="21"/>
      <c r="G6903" s="16" t="str">
        <f>HYPERLINK("http://maps.google.com/maps?f=q&amp;hl=en&amp;geocode=&amp;q=-14.7807703018188,143.503723144531")</f>
        <v>http://maps.google.com/maps?f=q&amp;hl=en&amp;geocode=&amp;q=-14.7807703018188,143.503723144531</v>
      </c>
    </row>
    <row r="6904" spans="1:7" ht="15" x14ac:dyDescent="0.3">
      <c r="A6904">
        <v>41.347937467375601</v>
      </c>
      <c r="B6904">
        <v>-88.856531422351907</v>
      </c>
      <c r="C6904" t="s">
        <v>41</v>
      </c>
      <c r="D6904" t="s">
        <v>4168</v>
      </c>
      <c r="F6904" s="21"/>
      <c r="G6904" s="16" t="str">
        <f>HYPERLINK("http://maps.google.com/maps?f=q&amp;hl=en&amp;geocode=&amp;q=41.3479374673756,-88.8565314223519")</f>
        <v>http://maps.google.com/maps?f=q&amp;hl=en&amp;geocode=&amp;q=41.3479374673756,-88.8565314223519</v>
      </c>
    </row>
    <row r="6905" spans="1:7" ht="15" x14ac:dyDescent="0.3">
      <c r="A6905">
        <v>38.890369415283203</v>
      </c>
      <c r="B6905">
        <v>-77.031959533691406</v>
      </c>
      <c r="C6905" t="s">
        <v>41</v>
      </c>
      <c r="D6905" t="s">
        <v>3929</v>
      </c>
      <c r="F6905" s="21"/>
      <c r="G6905" s="16" t="str">
        <f>HYPERLINK("http://maps.google.com/maps?f=q&amp;hl=en&amp;geocode=&amp;q=38.8903694152832,-77.0319595336914")</f>
        <v>http://maps.google.com/maps?f=q&amp;hl=en&amp;geocode=&amp;q=38.8903694152832,-77.0319595336914</v>
      </c>
    </row>
    <row r="6906" spans="1:7" ht="15" x14ac:dyDescent="0.3">
      <c r="A6906">
        <v>37.241072477694097</v>
      </c>
      <c r="B6906">
        <v>-79.998654977856503</v>
      </c>
      <c r="C6906" t="s">
        <v>41</v>
      </c>
      <c r="D6906" t="s">
        <v>372</v>
      </c>
      <c r="F6906" s="21"/>
      <c r="G6906" s="16" t="str">
        <f>HYPERLINK("http://maps.google.com/maps?f=q&amp;hl=en&amp;geocode=&amp;q=37.2410724776941,-79.9986549778565")</f>
        <v>http://maps.google.com/maps?f=q&amp;hl=en&amp;geocode=&amp;q=37.2410724776941,-79.9986549778565</v>
      </c>
    </row>
    <row r="6907" spans="1:7" ht="15" x14ac:dyDescent="0.3">
      <c r="A6907">
        <v>38.890369415283203</v>
      </c>
      <c r="B6907">
        <v>-77.031959533691406</v>
      </c>
      <c r="C6907" t="s">
        <v>41</v>
      </c>
      <c r="D6907" t="s">
        <v>3929</v>
      </c>
      <c r="F6907" s="21"/>
      <c r="G6907" s="16" t="str">
        <f>HYPERLINK("http://maps.google.com/maps?f=q&amp;hl=en&amp;geocode=&amp;q=38.8903694152832,-77.0319595336914")</f>
        <v>http://maps.google.com/maps?f=q&amp;hl=en&amp;geocode=&amp;q=38.8903694152832,-77.0319595336914</v>
      </c>
    </row>
    <row r="6908" spans="1:7" ht="15" x14ac:dyDescent="0.3">
      <c r="A6908">
        <v>31.762879999999999</v>
      </c>
      <c r="B6908">
        <v>-99.112459999999999</v>
      </c>
      <c r="C6908" t="s">
        <v>42</v>
      </c>
      <c r="D6908" t="s">
        <v>4169</v>
      </c>
      <c r="F6908" s="21"/>
      <c r="G6908" s="16" t="str">
        <f>HYPERLINK("http://maps.google.com/maps?f=q&amp;hl=en&amp;geocode=&amp;q=31.76288,-99.11246")</f>
        <v>http://maps.google.com/maps?f=q&amp;hl=en&amp;geocode=&amp;q=31.76288,-99.11246</v>
      </c>
    </row>
    <row r="6909" spans="1:7" ht="15" x14ac:dyDescent="0.3">
      <c r="A6909">
        <v>36.108213461876197</v>
      </c>
      <c r="B6909">
        <v>-79.757209561718497</v>
      </c>
      <c r="C6909" t="s">
        <v>43</v>
      </c>
      <c r="D6909" t="s">
        <v>4170</v>
      </c>
      <c r="F6909" s="21"/>
      <c r="G6909" s="16" t="str">
        <f>HYPERLINK("http://maps.google.com/maps?f=q&amp;hl=en&amp;geocode=&amp;q=36.1082134618762,-79.7572095617185")</f>
        <v>http://maps.google.com/maps?f=q&amp;hl=en&amp;geocode=&amp;q=36.1082134618762,-79.7572095617185</v>
      </c>
    </row>
    <row r="6910" spans="1:7" ht="15" x14ac:dyDescent="0.3">
      <c r="A6910">
        <v>36.778354266292098</v>
      </c>
      <c r="B6910">
        <v>-76.229865000238405</v>
      </c>
      <c r="C6910" t="s">
        <v>43</v>
      </c>
      <c r="D6910" t="s">
        <v>4171</v>
      </c>
      <c r="F6910" s="21"/>
      <c r="G6910" s="16" t="str">
        <f>HYPERLINK("http://maps.google.com/maps?f=q&amp;hl=en&amp;geocode=&amp;q=36.7783542662921,-76.2298650002384")</f>
        <v>http://maps.google.com/maps?f=q&amp;hl=en&amp;geocode=&amp;q=36.7783542662921,-76.2298650002384</v>
      </c>
    </row>
    <row r="6911" spans="1:7" ht="15" x14ac:dyDescent="0.3">
      <c r="A6911">
        <v>40.011130000000001</v>
      </c>
      <c r="B6911">
        <v>-75.155749999999998</v>
      </c>
      <c r="C6911" t="s">
        <v>43</v>
      </c>
      <c r="D6911" t="s">
        <v>4172</v>
      </c>
      <c r="F6911" s="21"/>
      <c r="G6911" s="16" t="str">
        <f>HYPERLINK("http://maps.google.com/maps?f=q&amp;hl=en&amp;geocode=&amp;q=40.01113,-75.15575")</f>
        <v>http://maps.google.com/maps?f=q&amp;hl=en&amp;geocode=&amp;q=40.01113,-75.15575</v>
      </c>
    </row>
    <row r="6912" spans="1:7" ht="15" x14ac:dyDescent="0.3">
      <c r="A6912">
        <v>26.2</v>
      </c>
      <c r="B6912">
        <v>-98.238510000000005</v>
      </c>
      <c r="C6912" t="s">
        <v>43</v>
      </c>
      <c r="D6912" t="s">
        <v>4173</v>
      </c>
      <c r="F6912" s="21"/>
      <c r="G6912" s="16" t="str">
        <f>HYPERLINK("http://maps.google.com/maps?f=q&amp;hl=en&amp;geocode=&amp;q=26.2,-98.23851")</f>
        <v>http://maps.google.com/maps?f=q&amp;hl=en&amp;geocode=&amp;q=26.2,-98.23851</v>
      </c>
    </row>
    <row r="6913" spans="1:7" ht="15" x14ac:dyDescent="0.3">
      <c r="A6913">
        <v>37.518749999999997</v>
      </c>
      <c r="B6913">
        <v>-77.453149999999994</v>
      </c>
      <c r="C6913" t="s">
        <v>43</v>
      </c>
      <c r="D6913" t="s">
        <v>3926</v>
      </c>
      <c r="F6913" s="21"/>
      <c r="G6913" s="16" t="str">
        <f>HYPERLINK("http://maps.google.com/maps?f=q&amp;hl=en&amp;geocode=&amp;q=37.51875,-77.45315")</f>
        <v>http://maps.google.com/maps?f=q&amp;hl=en&amp;geocode=&amp;q=37.51875,-77.45315</v>
      </c>
    </row>
    <row r="6914" spans="1:7" ht="15" x14ac:dyDescent="0.3">
      <c r="A6914">
        <v>39.920610000000003</v>
      </c>
      <c r="B6914">
        <v>-75.180289999999999</v>
      </c>
      <c r="C6914" t="s">
        <v>42</v>
      </c>
      <c r="D6914" t="s">
        <v>3891</v>
      </c>
      <c r="F6914" s="21"/>
      <c r="G6914" s="16" t="str">
        <f>HYPERLINK("http://maps.google.com/maps?f=q&amp;hl=en&amp;geocode=&amp;q=39.92061,-75.18029")</f>
        <v>http://maps.google.com/maps?f=q&amp;hl=en&amp;geocode=&amp;q=39.92061,-75.18029</v>
      </c>
    </row>
    <row r="6915" spans="1:7" ht="15" x14ac:dyDescent="0.3">
      <c r="A6915">
        <v>39.926600000000001</v>
      </c>
      <c r="B6915">
        <v>-75.177400000000006</v>
      </c>
      <c r="C6915" t="s">
        <v>43</v>
      </c>
      <c r="D6915" t="s">
        <v>4174</v>
      </c>
      <c r="F6915" s="21"/>
      <c r="G6915" s="16" t="str">
        <f>HYPERLINK("http://maps.google.com/maps?f=q&amp;hl=en&amp;geocode=&amp;q=39.9266,-75.1774")</f>
        <v>http://maps.google.com/maps?f=q&amp;hl=en&amp;geocode=&amp;q=39.9266,-75.1774</v>
      </c>
    </row>
    <row r="6916" spans="1:7" ht="15" x14ac:dyDescent="0.3">
      <c r="A6916">
        <v>41.641260472232197</v>
      </c>
      <c r="B6916">
        <v>-83.666038583571705</v>
      </c>
      <c r="C6916" t="s">
        <v>41</v>
      </c>
      <c r="D6916" t="s">
        <v>4175</v>
      </c>
      <c r="F6916" s="21"/>
      <c r="G6916" s="16" t="str">
        <f>HYPERLINK("http://maps.google.com/maps?f=q&amp;hl=en&amp;geocode=&amp;q=41.6412604722322,-83.6660385835717")</f>
        <v>http://maps.google.com/maps?f=q&amp;hl=en&amp;geocode=&amp;q=41.6412604722322,-83.6660385835717</v>
      </c>
    </row>
    <row r="6917" spans="1:7" ht="15" x14ac:dyDescent="0.3">
      <c r="A6917" t="s">
        <v>44</v>
      </c>
      <c r="B6917" t="s">
        <v>44</v>
      </c>
      <c r="C6917" t="s">
        <v>44</v>
      </c>
      <c r="D6917" t="s">
        <v>4176</v>
      </c>
      <c r="F6917" s="21"/>
      <c r="G6917" s="16"/>
    </row>
    <row r="6918" spans="1:7" ht="15" x14ac:dyDescent="0.3">
      <c r="A6918">
        <v>-38.093440000000001</v>
      </c>
      <c r="B6918">
        <v>144.33242989999999</v>
      </c>
      <c r="C6918" t="s">
        <v>41</v>
      </c>
      <c r="D6918" t="s">
        <v>4177</v>
      </c>
      <c r="F6918" s="21"/>
      <c r="G6918" s="16" t="str">
        <f>HYPERLINK("http://maps.google.com/maps?f=q&amp;hl=en&amp;geocode=&amp;q=-38.09344,144.3324299")</f>
        <v>http://maps.google.com/maps?f=q&amp;hl=en&amp;geocode=&amp;q=-38.09344,144.3324299</v>
      </c>
    </row>
    <row r="6919" spans="1:7" ht="15" x14ac:dyDescent="0.3">
      <c r="A6919">
        <v>39.930169999999997</v>
      </c>
      <c r="B6919">
        <v>-75.158810000000003</v>
      </c>
      <c r="C6919" t="s">
        <v>41</v>
      </c>
      <c r="D6919" t="s">
        <v>4178</v>
      </c>
      <c r="F6919" s="21"/>
      <c r="G6919" s="16" t="str">
        <f>HYPERLINK("http://maps.google.com/maps?f=q&amp;hl=en&amp;geocode=&amp;q=39.93017,-75.15881")</f>
        <v>http://maps.google.com/maps?f=q&amp;hl=en&amp;geocode=&amp;q=39.93017,-75.15881</v>
      </c>
    </row>
    <row r="6920" spans="1:7" ht="15" x14ac:dyDescent="0.3">
      <c r="A6920">
        <v>39.4432563781738</v>
      </c>
      <c r="B6920">
        <v>-98.957336425781307</v>
      </c>
      <c r="C6920" t="s">
        <v>43</v>
      </c>
      <c r="D6920" t="s">
        <v>2148</v>
      </c>
      <c r="F6920" s="21"/>
      <c r="G6920" s="16" t="str">
        <f>HYPERLINK("http://maps.google.com/maps?f=q&amp;hl=en&amp;geocode=&amp;q=39.4432563781738,-98.9573364257813")</f>
        <v>http://maps.google.com/maps?f=q&amp;hl=en&amp;geocode=&amp;q=39.4432563781738,-98.9573364257813</v>
      </c>
    </row>
    <row r="6921" spans="1:7" ht="15" x14ac:dyDescent="0.3">
      <c r="A6921">
        <v>49.518180847167997</v>
      </c>
      <c r="B6921">
        <v>5.8978409767150897</v>
      </c>
      <c r="C6921" t="s">
        <v>41</v>
      </c>
      <c r="D6921" t="s">
        <v>4179</v>
      </c>
      <c r="F6921" s="21"/>
      <c r="G6921" s="16" t="str">
        <f>HYPERLINK("http://maps.google.com/maps?f=q&amp;hl=en&amp;geocode=&amp;q=49.518180847168,5.89784097671509")</f>
        <v>http://maps.google.com/maps?f=q&amp;hl=en&amp;geocode=&amp;q=49.518180847168,5.89784097671509</v>
      </c>
    </row>
    <row r="6922" spans="1:7" ht="15" x14ac:dyDescent="0.3">
      <c r="A6922">
        <v>40.035719999999998</v>
      </c>
      <c r="B6922">
        <v>-75.070629999999994</v>
      </c>
      <c r="C6922" t="s">
        <v>41</v>
      </c>
      <c r="D6922" t="s">
        <v>760</v>
      </c>
      <c r="F6922" s="21"/>
      <c r="G6922" s="16" t="str">
        <f>HYPERLINK("http://maps.google.com/maps?f=q&amp;hl=en&amp;geocode=&amp;q=40.03572,-75.07063")</f>
        <v>http://maps.google.com/maps?f=q&amp;hl=en&amp;geocode=&amp;q=40.03572,-75.07063</v>
      </c>
    </row>
    <row r="6923" spans="1:7" ht="15" x14ac:dyDescent="0.3">
      <c r="A6923">
        <v>39.971473972150299</v>
      </c>
      <c r="B6923">
        <v>-75.159605242826203</v>
      </c>
      <c r="C6923" t="s">
        <v>41</v>
      </c>
      <c r="D6923" t="s">
        <v>3736</v>
      </c>
      <c r="F6923" s="21"/>
      <c r="G6923" s="16" t="str">
        <f>HYPERLINK("http://maps.google.com/maps?f=q&amp;hl=en&amp;geocode=&amp;q=39.9714739721503,-75.1596052428262")</f>
        <v>http://maps.google.com/maps?f=q&amp;hl=en&amp;geocode=&amp;q=39.9714739721503,-75.1596052428262</v>
      </c>
    </row>
    <row r="6924" spans="1:7" ht="15" x14ac:dyDescent="0.3">
      <c r="A6924">
        <v>37.765643670295198</v>
      </c>
      <c r="B6924">
        <v>-113.711334017117</v>
      </c>
      <c r="C6924" t="s">
        <v>43</v>
      </c>
      <c r="D6924" t="s">
        <v>3154</v>
      </c>
      <c r="F6924" s="21"/>
      <c r="G6924" s="16" t="str">
        <f>HYPERLINK("http://maps.google.com/maps?f=q&amp;hl=en&amp;geocode=&amp;q=37.7656436702952,-113.711334017117")</f>
        <v>http://maps.google.com/maps?f=q&amp;hl=en&amp;geocode=&amp;q=37.7656436702952,-113.711334017117</v>
      </c>
    </row>
    <row r="6925" spans="1:7" ht="15" x14ac:dyDescent="0.3">
      <c r="A6925" t="s">
        <v>44</v>
      </c>
      <c r="B6925" t="s">
        <v>44</v>
      </c>
      <c r="C6925" t="s">
        <v>44</v>
      </c>
      <c r="D6925" t="s">
        <v>3599</v>
      </c>
      <c r="F6925" s="21"/>
      <c r="G6925" s="16"/>
    </row>
    <row r="6926" spans="1:7" ht="15" x14ac:dyDescent="0.3">
      <c r="A6926">
        <v>35.321916428819399</v>
      </c>
      <c r="B6926">
        <v>-82.6866264349581</v>
      </c>
      <c r="C6926" t="s">
        <v>41</v>
      </c>
      <c r="D6926" t="s">
        <v>3100</v>
      </c>
      <c r="F6926" s="21"/>
      <c r="G6926" s="16" t="str">
        <f>HYPERLINK("http://maps.google.com/maps?f=q&amp;hl=en&amp;geocode=&amp;q=35.3219164288194,-82.6866264349581")</f>
        <v>http://maps.google.com/maps?f=q&amp;hl=en&amp;geocode=&amp;q=35.3219164288194,-82.6866264349581</v>
      </c>
    </row>
    <row r="6927" spans="1:7" ht="15" x14ac:dyDescent="0.3">
      <c r="A6927">
        <v>39.971473972150299</v>
      </c>
      <c r="B6927">
        <v>-75.159605242826203</v>
      </c>
      <c r="C6927" t="s">
        <v>41</v>
      </c>
      <c r="D6927" t="s">
        <v>3736</v>
      </c>
      <c r="F6927" s="21"/>
      <c r="G6927" s="16" t="str">
        <f>HYPERLINK("http://maps.google.com/maps?f=q&amp;hl=en&amp;geocode=&amp;q=39.9714739721503,-75.1596052428262")</f>
        <v>http://maps.google.com/maps?f=q&amp;hl=en&amp;geocode=&amp;q=39.9714739721503,-75.1596052428262</v>
      </c>
    </row>
    <row r="6928" spans="1:7" ht="15" x14ac:dyDescent="0.3">
      <c r="A6928">
        <v>50.4301147460938</v>
      </c>
      <c r="B6928">
        <v>3.7866749763488801</v>
      </c>
      <c r="C6928" t="s">
        <v>43</v>
      </c>
      <c r="D6928" t="s">
        <v>4161</v>
      </c>
      <c r="F6928" s="21"/>
      <c r="G6928" s="16" t="str">
        <f>HYPERLINK("http://maps.google.com/maps?f=q&amp;hl=en&amp;geocode=&amp;q=50.4301147460938,3.78667497634888")</f>
        <v>http://maps.google.com/maps?f=q&amp;hl=en&amp;geocode=&amp;q=50.4301147460938,3.78667497634888</v>
      </c>
    </row>
    <row r="6929" spans="1:7" ht="15" x14ac:dyDescent="0.3">
      <c r="A6929">
        <v>29.539559998433401</v>
      </c>
      <c r="B6929">
        <v>-96.279854997281006</v>
      </c>
      <c r="C6929" t="s">
        <v>41</v>
      </c>
      <c r="D6929" t="s">
        <v>2171</v>
      </c>
      <c r="F6929" s="21"/>
      <c r="G6929" s="16" t="str">
        <f>HYPERLINK("http://maps.google.com/maps?f=q&amp;hl=en&amp;geocode=&amp;q=29.5395599984334,-96.279854997281")</f>
        <v>http://maps.google.com/maps?f=q&amp;hl=en&amp;geocode=&amp;q=29.5395599984334,-96.279854997281</v>
      </c>
    </row>
    <row r="6930" spans="1:7" ht="15" x14ac:dyDescent="0.3">
      <c r="A6930">
        <v>40.000129999999999</v>
      </c>
      <c r="B6930">
        <v>-75.177909999999997</v>
      </c>
      <c r="C6930" t="s">
        <v>42</v>
      </c>
      <c r="D6930" t="s">
        <v>4180</v>
      </c>
      <c r="F6930" s="21"/>
      <c r="G6930" s="16" t="str">
        <f>HYPERLINK("http://maps.google.com/maps?f=q&amp;hl=en&amp;geocode=&amp;q=40.00013,-75.17791")</f>
        <v>http://maps.google.com/maps?f=q&amp;hl=en&amp;geocode=&amp;q=40.00013,-75.17791</v>
      </c>
    </row>
    <row r="6931" spans="1:7" ht="15" x14ac:dyDescent="0.3">
      <c r="A6931">
        <v>39.994950000000003</v>
      </c>
      <c r="B6931">
        <v>-75.160240000000002</v>
      </c>
      <c r="C6931" t="s">
        <v>41</v>
      </c>
      <c r="D6931" t="s">
        <v>4181</v>
      </c>
      <c r="F6931" s="21"/>
      <c r="G6931" s="16" t="str">
        <f>HYPERLINK("http://maps.google.com/maps?f=q&amp;hl=en&amp;geocode=&amp;q=39.99495,-75.16024")</f>
        <v>http://maps.google.com/maps?f=q&amp;hl=en&amp;geocode=&amp;q=39.99495,-75.16024</v>
      </c>
    </row>
    <row r="6932" spans="1:7" ht="15" x14ac:dyDescent="0.3">
      <c r="A6932">
        <v>39.926049999999996</v>
      </c>
      <c r="B6932">
        <v>-75.157799999999995</v>
      </c>
      <c r="C6932" t="s">
        <v>41</v>
      </c>
      <c r="D6932" t="s">
        <v>4182</v>
      </c>
      <c r="F6932" s="21"/>
      <c r="G6932" s="16" t="str">
        <f>HYPERLINK("http://maps.google.com/maps?f=q&amp;hl=en&amp;geocode=&amp;q=39.92605,-75.1578")</f>
        <v>http://maps.google.com/maps?f=q&amp;hl=en&amp;geocode=&amp;q=39.92605,-75.1578</v>
      </c>
    </row>
    <row r="6933" spans="1:7" ht="15" x14ac:dyDescent="0.3">
      <c r="A6933">
        <v>36.258602312656997</v>
      </c>
      <c r="B6933">
        <v>-88.433215378419504</v>
      </c>
      <c r="C6933" t="s">
        <v>41</v>
      </c>
      <c r="D6933" t="s">
        <v>4183</v>
      </c>
      <c r="F6933" s="21"/>
      <c r="G6933" s="16" t="str">
        <f>HYPERLINK("http://maps.google.com/maps?f=q&amp;hl=en&amp;geocode=&amp;q=36.258602312657,-88.4332153784195")</f>
        <v>http://maps.google.com/maps?f=q&amp;hl=en&amp;geocode=&amp;q=36.258602312657,-88.4332153784195</v>
      </c>
    </row>
    <row r="6934" spans="1:7" ht="15" x14ac:dyDescent="0.3">
      <c r="A6934">
        <v>50.4301147460938</v>
      </c>
      <c r="B6934">
        <v>3.7866749763488801</v>
      </c>
      <c r="C6934" t="s">
        <v>43</v>
      </c>
      <c r="D6934" t="s">
        <v>4161</v>
      </c>
      <c r="F6934" s="21"/>
      <c r="G6934" s="16" t="str">
        <f>HYPERLINK("http://maps.google.com/maps?f=q&amp;hl=en&amp;geocode=&amp;q=50.4301147460938,3.78667497634888")</f>
        <v>http://maps.google.com/maps?f=q&amp;hl=en&amp;geocode=&amp;q=50.4301147460938,3.78667497634888</v>
      </c>
    </row>
    <row r="6935" spans="1:7" ht="15" x14ac:dyDescent="0.3">
      <c r="A6935">
        <v>50.4301147460938</v>
      </c>
      <c r="B6935">
        <v>3.7866749763488801</v>
      </c>
      <c r="C6935" t="s">
        <v>43</v>
      </c>
      <c r="D6935" t="s">
        <v>4161</v>
      </c>
      <c r="F6935" s="21"/>
      <c r="G6935" s="16" t="str">
        <f>HYPERLINK("http://maps.google.com/maps?f=q&amp;hl=en&amp;geocode=&amp;q=50.4301147460938,3.78667497634888")</f>
        <v>http://maps.google.com/maps?f=q&amp;hl=en&amp;geocode=&amp;q=50.4301147460938,3.78667497634888</v>
      </c>
    </row>
    <row r="6936" spans="1:7" ht="15" x14ac:dyDescent="0.3">
      <c r="F6936" s="21"/>
      <c r="G6936" s="16"/>
    </row>
    <row r="6937" spans="1:7" ht="15" x14ac:dyDescent="0.3">
      <c r="A6937">
        <v>50.4301147460938</v>
      </c>
      <c r="B6937">
        <v>3.7866749763488801</v>
      </c>
      <c r="C6937" t="s">
        <v>43</v>
      </c>
      <c r="D6937" t="s">
        <v>4161</v>
      </c>
      <c r="F6937" s="21"/>
      <c r="G6937" s="16" t="str">
        <f>HYPERLINK("http://maps.google.com/maps?f=q&amp;hl=en&amp;geocode=&amp;q=50.4301147460938,3.78667497634888")</f>
        <v>http://maps.google.com/maps?f=q&amp;hl=en&amp;geocode=&amp;q=50.4301147460938,3.78667497634888</v>
      </c>
    </row>
    <row r="6938" spans="1:7" ht="15" x14ac:dyDescent="0.3">
      <c r="A6938">
        <v>50.4301147460938</v>
      </c>
      <c r="B6938">
        <v>3.7866749763488801</v>
      </c>
      <c r="C6938" t="s">
        <v>43</v>
      </c>
      <c r="D6938" t="s">
        <v>4161</v>
      </c>
      <c r="F6938" s="21"/>
      <c r="G6938" s="16" t="str">
        <f>HYPERLINK("http://maps.google.com/maps?f=q&amp;hl=en&amp;geocode=&amp;q=50.4301147460938,3.78667497634888")</f>
        <v>http://maps.google.com/maps?f=q&amp;hl=en&amp;geocode=&amp;q=50.4301147460938,3.78667497634888</v>
      </c>
    </row>
    <row r="6939" spans="1:7" ht="15" x14ac:dyDescent="0.3">
      <c r="A6939">
        <v>50.4301147460938</v>
      </c>
      <c r="B6939">
        <v>3.7866749763488801</v>
      </c>
      <c r="C6939" t="s">
        <v>43</v>
      </c>
      <c r="D6939" t="s">
        <v>4161</v>
      </c>
      <c r="F6939" s="21"/>
      <c r="G6939" s="16" t="str">
        <f>HYPERLINK("http://maps.google.com/maps?f=q&amp;hl=en&amp;geocode=&amp;q=50.4301147460938,3.78667497634888")</f>
        <v>http://maps.google.com/maps?f=q&amp;hl=en&amp;geocode=&amp;q=50.4301147460938,3.78667497634888</v>
      </c>
    </row>
    <row r="6940" spans="1:7" ht="15" x14ac:dyDescent="0.3">
      <c r="A6940">
        <v>50.4301147460938</v>
      </c>
      <c r="B6940">
        <v>3.7866749763488801</v>
      </c>
      <c r="C6940" t="s">
        <v>43</v>
      </c>
      <c r="D6940" t="s">
        <v>4161</v>
      </c>
      <c r="F6940" s="21"/>
      <c r="G6940" s="16" t="str">
        <f>HYPERLINK("http://maps.google.com/maps?f=q&amp;hl=en&amp;geocode=&amp;q=50.4301147460938,3.78667497634888")</f>
        <v>http://maps.google.com/maps?f=q&amp;hl=en&amp;geocode=&amp;q=50.4301147460938,3.78667497634888</v>
      </c>
    </row>
    <row r="6941" spans="1:7" ht="15" x14ac:dyDescent="0.3">
      <c r="A6941">
        <v>37.741671855997197</v>
      </c>
      <c r="B6941">
        <v>-88.917199508930494</v>
      </c>
      <c r="C6941" t="s">
        <v>41</v>
      </c>
      <c r="D6941" t="s">
        <v>3495</v>
      </c>
      <c r="F6941" s="21"/>
      <c r="G6941" s="16" t="str">
        <f>HYPERLINK("http://maps.google.com/maps?f=q&amp;hl=en&amp;geocode=&amp;q=37.7416718559972,-88.9171995089305")</f>
        <v>http://maps.google.com/maps?f=q&amp;hl=en&amp;geocode=&amp;q=37.7416718559972,-88.9171995089305</v>
      </c>
    </row>
    <row r="6942" spans="1:7" ht="15" x14ac:dyDescent="0.3">
      <c r="A6942">
        <v>42.999576568603501</v>
      </c>
      <c r="B6942">
        <v>-107.551513671875</v>
      </c>
      <c r="C6942" t="s">
        <v>41</v>
      </c>
      <c r="D6942" t="s">
        <v>3857</v>
      </c>
      <c r="F6942" s="21"/>
      <c r="G6942" s="16" t="str">
        <f>HYPERLINK("http://maps.google.com/maps?f=q&amp;hl=en&amp;geocode=&amp;q=42.9995765686035,-107.551513671875")</f>
        <v>http://maps.google.com/maps?f=q&amp;hl=en&amp;geocode=&amp;q=42.9995765686035,-107.551513671875</v>
      </c>
    </row>
    <row r="6943" spans="1:7" ht="15" x14ac:dyDescent="0.3">
      <c r="A6943">
        <v>42.999576568603501</v>
      </c>
      <c r="B6943">
        <v>-107.551513671875</v>
      </c>
      <c r="C6943" t="s">
        <v>41</v>
      </c>
      <c r="D6943" t="s">
        <v>3857</v>
      </c>
      <c r="F6943" s="21"/>
      <c r="G6943" s="16" t="str">
        <f>HYPERLINK("http://maps.google.com/maps?f=q&amp;hl=en&amp;geocode=&amp;q=42.9995765686035,-107.551513671875")</f>
        <v>http://maps.google.com/maps?f=q&amp;hl=en&amp;geocode=&amp;q=42.9995765686035,-107.551513671875</v>
      </c>
    </row>
    <row r="6944" spans="1:7" ht="15" x14ac:dyDescent="0.3">
      <c r="A6944">
        <v>36.02825</v>
      </c>
      <c r="B6944">
        <v>-83.842420000000004</v>
      </c>
      <c r="C6944" t="s">
        <v>41</v>
      </c>
      <c r="D6944" t="s">
        <v>3047</v>
      </c>
      <c r="F6944" s="21"/>
      <c r="G6944" s="16" t="str">
        <f>HYPERLINK("http://maps.google.com/maps?f=q&amp;hl=en&amp;geocode=&amp;q=36.02825,-83.84242")</f>
        <v>http://maps.google.com/maps?f=q&amp;hl=en&amp;geocode=&amp;q=36.02825,-83.84242</v>
      </c>
    </row>
    <row r="6945" spans="1:7" ht="15" x14ac:dyDescent="0.3">
      <c r="A6945">
        <v>31.0106773186406</v>
      </c>
      <c r="B6945">
        <v>-86.338380566299705</v>
      </c>
      <c r="C6945" t="s">
        <v>41</v>
      </c>
      <c r="D6945" t="s">
        <v>4184</v>
      </c>
      <c r="F6945" s="21"/>
      <c r="G6945" s="16" t="str">
        <f>HYPERLINK("http://maps.google.com/maps?f=q&amp;hl=en&amp;geocode=&amp;q=31.0106773186406,-86.3383805662997")</f>
        <v>http://maps.google.com/maps?f=q&amp;hl=en&amp;geocode=&amp;q=31.0106773186406,-86.3383805662997</v>
      </c>
    </row>
    <row r="6946" spans="1:7" ht="15" x14ac:dyDescent="0.3">
      <c r="A6946">
        <v>34.995820000000002</v>
      </c>
      <c r="B6946">
        <v>-81.136610000000005</v>
      </c>
      <c r="C6946" t="s">
        <v>42</v>
      </c>
      <c r="D6946" t="s">
        <v>3198</v>
      </c>
      <c r="F6946" s="21"/>
      <c r="G6946" s="16" t="str">
        <f>HYPERLINK("http://maps.google.com/maps?f=q&amp;hl=en&amp;geocode=&amp;q=34.99582,-81.13661")</f>
        <v>http://maps.google.com/maps?f=q&amp;hl=en&amp;geocode=&amp;q=34.99582,-81.13661</v>
      </c>
    </row>
    <row r="6947" spans="1:7" ht="15" x14ac:dyDescent="0.3">
      <c r="A6947">
        <v>42.2205205548238</v>
      </c>
      <c r="B6947">
        <v>-89.708877474001298</v>
      </c>
      <c r="C6947" t="s">
        <v>41</v>
      </c>
      <c r="D6947" t="s">
        <v>4185</v>
      </c>
      <c r="F6947" s="21"/>
      <c r="G6947" s="16" t="str">
        <f>HYPERLINK("http://maps.google.com/maps?f=q&amp;hl=en&amp;geocode=&amp;q=42.2205205548238,-89.7088774740013")</f>
        <v>http://maps.google.com/maps?f=q&amp;hl=en&amp;geocode=&amp;q=42.2205205548238,-89.7088774740013</v>
      </c>
    </row>
    <row r="6948" spans="1:7" ht="15" x14ac:dyDescent="0.3">
      <c r="A6948">
        <v>52.487190246582003</v>
      </c>
      <c r="B6948">
        <v>0.679989993572235</v>
      </c>
      <c r="C6948" t="s">
        <v>41</v>
      </c>
      <c r="D6948" t="s">
        <v>2882</v>
      </c>
      <c r="F6948" s="21"/>
      <c r="G6948" s="16" t="str">
        <f>HYPERLINK("http://maps.google.com/maps?f=q&amp;hl=en&amp;geocode=&amp;q=52.487190246582,0.679989993572235")</f>
        <v>http://maps.google.com/maps?f=q&amp;hl=en&amp;geocode=&amp;q=52.487190246582,0.679989993572235</v>
      </c>
    </row>
    <row r="6949" spans="1:7" ht="15" x14ac:dyDescent="0.3">
      <c r="A6949" t="s">
        <v>44</v>
      </c>
      <c r="B6949" t="s">
        <v>44</v>
      </c>
      <c r="C6949" t="s">
        <v>44</v>
      </c>
      <c r="D6949" t="s">
        <v>2885</v>
      </c>
      <c r="F6949" s="21"/>
      <c r="G6949" s="16"/>
    </row>
    <row r="6950" spans="1:7" ht="15" x14ac:dyDescent="0.3">
      <c r="A6950">
        <v>30.2835483551025</v>
      </c>
      <c r="B6950">
        <v>-81.808624267578097</v>
      </c>
      <c r="C6950" t="s">
        <v>41</v>
      </c>
      <c r="D6950" t="s">
        <v>4186</v>
      </c>
      <c r="F6950" s="21"/>
      <c r="G6950" s="16" t="str">
        <f>HYPERLINK("http://maps.google.com/maps?f=q&amp;hl=en&amp;geocode=&amp;q=30.2835483551025,-81.8086242675781")</f>
        <v>http://maps.google.com/maps?f=q&amp;hl=en&amp;geocode=&amp;q=30.2835483551025,-81.8086242675781</v>
      </c>
    </row>
    <row r="6951" spans="1:7" ht="15" x14ac:dyDescent="0.3">
      <c r="A6951">
        <v>40.143920000000001</v>
      </c>
      <c r="B6951">
        <v>-97.862700000000004</v>
      </c>
      <c r="C6951" t="s">
        <v>43</v>
      </c>
      <c r="D6951" t="s">
        <v>4187</v>
      </c>
      <c r="F6951" s="21"/>
      <c r="G6951" s="16" t="str">
        <f>HYPERLINK("http://maps.google.com/maps?f=q&amp;hl=en&amp;geocode=&amp;q=40.14392,-97.8627")</f>
        <v>http://maps.google.com/maps?f=q&amp;hl=en&amp;geocode=&amp;q=40.14392,-97.8627</v>
      </c>
    </row>
    <row r="6952" spans="1:7" ht="15" x14ac:dyDescent="0.3">
      <c r="A6952">
        <v>39.403060000000004</v>
      </c>
      <c r="B6952">
        <v>-83.982119999999995</v>
      </c>
      <c r="C6952" t="s">
        <v>43</v>
      </c>
      <c r="D6952" t="s">
        <v>3129</v>
      </c>
      <c r="F6952" s="21"/>
      <c r="G6952" s="16" t="str">
        <f>HYPERLINK("http://maps.google.com/maps?f=q&amp;hl=en&amp;geocode=&amp;q=39.40306,-83.98212")</f>
        <v>http://maps.google.com/maps?f=q&amp;hl=en&amp;geocode=&amp;q=39.40306,-83.98212</v>
      </c>
    </row>
    <row r="6953" spans="1:7" ht="15" x14ac:dyDescent="0.3">
      <c r="A6953">
        <v>38.769447326660199</v>
      </c>
      <c r="B6953">
        <v>-9.3329801559448207</v>
      </c>
      <c r="C6953" t="s">
        <v>41</v>
      </c>
      <c r="D6953" t="s">
        <v>4188</v>
      </c>
      <c r="F6953" s="21"/>
      <c r="G6953" s="16" t="str">
        <f>HYPERLINK("http://maps.google.com/maps?f=q&amp;hl=en&amp;geocode=&amp;q=38.7694473266602,-9.33298015594482")</f>
        <v>http://maps.google.com/maps?f=q&amp;hl=en&amp;geocode=&amp;q=38.7694473266602,-9.33298015594482</v>
      </c>
    </row>
    <row r="6954" spans="1:7" ht="15" x14ac:dyDescent="0.3">
      <c r="A6954">
        <v>47.47607421875</v>
      </c>
      <c r="B6954">
        <v>19.018486022949201</v>
      </c>
      <c r="C6954" t="s">
        <v>43</v>
      </c>
      <c r="D6954" t="s">
        <v>4189</v>
      </c>
      <c r="F6954" s="21"/>
      <c r="G6954" s="16" t="str">
        <f>HYPERLINK("http://maps.google.com/maps?f=q&amp;hl=en&amp;geocode=&amp;q=47.47607421875,19.0184860229492")</f>
        <v>http://maps.google.com/maps?f=q&amp;hl=en&amp;geocode=&amp;q=47.47607421875,19.0184860229492</v>
      </c>
    </row>
    <row r="6955" spans="1:7" ht="15" x14ac:dyDescent="0.3">
      <c r="A6955">
        <v>36.53387</v>
      </c>
      <c r="B6955">
        <v>-87.226830000000007</v>
      </c>
      <c r="C6955" t="s">
        <v>42</v>
      </c>
      <c r="D6955" t="s">
        <v>4190</v>
      </c>
      <c r="F6955" s="21"/>
      <c r="G6955" s="16" t="str">
        <f>HYPERLINK("http://maps.google.com/maps?f=q&amp;hl=en&amp;geocode=&amp;q=36.53387,-87.22683")</f>
        <v>http://maps.google.com/maps?f=q&amp;hl=en&amp;geocode=&amp;q=36.53387,-87.22683</v>
      </c>
    </row>
    <row r="6956" spans="1:7" ht="15" x14ac:dyDescent="0.3">
      <c r="A6956">
        <v>36.53387</v>
      </c>
      <c r="B6956">
        <v>-87.226830000000007</v>
      </c>
      <c r="C6956" t="s">
        <v>42</v>
      </c>
      <c r="D6956" t="s">
        <v>4190</v>
      </c>
      <c r="F6956" s="21"/>
      <c r="G6956" s="16" t="str">
        <f>HYPERLINK("http://maps.google.com/maps?f=q&amp;hl=en&amp;geocode=&amp;q=36.53387,-87.22683")</f>
        <v>http://maps.google.com/maps?f=q&amp;hl=en&amp;geocode=&amp;q=36.53387,-87.22683</v>
      </c>
    </row>
    <row r="6957" spans="1:7" ht="15" x14ac:dyDescent="0.3">
      <c r="A6957">
        <v>31.883710000000001</v>
      </c>
      <c r="B6957">
        <v>-102.49551</v>
      </c>
      <c r="C6957" t="s">
        <v>41</v>
      </c>
      <c r="D6957" t="s">
        <v>119</v>
      </c>
      <c r="F6957" s="21"/>
      <c r="G6957" s="16" t="str">
        <f>HYPERLINK("http://maps.google.com/maps?f=q&amp;hl=en&amp;geocode=&amp;q=31.88371,-102.49551")</f>
        <v>http://maps.google.com/maps?f=q&amp;hl=en&amp;geocode=&amp;q=31.88371,-102.49551</v>
      </c>
    </row>
    <row r="6958" spans="1:7" ht="15" x14ac:dyDescent="0.3">
      <c r="A6958">
        <v>40.048180000000002</v>
      </c>
      <c r="B6958">
        <v>-75.102999999999994</v>
      </c>
      <c r="C6958" t="s">
        <v>41</v>
      </c>
      <c r="D6958" t="s">
        <v>966</v>
      </c>
      <c r="F6958" s="21"/>
      <c r="G6958" s="16" t="str">
        <f>HYPERLINK("http://maps.google.com/maps?f=q&amp;hl=en&amp;geocode=&amp;q=40.04818,-75.103")</f>
        <v>http://maps.google.com/maps?f=q&amp;hl=en&amp;geocode=&amp;q=40.04818,-75.103</v>
      </c>
    </row>
    <row r="6959" spans="1:7" ht="15" x14ac:dyDescent="0.3">
      <c r="A6959">
        <v>40.048180000000002</v>
      </c>
      <c r="B6959">
        <v>-75.102999999999994</v>
      </c>
      <c r="C6959" t="s">
        <v>41</v>
      </c>
      <c r="D6959" t="s">
        <v>966</v>
      </c>
      <c r="F6959" s="21"/>
      <c r="G6959" s="16" t="str">
        <f>HYPERLINK("http://maps.google.com/maps?f=q&amp;hl=en&amp;geocode=&amp;q=40.04818,-75.103")</f>
        <v>http://maps.google.com/maps?f=q&amp;hl=en&amp;geocode=&amp;q=40.04818,-75.103</v>
      </c>
    </row>
    <row r="6960" spans="1:7" ht="15" x14ac:dyDescent="0.3">
      <c r="A6960">
        <v>42.722563405499599</v>
      </c>
      <c r="B6960">
        <v>-112.23646160043999</v>
      </c>
      <c r="C6960" t="s">
        <v>43</v>
      </c>
      <c r="D6960" t="s">
        <v>4191</v>
      </c>
      <c r="F6960" s="21"/>
      <c r="G6960" s="16" t="str">
        <f>HYPERLINK("http://maps.google.com/maps?f=q&amp;hl=en&amp;geocode=&amp;q=42.7225634054996,-112.23646160044")</f>
        <v>http://maps.google.com/maps?f=q&amp;hl=en&amp;geocode=&amp;q=42.7225634054996,-112.23646160044</v>
      </c>
    </row>
    <row r="6961" spans="1:7" ht="15" x14ac:dyDescent="0.3">
      <c r="A6961">
        <v>39.008125305175803</v>
      </c>
      <c r="B6961">
        <v>-75.467475891113295</v>
      </c>
      <c r="C6961" t="s">
        <v>41</v>
      </c>
      <c r="D6961" t="s">
        <v>4192</v>
      </c>
      <c r="F6961" s="21"/>
      <c r="G6961" s="16" t="str">
        <f>HYPERLINK("http://maps.google.com/maps?f=q&amp;hl=en&amp;geocode=&amp;q=39.0081253051758,-75.4674758911133")</f>
        <v>http://maps.google.com/maps?f=q&amp;hl=en&amp;geocode=&amp;q=39.0081253051758,-75.4674758911133</v>
      </c>
    </row>
    <row r="6962" spans="1:7" ht="15" x14ac:dyDescent="0.3">
      <c r="A6962">
        <v>37.050380706787102</v>
      </c>
      <c r="B6962">
        <v>-122.07330322265599</v>
      </c>
      <c r="C6962" t="s">
        <v>43</v>
      </c>
      <c r="D6962" t="s">
        <v>4193</v>
      </c>
      <c r="F6962" s="21"/>
      <c r="G6962" s="16" t="str">
        <f>HYPERLINK("http://maps.google.com/maps?f=q&amp;hl=en&amp;geocode=&amp;q=37.0503807067871,-122.073303222656")</f>
        <v>http://maps.google.com/maps?f=q&amp;hl=en&amp;geocode=&amp;q=37.0503807067871,-122.073303222656</v>
      </c>
    </row>
    <row r="6963" spans="1:7" ht="15" x14ac:dyDescent="0.3">
      <c r="A6963">
        <v>32.7964451445322</v>
      </c>
      <c r="B6963">
        <v>-117.070596612675</v>
      </c>
      <c r="C6963" t="s">
        <v>41</v>
      </c>
      <c r="D6963" t="s">
        <v>4194</v>
      </c>
      <c r="F6963" s="21"/>
      <c r="G6963" s="16" t="str">
        <f>HYPERLINK("http://maps.google.com/maps?f=q&amp;hl=en&amp;geocode=&amp;q=32.7964451445322,-117.070596612675")</f>
        <v>http://maps.google.com/maps?f=q&amp;hl=en&amp;geocode=&amp;q=32.7964451445322,-117.070596612675</v>
      </c>
    </row>
    <row r="6964" spans="1:7" ht="15" x14ac:dyDescent="0.3">
      <c r="A6964">
        <v>38.590362627541303</v>
      </c>
      <c r="B6964">
        <v>-90.300391302176294</v>
      </c>
      <c r="C6964" t="s">
        <v>41</v>
      </c>
      <c r="D6964" t="s">
        <v>93</v>
      </c>
      <c r="F6964" s="21"/>
      <c r="G6964" s="16" t="str">
        <f>HYPERLINK("http://maps.google.com/maps?f=q&amp;hl=en&amp;geocode=&amp;q=38.5903626275413,-90.3003913021763")</f>
        <v>http://maps.google.com/maps?f=q&amp;hl=en&amp;geocode=&amp;q=38.5903626275413,-90.3003913021763</v>
      </c>
    </row>
    <row r="6965" spans="1:7" ht="15" x14ac:dyDescent="0.3">
      <c r="A6965">
        <v>29.539559998433401</v>
      </c>
      <c r="B6965">
        <v>-96.279854997281006</v>
      </c>
      <c r="C6965" t="s">
        <v>41</v>
      </c>
      <c r="D6965" t="s">
        <v>2171</v>
      </c>
      <c r="F6965" s="21"/>
      <c r="G6965" s="16" t="str">
        <f>HYPERLINK("http://maps.google.com/maps?f=q&amp;hl=en&amp;geocode=&amp;q=29.5395599984334,-96.279854997281")</f>
        <v>http://maps.google.com/maps?f=q&amp;hl=en&amp;geocode=&amp;q=29.5395599984334,-96.279854997281</v>
      </c>
    </row>
    <row r="6966" spans="1:7" ht="15" x14ac:dyDescent="0.3">
      <c r="A6966">
        <v>36.902555965944998</v>
      </c>
      <c r="B6966">
        <v>-78.8948882131007</v>
      </c>
      <c r="C6966" t="s">
        <v>43</v>
      </c>
      <c r="D6966" t="s">
        <v>3748</v>
      </c>
      <c r="F6966" s="21"/>
      <c r="G6966" s="16" t="str">
        <f>HYPERLINK("http://maps.google.com/maps?f=q&amp;hl=en&amp;geocode=&amp;q=36.902555965945,-78.8948882131007")</f>
        <v>http://maps.google.com/maps?f=q&amp;hl=en&amp;geocode=&amp;q=36.902555965945,-78.8948882131007</v>
      </c>
    </row>
    <row r="6967" spans="1:7" ht="15" x14ac:dyDescent="0.3">
      <c r="A6967">
        <v>39.980200000000004</v>
      </c>
      <c r="B6967">
        <v>-75.156549999999996</v>
      </c>
      <c r="C6967" t="s">
        <v>43</v>
      </c>
      <c r="D6967" t="s">
        <v>4195</v>
      </c>
      <c r="F6967" s="21"/>
      <c r="G6967" s="16" t="str">
        <f>HYPERLINK("http://maps.google.com/maps?f=q&amp;hl=en&amp;geocode=&amp;q=39.9802,-75.15655")</f>
        <v>http://maps.google.com/maps?f=q&amp;hl=en&amp;geocode=&amp;q=39.9802,-75.15655</v>
      </c>
    </row>
    <row r="6968" spans="1:7" ht="15" x14ac:dyDescent="0.3">
      <c r="A6968">
        <v>36.902555965944998</v>
      </c>
      <c r="B6968">
        <v>-78.8948882131007</v>
      </c>
      <c r="C6968" t="s">
        <v>43</v>
      </c>
      <c r="D6968" t="s">
        <v>3748</v>
      </c>
      <c r="F6968" s="21"/>
      <c r="G6968" s="16" t="str">
        <f>HYPERLINK("http://maps.google.com/maps?f=q&amp;hl=en&amp;geocode=&amp;q=36.902555965945,-78.8948882131007")</f>
        <v>http://maps.google.com/maps?f=q&amp;hl=en&amp;geocode=&amp;q=36.902555965945,-78.8948882131007</v>
      </c>
    </row>
    <row r="6969" spans="1:7" ht="15" x14ac:dyDescent="0.3">
      <c r="A6969">
        <v>31.243220000000001</v>
      </c>
      <c r="B6969">
        <v>-103.06478</v>
      </c>
      <c r="C6969" t="s">
        <v>43</v>
      </c>
      <c r="D6969" t="s">
        <v>2682</v>
      </c>
      <c r="F6969" s="21"/>
      <c r="G6969" s="16" t="str">
        <f>HYPERLINK("http://maps.google.com/maps?f=q&amp;hl=en&amp;geocode=&amp;q=31.24322,-103.06478")</f>
        <v>http://maps.google.com/maps?f=q&amp;hl=en&amp;geocode=&amp;q=31.24322,-103.06478</v>
      </c>
    </row>
    <row r="6970" spans="1:7" ht="15" x14ac:dyDescent="0.3">
      <c r="A6970">
        <v>42.169429999999998</v>
      </c>
      <c r="B6970">
        <v>-87.867440000000002</v>
      </c>
      <c r="C6970" t="s">
        <v>41</v>
      </c>
      <c r="D6970" t="s">
        <v>4196</v>
      </c>
      <c r="F6970" s="21"/>
      <c r="G6970" s="16" t="str">
        <f>HYPERLINK("http://maps.google.com/maps?f=q&amp;hl=en&amp;geocode=&amp;q=42.16943,-87.86744")</f>
        <v>http://maps.google.com/maps?f=q&amp;hl=en&amp;geocode=&amp;q=42.16943,-87.86744</v>
      </c>
    </row>
    <row r="6971" spans="1:7" ht="15" x14ac:dyDescent="0.3">
      <c r="A6971">
        <v>39.966819999999998</v>
      </c>
      <c r="B6971">
        <v>-75.241770000000002</v>
      </c>
      <c r="C6971" t="s">
        <v>43</v>
      </c>
      <c r="D6971" t="s">
        <v>2985</v>
      </c>
      <c r="F6971" s="21"/>
      <c r="G6971" s="16" t="str">
        <f>HYPERLINK("http://maps.google.com/maps?f=q&amp;hl=en&amp;geocode=&amp;q=39.96682,-75.24177")</f>
        <v>http://maps.google.com/maps?f=q&amp;hl=en&amp;geocode=&amp;q=39.96682,-75.24177</v>
      </c>
    </row>
    <row r="6972" spans="1:7" ht="15" x14ac:dyDescent="0.3">
      <c r="A6972">
        <v>30.569539936824</v>
      </c>
      <c r="B6972">
        <v>-85.569352232518398</v>
      </c>
      <c r="C6972" t="s">
        <v>41</v>
      </c>
      <c r="D6972" t="s">
        <v>4197</v>
      </c>
      <c r="F6972" s="21"/>
      <c r="G6972" s="16" t="str">
        <f>HYPERLINK("http://maps.google.com/maps?f=q&amp;hl=en&amp;geocode=&amp;q=30.569539936824,-85.5693522325184")</f>
        <v>http://maps.google.com/maps?f=q&amp;hl=en&amp;geocode=&amp;q=30.569539936824,-85.5693522325184</v>
      </c>
    </row>
    <row r="6973" spans="1:7" ht="15" x14ac:dyDescent="0.3">
      <c r="A6973">
        <v>39.691160000000004</v>
      </c>
      <c r="B6973">
        <v>-84.157749999999993</v>
      </c>
      <c r="C6973" t="s">
        <v>42</v>
      </c>
      <c r="D6973" t="s">
        <v>4198</v>
      </c>
      <c r="F6973" s="21"/>
      <c r="G6973" s="16" t="str">
        <f>HYPERLINK("http://maps.google.com/maps?f=q&amp;hl=en&amp;geocode=&amp;q=39.69116,-84.15775")</f>
        <v>http://maps.google.com/maps?f=q&amp;hl=en&amp;geocode=&amp;q=39.69116,-84.15775</v>
      </c>
    </row>
    <row r="6974" spans="1:7" ht="15" x14ac:dyDescent="0.3">
      <c r="A6974" t="s">
        <v>44</v>
      </c>
      <c r="B6974" t="s">
        <v>44</v>
      </c>
      <c r="C6974" t="s">
        <v>44</v>
      </c>
      <c r="D6974" t="s">
        <v>374</v>
      </c>
      <c r="F6974" s="21"/>
      <c r="G6974" s="16"/>
    </row>
    <row r="6975" spans="1:7" ht="15" x14ac:dyDescent="0.3">
      <c r="A6975" t="s">
        <v>44</v>
      </c>
      <c r="B6975" t="s">
        <v>44</v>
      </c>
      <c r="C6975" t="s">
        <v>44</v>
      </c>
      <c r="D6975" t="s">
        <v>374</v>
      </c>
      <c r="F6975" s="21"/>
      <c r="G6975" s="16"/>
    </row>
    <row r="6976" spans="1:7" ht="15" x14ac:dyDescent="0.3">
      <c r="A6976">
        <v>50.587699890136697</v>
      </c>
      <c r="B6976">
        <v>4.32674217224121</v>
      </c>
      <c r="C6976" t="s">
        <v>43</v>
      </c>
      <c r="D6976" t="s">
        <v>3369</v>
      </c>
      <c r="F6976" s="21"/>
      <c r="G6976" s="16" t="str">
        <f>HYPERLINK("http://maps.google.com/maps?f=q&amp;hl=en&amp;geocode=&amp;q=50.5876998901367,4.32674217224121")</f>
        <v>http://maps.google.com/maps?f=q&amp;hl=en&amp;geocode=&amp;q=50.5876998901367,4.32674217224121</v>
      </c>
    </row>
    <row r="6977" spans="1:7" ht="15" x14ac:dyDescent="0.3">
      <c r="A6977">
        <v>42.7791938781738</v>
      </c>
      <c r="B6977">
        <v>-73.691421508789105</v>
      </c>
      <c r="C6977" t="s">
        <v>43</v>
      </c>
      <c r="D6977" t="s">
        <v>1561</v>
      </c>
      <c r="F6977" s="21"/>
      <c r="G6977" s="16" t="str">
        <f>HYPERLINK("http://maps.google.com/maps?f=q&amp;hl=en&amp;geocode=&amp;q=42.7791938781738,-73.6914215087891")</f>
        <v>http://maps.google.com/maps?f=q&amp;hl=en&amp;geocode=&amp;q=42.7791938781738,-73.6914215087891</v>
      </c>
    </row>
    <row r="6978" spans="1:7" ht="15" x14ac:dyDescent="0.3">
      <c r="A6978">
        <v>40.612789154052699</v>
      </c>
      <c r="B6978">
        <v>-75.592453002929702</v>
      </c>
      <c r="C6978" t="s">
        <v>41</v>
      </c>
      <c r="D6978" t="s">
        <v>4199</v>
      </c>
      <c r="F6978" s="21"/>
      <c r="G6978" s="16" t="str">
        <f>HYPERLINK("http://maps.google.com/maps?f=q&amp;hl=en&amp;geocode=&amp;q=40.6127891540527,-75.5924530029297")</f>
        <v>http://maps.google.com/maps?f=q&amp;hl=en&amp;geocode=&amp;q=40.6127891540527,-75.5924530029297</v>
      </c>
    </row>
    <row r="6979" spans="1:7" ht="15" x14ac:dyDescent="0.3">
      <c r="A6979">
        <v>40.406320000000001</v>
      </c>
      <c r="B6979">
        <v>-79.838210000000004</v>
      </c>
      <c r="C6979" t="s">
        <v>43</v>
      </c>
      <c r="D6979" t="s">
        <v>4200</v>
      </c>
      <c r="F6979" s="21"/>
      <c r="G6979" s="16" t="str">
        <f>HYPERLINK("http://maps.google.com/maps?f=q&amp;hl=en&amp;geocode=&amp;q=40.40632,-79.83821")</f>
        <v>http://maps.google.com/maps?f=q&amp;hl=en&amp;geocode=&amp;q=40.40632,-79.83821</v>
      </c>
    </row>
    <row r="6980" spans="1:7" ht="15" x14ac:dyDescent="0.3">
      <c r="A6980">
        <v>39.85915</v>
      </c>
      <c r="B6980">
        <v>-88.999420000000001</v>
      </c>
      <c r="C6980" t="s">
        <v>43</v>
      </c>
      <c r="D6980" t="s">
        <v>4201</v>
      </c>
      <c r="F6980" s="21"/>
      <c r="G6980" s="16" t="str">
        <f>HYPERLINK("http://maps.google.com/maps?f=q&amp;hl=en&amp;geocode=&amp;q=39.85915,-88.99942")</f>
        <v>http://maps.google.com/maps?f=q&amp;hl=en&amp;geocode=&amp;q=39.85915,-88.99942</v>
      </c>
    </row>
    <row r="6981" spans="1:7" ht="15" x14ac:dyDescent="0.3">
      <c r="A6981">
        <v>43.680480000000003</v>
      </c>
      <c r="B6981">
        <v>-86.493219999999994</v>
      </c>
      <c r="C6981" t="s">
        <v>43</v>
      </c>
      <c r="D6981" t="s">
        <v>3342</v>
      </c>
      <c r="F6981" s="21"/>
      <c r="G6981" s="16" t="str">
        <f>HYPERLINK("http://maps.google.com/maps?f=q&amp;hl=en&amp;geocode=&amp;q=43.68048,-86.49322")</f>
        <v>http://maps.google.com/maps?f=q&amp;hl=en&amp;geocode=&amp;q=43.68048,-86.49322</v>
      </c>
    </row>
    <row r="6982" spans="1:7" ht="15" x14ac:dyDescent="0.3">
      <c r="A6982">
        <v>39.859144687642299</v>
      </c>
      <c r="B6982">
        <v>-88.982905782504204</v>
      </c>
      <c r="C6982" t="s">
        <v>41</v>
      </c>
      <c r="D6982" t="s">
        <v>3339</v>
      </c>
      <c r="F6982" s="21"/>
      <c r="G6982" s="16" t="str">
        <f>HYPERLINK("http://maps.google.com/maps?f=q&amp;hl=en&amp;geocode=&amp;q=39.8591446876423,-88.9829057825042")</f>
        <v>http://maps.google.com/maps?f=q&amp;hl=en&amp;geocode=&amp;q=39.8591446876423,-88.9829057825042</v>
      </c>
    </row>
    <row r="6983" spans="1:7" ht="15" x14ac:dyDescent="0.3">
      <c r="A6983">
        <v>41.255760000000002</v>
      </c>
      <c r="B6983">
        <v>-81.447999999999993</v>
      </c>
      <c r="C6983" t="s">
        <v>41</v>
      </c>
      <c r="D6983" t="s">
        <v>3338</v>
      </c>
      <c r="F6983" s="21"/>
      <c r="G6983" s="16" t="str">
        <f>HYPERLINK("http://maps.google.com/maps?f=q&amp;hl=en&amp;geocode=&amp;q=41.25576,-81.448")</f>
        <v>http://maps.google.com/maps?f=q&amp;hl=en&amp;geocode=&amp;q=41.25576,-81.448</v>
      </c>
    </row>
    <row r="6984" spans="1:7" ht="15" x14ac:dyDescent="0.3">
      <c r="A6984">
        <v>41.255760000000002</v>
      </c>
      <c r="B6984">
        <v>-81.447999999999993</v>
      </c>
      <c r="C6984" t="s">
        <v>41</v>
      </c>
      <c r="D6984" t="s">
        <v>3338</v>
      </c>
      <c r="F6984" s="21"/>
      <c r="G6984" s="16" t="str">
        <f>HYPERLINK("http://maps.google.com/maps?f=q&amp;hl=en&amp;geocode=&amp;q=41.25576,-81.448")</f>
        <v>http://maps.google.com/maps?f=q&amp;hl=en&amp;geocode=&amp;q=41.25576,-81.448</v>
      </c>
    </row>
    <row r="6985" spans="1:7" ht="15" x14ac:dyDescent="0.3">
      <c r="A6985">
        <v>39.431381225585902</v>
      </c>
      <c r="B6985">
        <v>-76.3048095703125</v>
      </c>
      <c r="C6985" t="s">
        <v>43</v>
      </c>
      <c r="D6985" t="s">
        <v>4202</v>
      </c>
      <c r="F6985" s="21"/>
      <c r="G6985" s="16" t="str">
        <f>HYPERLINK("http://maps.google.com/maps?f=q&amp;hl=en&amp;geocode=&amp;q=39.4313812255859,-76.3048095703125")</f>
        <v>http://maps.google.com/maps?f=q&amp;hl=en&amp;geocode=&amp;q=39.4313812255859,-76.3048095703125</v>
      </c>
    </row>
    <row r="6986" spans="1:7" ht="15" x14ac:dyDescent="0.3">
      <c r="A6986">
        <v>36.184360504150398</v>
      </c>
      <c r="B6986">
        <v>-86.598686218261705</v>
      </c>
      <c r="C6986" t="s">
        <v>41</v>
      </c>
      <c r="D6986" t="s">
        <v>4203</v>
      </c>
      <c r="F6986" s="21"/>
      <c r="G6986" s="16" t="str">
        <f>HYPERLINK("http://maps.google.com/maps?f=q&amp;hl=en&amp;geocode=&amp;q=36.1843605041504,-86.5986862182617")</f>
        <v>http://maps.google.com/maps?f=q&amp;hl=en&amp;geocode=&amp;q=36.1843605041504,-86.5986862182617</v>
      </c>
    </row>
    <row r="6987" spans="1:7" ht="15" x14ac:dyDescent="0.3">
      <c r="A6987">
        <v>40.682780000000001</v>
      </c>
      <c r="B6987">
        <v>-111.93693</v>
      </c>
      <c r="C6987" t="s">
        <v>43</v>
      </c>
      <c r="D6987" t="s">
        <v>4204</v>
      </c>
      <c r="F6987" s="21"/>
      <c r="G6987" s="16" t="str">
        <f>HYPERLINK("http://maps.google.com/maps?f=q&amp;hl=en&amp;geocode=&amp;q=40.68278,-111.93693")</f>
        <v>http://maps.google.com/maps?f=q&amp;hl=en&amp;geocode=&amp;q=40.68278,-111.93693</v>
      </c>
    </row>
    <row r="6988" spans="1:7" ht="15" x14ac:dyDescent="0.3">
      <c r="A6988" t="s">
        <v>44</v>
      </c>
      <c r="B6988" t="s">
        <v>44</v>
      </c>
      <c r="C6988" t="s">
        <v>44</v>
      </c>
      <c r="D6988" t="s">
        <v>3378</v>
      </c>
      <c r="F6988" s="21"/>
      <c r="G6988" s="16"/>
    </row>
    <row r="6989" spans="1:7" ht="15" x14ac:dyDescent="0.3">
      <c r="A6989">
        <v>36.906898498535199</v>
      </c>
      <c r="B6989">
        <v>7.7501702308654803</v>
      </c>
      <c r="C6989" t="s">
        <v>43</v>
      </c>
      <c r="D6989" t="s">
        <v>4205</v>
      </c>
      <c r="F6989" s="21"/>
      <c r="G6989" s="16" t="str">
        <f>HYPERLINK("http://maps.google.com/maps?f=q&amp;hl=en&amp;geocode=&amp;q=36.9068984985352,7.75017023086548")</f>
        <v>http://maps.google.com/maps?f=q&amp;hl=en&amp;geocode=&amp;q=36.9068984985352,7.75017023086548</v>
      </c>
    </row>
    <row r="6990" spans="1:7" ht="15" x14ac:dyDescent="0.3">
      <c r="A6990">
        <v>40.612789154052699</v>
      </c>
      <c r="B6990">
        <v>-75.592453002929702</v>
      </c>
      <c r="C6990" t="s">
        <v>41</v>
      </c>
      <c r="D6990" t="s">
        <v>4199</v>
      </c>
      <c r="F6990" s="21"/>
      <c r="G6990" s="16" t="str">
        <f>HYPERLINK("http://maps.google.com/maps?f=q&amp;hl=en&amp;geocode=&amp;q=40.6127891540527,-75.5924530029297")</f>
        <v>http://maps.google.com/maps?f=q&amp;hl=en&amp;geocode=&amp;q=40.6127891540527,-75.5924530029297</v>
      </c>
    </row>
    <row r="6991" spans="1:7" ht="15" x14ac:dyDescent="0.3">
      <c r="A6991">
        <v>35.965989015210802</v>
      </c>
      <c r="B6991">
        <v>-94.232247053401494</v>
      </c>
      <c r="C6991" t="s">
        <v>41</v>
      </c>
      <c r="D6991" t="s">
        <v>2543</v>
      </c>
      <c r="F6991" s="21"/>
      <c r="G6991" s="16" t="str">
        <f>HYPERLINK("http://maps.google.com/maps?f=q&amp;hl=en&amp;geocode=&amp;q=35.9659890152108,-94.2322470534015")</f>
        <v>http://maps.google.com/maps?f=q&amp;hl=en&amp;geocode=&amp;q=35.9659890152108,-94.2322470534015</v>
      </c>
    </row>
    <row r="6992" spans="1:7" ht="15" x14ac:dyDescent="0.3">
      <c r="A6992">
        <v>40.031776878378899</v>
      </c>
      <c r="B6992">
        <v>-75.039352309616902</v>
      </c>
      <c r="C6992" t="s">
        <v>41</v>
      </c>
      <c r="D6992" t="s">
        <v>4206</v>
      </c>
      <c r="F6992" s="21"/>
      <c r="G6992" s="16" t="str">
        <f>HYPERLINK("http://maps.google.com/maps?f=q&amp;hl=en&amp;geocode=&amp;q=40.0317768783789,-75.0393523096169")</f>
        <v>http://maps.google.com/maps?f=q&amp;hl=en&amp;geocode=&amp;q=40.0317768783789,-75.0393523096169</v>
      </c>
    </row>
    <row r="6993" spans="1:7" ht="15" x14ac:dyDescent="0.3">
      <c r="A6993">
        <v>41.1077880859375</v>
      </c>
      <c r="B6993">
        <v>-74.133483886718807</v>
      </c>
      <c r="C6993" t="s">
        <v>41</v>
      </c>
      <c r="D6993" t="s">
        <v>570</v>
      </c>
      <c r="F6993" s="21"/>
      <c r="G6993" s="16" t="str">
        <f>HYPERLINK("http://maps.google.com/maps?f=q&amp;hl=en&amp;geocode=&amp;q=41.1077880859375,-74.1334838867188")</f>
        <v>http://maps.google.com/maps?f=q&amp;hl=en&amp;geocode=&amp;q=41.1077880859375,-74.1334838867188</v>
      </c>
    </row>
    <row r="6994" spans="1:7" ht="15" x14ac:dyDescent="0.3">
      <c r="A6994">
        <v>40.021224486271201</v>
      </c>
      <c r="B6994">
        <v>-75.059785237227103</v>
      </c>
      <c r="C6994" t="s">
        <v>41</v>
      </c>
      <c r="D6994" t="s">
        <v>4207</v>
      </c>
      <c r="F6994" s="21"/>
      <c r="G6994" s="16" t="str">
        <f>HYPERLINK("http://maps.google.com/maps?f=q&amp;hl=en&amp;geocode=&amp;q=40.0212244862712,-75.0597852372271")</f>
        <v>http://maps.google.com/maps?f=q&amp;hl=en&amp;geocode=&amp;q=40.0212244862712,-75.0597852372271</v>
      </c>
    </row>
    <row r="6995" spans="1:7" ht="15" x14ac:dyDescent="0.3">
      <c r="A6995">
        <v>40.021224486271201</v>
      </c>
      <c r="B6995">
        <v>-75.059785237227103</v>
      </c>
      <c r="C6995" t="s">
        <v>41</v>
      </c>
      <c r="D6995" t="s">
        <v>4207</v>
      </c>
      <c r="F6995" s="21"/>
      <c r="G6995" s="16" t="str">
        <f>HYPERLINK("http://maps.google.com/maps?f=q&amp;hl=en&amp;geocode=&amp;q=40.0212244862712,-75.0597852372271")</f>
        <v>http://maps.google.com/maps?f=q&amp;hl=en&amp;geocode=&amp;q=40.0212244862712,-75.0597852372271</v>
      </c>
    </row>
    <row r="6996" spans="1:7" ht="15" x14ac:dyDescent="0.3">
      <c r="A6996">
        <v>35.1854650864394</v>
      </c>
      <c r="B6996">
        <v>-89.854542172864797</v>
      </c>
      <c r="C6996" t="s">
        <v>41</v>
      </c>
      <c r="D6996" t="s">
        <v>4208</v>
      </c>
      <c r="F6996" s="21"/>
      <c r="G6996" s="16" t="str">
        <f>HYPERLINK("http://maps.google.com/maps?f=q&amp;hl=en&amp;geocode=&amp;q=35.1854650864394,-89.8545421728648")</f>
        <v>http://maps.google.com/maps?f=q&amp;hl=en&amp;geocode=&amp;q=35.1854650864394,-89.8545421728648</v>
      </c>
    </row>
    <row r="6997" spans="1:7" ht="15" x14ac:dyDescent="0.3">
      <c r="A6997">
        <v>40.021224486271201</v>
      </c>
      <c r="B6997">
        <v>-75.059785237227103</v>
      </c>
      <c r="C6997" t="s">
        <v>41</v>
      </c>
      <c r="D6997" t="s">
        <v>4207</v>
      </c>
      <c r="F6997" s="21"/>
      <c r="G6997" s="16" t="str">
        <f>HYPERLINK("http://maps.google.com/maps?f=q&amp;hl=en&amp;geocode=&amp;q=40.0212244862712,-75.0597852372271")</f>
        <v>http://maps.google.com/maps?f=q&amp;hl=en&amp;geocode=&amp;q=40.0212244862712,-75.0597852372271</v>
      </c>
    </row>
    <row r="6998" spans="1:7" ht="15" x14ac:dyDescent="0.3">
      <c r="A6998">
        <v>49.551639556884801</v>
      </c>
      <c r="B6998">
        <v>10.064470291137701</v>
      </c>
      <c r="C6998" t="s">
        <v>43</v>
      </c>
      <c r="D6998" t="s">
        <v>4209</v>
      </c>
      <c r="F6998" s="21"/>
      <c r="G6998" s="16" t="str">
        <f>HYPERLINK("http://maps.google.com/maps?f=q&amp;hl=en&amp;geocode=&amp;q=49.5516395568848,10.0644702911377")</f>
        <v>http://maps.google.com/maps?f=q&amp;hl=en&amp;geocode=&amp;q=49.5516395568848,10.0644702911377</v>
      </c>
    </row>
    <row r="6999" spans="1:7" ht="15" x14ac:dyDescent="0.3">
      <c r="A6999">
        <v>31.028232608806299</v>
      </c>
      <c r="B6999">
        <v>-87.524015854744405</v>
      </c>
      <c r="C6999" t="s">
        <v>41</v>
      </c>
      <c r="D6999" t="s">
        <v>4210</v>
      </c>
      <c r="F6999" s="21"/>
      <c r="G6999" s="16" t="str">
        <f>HYPERLINK("http://maps.google.com/maps?f=q&amp;hl=en&amp;geocode=&amp;q=31.0282326088063,-87.5240158547444")</f>
        <v>http://maps.google.com/maps?f=q&amp;hl=en&amp;geocode=&amp;q=31.0282326088063,-87.5240158547444</v>
      </c>
    </row>
    <row r="7000" spans="1:7" ht="15" x14ac:dyDescent="0.3">
      <c r="A7000">
        <v>39.5642045883408</v>
      </c>
      <c r="B7000">
        <v>-90.132601938524502</v>
      </c>
      <c r="C7000" t="s">
        <v>41</v>
      </c>
      <c r="D7000" t="s">
        <v>3758</v>
      </c>
      <c r="F7000" s="21"/>
      <c r="G7000" s="16" t="str">
        <f>HYPERLINK("http://maps.google.com/maps?f=q&amp;hl=en&amp;geocode=&amp;q=39.5642045883408,-90.1326019385245")</f>
        <v>http://maps.google.com/maps?f=q&amp;hl=en&amp;geocode=&amp;q=39.5642045883408,-90.1326019385245</v>
      </c>
    </row>
    <row r="7001" spans="1:7" ht="15" x14ac:dyDescent="0.3">
      <c r="A7001">
        <v>39.5642023482715</v>
      </c>
      <c r="B7001">
        <v>-90.142017543293903</v>
      </c>
      <c r="C7001" t="s">
        <v>41</v>
      </c>
      <c r="D7001" t="s">
        <v>3759</v>
      </c>
      <c r="F7001" s="21"/>
      <c r="G7001" s="16" t="str">
        <f>HYPERLINK("http://maps.google.com/maps?f=q&amp;hl=en&amp;geocode=&amp;q=39.5642023482715,-90.1420175432939")</f>
        <v>http://maps.google.com/maps?f=q&amp;hl=en&amp;geocode=&amp;q=39.5642023482715,-90.1420175432939</v>
      </c>
    </row>
    <row r="7002" spans="1:7" ht="15" x14ac:dyDescent="0.3">
      <c r="A7002">
        <v>33.286209106445298</v>
      </c>
      <c r="B7002">
        <v>-117.24503326416</v>
      </c>
      <c r="C7002" t="s">
        <v>41</v>
      </c>
      <c r="D7002" t="s">
        <v>4211</v>
      </c>
      <c r="F7002" s="21"/>
      <c r="G7002" s="16" t="str">
        <f>HYPERLINK("http://maps.google.com/maps?f=q&amp;hl=en&amp;geocode=&amp;q=33.2862091064453,-117.24503326416")</f>
        <v>http://maps.google.com/maps?f=q&amp;hl=en&amp;geocode=&amp;q=33.2862091064453,-117.24503326416</v>
      </c>
    </row>
    <row r="7003" spans="1:7" ht="15" x14ac:dyDescent="0.3">
      <c r="A7003">
        <v>42.195831298828097</v>
      </c>
      <c r="B7003">
        <v>-71.199783325195298</v>
      </c>
      <c r="C7003" t="s">
        <v>43</v>
      </c>
      <c r="D7003" t="s">
        <v>4212</v>
      </c>
      <c r="F7003" s="21"/>
      <c r="G7003" s="16" t="str">
        <f>HYPERLINK("http://maps.google.com/maps?f=q&amp;hl=en&amp;geocode=&amp;q=42.1958312988281,-71.1997833251953")</f>
        <v>http://maps.google.com/maps?f=q&amp;hl=en&amp;geocode=&amp;q=42.1958312988281,-71.1997833251953</v>
      </c>
    </row>
    <row r="7004" spans="1:7" ht="15" x14ac:dyDescent="0.3">
      <c r="F7004" s="21"/>
      <c r="G7004" s="16"/>
    </row>
    <row r="7005" spans="1:7" ht="15" x14ac:dyDescent="0.3">
      <c r="A7005" t="s">
        <v>44</v>
      </c>
      <c r="B7005" t="s">
        <v>44</v>
      </c>
      <c r="C7005" t="s">
        <v>44</v>
      </c>
      <c r="D7005" t="s">
        <v>120</v>
      </c>
      <c r="F7005" s="21"/>
      <c r="G7005" s="16"/>
    </row>
    <row r="7006" spans="1:7" ht="15" x14ac:dyDescent="0.3">
      <c r="A7006">
        <v>42.153358459472699</v>
      </c>
      <c r="B7006">
        <v>-112.969131469727</v>
      </c>
      <c r="C7006" t="s">
        <v>43</v>
      </c>
      <c r="D7006" t="s">
        <v>4213</v>
      </c>
      <c r="F7006" s="21"/>
      <c r="G7006" s="16" t="str">
        <f>HYPERLINK("http://maps.google.com/maps?f=q&amp;hl=en&amp;geocode=&amp;q=42.1533584594727,-112.969131469727")</f>
        <v>http://maps.google.com/maps?f=q&amp;hl=en&amp;geocode=&amp;q=42.1533584594727,-112.969131469727</v>
      </c>
    </row>
    <row r="7007" spans="1:7" ht="15" x14ac:dyDescent="0.3">
      <c r="A7007" t="s">
        <v>44</v>
      </c>
      <c r="B7007" t="s">
        <v>44</v>
      </c>
      <c r="C7007" t="s">
        <v>44</v>
      </c>
      <c r="D7007" t="s">
        <v>120</v>
      </c>
      <c r="F7007" s="21"/>
      <c r="G7007" s="16"/>
    </row>
    <row r="7008" spans="1:7" ht="15" x14ac:dyDescent="0.3">
      <c r="A7008">
        <v>41.985400396520099</v>
      </c>
      <c r="B7008">
        <v>-89.280175317155397</v>
      </c>
      <c r="C7008" t="s">
        <v>41</v>
      </c>
      <c r="D7008" t="s">
        <v>3678</v>
      </c>
      <c r="F7008" s="21"/>
      <c r="G7008" s="16" t="str">
        <f>HYPERLINK("http://maps.google.com/maps?f=q&amp;hl=en&amp;geocode=&amp;q=41.9854003965201,-89.2801753171554")</f>
        <v>http://maps.google.com/maps?f=q&amp;hl=en&amp;geocode=&amp;q=41.9854003965201,-89.2801753171554</v>
      </c>
    </row>
    <row r="7009" spans="1:7" ht="15" x14ac:dyDescent="0.3">
      <c r="A7009">
        <v>39.940498121823502</v>
      </c>
      <c r="B7009">
        <v>-75.174556069894606</v>
      </c>
      <c r="C7009" t="s">
        <v>41</v>
      </c>
      <c r="D7009" t="s">
        <v>4214</v>
      </c>
      <c r="F7009" s="21"/>
      <c r="G7009" s="16" t="str">
        <f>HYPERLINK("http://maps.google.com/maps?f=q&amp;hl=en&amp;geocode=&amp;q=39.9404981218235,-75.1745560698946")</f>
        <v>http://maps.google.com/maps?f=q&amp;hl=en&amp;geocode=&amp;q=39.9404981218235,-75.1745560698946</v>
      </c>
    </row>
    <row r="7010" spans="1:7" ht="15" x14ac:dyDescent="0.3">
      <c r="A7010">
        <v>37.013860000000001</v>
      </c>
      <c r="B7010">
        <v>-98.486680000000007</v>
      </c>
      <c r="C7010" t="s">
        <v>43</v>
      </c>
      <c r="D7010" t="s">
        <v>4215</v>
      </c>
      <c r="F7010" s="21"/>
      <c r="G7010" s="16" t="str">
        <f>HYPERLINK("http://maps.google.com/maps?f=q&amp;hl=en&amp;geocode=&amp;q=37.01386,-98.48668")</f>
        <v>http://maps.google.com/maps?f=q&amp;hl=en&amp;geocode=&amp;q=37.01386,-98.48668</v>
      </c>
    </row>
    <row r="7011" spans="1:7" ht="15" x14ac:dyDescent="0.3">
      <c r="A7011">
        <v>39.9180449215484</v>
      </c>
      <c r="B7011">
        <v>-75.233103899088604</v>
      </c>
      <c r="C7011" t="s">
        <v>43</v>
      </c>
      <c r="D7011" t="s">
        <v>792</v>
      </c>
      <c r="F7011" s="21"/>
      <c r="G7011" s="16" t="str">
        <f>HYPERLINK("http://maps.google.com/maps?f=q&amp;hl=en&amp;geocode=&amp;q=39.9180449215484,-75.2331038990886")</f>
        <v>http://maps.google.com/maps?f=q&amp;hl=en&amp;geocode=&amp;q=39.9180449215484,-75.2331038990886</v>
      </c>
    </row>
    <row r="7012" spans="1:7" ht="15" x14ac:dyDescent="0.3">
      <c r="A7012">
        <v>31.009934501394198</v>
      </c>
      <c r="B7012">
        <v>-86.337775793885399</v>
      </c>
      <c r="C7012" t="s">
        <v>41</v>
      </c>
      <c r="D7012" t="s">
        <v>4216</v>
      </c>
      <c r="F7012" s="21"/>
      <c r="G7012" s="16" t="str">
        <f>HYPERLINK("http://maps.google.com/maps?f=q&amp;hl=en&amp;geocode=&amp;q=31.0099345013942,-86.3377757938854")</f>
        <v>http://maps.google.com/maps?f=q&amp;hl=en&amp;geocode=&amp;q=31.0099345013942,-86.3377757938854</v>
      </c>
    </row>
    <row r="7013" spans="1:7" ht="15" x14ac:dyDescent="0.3">
      <c r="A7013">
        <v>35.744648789723101</v>
      </c>
      <c r="B7013">
        <v>-84.316802522948294</v>
      </c>
      <c r="C7013" t="s">
        <v>43</v>
      </c>
      <c r="D7013" t="s">
        <v>4217</v>
      </c>
      <c r="F7013" s="21"/>
      <c r="G7013" s="16" t="str">
        <f>HYPERLINK("http://maps.google.com/maps?f=q&amp;hl=en&amp;geocode=&amp;q=35.7446487897231,-84.3168025229483")</f>
        <v>http://maps.google.com/maps?f=q&amp;hl=en&amp;geocode=&amp;q=35.7446487897231,-84.3168025229483</v>
      </c>
    </row>
    <row r="7014" spans="1:7" ht="15" x14ac:dyDescent="0.3">
      <c r="A7014">
        <v>35.744648789723101</v>
      </c>
      <c r="B7014">
        <v>-84.316802522948294</v>
      </c>
      <c r="C7014" t="s">
        <v>43</v>
      </c>
      <c r="D7014" t="s">
        <v>4217</v>
      </c>
      <c r="F7014" s="21"/>
      <c r="G7014" s="16" t="str">
        <f>HYPERLINK("http://maps.google.com/maps?f=q&amp;hl=en&amp;geocode=&amp;q=35.7446487897231,-84.3168025229483")</f>
        <v>http://maps.google.com/maps?f=q&amp;hl=en&amp;geocode=&amp;q=35.7446487897231,-84.3168025229483</v>
      </c>
    </row>
    <row r="7015" spans="1:7" ht="15" x14ac:dyDescent="0.3">
      <c r="A7015">
        <v>40.040390000000002</v>
      </c>
      <c r="B7015">
        <v>-75.109629999999996</v>
      </c>
      <c r="C7015" t="s">
        <v>43</v>
      </c>
      <c r="D7015" t="s">
        <v>777</v>
      </c>
      <c r="F7015" s="21"/>
      <c r="G7015" s="16" t="str">
        <f>HYPERLINK("http://maps.google.com/maps?f=q&amp;hl=en&amp;geocode=&amp;q=40.04039,-75.10963")</f>
        <v>http://maps.google.com/maps?f=q&amp;hl=en&amp;geocode=&amp;q=40.04039,-75.10963</v>
      </c>
    </row>
    <row r="7016" spans="1:7" ht="15" x14ac:dyDescent="0.3">
      <c r="A7016">
        <v>35.744648789723101</v>
      </c>
      <c r="B7016">
        <v>-84.316802522948294</v>
      </c>
      <c r="C7016" t="s">
        <v>43</v>
      </c>
      <c r="D7016" t="s">
        <v>4217</v>
      </c>
      <c r="F7016" s="21"/>
      <c r="G7016" s="16" t="str">
        <f>HYPERLINK("http://maps.google.com/maps?f=q&amp;hl=en&amp;geocode=&amp;q=35.7446487897231,-84.3168025229483")</f>
        <v>http://maps.google.com/maps?f=q&amp;hl=en&amp;geocode=&amp;q=35.7446487897231,-84.3168025229483</v>
      </c>
    </row>
    <row r="7017" spans="1:7" ht="15" x14ac:dyDescent="0.3">
      <c r="A7017">
        <v>49.518180847167997</v>
      </c>
      <c r="B7017">
        <v>5.8978409767150897</v>
      </c>
      <c r="C7017" t="s">
        <v>41</v>
      </c>
      <c r="D7017" t="s">
        <v>2510</v>
      </c>
      <c r="F7017" s="21"/>
      <c r="G7017" s="16" t="str">
        <f>HYPERLINK("http://maps.google.com/maps?f=q&amp;hl=en&amp;geocode=&amp;q=49.518180847168,5.89784097671509")</f>
        <v>http://maps.google.com/maps?f=q&amp;hl=en&amp;geocode=&amp;q=49.518180847168,5.89784097671509</v>
      </c>
    </row>
    <row r="7018" spans="1:7" ht="15" x14ac:dyDescent="0.3">
      <c r="A7018">
        <v>49.518180847167997</v>
      </c>
      <c r="B7018">
        <v>5.8978409767150897</v>
      </c>
      <c r="C7018" t="s">
        <v>41</v>
      </c>
      <c r="D7018" t="s">
        <v>2510</v>
      </c>
      <c r="F7018" s="21"/>
      <c r="G7018" s="16" t="str">
        <f>HYPERLINK("http://maps.google.com/maps?f=q&amp;hl=en&amp;geocode=&amp;q=49.518180847168,5.89784097671509")</f>
        <v>http://maps.google.com/maps?f=q&amp;hl=en&amp;geocode=&amp;q=49.518180847168,5.89784097671509</v>
      </c>
    </row>
    <row r="7019" spans="1:7" ht="15" x14ac:dyDescent="0.3">
      <c r="A7019">
        <v>40.758739471435497</v>
      </c>
      <c r="B7019">
        <v>-72.939590454101605</v>
      </c>
      <c r="C7019" t="s">
        <v>41</v>
      </c>
      <c r="D7019" t="s">
        <v>4218</v>
      </c>
      <c r="F7019" s="21"/>
      <c r="G7019" s="16" t="str">
        <f>HYPERLINK("http://maps.google.com/maps?f=q&amp;hl=en&amp;geocode=&amp;q=40.7587394714355,-72.9395904541016")</f>
        <v>http://maps.google.com/maps?f=q&amp;hl=en&amp;geocode=&amp;q=40.7587394714355,-72.9395904541016</v>
      </c>
    </row>
    <row r="7020" spans="1:7" ht="15" x14ac:dyDescent="0.3">
      <c r="A7020">
        <v>50.780136108398402</v>
      </c>
      <c r="B7020">
        <v>4.2288222312927202</v>
      </c>
      <c r="C7020" t="s">
        <v>43</v>
      </c>
      <c r="D7020" t="s">
        <v>4219</v>
      </c>
      <c r="F7020" s="21"/>
      <c r="G7020" s="16" t="str">
        <f>HYPERLINK("http://maps.google.com/maps?f=q&amp;hl=en&amp;geocode=&amp;q=50.7801361083984,4.22882223129272")</f>
        <v>http://maps.google.com/maps?f=q&amp;hl=en&amp;geocode=&amp;q=50.7801361083984,4.22882223129272</v>
      </c>
    </row>
    <row r="7021" spans="1:7" ht="15" x14ac:dyDescent="0.3">
      <c r="A7021">
        <v>32.866032531601398</v>
      </c>
      <c r="B7021">
        <v>-96.710782351020001</v>
      </c>
      <c r="C7021" t="s">
        <v>41</v>
      </c>
      <c r="D7021" t="s">
        <v>4220</v>
      </c>
      <c r="F7021" s="21"/>
      <c r="G7021" s="16" t="str">
        <f>HYPERLINK("http://maps.google.com/maps?f=q&amp;hl=en&amp;geocode=&amp;q=32.8660325316014,-96.71078235102")</f>
        <v>http://maps.google.com/maps?f=q&amp;hl=en&amp;geocode=&amp;q=32.8660325316014,-96.71078235102</v>
      </c>
    </row>
    <row r="7022" spans="1:7" ht="15" x14ac:dyDescent="0.3">
      <c r="A7022">
        <v>49.518180847167997</v>
      </c>
      <c r="B7022">
        <v>5.8978409767150897</v>
      </c>
      <c r="C7022" t="s">
        <v>41</v>
      </c>
      <c r="D7022" t="s">
        <v>2510</v>
      </c>
      <c r="F7022" s="21"/>
      <c r="G7022" s="16" t="str">
        <f>HYPERLINK("http://maps.google.com/maps?f=q&amp;hl=en&amp;geocode=&amp;q=49.518180847168,5.89784097671509")</f>
        <v>http://maps.google.com/maps?f=q&amp;hl=en&amp;geocode=&amp;q=49.518180847168,5.89784097671509</v>
      </c>
    </row>
    <row r="7023" spans="1:7" ht="15" x14ac:dyDescent="0.3">
      <c r="A7023">
        <v>38.997250000000001</v>
      </c>
      <c r="B7023">
        <v>-74.818830000000005</v>
      </c>
      <c r="C7023" t="s">
        <v>41</v>
      </c>
      <c r="D7023" t="s">
        <v>4221</v>
      </c>
      <c r="F7023" s="21"/>
      <c r="G7023" s="16" t="str">
        <f>HYPERLINK("http://maps.google.com/maps?f=q&amp;hl=en&amp;geocode=&amp;q=38.99725,-74.81883")</f>
        <v>http://maps.google.com/maps?f=q&amp;hl=en&amp;geocode=&amp;q=38.99725,-74.81883</v>
      </c>
    </row>
    <row r="7024" spans="1:7" ht="15" x14ac:dyDescent="0.3">
      <c r="A7024">
        <v>44.258699999999997</v>
      </c>
      <c r="B7024">
        <v>-69.450710000000001</v>
      </c>
      <c r="C7024" t="s">
        <v>41</v>
      </c>
      <c r="D7024" t="s">
        <v>4222</v>
      </c>
      <c r="F7024" s="21"/>
      <c r="G7024" s="16" t="str">
        <f>HYPERLINK("http://maps.google.com/maps?f=q&amp;hl=en&amp;geocode=&amp;q=44.2587,-69.45071")</f>
        <v>http://maps.google.com/maps?f=q&amp;hl=en&amp;geocode=&amp;q=44.2587,-69.45071</v>
      </c>
    </row>
    <row r="7025" spans="1:7" ht="15" x14ac:dyDescent="0.3">
      <c r="A7025">
        <v>-26.1773872375488</v>
      </c>
      <c r="B7025">
        <v>28.1647834777832</v>
      </c>
      <c r="C7025" t="s">
        <v>43</v>
      </c>
      <c r="D7025" t="s">
        <v>4223</v>
      </c>
      <c r="F7025" s="21"/>
      <c r="G7025" s="16" t="str">
        <f>HYPERLINK("http://maps.google.com/maps?f=q&amp;hl=en&amp;geocode=&amp;q=-26.1773872375488,28.1647834777832")</f>
        <v>http://maps.google.com/maps?f=q&amp;hl=en&amp;geocode=&amp;q=-26.1773872375488,28.1647834777832</v>
      </c>
    </row>
    <row r="7026" spans="1:7" ht="15" x14ac:dyDescent="0.3">
      <c r="F7026" s="21"/>
      <c r="G7026" s="16"/>
    </row>
    <row r="7027" spans="1:7" ht="15" x14ac:dyDescent="0.3">
      <c r="A7027">
        <v>41.255760000000002</v>
      </c>
      <c r="B7027">
        <v>-81.447999999999993</v>
      </c>
      <c r="C7027" t="s">
        <v>41</v>
      </c>
      <c r="D7027" t="s">
        <v>3338</v>
      </c>
      <c r="F7027" s="21"/>
      <c r="G7027" s="16" t="str">
        <f>HYPERLINK("http://maps.google.com/maps?f=q&amp;hl=en&amp;geocode=&amp;q=41.25576,-81.448")</f>
        <v>http://maps.google.com/maps?f=q&amp;hl=en&amp;geocode=&amp;q=41.25576,-81.448</v>
      </c>
    </row>
    <row r="7028" spans="1:7" ht="15" x14ac:dyDescent="0.3">
      <c r="A7028">
        <v>41.545448303222699</v>
      </c>
      <c r="B7028">
        <v>-76.742660522460895</v>
      </c>
      <c r="C7028" t="s">
        <v>43</v>
      </c>
      <c r="D7028" t="s">
        <v>1196</v>
      </c>
      <c r="F7028" s="21"/>
      <c r="G7028" s="16" t="str">
        <f>HYPERLINK("http://maps.google.com/maps?f=q&amp;hl=en&amp;geocode=&amp;q=41.5454483032227,-76.7426605224609")</f>
        <v>http://maps.google.com/maps?f=q&amp;hl=en&amp;geocode=&amp;q=41.5454483032227,-76.7426605224609</v>
      </c>
    </row>
    <row r="7029" spans="1:7" ht="15" x14ac:dyDescent="0.3">
      <c r="A7029">
        <v>39.151271820068402</v>
      </c>
      <c r="B7029">
        <v>-76.764373779296903</v>
      </c>
      <c r="C7029" t="s">
        <v>43</v>
      </c>
      <c r="D7029" t="s">
        <v>1200</v>
      </c>
      <c r="F7029" s="21"/>
      <c r="G7029" s="16" t="str">
        <f>HYPERLINK("http://maps.google.com/maps?f=q&amp;hl=en&amp;geocode=&amp;q=39.1512718200684,-76.7643737792969")</f>
        <v>http://maps.google.com/maps?f=q&amp;hl=en&amp;geocode=&amp;q=39.1512718200684,-76.7643737792969</v>
      </c>
    </row>
    <row r="7030" spans="1:7" ht="15" x14ac:dyDescent="0.3">
      <c r="A7030">
        <v>39.151271820068402</v>
      </c>
      <c r="B7030">
        <v>-76.764373779296903</v>
      </c>
      <c r="C7030" t="s">
        <v>43</v>
      </c>
      <c r="D7030" t="s">
        <v>1200</v>
      </c>
      <c r="F7030" s="21"/>
      <c r="G7030" s="16" t="str">
        <f>HYPERLINK("http://maps.google.com/maps?f=q&amp;hl=en&amp;geocode=&amp;q=39.1512718200684,-76.7643737792969")</f>
        <v>http://maps.google.com/maps?f=q&amp;hl=en&amp;geocode=&amp;q=39.1512718200684,-76.7643737792969</v>
      </c>
    </row>
    <row r="7031" spans="1:7" ht="15" x14ac:dyDescent="0.3">
      <c r="A7031">
        <v>29.94772</v>
      </c>
      <c r="B7031">
        <v>-93.937799999999996</v>
      </c>
      <c r="C7031" t="s">
        <v>41</v>
      </c>
      <c r="D7031" t="s">
        <v>772</v>
      </c>
      <c r="F7031" s="21"/>
      <c r="G7031" s="16" t="str">
        <f>HYPERLINK("http://maps.google.com/maps?f=q&amp;hl=en&amp;geocode=&amp;q=29.94772,-93.9378")</f>
        <v>http://maps.google.com/maps?f=q&amp;hl=en&amp;geocode=&amp;q=29.94772,-93.9378</v>
      </c>
    </row>
    <row r="7032" spans="1:7" ht="15" x14ac:dyDescent="0.3">
      <c r="A7032">
        <v>29.94772</v>
      </c>
      <c r="B7032">
        <v>-93.937799999999996</v>
      </c>
      <c r="C7032" t="s">
        <v>41</v>
      </c>
      <c r="D7032" t="s">
        <v>772</v>
      </c>
      <c r="F7032" s="21"/>
      <c r="G7032" s="16" t="str">
        <f>HYPERLINK("http://maps.google.com/maps?f=q&amp;hl=en&amp;geocode=&amp;q=29.94772,-93.9378")</f>
        <v>http://maps.google.com/maps?f=q&amp;hl=en&amp;geocode=&amp;q=29.94772,-93.9378</v>
      </c>
    </row>
    <row r="7033" spans="1:7" ht="15" x14ac:dyDescent="0.3">
      <c r="A7033">
        <v>29.94772</v>
      </c>
      <c r="B7033">
        <v>-93.937799999999996</v>
      </c>
      <c r="C7033" t="s">
        <v>41</v>
      </c>
      <c r="D7033" t="s">
        <v>772</v>
      </c>
      <c r="F7033" s="21"/>
      <c r="G7033" s="16" t="str">
        <f>HYPERLINK("http://maps.google.com/maps?f=q&amp;hl=en&amp;geocode=&amp;q=29.94772,-93.9378")</f>
        <v>http://maps.google.com/maps?f=q&amp;hl=en&amp;geocode=&amp;q=29.94772,-93.9378</v>
      </c>
    </row>
    <row r="7034" spans="1:7" ht="15" x14ac:dyDescent="0.3">
      <c r="A7034">
        <v>37.0063803937621</v>
      </c>
      <c r="B7034">
        <v>-89.183859742388407</v>
      </c>
      <c r="C7034" t="s">
        <v>41</v>
      </c>
      <c r="D7034" t="s">
        <v>780</v>
      </c>
      <c r="F7034" s="21"/>
      <c r="G7034" s="16" t="str">
        <f>HYPERLINK("http://maps.google.com/maps?f=q&amp;hl=en&amp;geocode=&amp;q=37.0063803937621,-89.1838597423884")</f>
        <v>http://maps.google.com/maps?f=q&amp;hl=en&amp;geocode=&amp;q=37.0063803937621,-89.1838597423884</v>
      </c>
    </row>
    <row r="7035" spans="1:7" ht="15" x14ac:dyDescent="0.3">
      <c r="A7035">
        <v>40.982819787261697</v>
      </c>
      <c r="B7035">
        <v>-93.652910754426102</v>
      </c>
      <c r="C7035" t="s">
        <v>41</v>
      </c>
      <c r="D7035" t="s">
        <v>4224</v>
      </c>
      <c r="F7035" s="21"/>
      <c r="G7035" s="16" t="str">
        <f>HYPERLINK("http://maps.google.com/maps?f=q&amp;hl=en&amp;geocode=&amp;q=40.9828197872617,-93.6529107544261")</f>
        <v>http://maps.google.com/maps?f=q&amp;hl=en&amp;geocode=&amp;q=40.9828197872617,-93.6529107544261</v>
      </c>
    </row>
    <row r="7036" spans="1:7" ht="15" x14ac:dyDescent="0.3">
      <c r="A7036">
        <v>31.302465511316498</v>
      </c>
      <c r="B7036">
        <v>-90.955593741662099</v>
      </c>
      <c r="C7036" t="s">
        <v>41</v>
      </c>
      <c r="D7036" t="s">
        <v>4225</v>
      </c>
      <c r="F7036" s="21"/>
      <c r="G7036" s="16" t="str">
        <f>HYPERLINK("http://maps.google.com/maps?f=q&amp;hl=en&amp;geocode=&amp;q=31.3024655113165,-90.9555937416621")</f>
        <v>http://maps.google.com/maps?f=q&amp;hl=en&amp;geocode=&amp;q=31.3024655113165,-90.9555937416621</v>
      </c>
    </row>
    <row r="7037" spans="1:7" ht="15" x14ac:dyDescent="0.3">
      <c r="A7037">
        <v>32.9852581192145</v>
      </c>
      <c r="B7037">
        <v>-96.801636084177403</v>
      </c>
      <c r="C7037" t="s">
        <v>41</v>
      </c>
      <c r="D7037" t="s">
        <v>4154</v>
      </c>
      <c r="F7037" s="21"/>
      <c r="G7037" s="16" t="str">
        <f>HYPERLINK("http://maps.google.com/maps?f=q&amp;hl=en&amp;geocode=&amp;q=32.9852581192145,-96.8016360841774")</f>
        <v>http://maps.google.com/maps?f=q&amp;hl=en&amp;geocode=&amp;q=32.9852581192145,-96.8016360841774</v>
      </c>
    </row>
    <row r="7038" spans="1:7" ht="15" x14ac:dyDescent="0.3">
      <c r="A7038">
        <v>35.433559417724602</v>
      </c>
      <c r="B7038">
        <v>-79.587303161621094</v>
      </c>
      <c r="C7038" t="s">
        <v>43</v>
      </c>
      <c r="D7038" t="s">
        <v>4226</v>
      </c>
      <c r="F7038" s="21"/>
      <c r="G7038" s="16" t="str">
        <f>HYPERLINK("http://maps.google.com/maps?f=q&amp;hl=en&amp;geocode=&amp;q=35.4335594177246,-79.5873031616211")</f>
        <v>http://maps.google.com/maps?f=q&amp;hl=en&amp;geocode=&amp;q=35.4335594177246,-79.5873031616211</v>
      </c>
    </row>
    <row r="7039" spans="1:7" ht="15" x14ac:dyDescent="0.3">
      <c r="A7039">
        <v>42.156185150146499</v>
      </c>
      <c r="B7039">
        <v>-71.566192626953097</v>
      </c>
      <c r="C7039" t="s">
        <v>41</v>
      </c>
      <c r="D7039" t="s">
        <v>4227</v>
      </c>
      <c r="F7039" s="21"/>
      <c r="G7039" s="16" t="str">
        <f>HYPERLINK("http://maps.google.com/maps?f=q&amp;hl=en&amp;geocode=&amp;q=42.1561851501465,-71.5661926269531")</f>
        <v>http://maps.google.com/maps?f=q&amp;hl=en&amp;geocode=&amp;q=42.1561851501465,-71.5661926269531</v>
      </c>
    </row>
    <row r="7040" spans="1:7" ht="15" x14ac:dyDescent="0.3">
      <c r="A7040">
        <v>40.660210007906599</v>
      </c>
      <c r="B7040">
        <v>-73.936689720819203</v>
      </c>
      <c r="C7040" t="s">
        <v>41</v>
      </c>
      <c r="D7040" t="s">
        <v>1509</v>
      </c>
      <c r="F7040" s="21"/>
      <c r="G7040" s="16" t="str">
        <f>HYPERLINK("http://maps.google.com/maps?f=q&amp;hl=en&amp;geocode=&amp;q=40.6602100079066,-73.9366897208192")</f>
        <v>http://maps.google.com/maps?f=q&amp;hl=en&amp;geocode=&amp;q=40.6602100079066,-73.9366897208192</v>
      </c>
    </row>
    <row r="7041" spans="1:7" ht="15" x14ac:dyDescent="0.3">
      <c r="A7041">
        <v>40.043340000000001</v>
      </c>
      <c r="B7041">
        <v>-75.104200000000006</v>
      </c>
      <c r="C7041" t="s">
        <v>43</v>
      </c>
      <c r="D7041" t="s">
        <v>1245</v>
      </c>
      <c r="F7041" s="21"/>
      <c r="G7041" s="16" t="str">
        <f>HYPERLINK("http://maps.google.com/maps?f=q&amp;hl=en&amp;geocode=&amp;q=40.04334,-75.1042")</f>
        <v>http://maps.google.com/maps?f=q&amp;hl=en&amp;geocode=&amp;q=40.04334,-75.1042</v>
      </c>
    </row>
    <row r="7042" spans="1:7" ht="15" x14ac:dyDescent="0.3">
      <c r="A7042">
        <v>39.984005437389399</v>
      </c>
      <c r="B7042">
        <v>-75.108766935152005</v>
      </c>
      <c r="C7042" t="s">
        <v>41</v>
      </c>
      <c r="D7042" t="s">
        <v>4228</v>
      </c>
      <c r="F7042" s="21"/>
      <c r="G7042" s="16" t="str">
        <f>HYPERLINK("http://maps.google.com/maps?f=q&amp;hl=en&amp;geocode=&amp;q=39.9840054373894,-75.108766935152")</f>
        <v>http://maps.google.com/maps?f=q&amp;hl=en&amp;geocode=&amp;q=39.9840054373894,-75.108766935152</v>
      </c>
    </row>
    <row r="7043" spans="1:7" ht="15" x14ac:dyDescent="0.3">
      <c r="A7043">
        <v>45.837741851806598</v>
      </c>
      <c r="B7043">
        <v>25.005935668945298</v>
      </c>
      <c r="C7043" t="s">
        <v>41</v>
      </c>
      <c r="D7043" t="s">
        <v>4229</v>
      </c>
      <c r="F7043" s="21"/>
      <c r="G7043" s="16" t="str">
        <f>HYPERLINK("http://maps.google.com/maps?f=q&amp;hl=en&amp;geocode=&amp;q=45.8377418518066,25.0059356689453")</f>
        <v>http://maps.google.com/maps?f=q&amp;hl=en&amp;geocode=&amp;q=45.8377418518066,25.0059356689453</v>
      </c>
    </row>
    <row r="7044" spans="1:7" ht="15" x14ac:dyDescent="0.3">
      <c r="A7044">
        <v>51.220909118652301</v>
      </c>
      <c r="B7044">
        <v>5.7932801246643102</v>
      </c>
      <c r="C7044" t="s">
        <v>43</v>
      </c>
      <c r="D7044" t="s">
        <v>4230</v>
      </c>
      <c r="F7044" s="21"/>
      <c r="G7044" s="16" t="str">
        <f>HYPERLINK("http://maps.google.com/maps?f=q&amp;hl=en&amp;geocode=&amp;q=51.2209091186523,5.79328012466431")</f>
        <v>http://maps.google.com/maps?f=q&amp;hl=en&amp;geocode=&amp;q=51.2209091186523,5.79328012466431</v>
      </c>
    </row>
    <row r="7045" spans="1:7" ht="15" x14ac:dyDescent="0.3">
      <c r="A7045">
        <v>40.025500000000001</v>
      </c>
      <c r="B7045">
        <v>-75.078550000000007</v>
      </c>
      <c r="C7045" t="s">
        <v>41</v>
      </c>
      <c r="D7045" t="s">
        <v>4231</v>
      </c>
      <c r="F7045" s="21"/>
      <c r="G7045" s="16" t="str">
        <f>HYPERLINK("http://maps.google.com/maps?f=q&amp;hl=en&amp;geocode=&amp;q=40.0255,-75.07855")</f>
        <v>http://maps.google.com/maps?f=q&amp;hl=en&amp;geocode=&amp;q=40.0255,-75.07855</v>
      </c>
    </row>
    <row r="7046" spans="1:7" ht="15" x14ac:dyDescent="0.3">
      <c r="A7046">
        <v>33.845458984375</v>
      </c>
      <c r="B7046">
        <v>-81.663101196289105</v>
      </c>
      <c r="C7046" t="s">
        <v>41</v>
      </c>
      <c r="D7046" t="s">
        <v>3091</v>
      </c>
      <c r="F7046" s="21"/>
      <c r="G7046" s="16" t="str">
        <f>HYPERLINK("http://maps.google.com/maps?f=q&amp;hl=en&amp;geocode=&amp;q=33.845458984375,-81.6631011962891")</f>
        <v>http://maps.google.com/maps?f=q&amp;hl=en&amp;geocode=&amp;q=33.845458984375,-81.6631011962891</v>
      </c>
    </row>
    <row r="7047" spans="1:7" ht="15" x14ac:dyDescent="0.3">
      <c r="A7047">
        <v>50.780136108398402</v>
      </c>
      <c r="B7047">
        <v>4.2288222312927202</v>
      </c>
      <c r="C7047" t="s">
        <v>43</v>
      </c>
      <c r="D7047" t="s">
        <v>4232</v>
      </c>
      <c r="F7047" s="21"/>
      <c r="G7047" s="16" t="str">
        <f>HYPERLINK("http://maps.google.com/maps?f=q&amp;hl=en&amp;geocode=&amp;q=50.7801361083984,4.22882223129272")</f>
        <v>http://maps.google.com/maps?f=q&amp;hl=en&amp;geocode=&amp;q=50.7801361083984,4.22882223129272</v>
      </c>
    </row>
    <row r="7048" spans="1:7" ht="15" x14ac:dyDescent="0.3">
      <c r="A7048">
        <v>40.255798159812898</v>
      </c>
      <c r="B7048">
        <v>-74.737254956354803</v>
      </c>
      <c r="C7048" t="s">
        <v>41</v>
      </c>
      <c r="D7048" t="s">
        <v>2521</v>
      </c>
      <c r="F7048" s="21"/>
      <c r="G7048" s="16" t="str">
        <f>HYPERLINK("http://maps.google.com/maps?f=q&amp;hl=en&amp;geocode=&amp;q=40.2557981598129,-74.7372549563548")</f>
        <v>http://maps.google.com/maps?f=q&amp;hl=en&amp;geocode=&amp;q=40.2557981598129,-74.7372549563548</v>
      </c>
    </row>
    <row r="7049" spans="1:7" ht="15" x14ac:dyDescent="0.3">
      <c r="A7049">
        <v>30.64096</v>
      </c>
      <c r="B7049">
        <v>-87.102549999999994</v>
      </c>
      <c r="C7049" t="s">
        <v>42</v>
      </c>
      <c r="D7049" t="s">
        <v>4233</v>
      </c>
      <c r="F7049" s="21"/>
      <c r="G7049" s="16" t="str">
        <f>HYPERLINK("http://maps.google.com/maps?f=q&amp;hl=en&amp;geocode=&amp;q=30.64096,-87.10255")</f>
        <v>http://maps.google.com/maps?f=q&amp;hl=en&amp;geocode=&amp;q=30.64096,-87.10255</v>
      </c>
    </row>
    <row r="7050" spans="1:7" ht="15" x14ac:dyDescent="0.3">
      <c r="A7050">
        <v>39.939024432412999</v>
      </c>
      <c r="B7050">
        <v>-75.219832811076301</v>
      </c>
      <c r="C7050" t="s">
        <v>41</v>
      </c>
      <c r="D7050" t="s">
        <v>1907</v>
      </c>
      <c r="F7050" s="21"/>
      <c r="G7050" s="16" t="str">
        <f>HYPERLINK("http://maps.google.com/maps?f=q&amp;hl=en&amp;geocode=&amp;q=39.939024432413,-75.2198328110763")</f>
        <v>http://maps.google.com/maps?f=q&amp;hl=en&amp;geocode=&amp;q=39.939024432413,-75.2198328110763</v>
      </c>
    </row>
    <row r="7051" spans="1:7" ht="15" x14ac:dyDescent="0.3">
      <c r="A7051">
        <v>42.4435</v>
      </c>
      <c r="B7051">
        <v>-85.700490000000002</v>
      </c>
      <c r="C7051" t="s">
        <v>42</v>
      </c>
      <c r="D7051" t="s">
        <v>2397</v>
      </c>
      <c r="F7051" s="21"/>
      <c r="G7051" s="16" t="str">
        <f>HYPERLINK("http://maps.google.com/maps?f=q&amp;hl=en&amp;geocode=&amp;q=42.4435,-85.70049")</f>
        <v>http://maps.google.com/maps?f=q&amp;hl=en&amp;geocode=&amp;q=42.4435,-85.70049</v>
      </c>
    </row>
    <row r="7052" spans="1:7" ht="15" x14ac:dyDescent="0.3">
      <c r="A7052">
        <v>43.530143623363301</v>
      </c>
      <c r="B7052">
        <v>-116.569240238611</v>
      </c>
      <c r="C7052" t="s">
        <v>43</v>
      </c>
      <c r="D7052" t="s">
        <v>3080</v>
      </c>
      <c r="F7052" s="21"/>
      <c r="G7052" s="16" t="str">
        <f>HYPERLINK("http://maps.google.com/maps?f=q&amp;hl=en&amp;geocode=&amp;q=43.5301436233633,-116.569240238611")</f>
        <v>http://maps.google.com/maps?f=q&amp;hl=en&amp;geocode=&amp;q=43.5301436233633,-116.569240238611</v>
      </c>
    </row>
    <row r="7053" spans="1:7" ht="15" x14ac:dyDescent="0.3">
      <c r="A7053">
        <v>36.382385157353298</v>
      </c>
      <c r="B7053">
        <v>-78.628909711545006</v>
      </c>
      <c r="C7053" t="s">
        <v>41</v>
      </c>
      <c r="D7053" t="s">
        <v>138</v>
      </c>
      <c r="F7053" s="21"/>
      <c r="G7053" s="16" t="str">
        <f>HYPERLINK("http://maps.google.com/maps?f=q&amp;hl=en&amp;geocode=&amp;q=36.3823851573533,-78.628909711545")</f>
        <v>http://maps.google.com/maps?f=q&amp;hl=en&amp;geocode=&amp;q=36.3823851573533,-78.628909711545</v>
      </c>
    </row>
    <row r="7054" spans="1:7" ht="15" x14ac:dyDescent="0.3">
      <c r="A7054">
        <v>40.693738090110102</v>
      </c>
      <c r="B7054">
        <v>-78.147867879140094</v>
      </c>
      <c r="C7054" t="s">
        <v>43</v>
      </c>
      <c r="D7054" t="s">
        <v>4234</v>
      </c>
      <c r="F7054" s="21"/>
      <c r="G7054" s="16" t="str">
        <f>HYPERLINK("http://maps.google.com/maps?f=q&amp;hl=en&amp;geocode=&amp;q=40.6937380901101,-78.1478678791401")</f>
        <v>http://maps.google.com/maps?f=q&amp;hl=en&amp;geocode=&amp;q=40.6937380901101,-78.1478678791401</v>
      </c>
    </row>
    <row r="7055" spans="1:7" ht="15" x14ac:dyDescent="0.3">
      <c r="F7055" s="21"/>
      <c r="G7055" s="16"/>
    </row>
    <row r="7056" spans="1:7" ht="15" x14ac:dyDescent="0.3">
      <c r="A7056" t="s">
        <v>44</v>
      </c>
      <c r="B7056" t="s">
        <v>44</v>
      </c>
      <c r="C7056" t="s">
        <v>44</v>
      </c>
      <c r="D7056" t="s">
        <v>4235</v>
      </c>
      <c r="F7056" s="21"/>
      <c r="G7056" s="16"/>
    </row>
    <row r="7057" spans="1:7" ht="15" x14ac:dyDescent="0.3">
      <c r="A7057">
        <v>58.133331298828097</v>
      </c>
      <c r="B7057">
        <v>-92.849998474121094</v>
      </c>
      <c r="C7057" t="s">
        <v>43</v>
      </c>
      <c r="D7057" t="s">
        <v>4236</v>
      </c>
      <c r="F7057" s="21"/>
      <c r="G7057" s="16" t="str">
        <f>HYPERLINK("http://maps.google.com/maps?f=q&amp;hl=en&amp;geocode=&amp;q=58.1333312988281,-92.8499984741211")</f>
        <v>http://maps.google.com/maps?f=q&amp;hl=en&amp;geocode=&amp;q=58.1333312988281,-92.8499984741211</v>
      </c>
    </row>
    <row r="7058" spans="1:7" ht="15" x14ac:dyDescent="0.3">
      <c r="A7058">
        <v>41.008699</v>
      </c>
      <c r="B7058">
        <v>-88.523814999999999</v>
      </c>
      <c r="C7058" t="s">
        <v>41</v>
      </c>
      <c r="D7058" t="s">
        <v>531</v>
      </c>
      <c r="F7058" s="21"/>
      <c r="G7058" s="16" t="str">
        <f>HYPERLINK("http://maps.google.com/maps?f=q&amp;hl=en&amp;geocode=&amp;q=41.008699,-88.523815")</f>
        <v>http://maps.google.com/maps?f=q&amp;hl=en&amp;geocode=&amp;q=41.008699,-88.523815</v>
      </c>
    </row>
    <row r="7059" spans="1:7" ht="15" x14ac:dyDescent="0.3">
      <c r="A7059">
        <v>37.432888539349797</v>
      </c>
      <c r="B7059">
        <v>-79.124649958272002</v>
      </c>
      <c r="C7059" t="s">
        <v>42</v>
      </c>
      <c r="D7059" t="s">
        <v>4237</v>
      </c>
      <c r="F7059" s="21"/>
      <c r="G7059" s="16" t="str">
        <f>HYPERLINK("http://maps.google.com/maps?f=q&amp;hl=en&amp;geocode=&amp;q=37.4328885393498,-79.124649958272")</f>
        <v>http://maps.google.com/maps?f=q&amp;hl=en&amp;geocode=&amp;q=37.4328885393498,-79.124649958272</v>
      </c>
    </row>
    <row r="7060" spans="1:7" ht="15" x14ac:dyDescent="0.3">
      <c r="A7060">
        <v>37.432888539349797</v>
      </c>
      <c r="B7060">
        <v>-79.124649958272002</v>
      </c>
      <c r="C7060" t="s">
        <v>42</v>
      </c>
      <c r="D7060" t="s">
        <v>4237</v>
      </c>
      <c r="F7060" s="21"/>
      <c r="G7060" s="16" t="str">
        <f>HYPERLINK("http://maps.google.com/maps?f=q&amp;hl=en&amp;geocode=&amp;q=37.4328885393498,-79.124649958272")</f>
        <v>http://maps.google.com/maps?f=q&amp;hl=en&amp;geocode=&amp;q=37.4328885393498,-79.124649958272</v>
      </c>
    </row>
    <row r="7061" spans="1:7" ht="15" x14ac:dyDescent="0.3">
      <c r="A7061">
        <v>33.527430000000003</v>
      </c>
      <c r="B7061">
        <v>-101.93684</v>
      </c>
      <c r="C7061" t="s">
        <v>43</v>
      </c>
      <c r="D7061" t="s">
        <v>4238</v>
      </c>
      <c r="F7061" s="21"/>
      <c r="G7061" s="16" t="str">
        <f>HYPERLINK("http://maps.google.com/maps?f=q&amp;hl=en&amp;geocode=&amp;q=33.52743,-101.93684")</f>
        <v>http://maps.google.com/maps?f=q&amp;hl=en&amp;geocode=&amp;q=33.52743,-101.93684</v>
      </c>
    </row>
    <row r="7062" spans="1:7" ht="15" x14ac:dyDescent="0.3">
      <c r="A7062">
        <v>42.794869913520998</v>
      </c>
      <c r="B7062">
        <v>-83.694679952003796</v>
      </c>
      <c r="C7062" t="s">
        <v>41</v>
      </c>
      <c r="D7062" t="s">
        <v>4239</v>
      </c>
      <c r="F7062" s="21"/>
      <c r="G7062" s="16" t="str">
        <f>HYPERLINK("http://maps.google.com/maps?f=q&amp;hl=en&amp;geocode=&amp;q=42.794869913521,-83.6946799520038")</f>
        <v>http://maps.google.com/maps?f=q&amp;hl=en&amp;geocode=&amp;q=42.794869913521,-83.6946799520038</v>
      </c>
    </row>
    <row r="7063" spans="1:7" ht="15" x14ac:dyDescent="0.3">
      <c r="A7063">
        <v>52.371040344238303</v>
      </c>
      <c r="B7063">
        <v>-2.7162001132965101</v>
      </c>
      <c r="C7063" t="s">
        <v>43</v>
      </c>
      <c r="D7063" t="s">
        <v>1278</v>
      </c>
      <c r="F7063" s="21"/>
      <c r="G7063" s="16" t="str">
        <f>HYPERLINK("http://maps.google.com/maps?f=q&amp;hl=en&amp;geocode=&amp;q=52.3710403442383,-2.71620011329651")</f>
        <v>http://maps.google.com/maps?f=q&amp;hl=en&amp;geocode=&amp;q=52.3710403442383,-2.71620011329651</v>
      </c>
    </row>
    <row r="7064" spans="1:7" ht="15" x14ac:dyDescent="0.3">
      <c r="A7064">
        <v>60.300830841064503</v>
      </c>
      <c r="B7064">
        <v>19.131389617919901</v>
      </c>
      <c r="C7064" t="s">
        <v>43</v>
      </c>
      <c r="D7064" t="s">
        <v>4240</v>
      </c>
      <c r="F7064" s="21"/>
      <c r="G7064" s="16" t="str">
        <f>HYPERLINK("http://maps.google.com/maps?f=q&amp;hl=en&amp;geocode=&amp;q=60.3008308410645,19.1313896179199")</f>
        <v>http://maps.google.com/maps?f=q&amp;hl=en&amp;geocode=&amp;q=60.3008308410645,19.1313896179199</v>
      </c>
    </row>
    <row r="7065" spans="1:7" ht="15" x14ac:dyDescent="0.3">
      <c r="A7065">
        <v>30.8273938705569</v>
      </c>
      <c r="B7065">
        <v>-82.012285066683106</v>
      </c>
      <c r="C7065" t="s">
        <v>41</v>
      </c>
      <c r="D7065" t="s">
        <v>4241</v>
      </c>
      <c r="F7065" s="21"/>
      <c r="G7065" s="16" t="str">
        <f>HYPERLINK("http://maps.google.com/maps?f=q&amp;hl=en&amp;geocode=&amp;q=30.8273938705569,-82.0122850666831")</f>
        <v>http://maps.google.com/maps?f=q&amp;hl=en&amp;geocode=&amp;q=30.8273938705569,-82.0122850666831</v>
      </c>
    </row>
    <row r="7066" spans="1:7" ht="15" x14ac:dyDescent="0.3">
      <c r="A7066">
        <v>37.314268657523698</v>
      </c>
      <c r="B7066">
        <v>-88.304727752991496</v>
      </c>
      <c r="C7066" t="s">
        <v>41</v>
      </c>
      <c r="D7066" t="s">
        <v>959</v>
      </c>
      <c r="F7066" s="21"/>
      <c r="G7066" s="16" t="str">
        <f>HYPERLINK("http://maps.google.com/maps?f=q&amp;hl=en&amp;geocode=&amp;q=37.3142686575237,-88.3047277529915")</f>
        <v>http://maps.google.com/maps?f=q&amp;hl=en&amp;geocode=&amp;q=37.3142686575237,-88.3047277529915</v>
      </c>
    </row>
    <row r="7067" spans="1:7" ht="15" x14ac:dyDescent="0.3">
      <c r="A7067">
        <v>40.442819999999998</v>
      </c>
      <c r="B7067">
        <v>-74.132390000000001</v>
      </c>
      <c r="C7067" t="s">
        <v>41</v>
      </c>
      <c r="D7067" t="s">
        <v>4242</v>
      </c>
      <c r="F7067" s="21"/>
      <c r="G7067" s="16" t="str">
        <f>HYPERLINK("http://maps.google.com/maps?f=q&amp;hl=en&amp;geocode=&amp;q=40.44282,-74.13239")</f>
        <v>http://maps.google.com/maps?f=q&amp;hl=en&amp;geocode=&amp;q=40.44282,-74.13239</v>
      </c>
    </row>
    <row r="7068" spans="1:7" ht="15" x14ac:dyDescent="0.3">
      <c r="A7068">
        <v>34.7511459745498</v>
      </c>
      <c r="B7068">
        <v>-84.152016664087995</v>
      </c>
      <c r="C7068" t="s">
        <v>41</v>
      </c>
      <c r="D7068" t="s">
        <v>3711</v>
      </c>
      <c r="F7068" s="21"/>
      <c r="G7068" s="16" t="str">
        <f>HYPERLINK("http://maps.google.com/maps?f=q&amp;hl=en&amp;geocode=&amp;q=34.7511459745498,-84.152016664088")</f>
        <v>http://maps.google.com/maps?f=q&amp;hl=en&amp;geocode=&amp;q=34.7511459745498,-84.152016664088</v>
      </c>
    </row>
    <row r="7069" spans="1:7" ht="15" x14ac:dyDescent="0.3">
      <c r="A7069">
        <v>34.7511459745498</v>
      </c>
      <c r="B7069">
        <v>-84.152016664087995</v>
      </c>
      <c r="C7069" t="s">
        <v>41</v>
      </c>
      <c r="D7069" t="s">
        <v>3711</v>
      </c>
      <c r="F7069" s="21"/>
      <c r="G7069" s="16" t="str">
        <f>HYPERLINK("http://maps.google.com/maps?f=q&amp;hl=en&amp;geocode=&amp;q=34.7511459745498,-84.152016664088")</f>
        <v>http://maps.google.com/maps?f=q&amp;hl=en&amp;geocode=&amp;q=34.7511459745498,-84.152016664088</v>
      </c>
    </row>
    <row r="7070" spans="1:7" ht="15" x14ac:dyDescent="0.3">
      <c r="A7070">
        <v>39.956319999999998</v>
      </c>
      <c r="B7070">
        <v>-75.239909999999995</v>
      </c>
      <c r="C7070" t="s">
        <v>43</v>
      </c>
      <c r="D7070" t="s">
        <v>3620</v>
      </c>
      <c r="F7070" s="21"/>
      <c r="G7070" s="16" t="str">
        <f>HYPERLINK("http://maps.google.com/maps?f=q&amp;hl=en&amp;geocode=&amp;q=39.95632,-75.23991")</f>
        <v>http://maps.google.com/maps?f=q&amp;hl=en&amp;geocode=&amp;q=39.95632,-75.23991</v>
      </c>
    </row>
    <row r="7071" spans="1:7" ht="15" x14ac:dyDescent="0.3">
      <c r="A7071">
        <v>43.4533081054688</v>
      </c>
      <c r="B7071">
        <v>-96.429718017578097</v>
      </c>
      <c r="C7071" t="s">
        <v>43</v>
      </c>
      <c r="D7071" t="s">
        <v>4243</v>
      </c>
      <c r="F7071" s="21"/>
      <c r="G7071" s="16" t="str">
        <f>HYPERLINK("http://maps.google.com/maps?f=q&amp;hl=en&amp;geocode=&amp;q=43.4533081054688,-96.4297180175781")</f>
        <v>http://maps.google.com/maps?f=q&amp;hl=en&amp;geocode=&amp;q=43.4533081054688,-96.4297180175781</v>
      </c>
    </row>
    <row r="7072" spans="1:7" ht="15" x14ac:dyDescent="0.3">
      <c r="A7072">
        <v>-31.950477600097699</v>
      </c>
      <c r="B7072">
        <v>115.86053466796901</v>
      </c>
      <c r="C7072" t="s">
        <v>43</v>
      </c>
      <c r="D7072" t="s">
        <v>4244</v>
      </c>
      <c r="F7072" s="21"/>
      <c r="G7072" s="16" t="str">
        <f>HYPERLINK("http://maps.google.com/maps?f=q&amp;hl=en&amp;geocode=&amp;q=-31.9504776000977,115.860534667969")</f>
        <v>http://maps.google.com/maps?f=q&amp;hl=en&amp;geocode=&amp;q=-31.9504776000977,115.860534667969</v>
      </c>
    </row>
    <row r="7073" spans="1:7" ht="15" x14ac:dyDescent="0.3">
      <c r="A7073">
        <v>39.950429999999997</v>
      </c>
      <c r="B7073">
        <v>-75.245199999999997</v>
      </c>
      <c r="C7073" t="s">
        <v>43</v>
      </c>
      <c r="D7073" t="s">
        <v>198</v>
      </c>
      <c r="F7073" s="21"/>
      <c r="G7073" s="16" t="str">
        <f>HYPERLINK("http://maps.google.com/maps?f=q&amp;hl=en&amp;geocode=&amp;q=39.95043,-75.2452")</f>
        <v>http://maps.google.com/maps?f=q&amp;hl=en&amp;geocode=&amp;q=39.95043,-75.2452</v>
      </c>
    </row>
    <row r="7074" spans="1:7" ht="15" x14ac:dyDescent="0.3">
      <c r="A7074">
        <v>50.450000762939503</v>
      </c>
      <c r="B7074">
        <v>-3.7000000476837198</v>
      </c>
      <c r="C7074" t="s">
        <v>43</v>
      </c>
      <c r="D7074" t="s">
        <v>4245</v>
      </c>
      <c r="F7074" s="21"/>
      <c r="G7074" s="16" t="str">
        <f>HYPERLINK("http://maps.google.com/maps?f=q&amp;hl=en&amp;geocode=&amp;q=50.4500007629395,-3.70000004768372")</f>
        <v>http://maps.google.com/maps?f=q&amp;hl=en&amp;geocode=&amp;q=50.4500007629395,-3.70000004768372</v>
      </c>
    </row>
    <row r="7075" spans="1:7" ht="15" x14ac:dyDescent="0.3">
      <c r="A7075">
        <v>47.0154418945313</v>
      </c>
      <c r="B7075">
        <v>3.7381799221038801</v>
      </c>
      <c r="C7075" t="s">
        <v>43</v>
      </c>
      <c r="D7075" t="s">
        <v>2036</v>
      </c>
      <c r="F7075" s="21"/>
      <c r="G7075" s="16" t="str">
        <f>HYPERLINK("http://maps.google.com/maps?f=q&amp;hl=en&amp;geocode=&amp;q=47.0154418945313,3.73817992210388")</f>
        <v>http://maps.google.com/maps?f=q&amp;hl=en&amp;geocode=&amp;q=47.0154418945313,3.73817992210388</v>
      </c>
    </row>
    <row r="7076" spans="1:7" ht="15" x14ac:dyDescent="0.3">
      <c r="A7076">
        <v>39.950659999999999</v>
      </c>
      <c r="B7076">
        <v>-75.247169999999997</v>
      </c>
      <c r="C7076" t="s">
        <v>43</v>
      </c>
      <c r="D7076" t="s">
        <v>4246</v>
      </c>
      <c r="F7076" s="21"/>
      <c r="G7076" s="16" t="str">
        <f>HYPERLINK("http://maps.google.com/maps?f=q&amp;hl=en&amp;geocode=&amp;q=39.95066,-75.24717")</f>
        <v>http://maps.google.com/maps?f=q&amp;hl=en&amp;geocode=&amp;q=39.95066,-75.24717</v>
      </c>
    </row>
    <row r="7077" spans="1:7" ht="15" x14ac:dyDescent="0.3">
      <c r="A7077">
        <v>40.309349136932703</v>
      </c>
      <c r="B7077">
        <v>-78.318018002850707</v>
      </c>
      <c r="C7077" t="s">
        <v>41</v>
      </c>
      <c r="D7077" t="s">
        <v>4247</v>
      </c>
      <c r="F7077" s="21"/>
      <c r="G7077" s="16" t="str">
        <f>HYPERLINK("http://maps.google.com/maps?f=q&amp;hl=en&amp;geocode=&amp;q=40.3093491369327,-78.3180180028507")</f>
        <v>http://maps.google.com/maps?f=q&amp;hl=en&amp;geocode=&amp;q=40.3093491369327,-78.3180180028507</v>
      </c>
    </row>
    <row r="7078" spans="1:7" ht="15" x14ac:dyDescent="0.3">
      <c r="A7078">
        <v>39.993692840918001</v>
      </c>
      <c r="B7078">
        <v>-75.138946989738599</v>
      </c>
      <c r="C7078" t="s">
        <v>43</v>
      </c>
      <c r="D7078" t="s">
        <v>4248</v>
      </c>
      <c r="F7078" s="21"/>
      <c r="G7078" s="16" t="str">
        <f>HYPERLINK("http://maps.google.com/maps?f=q&amp;hl=en&amp;geocode=&amp;q=39.993692840918,-75.1389469897386")</f>
        <v>http://maps.google.com/maps?f=q&amp;hl=en&amp;geocode=&amp;q=39.993692840918,-75.1389469897386</v>
      </c>
    </row>
    <row r="7079" spans="1:7" ht="15" x14ac:dyDescent="0.3">
      <c r="A7079">
        <v>50.397903442382798</v>
      </c>
      <c r="B7079">
        <v>4.5238752365112296</v>
      </c>
      <c r="C7079" t="s">
        <v>43</v>
      </c>
      <c r="D7079" t="s">
        <v>4249</v>
      </c>
      <c r="F7079" s="21"/>
      <c r="G7079" s="16" t="str">
        <f>HYPERLINK("http://maps.google.com/maps?f=q&amp;hl=en&amp;geocode=&amp;q=50.3979034423828,4.52387523651123")</f>
        <v>http://maps.google.com/maps?f=q&amp;hl=en&amp;geocode=&amp;q=50.3979034423828,4.52387523651123</v>
      </c>
    </row>
    <row r="7080" spans="1:7" ht="15" x14ac:dyDescent="0.3">
      <c r="A7080">
        <v>40.741870880127003</v>
      </c>
      <c r="B7080">
        <v>-111.89678955078099</v>
      </c>
      <c r="C7080" t="s">
        <v>41</v>
      </c>
      <c r="D7080" t="s">
        <v>4250</v>
      </c>
      <c r="F7080" s="21"/>
      <c r="G7080" s="16" t="str">
        <f>HYPERLINK("http://maps.google.com/maps?f=q&amp;hl=en&amp;geocode=&amp;q=40.741870880127,-111.896789550781")</f>
        <v>http://maps.google.com/maps?f=q&amp;hl=en&amp;geocode=&amp;q=40.741870880127,-111.896789550781</v>
      </c>
    </row>
    <row r="7081" spans="1:7" ht="15" x14ac:dyDescent="0.3">
      <c r="A7081">
        <v>37.050380706787102</v>
      </c>
      <c r="B7081">
        <v>-122.07330322265599</v>
      </c>
      <c r="C7081" t="s">
        <v>43</v>
      </c>
      <c r="D7081" t="s">
        <v>4251</v>
      </c>
      <c r="F7081" s="21"/>
      <c r="G7081" s="16" t="str">
        <f>HYPERLINK("http://maps.google.com/maps?f=q&amp;hl=en&amp;geocode=&amp;q=37.0503807067871,-122.073303222656")</f>
        <v>http://maps.google.com/maps?f=q&amp;hl=en&amp;geocode=&amp;q=37.0503807067871,-122.073303222656</v>
      </c>
    </row>
    <row r="7082" spans="1:7" ht="15" x14ac:dyDescent="0.3">
      <c r="A7082">
        <v>39.9527</v>
      </c>
      <c r="B7082">
        <v>-75.244720000000001</v>
      </c>
      <c r="C7082" t="s">
        <v>43</v>
      </c>
      <c r="D7082" t="s">
        <v>4252</v>
      </c>
      <c r="F7082" s="21"/>
      <c r="G7082" s="16" t="str">
        <f>HYPERLINK("http://maps.google.com/maps?f=q&amp;hl=en&amp;geocode=&amp;q=39.9527,-75.24472")</f>
        <v>http://maps.google.com/maps?f=q&amp;hl=en&amp;geocode=&amp;q=39.9527,-75.24472</v>
      </c>
    </row>
    <row r="7083" spans="1:7" ht="15" x14ac:dyDescent="0.3">
      <c r="A7083">
        <v>52.979534149169901</v>
      </c>
      <c r="B7083">
        <v>-2.1189711093902601</v>
      </c>
      <c r="C7083" t="s">
        <v>41</v>
      </c>
      <c r="D7083" t="s">
        <v>4253</v>
      </c>
      <c r="F7083" s="21"/>
      <c r="G7083" s="16" t="str">
        <f>HYPERLINK("http://maps.google.com/maps?f=q&amp;hl=en&amp;geocode=&amp;q=52.9795341491699,-2.11897110939026")</f>
        <v>http://maps.google.com/maps?f=q&amp;hl=en&amp;geocode=&amp;q=52.9795341491699,-2.11897110939026</v>
      </c>
    </row>
    <row r="7084" spans="1:7" ht="15" x14ac:dyDescent="0.3">
      <c r="A7084">
        <v>39.95655</v>
      </c>
      <c r="B7084">
        <v>-75.241889999999998</v>
      </c>
      <c r="C7084" t="s">
        <v>43</v>
      </c>
      <c r="D7084" t="s">
        <v>2770</v>
      </c>
      <c r="F7084" s="21"/>
      <c r="G7084" s="16" t="str">
        <f>HYPERLINK("http://maps.google.com/maps?f=q&amp;hl=en&amp;geocode=&amp;q=39.95655,-75.24189")</f>
        <v>http://maps.google.com/maps?f=q&amp;hl=en&amp;geocode=&amp;q=39.95655,-75.24189</v>
      </c>
    </row>
    <row r="7085" spans="1:7" ht="15" x14ac:dyDescent="0.3">
      <c r="A7085">
        <v>39.969520568847699</v>
      </c>
      <c r="B7085">
        <v>-79.613929748535199</v>
      </c>
      <c r="C7085" t="s">
        <v>43</v>
      </c>
      <c r="D7085" t="s">
        <v>4254</v>
      </c>
      <c r="F7085" s="21"/>
      <c r="G7085" s="16" t="str">
        <f>HYPERLINK("http://maps.google.com/maps?f=q&amp;hl=en&amp;geocode=&amp;q=39.9695205688477,-79.6139297485352")</f>
        <v>http://maps.google.com/maps?f=q&amp;hl=en&amp;geocode=&amp;q=39.9695205688477,-79.6139297485352</v>
      </c>
    </row>
    <row r="7086" spans="1:7" ht="15" x14ac:dyDescent="0.3">
      <c r="A7086">
        <v>-25.9340915679932</v>
      </c>
      <c r="B7086">
        <v>28.714275360107401</v>
      </c>
      <c r="C7086" t="s">
        <v>41</v>
      </c>
      <c r="D7086" t="s">
        <v>4255</v>
      </c>
      <c r="F7086" s="21"/>
      <c r="G7086" s="16" t="str">
        <f>HYPERLINK("http://maps.google.com/maps?f=q&amp;hl=en&amp;geocode=&amp;q=-25.9340915679932,28.7142753601074")</f>
        <v>http://maps.google.com/maps?f=q&amp;hl=en&amp;geocode=&amp;q=-25.9340915679932,28.7142753601074</v>
      </c>
    </row>
    <row r="7087" spans="1:7" ht="15" x14ac:dyDescent="0.3">
      <c r="A7087">
        <v>38.931725442587698</v>
      </c>
      <c r="B7087">
        <v>-76.950642099870606</v>
      </c>
      <c r="C7087" t="s">
        <v>41</v>
      </c>
      <c r="D7087" t="s">
        <v>4256</v>
      </c>
      <c r="F7087" s="21"/>
      <c r="G7087" s="16" t="str">
        <f>HYPERLINK("http://maps.google.com/maps?f=q&amp;hl=en&amp;geocode=&amp;q=38.9317254425877,-76.9506420998706")</f>
        <v>http://maps.google.com/maps?f=q&amp;hl=en&amp;geocode=&amp;q=38.9317254425877,-76.9506420998706</v>
      </c>
    </row>
    <row r="7088" spans="1:7" ht="15" x14ac:dyDescent="0.3">
      <c r="A7088">
        <v>39.920350908880501</v>
      </c>
      <c r="B7088">
        <v>-75.168576536206004</v>
      </c>
      <c r="C7088" t="s">
        <v>41</v>
      </c>
      <c r="D7088" t="s">
        <v>3996</v>
      </c>
      <c r="F7088" s="21"/>
      <c r="G7088" s="16" t="str">
        <f>HYPERLINK("http://maps.google.com/maps?f=q&amp;hl=en&amp;geocode=&amp;q=39.9203509088805,-75.168576536206")</f>
        <v>http://maps.google.com/maps?f=q&amp;hl=en&amp;geocode=&amp;q=39.9203509088805,-75.168576536206</v>
      </c>
    </row>
    <row r="7089" spans="1:7" ht="15" x14ac:dyDescent="0.3">
      <c r="A7089">
        <v>36.580077932587301</v>
      </c>
      <c r="B7089">
        <v>-76.107553997900993</v>
      </c>
      <c r="C7089" t="s">
        <v>43</v>
      </c>
      <c r="D7089" t="s">
        <v>2030</v>
      </c>
      <c r="F7089" s="21"/>
      <c r="G7089" s="16" t="str">
        <f>HYPERLINK("http://maps.google.com/maps?f=q&amp;hl=en&amp;geocode=&amp;q=36.5800779325873,-76.107553997901")</f>
        <v>http://maps.google.com/maps?f=q&amp;hl=en&amp;geocode=&amp;q=36.5800779325873,-76.107553997901</v>
      </c>
    </row>
    <row r="7090" spans="1:7" ht="15" x14ac:dyDescent="0.3">
      <c r="A7090">
        <v>35.266670227050803</v>
      </c>
      <c r="B7090">
        <v>117.966667175293</v>
      </c>
      <c r="C7090" t="s">
        <v>43</v>
      </c>
      <c r="D7090" t="s">
        <v>4257</v>
      </c>
      <c r="F7090" s="21"/>
      <c r="G7090" s="16" t="str">
        <f>HYPERLINK("http://maps.google.com/maps?f=q&amp;hl=en&amp;geocode=&amp;q=35.2666702270508,117.966667175293")</f>
        <v>http://maps.google.com/maps?f=q&amp;hl=en&amp;geocode=&amp;q=35.2666702270508,117.966667175293</v>
      </c>
    </row>
    <row r="7091" spans="1:7" ht="15" x14ac:dyDescent="0.3">
      <c r="A7091">
        <v>54.901432037353501</v>
      </c>
      <c r="B7091">
        <v>10.7508296966553</v>
      </c>
      <c r="C7091" t="s">
        <v>43</v>
      </c>
      <c r="D7091" t="s">
        <v>1186</v>
      </c>
      <c r="F7091" s="21"/>
      <c r="G7091" s="16" t="str">
        <f>HYPERLINK("http://maps.google.com/maps?f=q&amp;hl=en&amp;geocode=&amp;q=54.9014320373535,10.7508296966553")</f>
        <v>http://maps.google.com/maps?f=q&amp;hl=en&amp;geocode=&amp;q=54.9014320373535,10.7508296966553</v>
      </c>
    </row>
    <row r="7092" spans="1:7" ht="15" x14ac:dyDescent="0.3">
      <c r="A7092">
        <v>40.030090000000001</v>
      </c>
      <c r="B7092">
        <v>-75.180080000000004</v>
      </c>
      <c r="C7092" t="s">
        <v>43</v>
      </c>
      <c r="D7092" t="s">
        <v>4258</v>
      </c>
      <c r="F7092" s="21"/>
      <c r="G7092" s="16" t="str">
        <f>HYPERLINK("http://maps.google.com/maps?f=q&amp;hl=en&amp;geocode=&amp;q=40.03009,-75.18008")</f>
        <v>http://maps.google.com/maps?f=q&amp;hl=en&amp;geocode=&amp;q=40.03009,-75.18008</v>
      </c>
    </row>
    <row r="7093" spans="1:7" ht="15" x14ac:dyDescent="0.3">
      <c r="A7093">
        <v>34.621390362148098</v>
      </c>
      <c r="B7093">
        <v>-82.1260451203066</v>
      </c>
      <c r="C7093" t="s">
        <v>43</v>
      </c>
      <c r="D7093" t="s">
        <v>4259</v>
      </c>
      <c r="F7093" s="21"/>
      <c r="G7093" s="16" t="str">
        <f>HYPERLINK("http://maps.google.com/maps?f=q&amp;hl=en&amp;geocode=&amp;q=34.6213903621481,-82.1260451203066")</f>
        <v>http://maps.google.com/maps?f=q&amp;hl=en&amp;geocode=&amp;q=34.6213903621481,-82.1260451203066</v>
      </c>
    </row>
    <row r="7094" spans="1:7" ht="15" x14ac:dyDescent="0.3">
      <c r="A7094">
        <v>34.621390362148098</v>
      </c>
      <c r="B7094">
        <v>-82.1260451203066</v>
      </c>
      <c r="C7094" t="s">
        <v>43</v>
      </c>
      <c r="D7094" t="s">
        <v>4259</v>
      </c>
      <c r="F7094" s="21"/>
      <c r="G7094" s="16" t="str">
        <f>HYPERLINK("http://maps.google.com/maps?f=q&amp;hl=en&amp;geocode=&amp;q=34.6213903621481,-82.1260451203066")</f>
        <v>http://maps.google.com/maps?f=q&amp;hl=en&amp;geocode=&amp;q=34.6213903621481,-82.1260451203066</v>
      </c>
    </row>
    <row r="7095" spans="1:7" ht="15" x14ac:dyDescent="0.3">
      <c r="A7095">
        <v>34.621390362148098</v>
      </c>
      <c r="B7095">
        <v>-82.1260451203066</v>
      </c>
      <c r="C7095" t="s">
        <v>43</v>
      </c>
      <c r="D7095" t="s">
        <v>4259</v>
      </c>
      <c r="F7095" s="21"/>
      <c r="G7095" s="16" t="str">
        <f>HYPERLINK("http://maps.google.com/maps?f=q&amp;hl=en&amp;geocode=&amp;q=34.6213903621481,-82.1260451203066")</f>
        <v>http://maps.google.com/maps?f=q&amp;hl=en&amp;geocode=&amp;q=34.6213903621481,-82.1260451203066</v>
      </c>
    </row>
    <row r="7096" spans="1:7" ht="15" x14ac:dyDescent="0.3">
      <c r="A7096">
        <v>34.621390362148098</v>
      </c>
      <c r="B7096">
        <v>-82.1260451203066</v>
      </c>
      <c r="C7096" t="s">
        <v>43</v>
      </c>
      <c r="D7096" t="s">
        <v>4259</v>
      </c>
      <c r="F7096" s="21"/>
      <c r="G7096" s="16" t="str">
        <f>HYPERLINK("http://maps.google.com/maps?f=q&amp;hl=en&amp;geocode=&amp;q=34.6213903621481,-82.1260451203066")</f>
        <v>http://maps.google.com/maps?f=q&amp;hl=en&amp;geocode=&amp;q=34.6213903621481,-82.1260451203066</v>
      </c>
    </row>
    <row r="7097" spans="1:7" ht="15" x14ac:dyDescent="0.3">
      <c r="A7097">
        <v>34.621390362148098</v>
      </c>
      <c r="B7097">
        <v>-82.1260451203066</v>
      </c>
      <c r="C7097" t="s">
        <v>43</v>
      </c>
      <c r="D7097" t="s">
        <v>4259</v>
      </c>
      <c r="F7097" s="21"/>
      <c r="G7097" s="16" t="str">
        <f>HYPERLINK("http://maps.google.com/maps?f=q&amp;hl=en&amp;geocode=&amp;q=34.6213903621481,-82.1260451203066")</f>
        <v>http://maps.google.com/maps?f=q&amp;hl=en&amp;geocode=&amp;q=34.6213903621481,-82.1260451203066</v>
      </c>
    </row>
    <row r="7098" spans="1:7" ht="15" x14ac:dyDescent="0.3">
      <c r="A7098">
        <v>42.390380859375</v>
      </c>
      <c r="B7098">
        <v>23.876703262329102</v>
      </c>
      <c r="C7098" t="s">
        <v>41</v>
      </c>
      <c r="D7098" t="s">
        <v>4260</v>
      </c>
      <c r="F7098" s="21"/>
      <c r="G7098" s="16" t="str">
        <f>HYPERLINK("http://maps.google.com/maps?f=q&amp;hl=en&amp;geocode=&amp;q=42.390380859375,23.8767032623291")</f>
        <v>http://maps.google.com/maps?f=q&amp;hl=en&amp;geocode=&amp;q=42.390380859375,23.8767032623291</v>
      </c>
    </row>
    <row r="7099" spans="1:7" ht="15" x14ac:dyDescent="0.3">
      <c r="A7099">
        <v>38.659930000000003</v>
      </c>
      <c r="B7099">
        <v>-121.32227</v>
      </c>
      <c r="C7099" t="s">
        <v>41</v>
      </c>
      <c r="D7099" t="s">
        <v>4261</v>
      </c>
      <c r="F7099" s="21"/>
      <c r="G7099" s="16" t="str">
        <f>HYPERLINK("http://maps.google.com/maps?f=q&amp;hl=en&amp;geocode=&amp;q=38.65993,-121.32227")</f>
        <v>http://maps.google.com/maps?f=q&amp;hl=en&amp;geocode=&amp;q=38.65993,-121.32227</v>
      </c>
    </row>
    <row r="7100" spans="1:7" ht="15" x14ac:dyDescent="0.3">
      <c r="A7100">
        <v>38.659930000000003</v>
      </c>
      <c r="B7100">
        <v>-121.32227</v>
      </c>
      <c r="C7100" t="s">
        <v>41</v>
      </c>
      <c r="D7100" t="s">
        <v>4261</v>
      </c>
      <c r="F7100" s="21"/>
      <c r="G7100" s="16" t="str">
        <f>HYPERLINK("http://maps.google.com/maps?f=q&amp;hl=en&amp;geocode=&amp;q=38.65993,-121.32227")</f>
        <v>http://maps.google.com/maps?f=q&amp;hl=en&amp;geocode=&amp;q=38.65993,-121.32227</v>
      </c>
    </row>
    <row r="7101" spans="1:7" ht="15" x14ac:dyDescent="0.3">
      <c r="A7101">
        <v>38.659930000000003</v>
      </c>
      <c r="B7101">
        <v>-121.32227</v>
      </c>
      <c r="C7101" t="s">
        <v>41</v>
      </c>
      <c r="D7101" t="s">
        <v>4261</v>
      </c>
      <c r="F7101" s="21"/>
      <c r="G7101" s="16" t="str">
        <f>HYPERLINK("http://maps.google.com/maps?f=q&amp;hl=en&amp;geocode=&amp;q=38.65993,-121.32227")</f>
        <v>http://maps.google.com/maps?f=q&amp;hl=en&amp;geocode=&amp;q=38.65993,-121.32227</v>
      </c>
    </row>
    <row r="7102" spans="1:7" ht="15" x14ac:dyDescent="0.3">
      <c r="A7102">
        <v>38.659930000000003</v>
      </c>
      <c r="B7102">
        <v>-121.32227</v>
      </c>
      <c r="C7102" t="s">
        <v>41</v>
      </c>
      <c r="D7102" t="s">
        <v>4261</v>
      </c>
      <c r="F7102" s="21"/>
      <c r="G7102" s="16" t="str">
        <f>HYPERLINK("http://maps.google.com/maps?f=q&amp;hl=en&amp;geocode=&amp;q=38.65993,-121.32227")</f>
        <v>http://maps.google.com/maps?f=q&amp;hl=en&amp;geocode=&amp;q=38.65993,-121.32227</v>
      </c>
    </row>
    <row r="7103" spans="1:7" ht="15" x14ac:dyDescent="0.3">
      <c r="A7103">
        <v>40.642503847440302</v>
      </c>
      <c r="B7103">
        <v>-82.237563304200194</v>
      </c>
      <c r="C7103" t="s">
        <v>41</v>
      </c>
      <c r="D7103" t="s">
        <v>4262</v>
      </c>
      <c r="F7103" s="21"/>
      <c r="G7103" s="16" t="str">
        <f>HYPERLINK("http://maps.google.com/maps?f=q&amp;hl=en&amp;geocode=&amp;q=40.6425038474403,-82.2375633042002")</f>
        <v>http://maps.google.com/maps?f=q&amp;hl=en&amp;geocode=&amp;q=40.6425038474403,-82.2375633042002</v>
      </c>
    </row>
    <row r="7104" spans="1:7" ht="15" x14ac:dyDescent="0.3">
      <c r="A7104">
        <v>33.974048683762398</v>
      </c>
      <c r="B7104">
        <v>-83.428245378893806</v>
      </c>
      <c r="C7104" t="s">
        <v>41</v>
      </c>
      <c r="D7104" t="s">
        <v>4263</v>
      </c>
      <c r="F7104" s="21"/>
      <c r="G7104" s="16" t="str">
        <f>HYPERLINK("http://maps.google.com/maps?f=q&amp;hl=en&amp;geocode=&amp;q=33.9740486837624,-83.4282453788938")</f>
        <v>http://maps.google.com/maps?f=q&amp;hl=en&amp;geocode=&amp;q=33.9740486837624,-83.4282453788938</v>
      </c>
    </row>
    <row r="7105" spans="1:7" ht="15" x14ac:dyDescent="0.3">
      <c r="A7105">
        <v>39.926990000000004</v>
      </c>
      <c r="B7105">
        <v>-75.226159999999993</v>
      </c>
      <c r="C7105" t="s">
        <v>41</v>
      </c>
      <c r="D7105" t="s">
        <v>462</v>
      </c>
      <c r="F7105" s="21"/>
      <c r="G7105" s="16" t="str">
        <f>HYPERLINK("http://maps.google.com/maps?f=q&amp;hl=en&amp;geocode=&amp;q=39.92699,-75.22616")</f>
        <v>http://maps.google.com/maps?f=q&amp;hl=en&amp;geocode=&amp;q=39.92699,-75.22616</v>
      </c>
    </row>
    <row r="7106" spans="1:7" ht="15" x14ac:dyDescent="0.3">
      <c r="A7106">
        <v>49.509574890136697</v>
      </c>
      <c r="B7106">
        <v>5.9789090156555202</v>
      </c>
      <c r="C7106" t="s">
        <v>41</v>
      </c>
      <c r="D7106" t="s">
        <v>4264</v>
      </c>
      <c r="F7106" s="21"/>
      <c r="G7106" s="16" t="str">
        <f>HYPERLINK("http://maps.google.com/maps?f=q&amp;hl=en&amp;geocode=&amp;q=49.5095748901367,5.97890901565552")</f>
        <v>http://maps.google.com/maps?f=q&amp;hl=en&amp;geocode=&amp;q=49.5095748901367,5.97890901565552</v>
      </c>
    </row>
    <row r="7107" spans="1:7" ht="15" x14ac:dyDescent="0.3">
      <c r="A7107">
        <v>48.856765747070298</v>
      </c>
      <c r="B7107">
        <v>-95.7022705078125</v>
      </c>
      <c r="C7107" t="s">
        <v>43</v>
      </c>
      <c r="D7107" t="s">
        <v>1171</v>
      </c>
      <c r="F7107" s="21"/>
      <c r="G7107" s="16" t="str">
        <f>HYPERLINK("http://maps.google.com/maps?f=q&amp;hl=en&amp;geocode=&amp;q=48.8567657470703,-95.7022705078125")</f>
        <v>http://maps.google.com/maps?f=q&amp;hl=en&amp;geocode=&amp;q=48.8567657470703,-95.7022705078125</v>
      </c>
    </row>
    <row r="7108" spans="1:7" ht="15" x14ac:dyDescent="0.3">
      <c r="A7108">
        <v>29.884750366210898</v>
      </c>
      <c r="B7108">
        <v>-97.671928405761705</v>
      </c>
      <c r="C7108" t="s">
        <v>43</v>
      </c>
      <c r="D7108" t="s">
        <v>4265</v>
      </c>
      <c r="F7108" s="21"/>
      <c r="G7108" s="16" t="str">
        <f>HYPERLINK("http://maps.google.com/maps?f=q&amp;hl=en&amp;geocode=&amp;q=29.8847503662109,-97.6719284057617")</f>
        <v>http://maps.google.com/maps?f=q&amp;hl=en&amp;geocode=&amp;q=29.8847503662109,-97.6719284057617</v>
      </c>
    </row>
    <row r="7109" spans="1:7" ht="15" x14ac:dyDescent="0.3">
      <c r="A7109">
        <v>40.037979125976598</v>
      </c>
      <c r="B7109">
        <v>-75.223060607910199</v>
      </c>
      <c r="C7109" t="s">
        <v>41</v>
      </c>
      <c r="D7109" t="s">
        <v>3234</v>
      </c>
      <c r="F7109" s="21"/>
      <c r="G7109" s="16" t="str">
        <f>HYPERLINK("http://maps.google.com/maps?f=q&amp;hl=en&amp;geocode=&amp;q=40.0379791259766,-75.2230606079102")</f>
        <v>http://maps.google.com/maps?f=q&amp;hl=en&amp;geocode=&amp;q=40.0379791259766,-75.2230606079102</v>
      </c>
    </row>
    <row r="7110" spans="1:7" ht="15" x14ac:dyDescent="0.3">
      <c r="A7110" t="s">
        <v>44</v>
      </c>
      <c r="B7110" t="s">
        <v>44</v>
      </c>
      <c r="C7110" t="s">
        <v>44</v>
      </c>
      <c r="D7110" t="s">
        <v>229</v>
      </c>
      <c r="F7110" s="21"/>
      <c r="G7110" s="16"/>
    </row>
    <row r="7111" spans="1:7" ht="15" x14ac:dyDescent="0.3">
      <c r="A7111">
        <v>45.077080000000002</v>
      </c>
      <c r="B7111">
        <v>-67.044989999999999</v>
      </c>
      <c r="C7111" t="s">
        <v>41</v>
      </c>
      <c r="D7111" t="s">
        <v>3780</v>
      </c>
      <c r="F7111" s="21"/>
      <c r="G7111" s="16" t="str">
        <f>HYPERLINK("http://maps.google.com/maps?f=q&amp;hl=en&amp;geocode=&amp;q=45.07708,-67.04499")</f>
        <v>http://maps.google.com/maps?f=q&amp;hl=en&amp;geocode=&amp;q=45.07708,-67.04499</v>
      </c>
    </row>
    <row r="7112" spans="1:7" ht="15" x14ac:dyDescent="0.3">
      <c r="A7112" t="s">
        <v>44</v>
      </c>
      <c r="B7112" t="s">
        <v>44</v>
      </c>
      <c r="C7112" t="s">
        <v>44</v>
      </c>
      <c r="D7112" t="s">
        <v>4266</v>
      </c>
      <c r="F7112" s="21"/>
      <c r="G7112" s="16"/>
    </row>
    <row r="7113" spans="1:7" ht="15" x14ac:dyDescent="0.3">
      <c r="A7113" t="s">
        <v>44</v>
      </c>
      <c r="B7113" t="s">
        <v>44</v>
      </c>
      <c r="C7113" t="s">
        <v>44</v>
      </c>
      <c r="D7113" t="s">
        <v>4266</v>
      </c>
      <c r="F7113" s="21"/>
      <c r="G7113" s="16"/>
    </row>
    <row r="7114" spans="1:7" ht="15" x14ac:dyDescent="0.3">
      <c r="A7114">
        <v>41.932369232177699</v>
      </c>
      <c r="B7114">
        <v>-89.068351745605497</v>
      </c>
      <c r="C7114" t="s">
        <v>43</v>
      </c>
      <c r="D7114" t="s">
        <v>3590</v>
      </c>
      <c r="F7114" s="21"/>
      <c r="G7114" s="16" t="str">
        <f>HYPERLINK("http://maps.google.com/maps?f=q&amp;hl=en&amp;geocode=&amp;q=41.9323692321777,-89.0683517456055")</f>
        <v>http://maps.google.com/maps?f=q&amp;hl=en&amp;geocode=&amp;q=41.9323692321777,-89.0683517456055</v>
      </c>
    </row>
    <row r="7115" spans="1:7" ht="15" x14ac:dyDescent="0.3">
      <c r="A7115">
        <v>40.111260000000001</v>
      </c>
      <c r="B7115">
        <v>-75.024450000000002</v>
      </c>
      <c r="C7115" t="s">
        <v>41</v>
      </c>
      <c r="D7115" t="s">
        <v>4267</v>
      </c>
      <c r="F7115" s="21"/>
      <c r="G7115" s="16" t="str">
        <f>HYPERLINK("http://maps.google.com/maps?f=q&amp;hl=en&amp;geocode=&amp;q=40.11126,-75.02445")</f>
        <v>http://maps.google.com/maps?f=q&amp;hl=en&amp;geocode=&amp;q=40.11126,-75.02445</v>
      </c>
    </row>
    <row r="7116" spans="1:7" ht="15" x14ac:dyDescent="0.3">
      <c r="A7116">
        <v>40.024738311767599</v>
      </c>
      <c r="B7116">
        <v>-75.213882446289105</v>
      </c>
      <c r="C7116" t="s">
        <v>43</v>
      </c>
      <c r="D7116" t="s">
        <v>4268</v>
      </c>
      <c r="F7116" s="21"/>
      <c r="G7116" s="16" t="str">
        <f>HYPERLINK("http://maps.google.com/maps?f=q&amp;hl=en&amp;geocode=&amp;q=40.0247383117676,-75.2138824462891")</f>
        <v>http://maps.google.com/maps?f=q&amp;hl=en&amp;geocode=&amp;q=40.0247383117676,-75.2138824462891</v>
      </c>
    </row>
    <row r="7117" spans="1:7" ht="15" x14ac:dyDescent="0.3">
      <c r="A7117">
        <v>40.024738311767599</v>
      </c>
      <c r="B7117">
        <v>-75.213882446289105</v>
      </c>
      <c r="C7117" t="s">
        <v>43</v>
      </c>
      <c r="D7117" t="s">
        <v>4268</v>
      </c>
      <c r="F7117" s="21"/>
      <c r="G7117" s="16" t="str">
        <f>HYPERLINK("http://maps.google.com/maps?f=q&amp;hl=en&amp;geocode=&amp;q=40.0247383117676,-75.2138824462891")</f>
        <v>http://maps.google.com/maps?f=q&amp;hl=en&amp;geocode=&amp;q=40.0247383117676,-75.2138824462891</v>
      </c>
    </row>
    <row r="7118" spans="1:7" ht="15" x14ac:dyDescent="0.3">
      <c r="A7118">
        <v>34.477373214811699</v>
      </c>
      <c r="B7118">
        <v>-114.25197440993099</v>
      </c>
      <c r="C7118" t="s">
        <v>43</v>
      </c>
      <c r="D7118" t="s">
        <v>4269</v>
      </c>
      <c r="F7118" s="21"/>
      <c r="G7118" s="16" t="str">
        <f>HYPERLINK("http://maps.google.com/maps?f=q&amp;hl=en&amp;geocode=&amp;q=34.4773732148117,-114.251974409931")</f>
        <v>http://maps.google.com/maps?f=q&amp;hl=en&amp;geocode=&amp;q=34.4773732148117,-114.251974409931</v>
      </c>
    </row>
    <row r="7119" spans="1:7" ht="15" x14ac:dyDescent="0.3">
      <c r="A7119">
        <v>29.7082328796387</v>
      </c>
      <c r="B7119">
        <v>-90.006401062011705</v>
      </c>
      <c r="C7119" t="s">
        <v>43</v>
      </c>
      <c r="D7119" t="s">
        <v>98</v>
      </c>
      <c r="F7119" s="21"/>
      <c r="G7119" s="16" t="str">
        <f>HYPERLINK("http://maps.google.com/maps?f=q&amp;hl=en&amp;geocode=&amp;q=29.7082328796387,-90.0064010620117")</f>
        <v>http://maps.google.com/maps?f=q&amp;hl=en&amp;geocode=&amp;q=29.7082328796387,-90.0064010620117</v>
      </c>
    </row>
    <row r="7120" spans="1:7" ht="15" x14ac:dyDescent="0.3">
      <c r="A7120">
        <v>29.7082328796387</v>
      </c>
      <c r="B7120">
        <v>-90.006401062011705</v>
      </c>
      <c r="C7120" t="s">
        <v>43</v>
      </c>
      <c r="D7120" t="s">
        <v>98</v>
      </c>
      <c r="F7120" s="21"/>
      <c r="G7120" s="16" t="str">
        <f>HYPERLINK("http://maps.google.com/maps?f=q&amp;hl=en&amp;geocode=&amp;q=29.7082328796387,-90.0064010620117")</f>
        <v>http://maps.google.com/maps?f=q&amp;hl=en&amp;geocode=&amp;q=29.7082328796387,-90.0064010620117</v>
      </c>
    </row>
    <row r="7121" spans="1:7" ht="15" x14ac:dyDescent="0.3">
      <c r="A7121">
        <v>29.7082328796387</v>
      </c>
      <c r="B7121">
        <v>-90.006401062011705</v>
      </c>
      <c r="C7121" t="s">
        <v>43</v>
      </c>
      <c r="D7121" t="s">
        <v>98</v>
      </c>
      <c r="F7121" s="21"/>
      <c r="G7121" s="16" t="str">
        <f>HYPERLINK("http://maps.google.com/maps?f=q&amp;hl=en&amp;geocode=&amp;q=29.7082328796387,-90.0064010620117")</f>
        <v>http://maps.google.com/maps?f=q&amp;hl=en&amp;geocode=&amp;q=29.7082328796387,-90.0064010620117</v>
      </c>
    </row>
    <row r="7122" spans="1:7" ht="15" x14ac:dyDescent="0.3">
      <c r="A7122">
        <v>36.248629999999999</v>
      </c>
      <c r="B7122">
        <v>-119.31603</v>
      </c>
      <c r="C7122" t="s">
        <v>41</v>
      </c>
      <c r="D7122" t="s">
        <v>469</v>
      </c>
      <c r="F7122" s="21"/>
      <c r="G7122" s="16" t="str">
        <f>HYPERLINK("http://maps.google.com/maps?f=q&amp;hl=en&amp;geocode=&amp;q=36.24863,-119.31603")</f>
        <v>http://maps.google.com/maps?f=q&amp;hl=en&amp;geocode=&amp;q=36.24863,-119.31603</v>
      </c>
    </row>
    <row r="7123" spans="1:7" ht="15" x14ac:dyDescent="0.3">
      <c r="A7123">
        <v>36.248629999999999</v>
      </c>
      <c r="B7123">
        <v>-119.31603</v>
      </c>
      <c r="C7123" t="s">
        <v>41</v>
      </c>
      <c r="D7123" t="s">
        <v>469</v>
      </c>
      <c r="F7123" s="21"/>
      <c r="G7123" s="16" t="str">
        <f>HYPERLINK("http://maps.google.com/maps?f=q&amp;hl=en&amp;geocode=&amp;q=36.24863,-119.31603")</f>
        <v>http://maps.google.com/maps?f=q&amp;hl=en&amp;geocode=&amp;q=36.24863,-119.31603</v>
      </c>
    </row>
    <row r="7124" spans="1:7" ht="15" x14ac:dyDescent="0.3">
      <c r="A7124">
        <v>29.7082328796387</v>
      </c>
      <c r="B7124">
        <v>-90.006401062011705</v>
      </c>
      <c r="C7124" t="s">
        <v>43</v>
      </c>
      <c r="D7124" t="s">
        <v>98</v>
      </c>
      <c r="F7124" s="21"/>
      <c r="G7124" s="16" t="str">
        <f>HYPERLINK("http://maps.google.com/maps?f=q&amp;hl=en&amp;geocode=&amp;q=29.7082328796387,-90.0064010620117")</f>
        <v>http://maps.google.com/maps?f=q&amp;hl=en&amp;geocode=&amp;q=29.7082328796387,-90.0064010620117</v>
      </c>
    </row>
    <row r="7125" spans="1:7" ht="15" x14ac:dyDescent="0.3">
      <c r="A7125">
        <v>41.092313487596797</v>
      </c>
      <c r="B7125">
        <v>-85.112541453908094</v>
      </c>
      <c r="C7125" t="s">
        <v>41</v>
      </c>
      <c r="D7125" t="s">
        <v>3457</v>
      </c>
      <c r="F7125" s="21"/>
      <c r="G7125" s="16" t="str">
        <f>HYPERLINK("http://maps.google.com/maps?f=q&amp;hl=en&amp;geocode=&amp;q=41.0923134875968,-85.1125414539081")</f>
        <v>http://maps.google.com/maps?f=q&amp;hl=en&amp;geocode=&amp;q=41.0923134875968,-85.1125414539081</v>
      </c>
    </row>
    <row r="7126" spans="1:7" ht="15" x14ac:dyDescent="0.3">
      <c r="A7126">
        <v>40.390259999999998</v>
      </c>
      <c r="B7126">
        <v>-78.716480000000004</v>
      </c>
      <c r="C7126" t="s">
        <v>43</v>
      </c>
      <c r="D7126" t="s">
        <v>4270</v>
      </c>
      <c r="F7126" s="21"/>
      <c r="G7126" s="16" t="str">
        <f>HYPERLINK("http://maps.google.com/maps?f=q&amp;hl=en&amp;geocode=&amp;q=40.39026,-78.71648")</f>
        <v>http://maps.google.com/maps?f=q&amp;hl=en&amp;geocode=&amp;q=40.39026,-78.71648</v>
      </c>
    </row>
    <row r="7127" spans="1:7" ht="15" x14ac:dyDescent="0.3">
      <c r="A7127">
        <v>39.2708012994092</v>
      </c>
      <c r="B7127">
        <v>-76.765324114853698</v>
      </c>
      <c r="C7127" t="s">
        <v>41</v>
      </c>
      <c r="D7127" t="s">
        <v>4271</v>
      </c>
      <c r="F7127" s="21"/>
      <c r="G7127" s="16" t="str">
        <f>HYPERLINK("http://maps.google.com/maps?f=q&amp;hl=en&amp;geocode=&amp;q=39.2708012994092,-76.7653241148537")</f>
        <v>http://maps.google.com/maps?f=q&amp;hl=en&amp;geocode=&amp;q=39.2708012994092,-76.7653241148537</v>
      </c>
    </row>
    <row r="7128" spans="1:7" ht="15" x14ac:dyDescent="0.3">
      <c r="A7128">
        <v>-33.836307525634801</v>
      </c>
      <c r="B7128">
        <v>25.517210006713899</v>
      </c>
      <c r="C7128" t="s">
        <v>43</v>
      </c>
      <c r="D7128" t="s">
        <v>4272</v>
      </c>
      <c r="F7128" s="21"/>
      <c r="G7128" s="16" t="str">
        <f>HYPERLINK("http://maps.google.com/maps?f=q&amp;hl=en&amp;geocode=&amp;q=-33.8363075256348,25.5172100067139")</f>
        <v>http://maps.google.com/maps?f=q&amp;hl=en&amp;geocode=&amp;q=-33.8363075256348,25.5172100067139</v>
      </c>
    </row>
    <row r="7129" spans="1:7" ht="15" x14ac:dyDescent="0.3">
      <c r="A7129">
        <v>39.294969999999999</v>
      </c>
      <c r="B7129">
        <v>-76.699950000000001</v>
      </c>
      <c r="C7129" t="s">
        <v>41</v>
      </c>
      <c r="D7129" t="s">
        <v>4273</v>
      </c>
      <c r="F7129" s="21"/>
      <c r="G7129" s="16" t="str">
        <f>HYPERLINK("http://maps.google.com/maps?f=q&amp;hl=en&amp;geocode=&amp;q=39.29497,-76.69995")</f>
        <v>http://maps.google.com/maps?f=q&amp;hl=en&amp;geocode=&amp;q=39.29497,-76.69995</v>
      </c>
    </row>
    <row r="7130" spans="1:7" ht="15" x14ac:dyDescent="0.3">
      <c r="A7130">
        <v>33.489031236303198</v>
      </c>
      <c r="B7130">
        <v>-88.093818683180601</v>
      </c>
      <c r="C7130" t="s">
        <v>41</v>
      </c>
      <c r="D7130" t="s">
        <v>4274</v>
      </c>
      <c r="F7130" s="21"/>
      <c r="G7130" s="16" t="str">
        <f>HYPERLINK("http://maps.google.com/maps?f=q&amp;hl=en&amp;geocode=&amp;q=33.4890312363032,-88.0938186831806")</f>
        <v>http://maps.google.com/maps?f=q&amp;hl=en&amp;geocode=&amp;q=33.4890312363032,-88.0938186831806</v>
      </c>
    </row>
    <row r="7131" spans="1:7" ht="15" x14ac:dyDescent="0.3">
      <c r="A7131">
        <v>39.996949999999998</v>
      </c>
      <c r="B7131">
        <v>-75.115160000000003</v>
      </c>
      <c r="C7131" t="s">
        <v>41</v>
      </c>
      <c r="D7131" t="s">
        <v>4275</v>
      </c>
      <c r="F7131" s="21"/>
      <c r="G7131" s="16" t="str">
        <f>HYPERLINK("http://maps.google.com/maps?f=q&amp;hl=en&amp;geocode=&amp;q=39.99695,-75.11516")</f>
        <v>http://maps.google.com/maps?f=q&amp;hl=en&amp;geocode=&amp;q=39.99695,-75.11516</v>
      </c>
    </row>
    <row r="7132" spans="1:7" ht="15" x14ac:dyDescent="0.3">
      <c r="A7132">
        <v>40.309345611728098</v>
      </c>
      <c r="B7132">
        <v>-78.3180015519536</v>
      </c>
      <c r="C7132" t="s">
        <v>41</v>
      </c>
      <c r="D7132" t="s">
        <v>844</v>
      </c>
      <c r="F7132" s="21"/>
      <c r="G7132" s="16" t="str">
        <f>HYPERLINK("http://maps.google.com/maps?f=q&amp;hl=en&amp;geocode=&amp;q=40.3093456117281,-78.3180015519536")</f>
        <v>http://maps.google.com/maps?f=q&amp;hl=en&amp;geocode=&amp;q=40.3093456117281,-78.3180015519536</v>
      </c>
    </row>
    <row r="7133" spans="1:7" ht="15" x14ac:dyDescent="0.3">
      <c r="A7133" t="s">
        <v>44</v>
      </c>
      <c r="B7133" t="s">
        <v>44</v>
      </c>
      <c r="C7133" t="s">
        <v>44</v>
      </c>
      <c r="D7133" t="s">
        <v>4276</v>
      </c>
      <c r="F7133" s="21"/>
      <c r="G7133" s="16"/>
    </row>
    <row r="7134" spans="1:7" ht="15" x14ac:dyDescent="0.3">
      <c r="A7134">
        <v>42.783068193924599</v>
      </c>
      <c r="B7134">
        <v>-78.2339736353304</v>
      </c>
      <c r="C7134" t="s">
        <v>41</v>
      </c>
      <c r="D7134" t="s">
        <v>4277</v>
      </c>
      <c r="F7134" s="21"/>
      <c r="G7134" s="16" t="str">
        <f>HYPERLINK("http://maps.google.com/maps?f=q&amp;hl=en&amp;geocode=&amp;q=42.7830681939246,-78.2339736353304")</f>
        <v>http://maps.google.com/maps?f=q&amp;hl=en&amp;geocode=&amp;q=42.7830681939246,-78.2339736353304</v>
      </c>
    </row>
    <row r="7135" spans="1:7" ht="15" x14ac:dyDescent="0.3">
      <c r="A7135">
        <v>40.005546937720403</v>
      </c>
      <c r="B7135">
        <v>-83.061219163786006</v>
      </c>
      <c r="C7135" t="s">
        <v>41</v>
      </c>
      <c r="D7135" t="s">
        <v>4278</v>
      </c>
      <c r="F7135" s="21"/>
      <c r="G7135" s="16" t="str">
        <f>HYPERLINK("http://maps.google.com/maps?f=q&amp;hl=en&amp;geocode=&amp;q=40.0055469377204,-83.061219163786")</f>
        <v>http://maps.google.com/maps?f=q&amp;hl=en&amp;geocode=&amp;q=40.0055469377204,-83.061219163786</v>
      </c>
    </row>
    <row r="7136" spans="1:7" ht="15" x14ac:dyDescent="0.3">
      <c r="A7136" t="s">
        <v>44</v>
      </c>
      <c r="B7136" t="s">
        <v>44</v>
      </c>
      <c r="C7136" t="s">
        <v>44</v>
      </c>
      <c r="D7136" t="s">
        <v>3361</v>
      </c>
      <c r="F7136" s="21"/>
      <c r="G7136" s="16"/>
    </row>
    <row r="7137" spans="1:7" ht="15" x14ac:dyDescent="0.3">
      <c r="A7137">
        <v>35.744648789723101</v>
      </c>
      <c r="B7137">
        <v>-84.316802522948294</v>
      </c>
      <c r="C7137" t="s">
        <v>43</v>
      </c>
      <c r="D7137" t="s">
        <v>4217</v>
      </c>
      <c r="F7137" s="21"/>
      <c r="G7137" s="16" t="str">
        <f>HYPERLINK("http://maps.google.com/maps?f=q&amp;hl=en&amp;geocode=&amp;q=35.7446487897231,-84.3168025229483")</f>
        <v>http://maps.google.com/maps?f=q&amp;hl=en&amp;geocode=&amp;q=35.7446487897231,-84.3168025229483</v>
      </c>
    </row>
    <row r="7138" spans="1:7" ht="15" x14ac:dyDescent="0.3">
      <c r="A7138">
        <v>-26.142440000000001</v>
      </c>
      <c r="B7138">
        <v>27.91825</v>
      </c>
      <c r="C7138" t="s">
        <v>41</v>
      </c>
      <c r="D7138" t="s">
        <v>2558</v>
      </c>
      <c r="F7138" s="21"/>
      <c r="G7138" s="16" t="str">
        <f>HYPERLINK("http://maps.google.com/maps?f=q&amp;hl=en&amp;geocode=&amp;q=-26.14244,27.91825")</f>
        <v>http://maps.google.com/maps?f=q&amp;hl=en&amp;geocode=&amp;q=-26.14244,27.91825</v>
      </c>
    </row>
    <row r="7139" spans="1:7" ht="15" x14ac:dyDescent="0.3">
      <c r="A7139">
        <v>-26.142440000000001</v>
      </c>
      <c r="B7139">
        <v>27.91825</v>
      </c>
      <c r="C7139" t="s">
        <v>41</v>
      </c>
      <c r="D7139" t="s">
        <v>2558</v>
      </c>
      <c r="F7139" s="21"/>
      <c r="G7139" s="16" t="str">
        <f>HYPERLINK("http://maps.google.com/maps?f=q&amp;hl=en&amp;geocode=&amp;q=-26.14244,27.91825")</f>
        <v>http://maps.google.com/maps?f=q&amp;hl=en&amp;geocode=&amp;q=-26.14244,27.91825</v>
      </c>
    </row>
    <row r="7140" spans="1:7" ht="15" x14ac:dyDescent="0.3">
      <c r="A7140">
        <v>39.996699999999997</v>
      </c>
      <c r="B7140">
        <v>-75.174350000000004</v>
      </c>
      <c r="C7140" t="s">
        <v>41</v>
      </c>
      <c r="D7140" t="s">
        <v>4279</v>
      </c>
      <c r="F7140" s="21"/>
      <c r="G7140" s="16" t="str">
        <f>HYPERLINK("http://maps.google.com/maps?f=q&amp;hl=en&amp;geocode=&amp;q=39.9967,-75.17435")</f>
        <v>http://maps.google.com/maps?f=q&amp;hl=en&amp;geocode=&amp;q=39.9967,-75.17435</v>
      </c>
    </row>
    <row r="7141" spans="1:7" ht="15" x14ac:dyDescent="0.3">
      <c r="A7141" t="s">
        <v>44</v>
      </c>
      <c r="B7141" t="s">
        <v>44</v>
      </c>
      <c r="C7141" t="s">
        <v>44</v>
      </c>
      <c r="D7141" t="s">
        <v>1702</v>
      </c>
      <c r="F7141" s="21"/>
      <c r="G7141" s="16"/>
    </row>
    <row r="7142" spans="1:7" ht="15" x14ac:dyDescent="0.3">
      <c r="A7142" t="s">
        <v>44</v>
      </c>
      <c r="B7142" t="s">
        <v>44</v>
      </c>
      <c r="C7142" t="s">
        <v>44</v>
      </c>
      <c r="D7142" t="s">
        <v>1004</v>
      </c>
      <c r="F7142" s="21"/>
      <c r="G7142" s="16"/>
    </row>
    <row r="7143" spans="1:7" ht="15" x14ac:dyDescent="0.3">
      <c r="A7143">
        <v>-31.733360000000001</v>
      </c>
      <c r="B7143">
        <v>115.78972</v>
      </c>
      <c r="C7143" t="s">
        <v>41</v>
      </c>
      <c r="D7143" t="s">
        <v>4280</v>
      </c>
      <c r="F7143" s="21"/>
      <c r="G7143" s="16" t="str">
        <f>HYPERLINK("http://maps.google.com/maps?f=q&amp;hl=en&amp;geocode=&amp;q=-31.73336,115.78972")</f>
        <v>http://maps.google.com/maps?f=q&amp;hl=en&amp;geocode=&amp;q=-31.73336,115.78972</v>
      </c>
    </row>
    <row r="7144" spans="1:7" ht="15" x14ac:dyDescent="0.3">
      <c r="A7144">
        <v>45.589809417724602</v>
      </c>
      <c r="B7144">
        <v>-98.351638793945298</v>
      </c>
      <c r="C7144" t="s">
        <v>43</v>
      </c>
      <c r="D7144" t="s">
        <v>4281</v>
      </c>
      <c r="F7144" s="21"/>
      <c r="G7144" s="16" t="str">
        <f>HYPERLINK("http://maps.google.com/maps?f=q&amp;hl=en&amp;geocode=&amp;q=45.5898094177246,-98.3516387939453")</f>
        <v>http://maps.google.com/maps?f=q&amp;hl=en&amp;geocode=&amp;q=45.5898094177246,-98.3516387939453</v>
      </c>
    </row>
    <row r="7145" spans="1:7" ht="15" x14ac:dyDescent="0.3">
      <c r="A7145">
        <v>43.085749999999997</v>
      </c>
      <c r="B7145">
        <v>-79.000010000000003</v>
      </c>
      <c r="C7145" t="s">
        <v>43</v>
      </c>
      <c r="D7145" t="s">
        <v>4282</v>
      </c>
      <c r="F7145" s="21"/>
      <c r="G7145" s="16" t="str">
        <f>HYPERLINK("http://maps.google.com/maps?f=q&amp;hl=en&amp;geocode=&amp;q=43.08575,-79.00001")</f>
        <v>http://maps.google.com/maps?f=q&amp;hl=en&amp;geocode=&amp;q=43.08575,-79.00001</v>
      </c>
    </row>
    <row r="7146" spans="1:7" ht="15" x14ac:dyDescent="0.3">
      <c r="A7146" t="s">
        <v>44</v>
      </c>
      <c r="B7146" t="s">
        <v>44</v>
      </c>
      <c r="C7146" t="s">
        <v>44</v>
      </c>
      <c r="D7146" t="s">
        <v>981</v>
      </c>
      <c r="F7146" s="21"/>
      <c r="G7146" s="16"/>
    </row>
    <row r="7147" spans="1:7" ht="15" x14ac:dyDescent="0.3">
      <c r="A7147">
        <v>32.993589999999998</v>
      </c>
      <c r="B7147">
        <v>-82.813860000000005</v>
      </c>
      <c r="C7147" t="s">
        <v>42</v>
      </c>
      <c r="D7147" t="s">
        <v>1601</v>
      </c>
      <c r="F7147" s="21"/>
      <c r="G7147" s="16" t="str">
        <f>HYPERLINK("http://maps.google.com/maps?f=q&amp;hl=en&amp;geocode=&amp;q=32.99359,-82.81386")</f>
        <v>http://maps.google.com/maps?f=q&amp;hl=en&amp;geocode=&amp;q=32.99359,-82.81386</v>
      </c>
    </row>
    <row r="7148" spans="1:7" ht="15" x14ac:dyDescent="0.3">
      <c r="A7148" t="s">
        <v>44</v>
      </c>
      <c r="B7148" t="s">
        <v>44</v>
      </c>
      <c r="C7148" t="s">
        <v>44</v>
      </c>
      <c r="D7148" t="s">
        <v>3255</v>
      </c>
      <c r="F7148" s="21"/>
      <c r="G7148" s="16"/>
    </row>
    <row r="7149" spans="1:7" ht="15" x14ac:dyDescent="0.3">
      <c r="A7149">
        <v>42.510359999999999</v>
      </c>
      <c r="B7149">
        <v>-113.80448</v>
      </c>
      <c r="C7149" t="s">
        <v>42</v>
      </c>
      <c r="D7149" t="s">
        <v>4283</v>
      </c>
      <c r="F7149" s="21"/>
      <c r="G7149" s="16" t="str">
        <f>HYPERLINK("http://maps.google.com/maps?f=q&amp;hl=en&amp;geocode=&amp;q=42.51036,-113.80448")</f>
        <v>http://maps.google.com/maps?f=q&amp;hl=en&amp;geocode=&amp;q=42.51036,-113.80448</v>
      </c>
    </row>
    <row r="7150" spans="1:7" ht="15" x14ac:dyDescent="0.3">
      <c r="A7150">
        <v>39.996954737656701</v>
      </c>
      <c r="B7150">
        <v>-75.117221959843704</v>
      </c>
      <c r="C7150" t="s">
        <v>41</v>
      </c>
      <c r="D7150" t="s">
        <v>521</v>
      </c>
      <c r="F7150" s="21"/>
      <c r="G7150" s="16" t="str">
        <f>HYPERLINK("http://maps.google.com/maps?f=q&amp;hl=en&amp;geocode=&amp;q=39.9969547376567,-75.1172219598437")</f>
        <v>http://maps.google.com/maps?f=q&amp;hl=en&amp;geocode=&amp;q=39.9969547376567,-75.1172219598437</v>
      </c>
    </row>
    <row r="7151" spans="1:7" ht="15" x14ac:dyDescent="0.3">
      <c r="A7151">
        <v>33.269960182528102</v>
      </c>
      <c r="B7151">
        <v>-115.953881084049</v>
      </c>
      <c r="C7151" t="s">
        <v>41</v>
      </c>
      <c r="D7151" t="s">
        <v>2229</v>
      </c>
      <c r="F7151" s="21"/>
      <c r="G7151" s="16" t="str">
        <f>HYPERLINK("http://maps.google.com/maps?f=q&amp;hl=en&amp;geocode=&amp;q=33.2699601825281,-115.953881084049")</f>
        <v>http://maps.google.com/maps?f=q&amp;hl=en&amp;geocode=&amp;q=33.2699601825281,-115.953881084049</v>
      </c>
    </row>
    <row r="7152" spans="1:7" ht="15" x14ac:dyDescent="0.3">
      <c r="A7152">
        <v>-36.750904083252003</v>
      </c>
      <c r="B7152">
        <v>174.759689331055</v>
      </c>
      <c r="C7152" t="s">
        <v>43</v>
      </c>
      <c r="D7152" t="s">
        <v>4284</v>
      </c>
      <c r="F7152" s="21"/>
      <c r="G7152" s="16" t="str">
        <f>HYPERLINK("http://maps.google.com/maps?f=q&amp;hl=en&amp;geocode=&amp;q=-36.750904083252,174.759689331055")</f>
        <v>http://maps.google.com/maps?f=q&amp;hl=en&amp;geocode=&amp;q=-36.750904083252,174.759689331055</v>
      </c>
    </row>
    <row r="7153" spans="1:7" ht="15" x14ac:dyDescent="0.3">
      <c r="A7153">
        <v>38.965184209698201</v>
      </c>
      <c r="B7153">
        <v>-89.920875980183794</v>
      </c>
      <c r="C7153" t="s">
        <v>41</v>
      </c>
      <c r="D7153" t="s">
        <v>4285</v>
      </c>
      <c r="F7153" s="21"/>
      <c r="G7153" s="16" t="str">
        <f>HYPERLINK("http://maps.google.com/maps?f=q&amp;hl=en&amp;geocode=&amp;q=38.9651842096982,-89.9208759801838")</f>
        <v>http://maps.google.com/maps?f=q&amp;hl=en&amp;geocode=&amp;q=38.9651842096982,-89.9208759801838</v>
      </c>
    </row>
    <row r="7154" spans="1:7" ht="15" x14ac:dyDescent="0.3">
      <c r="A7154">
        <v>39.911269626023099</v>
      </c>
      <c r="B7154">
        <v>-75.179057263875606</v>
      </c>
      <c r="C7154" t="s">
        <v>43</v>
      </c>
      <c r="D7154" t="s">
        <v>4286</v>
      </c>
      <c r="F7154" s="21"/>
      <c r="G7154" s="16" t="str">
        <f>HYPERLINK("http://maps.google.com/maps?f=q&amp;hl=en&amp;geocode=&amp;q=39.9112696260231,-75.1790572638756")</f>
        <v>http://maps.google.com/maps?f=q&amp;hl=en&amp;geocode=&amp;q=39.9112696260231,-75.1790572638756</v>
      </c>
    </row>
    <row r="7155" spans="1:7" ht="15" x14ac:dyDescent="0.3">
      <c r="A7155">
        <v>32.767061528882401</v>
      </c>
      <c r="B7155">
        <v>-115.366395617064</v>
      </c>
      <c r="C7155" t="s">
        <v>41</v>
      </c>
      <c r="D7155" t="s">
        <v>3747</v>
      </c>
      <c r="F7155" s="21"/>
      <c r="G7155" s="16" t="str">
        <f>HYPERLINK("http://maps.google.com/maps?f=q&amp;hl=en&amp;geocode=&amp;q=32.7670615288824,-115.366395617064")</f>
        <v>http://maps.google.com/maps?f=q&amp;hl=en&amp;geocode=&amp;q=32.7670615288824,-115.366395617064</v>
      </c>
    </row>
    <row r="7156" spans="1:7" ht="15" x14ac:dyDescent="0.3">
      <c r="A7156">
        <v>39.4432563781738</v>
      </c>
      <c r="B7156">
        <v>-98.957336425781307</v>
      </c>
      <c r="C7156" t="s">
        <v>43</v>
      </c>
      <c r="D7156" t="s">
        <v>1330</v>
      </c>
      <c r="F7156" s="21"/>
      <c r="G7156" s="16" t="str">
        <f>HYPERLINK("http://maps.google.com/maps?f=q&amp;hl=en&amp;geocode=&amp;q=39.4432563781738,-98.9573364257813")</f>
        <v>http://maps.google.com/maps?f=q&amp;hl=en&amp;geocode=&amp;q=39.4432563781738,-98.9573364257813</v>
      </c>
    </row>
    <row r="7157" spans="1:7" ht="15" x14ac:dyDescent="0.3">
      <c r="A7157">
        <v>39.4432563781738</v>
      </c>
      <c r="B7157">
        <v>-98.957336425781307</v>
      </c>
      <c r="C7157" t="s">
        <v>43</v>
      </c>
      <c r="D7157" t="s">
        <v>1330</v>
      </c>
      <c r="F7157" s="21"/>
      <c r="G7157" s="16" t="str">
        <f>HYPERLINK("http://maps.google.com/maps?f=q&amp;hl=en&amp;geocode=&amp;q=39.4432563781738,-98.9573364257813")</f>
        <v>http://maps.google.com/maps?f=q&amp;hl=en&amp;geocode=&amp;q=39.4432563781738,-98.9573364257813</v>
      </c>
    </row>
    <row r="7158" spans="1:7" ht="15" x14ac:dyDescent="0.3">
      <c r="A7158">
        <v>39.4432563781738</v>
      </c>
      <c r="B7158">
        <v>-98.957336425781307</v>
      </c>
      <c r="C7158" t="s">
        <v>43</v>
      </c>
      <c r="D7158" t="s">
        <v>1330</v>
      </c>
      <c r="F7158" s="21"/>
      <c r="G7158" s="16" t="str">
        <f>HYPERLINK("http://maps.google.com/maps?f=q&amp;hl=en&amp;geocode=&amp;q=39.4432563781738,-98.9573364257813")</f>
        <v>http://maps.google.com/maps?f=q&amp;hl=en&amp;geocode=&amp;q=39.4432563781738,-98.9573364257813</v>
      </c>
    </row>
    <row r="7159" spans="1:7" ht="15" x14ac:dyDescent="0.3">
      <c r="A7159">
        <v>39.4432563781738</v>
      </c>
      <c r="B7159">
        <v>-98.957336425781307</v>
      </c>
      <c r="C7159" t="s">
        <v>43</v>
      </c>
      <c r="D7159" t="s">
        <v>1330</v>
      </c>
      <c r="F7159" s="21"/>
      <c r="G7159" s="16" t="str">
        <f>HYPERLINK("http://maps.google.com/maps?f=q&amp;hl=en&amp;geocode=&amp;q=39.4432563781738,-98.9573364257813")</f>
        <v>http://maps.google.com/maps?f=q&amp;hl=en&amp;geocode=&amp;q=39.4432563781738,-98.9573364257813</v>
      </c>
    </row>
    <row r="7160" spans="1:7" ht="15" x14ac:dyDescent="0.3">
      <c r="A7160">
        <v>39.4432563781738</v>
      </c>
      <c r="B7160">
        <v>-98.957336425781307</v>
      </c>
      <c r="C7160" t="s">
        <v>43</v>
      </c>
      <c r="D7160" t="s">
        <v>1330</v>
      </c>
      <c r="F7160" s="21"/>
      <c r="G7160" s="16" t="str">
        <f>HYPERLINK("http://maps.google.com/maps?f=q&amp;hl=en&amp;geocode=&amp;q=39.4432563781738,-98.9573364257813")</f>
        <v>http://maps.google.com/maps?f=q&amp;hl=en&amp;geocode=&amp;q=39.4432563781738,-98.9573364257813</v>
      </c>
    </row>
    <row r="7161" spans="1:7" ht="15" x14ac:dyDescent="0.3">
      <c r="A7161">
        <v>40.970053605031303</v>
      </c>
      <c r="B7161">
        <v>-111.882118410953</v>
      </c>
      <c r="C7161" t="s">
        <v>43</v>
      </c>
      <c r="D7161" t="s">
        <v>4287</v>
      </c>
      <c r="F7161" s="21"/>
      <c r="G7161" s="16" t="str">
        <f>HYPERLINK("http://maps.google.com/maps?f=q&amp;hl=en&amp;geocode=&amp;q=40.9700536050313,-111.882118410953")</f>
        <v>http://maps.google.com/maps?f=q&amp;hl=en&amp;geocode=&amp;q=40.9700536050313,-111.882118410953</v>
      </c>
    </row>
    <row r="7162" spans="1:7" ht="15" x14ac:dyDescent="0.3">
      <c r="A7162">
        <v>14.5838928222656</v>
      </c>
      <c r="B7162">
        <v>121.07668304443401</v>
      </c>
      <c r="C7162" t="s">
        <v>43</v>
      </c>
      <c r="D7162" t="s">
        <v>2413</v>
      </c>
      <c r="F7162" s="21"/>
      <c r="G7162" s="16" t="str">
        <f>HYPERLINK("http://maps.google.com/maps?f=q&amp;hl=en&amp;geocode=&amp;q=14.5838928222656,121.076683044434")</f>
        <v>http://maps.google.com/maps?f=q&amp;hl=en&amp;geocode=&amp;q=14.5838928222656,121.076683044434</v>
      </c>
    </row>
    <row r="7163" spans="1:7" ht="15" x14ac:dyDescent="0.3">
      <c r="A7163">
        <v>13.3421745300293</v>
      </c>
      <c r="B7163">
        <v>121.187538146973</v>
      </c>
      <c r="C7163" t="s">
        <v>43</v>
      </c>
      <c r="D7163" t="s">
        <v>4288</v>
      </c>
      <c r="F7163" s="21"/>
      <c r="G7163" s="16" t="str">
        <f>HYPERLINK("http://maps.google.com/maps?f=q&amp;hl=en&amp;geocode=&amp;q=13.3421745300293,121.187538146973")</f>
        <v>http://maps.google.com/maps?f=q&amp;hl=en&amp;geocode=&amp;q=13.3421745300293,121.187538146973</v>
      </c>
    </row>
    <row r="7164" spans="1:7" ht="15" x14ac:dyDescent="0.3">
      <c r="A7164">
        <v>53.773670196533203</v>
      </c>
      <c r="B7164">
        <v>-1.79114365577698</v>
      </c>
      <c r="C7164" t="s">
        <v>43</v>
      </c>
      <c r="D7164" t="s">
        <v>4289</v>
      </c>
      <c r="F7164" s="21"/>
      <c r="G7164" s="16" t="str">
        <f>HYPERLINK("http://maps.google.com/maps?f=q&amp;hl=en&amp;geocode=&amp;q=53.7736701965332,-1.79114365577698")</f>
        <v>http://maps.google.com/maps?f=q&amp;hl=en&amp;geocode=&amp;q=53.7736701965332,-1.79114365577698</v>
      </c>
    </row>
    <row r="7165" spans="1:7" ht="15" x14ac:dyDescent="0.3">
      <c r="A7165">
        <v>39.403060000000004</v>
      </c>
      <c r="B7165">
        <v>-83.982119999999995</v>
      </c>
      <c r="C7165" t="s">
        <v>43</v>
      </c>
      <c r="D7165" t="s">
        <v>3129</v>
      </c>
      <c r="F7165" s="21"/>
      <c r="G7165" s="16" t="str">
        <f>HYPERLINK("http://maps.google.com/maps?f=q&amp;hl=en&amp;geocode=&amp;q=39.40306,-83.98212")</f>
        <v>http://maps.google.com/maps?f=q&amp;hl=en&amp;geocode=&amp;q=39.40306,-83.98212</v>
      </c>
    </row>
    <row r="7166" spans="1:7" ht="15" x14ac:dyDescent="0.3">
      <c r="A7166">
        <v>43.680480000000003</v>
      </c>
      <c r="B7166">
        <v>-86.493219999999994</v>
      </c>
      <c r="C7166" t="s">
        <v>43</v>
      </c>
      <c r="D7166" t="s">
        <v>3342</v>
      </c>
      <c r="F7166" s="21"/>
      <c r="G7166" s="16" t="str">
        <f>HYPERLINK("http://maps.google.com/maps?f=q&amp;hl=en&amp;geocode=&amp;q=43.68048,-86.49322")</f>
        <v>http://maps.google.com/maps?f=q&amp;hl=en&amp;geocode=&amp;q=43.68048,-86.49322</v>
      </c>
    </row>
    <row r="7167" spans="1:7" ht="15" x14ac:dyDescent="0.3">
      <c r="A7167">
        <v>39.935760000000002</v>
      </c>
      <c r="B7167">
        <v>-75.170550000000006</v>
      </c>
      <c r="C7167" t="s">
        <v>43</v>
      </c>
      <c r="D7167" t="s">
        <v>4290</v>
      </c>
      <c r="F7167" s="21"/>
      <c r="G7167" s="16" t="str">
        <f>HYPERLINK("http://maps.google.com/maps?f=q&amp;hl=en&amp;geocode=&amp;q=39.93576,-75.17055")</f>
        <v>http://maps.google.com/maps?f=q&amp;hl=en&amp;geocode=&amp;q=39.93576,-75.17055</v>
      </c>
    </row>
    <row r="7168" spans="1:7" ht="15" x14ac:dyDescent="0.3">
      <c r="A7168">
        <v>-33.9528999328613</v>
      </c>
      <c r="B7168">
        <v>151.14724731445301</v>
      </c>
      <c r="C7168" t="s">
        <v>43</v>
      </c>
      <c r="D7168" t="s">
        <v>4291</v>
      </c>
      <c r="F7168" s="21"/>
      <c r="G7168" s="16" t="str">
        <f>HYPERLINK("http://maps.google.com/maps?f=q&amp;hl=en&amp;geocode=&amp;q=-33.9528999328613,151.147247314453")</f>
        <v>http://maps.google.com/maps?f=q&amp;hl=en&amp;geocode=&amp;q=-33.9528999328613,151.147247314453</v>
      </c>
    </row>
    <row r="7169" spans="1:7" ht="15" x14ac:dyDescent="0.3">
      <c r="A7169">
        <v>-26.142440000000001</v>
      </c>
      <c r="B7169">
        <v>27.91825</v>
      </c>
      <c r="C7169" t="s">
        <v>41</v>
      </c>
      <c r="D7169" t="s">
        <v>2558</v>
      </c>
      <c r="F7169" s="21"/>
      <c r="G7169" s="16" t="str">
        <f>HYPERLINK("http://maps.google.com/maps?f=q&amp;hl=en&amp;geocode=&amp;q=-26.14244,27.91825")</f>
        <v>http://maps.google.com/maps?f=q&amp;hl=en&amp;geocode=&amp;q=-26.14244,27.91825</v>
      </c>
    </row>
    <row r="7170" spans="1:7" ht="15" x14ac:dyDescent="0.3">
      <c r="A7170">
        <v>39.941049999999997</v>
      </c>
      <c r="B7170">
        <v>-75.179630000000003</v>
      </c>
      <c r="C7170" t="s">
        <v>41</v>
      </c>
      <c r="D7170" t="s">
        <v>4292</v>
      </c>
      <c r="F7170" s="21"/>
      <c r="G7170" s="16" t="str">
        <f>HYPERLINK("http://maps.google.com/maps?f=q&amp;hl=en&amp;geocode=&amp;q=39.94105,-75.17963")</f>
        <v>http://maps.google.com/maps?f=q&amp;hl=en&amp;geocode=&amp;q=39.94105,-75.17963</v>
      </c>
    </row>
    <row r="7171" spans="1:7" ht="15" x14ac:dyDescent="0.3">
      <c r="A7171">
        <v>39.555054079588302</v>
      </c>
      <c r="B7171">
        <v>-76.978474151436501</v>
      </c>
      <c r="C7171" t="s">
        <v>43</v>
      </c>
      <c r="D7171" t="s">
        <v>4293</v>
      </c>
      <c r="F7171" s="21"/>
      <c r="G7171" s="16" t="str">
        <f>HYPERLINK("http://maps.google.com/maps?f=q&amp;hl=en&amp;geocode=&amp;q=39.5550540795883,-76.9784741514365")</f>
        <v>http://maps.google.com/maps?f=q&amp;hl=en&amp;geocode=&amp;q=39.5550540795883,-76.9784741514365</v>
      </c>
    </row>
    <row r="7172" spans="1:7" ht="15" x14ac:dyDescent="0.3">
      <c r="A7172">
        <v>46.400508880615199</v>
      </c>
      <c r="B7172">
        <v>15.4936199188232</v>
      </c>
      <c r="C7172" t="s">
        <v>43</v>
      </c>
      <c r="D7172" t="s">
        <v>4294</v>
      </c>
      <c r="F7172" s="21"/>
      <c r="G7172" s="16" t="str">
        <f>HYPERLINK("http://maps.google.com/maps?f=q&amp;hl=en&amp;geocode=&amp;q=46.4005088806152,15.4936199188232")</f>
        <v>http://maps.google.com/maps?f=q&amp;hl=en&amp;geocode=&amp;q=46.4005088806152,15.4936199188232</v>
      </c>
    </row>
    <row r="7173" spans="1:7" ht="15" x14ac:dyDescent="0.3">
      <c r="A7173">
        <v>40.040602202038002</v>
      </c>
      <c r="B7173">
        <v>-75.078391070732593</v>
      </c>
      <c r="C7173" t="s">
        <v>41</v>
      </c>
      <c r="D7173" t="s">
        <v>4295</v>
      </c>
      <c r="F7173" s="21"/>
      <c r="G7173" s="16" t="str">
        <f>HYPERLINK("http://maps.google.com/maps?f=q&amp;hl=en&amp;geocode=&amp;q=40.040602202038,-75.0783910707326")</f>
        <v>http://maps.google.com/maps?f=q&amp;hl=en&amp;geocode=&amp;q=40.040602202038,-75.0783910707326</v>
      </c>
    </row>
    <row r="7174" spans="1:7" ht="15" x14ac:dyDescent="0.3">
      <c r="A7174">
        <v>43.1462056492663</v>
      </c>
      <c r="B7174">
        <v>-75.463922665397305</v>
      </c>
      <c r="C7174" t="s">
        <v>41</v>
      </c>
      <c r="D7174" t="s">
        <v>2440</v>
      </c>
      <c r="F7174" s="21"/>
      <c r="G7174" s="16" t="str">
        <f>HYPERLINK("http://maps.google.com/maps?f=q&amp;hl=en&amp;geocode=&amp;q=43.1462056492663,-75.4639226653973")</f>
        <v>http://maps.google.com/maps?f=q&amp;hl=en&amp;geocode=&amp;q=43.1462056492663,-75.4639226653973</v>
      </c>
    </row>
    <row r="7175" spans="1:7" ht="15" x14ac:dyDescent="0.3">
      <c r="A7175">
        <v>39.920350908880501</v>
      </c>
      <c r="B7175">
        <v>-75.168576536206004</v>
      </c>
      <c r="C7175" t="s">
        <v>41</v>
      </c>
      <c r="D7175" t="s">
        <v>3996</v>
      </c>
      <c r="F7175" s="21"/>
      <c r="G7175" s="16" t="str">
        <f>HYPERLINK("http://maps.google.com/maps?f=q&amp;hl=en&amp;geocode=&amp;q=39.9203509088805,-75.168576536206")</f>
        <v>http://maps.google.com/maps?f=q&amp;hl=en&amp;geocode=&amp;q=39.9203509088805,-75.168576536206</v>
      </c>
    </row>
    <row r="7176" spans="1:7" ht="15" x14ac:dyDescent="0.3">
      <c r="A7176">
        <v>38.659930000000003</v>
      </c>
      <c r="B7176">
        <v>-121.32227</v>
      </c>
      <c r="C7176" t="s">
        <v>41</v>
      </c>
      <c r="D7176" t="s">
        <v>4261</v>
      </c>
      <c r="F7176" s="21"/>
      <c r="G7176" s="16" t="str">
        <f>HYPERLINK("http://maps.google.com/maps?f=q&amp;hl=en&amp;geocode=&amp;q=38.65993,-121.32227")</f>
        <v>http://maps.google.com/maps?f=q&amp;hl=en&amp;geocode=&amp;q=38.65993,-121.32227</v>
      </c>
    </row>
    <row r="7177" spans="1:7" ht="15" x14ac:dyDescent="0.3">
      <c r="A7177">
        <v>38.659930000000003</v>
      </c>
      <c r="B7177">
        <v>-121.32227</v>
      </c>
      <c r="C7177" t="s">
        <v>41</v>
      </c>
      <c r="D7177" t="s">
        <v>4261</v>
      </c>
      <c r="F7177" s="21"/>
      <c r="G7177" s="16" t="str">
        <f>HYPERLINK("http://maps.google.com/maps?f=q&amp;hl=en&amp;geocode=&amp;q=38.65993,-121.32227")</f>
        <v>http://maps.google.com/maps?f=q&amp;hl=en&amp;geocode=&amp;q=38.65993,-121.32227</v>
      </c>
    </row>
    <row r="7178" spans="1:7" ht="15" x14ac:dyDescent="0.3">
      <c r="A7178">
        <v>41.740640112089999</v>
      </c>
      <c r="B7178">
        <v>-111.81466358090999</v>
      </c>
      <c r="C7178" t="s">
        <v>41</v>
      </c>
      <c r="D7178" t="s">
        <v>1285</v>
      </c>
      <c r="F7178" s="21"/>
      <c r="G7178" s="16" t="str">
        <f>HYPERLINK("http://maps.google.com/maps?f=q&amp;hl=en&amp;geocode=&amp;q=41.74064011209,-111.81466358091")</f>
        <v>http://maps.google.com/maps?f=q&amp;hl=en&amp;geocode=&amp;q=41.74064011209,-111.81466358091</v>
      </c>
    </row>
    <row r="7179" spans="1:7" ht="15" x14ac:dyDescent="0.3">
      <c r="A7179">
        <v>31.010521860641301</v>
      </c>
      <c r="B7179">
        <v>-86.338381947871</v>
      </c>
      <c r="C7179" t="s">
        <v>41</v>
      </c>
      <c r="D7179" t="s">
        <v>4296</v>
      </c>
      <c r="F7179" s="21"/>
      <c r="G7179" s="16" t="str">
        <f>HYPERLINK("http://maps.google.com/maps?f=q&amp;hl=en&amp;geocode=&amp;q=31.0105218606413,-86.338381947871")</f>
        <v>http://maps.google.com/maps?f=q&amp;hl=en&amp;geocode=&amp;q=31.0105218606413,-86.338381947871</v>
      </c>
    </row>
    <row r="7180" spans="1:7" ht="15" x14ac:dyDescent="0.3">
      <c r="A7180">
        <v>59.858619689941399</v>
      </c>
      <c r="B7180">
        <v>17.643730163574201</v>
      </c>
      <c r="C7180" t="s">
        <v>41</v>
      </c>
      <c r="D7180" t="s">
        <v>4297</v>
      </c>
      <c r="F7180" s="21"/>
      <c r="G7180" s="16" t="str">
        <f>HYPERLINK("http://maps.google.com/maps?f=q&amp;hl=en&amp;geocode=&amp;q=59.8586196899414,17.6437301635742")</f>
        <v>http://maps.google.com/maps?f=q&amp;hl=en&amp;geocode=&amp;q=59.8586196899414,17.6437301635742</v>
      </c>
    </row>
    <row r="7181" spans="1:7" ht="15" x14ac:dyDescent="0.3">
      <c r="A7181">
        <v>31.010573324329201</v>
      </c>
      <c r="B7181">
        <v>-86.338295897539993</v>
      </c>
      <c r="C7181" t="s">
        <v>41</v>
      </c>
      <c r="D7181" t="s">
        <v>4298</v>
      </c>
      <c r="F7181" s="21"/>
      <c r="G7181" s="16" t="str">
        <f>HYPERLINK("http://maps.google.com/maps?f=q&amp;hl=en&amp;geocode=&amp;q=31.0105733243292,-86.33829589754")</f>
        <v>http://maps.google.com/maps?f=q&amp;hl=en&amp;geocode=&amp;q=31.0105733243292,-86.33829589754</v>
      </c>
    </row>
    <row r="7182" spans="1:7" ht="15" x14ac:dyDescent="0.3">
      <c r="A7182">
        <v>31.010573324329201</v>
      </c>
      <c r="B7182">
        <v>-86.338295897539993</v>
      </c>
      <c r="C7182" t="s">
        <v>41</v>
      </c>
      <c r="D7182" t="s">
        <v>4298</v>
      </c>
      <c r="F7182" s="21"/>
      <c r="G7182" s="16" t="str">
        <f>HYPERLINK("http://maps.google.com/maps?f=q&amp;hl=en&amp;geocode=&amp;q=31.0105733243292,-86.33829589754")</f>
        <v>http://maps.google.com/maps?f=q&amp;hl=en&amp;geocode=&amp;q=31.0105733243292,-86.33829589754</v>
      </c>
    </row>
    <row r="7183" spans="1:7" ht="15" x14ac:dyDescent="0.3">
      <c r="A7183">
        <v>33.8986206054688</v>
      </c>
      <c r="B7183">
        <v>-118.35385131835901</v>
      </c>
      <c r="C7183" t="s">
        <v>41</v>
      </c>
      <c r="D7183" t="s">
        <v>4299</v>
      </c>
      <c r="F7183" s="21"/>
      <c r="G7183" s="16" t="str">
        <f>HYPERLINK("http://maps.google.com/maps?f=q&amp;hl=en&amp;geocode=&amp;q=33.8986206054688,-118.353851318359")</f>
        <v>http://maps.google.com/maps?f=q&amp;hl=en&amp;geocode=&amp;q=33.8986206054688,-118.353851318359</v>
      </c>
    </row>
    <row r="7184" spans="1:7" ht="15" x14ac:dyDescent="0.3">
      <c r="A7184">
        <v>42.4211838777669</v>
      </c>
      <c r="B7184">
        <v>-76.492153618799193</v>
      </c>
      <c r="C7184" t="s">
        <v>41</v>
      </c>
      <c r="D7184" t="s">
        <v>146</v>
      </c>
      <c r="F7184" s="21"/>
      <c r="G7184" s="16" t="str">
        <f>HYPERLINK("http://maps.google.com/maps?f=q&amp;hl=en&amp;geocode=&amp;q=42.4211838777669,-76.4921536187992")</f>
        <v>http://maps.google.com/maps?f=q&amp;hl=en&amp;geocode=&amp;q=42.4211838777669,-76.4921536187992</v>
      </c>
    </row>
    <row r="7185" spans="1:7" ht="15" x14ac:dyDescent="0.3">
      <c r="A7185">
        <v>35.158396757966997</v>
      </c>
      <c r="B7185">
        <v>-90.045376222310097</v>
      </c>
      <c r="C7185" t="s">
        <v>41</v>
      </c>
      <c r="D7185" t="s">
        <v>154</v>
      </c>
      <c r="F7185" s="21"/>
      <c r="G7185" s="16" t="str">
        <f>HYPERLINK("http://maps.google.com/maps?f=q&amp;hl=en&amp;geocode=&amp;q=35.158396757967,-90.0453762223101")</f>
        <v>http://maps.google.com/maps?f=q&amp;hl=en&amp;geocode=&amp;q=35.158396757967,-90.0453762223101</v>
      </c>
    </row>
    <row r="7186" spans="1:7" ht="15" x14ac:dyDescent="0.3">
      <c r="A7186">
        <v>33.302617659354503</v>
      </c>
      <c r="B7186">
        <v>-80.790168838768196</v>
      </c>
      <c r="C7186" t="s">
        <v>41</v>
      </c>
      <c r="D7186" t="s">
        <v>4300</v>
      </c>
      <c r="F7186" s="21"/>
      <c r="G7186" s="16" t="str">
        <f>HYPERLINK("http://maps.google.com/maps?f=q&amp;hl=en&amp;geocode=&amp;q=33.3026176593545,-80.7901688387682")</f>
        <v>http://maps.google.com/maps?f=q&amp;hl=en&amp;geocode=&amp;q=33.3026176593545,-80.7901688387682</v>
      </c>
    </row>
    <row r="7187" spans="1:7" ht="15" x14ac:dyDescent="0.3">
      <c r="A7187">
        <v>33.302617659354503</v>
      </c>
      <c r="B7187">
        <v>-80.790168838768196</v>
      </c>
      <c r="C7187" t="s">
        <v>41</v>
      </c>
      <c r="D7187" t="s">
        <v>4300</v>
      </c>
      <c r="F7187" s="21"/>
      <c r="G7187" s="16" t="str">
        <f>HYPERLINK("http://maps.google.com/maps?f=q&amp;hl=en&amp;geocode=&amp;q=33.3026176593545,-80.7901688387682")</f>
        <v>http://maps.google.com/maps?f=q&amp;hl=en&amp;geocode=&amp;q=33.3026176593545,-80.7901688387682</v>
      </c>
    </row>
    <row r="7188" spans="1:7" ht="15" x14ac:dyDescent="0.3">
      <c r="A7188">
        <v>34.146450000000002</v>
      </c>
      <c r="B7188">
        <v>-118.34381</v>
      </c>
      <c r="C7188" t="s">
        <v>41</v>
      </c>
      <c r="D7188" t="s">
        <v>4301</v>
      </c>
      <c r="F7188" s="21"/>
      <c r="G7188" s="16" t="str">
        <f>HYPERLINK("http://maps.google.com/maps?f=q&amp;hl=en&amp;geocode=&amp;q=34.14645,-118.34381")</f>
        <v>http://maps.google.com/maps?f=q&amp;hl=en&amp;geocode=&amp;q=34.14645,-118.34381</v>
      </c>
    </row>
    <row r="7189" spans="1:7" ht="15" x14ac:dyDescent="0.3">
      <c r="A7189">
        <v>30.3366794586182</v>
      </c>
      <c r="B7189">
        <v>-81.641181945800795</v>
      </c>
      <c r="C7189" t="s">
        <v>43</v>
      </c>
      <c r="D7189" t="s">
        <v>4302</v>
      </c>
      <c r="F7189" s="21"/>
      <c r="G7189" s="16" t="str">
        <f>HYPERLINK("http://maps.google.com/maps?f=q&amp;hl=en&amp;geocode=&amp;q=30.3366794586182,-81.6411819458008")</f>
        <v>http://maps.google.com/maps?f=q&amp;hl=en&amp;geocode=&amp;q=30.3366794586182,-81.6411819458008</v>
      </c>
    </row>
    <row r="7190" spans="1:7" ht="15" x14ac:dyDescent="0.3">
      <c r="A7190">
        <v>46.344470977783203</v>
      </c>
      <c r="B7190">
        <v>-83.921478271484403</v>
      </c>
      <c r="C7190" t="s">
        <v>43</v>
      </c>
      <c r="D7190" t="s">
        <v>4303</v>
      </c>
      <c r="F7190" s="21"/>
      <c r="G7190" s="16" t="str">
        <f>HYPERLINK("http://maps.google.com/maps?f=q&amp;hl=en&amp;geocode=&amp;q=46.3444709777832,-83.9214782714844")</f>
        <v>http://maps.google.com/maps?f=q&amp;hl=en&amp;geocode=&amp;q=46.3444709777832,-83.9214782714844</v>
      </c>
    </row>
    <row r="7191" spans="1:7" ht="15" x14ac:dyDescent="0.3">
      <c r="A7191">
        <v>34.380540000000003</v>
      </c>
      <c r="B7191">
        <v>-88.661209999999997</v>
      </c>
      <c r="C7191" t="s">
        <v>41</v>
      </c>
      <c r="D7191" t="s">
        <v>4304</v>
      </c>
      <c r="F7191" s="21"/>
      <c r="G7191" s="16" t="str">
        <f>HYPERLINK("http://maps.google.com/maps?f=q&amp;hl=en&amp;geocode=&amp;q=34.38054,-88.66121")</f>
        <v>http://maps.google.com/maps?f=q&amp;hl=en&amp;geocode=&amp;q=34.38054,-88.66121</v>
      </c>
    </row>
    <row r="7192" spans="1:7" ht="15" x14ac:dyDescent="0.3">
      <c r="A7192">
        <v>39.973179999999999</v>
      </c>
      <c r="B7192">
        <v>-75.209850000000003</v>
      </c>
      <c r="C7192" t="s">
        <v>41</v>
      </c>
      <c r="D7192" t="s">
        <v>3179</v>
      </c>
      <c r="F7192" s="21"/>
      <c r="G7192" s="16" t="str">
        <f>HYPERLINK("http://maps.google.com/maps?f=q&amp;hl=en&amp;geocode=&amp;q=39.97318,-75.20985")</f>
        <v>http://maps.google.com/maps?f=q&amp;hl=en&amp;geocode=&amp;q=39.97318,-75.20985</v>
      </c>
    </row>
    <row r="7193" spans="1:7" ht="15" x14ac:dyDescent="0.3">
      <c r="A7193">
        <v>38.2881330418532</v>
      </c>
      <c r="B7193">
        <v>-121.693494708866</v>
      </c>
      <c r="C7193" t="s">
        <v>41</v>
      </c>
      <c r="D7193" t="s">
        <v>4305</v>
      </c>
      <c r="F7193" s="21"/>
      <c r="G7193" s="16" t="str">
        <f>HYPERLINK("http://maps.google.com/maps?f=q&amp;hl=en&amp;geocode=&amp;q=38.2881330418532,-121.693494708866")</f>
        <v>http://maps.google.com/maps?f=q&amp;hl=en&amp;geocode=&amp;q=38.2881330418532,-121.693494708866</v>
      </c>
    </row>
    <row r="7194" spans="1:7" ht="15" x14ac:dyDescent="0.3">
      <c r="A7194">
        <v>40.030970000000003</v>
      </c>
      <c r="B7194">
        <v>-75.128749999999997</v>
      </c>
      <c r="C7194" t="s">
        <v>42</v>
      </c>
      <c r="D7194" t="s">
        <v>4306</v>
      </c>
      <c r="F7194" s="21"/>
      <c r="G7194" s="16" t="str">
        <f>HYPERLINK("http://maps.google.com/maps?f=q&amp;hl=en&amp;geocode=&amp;q=40.03097,-75.12875")</f>
        <v>http://maps.google.com/maps?f=q&amp;hl=en&amp;geocode=&amp;q=40.03097,-75.12875</v>
      </c>
    </row>
    <row r="7195" spans="1:7" ht="15" x14ac:dyDescent="0.3">
      <c r="A7195">
        <v>39.934911833693498</v>
      </c>
      <c r="B7195">
        <v>-75.174656552581794</v>
      </c>
      <c r="C7195" t="s">
        <v>41</v>
      </c>
      <c r="D7195" t="s">
        <v>3213</v>
      </c>
      <c r="F7195" s="21"/>
      <c r="G7195" s="16" t="str">
        <f>HYPERLINK("http://maps.google.com/maps?f=q&amp;hl=en&amp;geocode=&amp;q=39.9349118336935,-75.1746565525818")</f>
        <v>http://maps.google.com/maps?f=q&amp;hl=en&amp;geocode=&amp;q=39.9349118336935,-75.1746565525818</v>
      </c>
    </row>
    <row r="7196" spans="1:7" ht="15" x14ac:dyDescent="0.3">
      <c r="A7196">
        <v>40.707900000000002</v>
      </c>
      <c r="B7196">
        <v>-73.461680000000001</v>
      </c>
      <c r="C7196" t="s">
        <v>41</v>
      </c>
      <c r="D7196" t="s">
        <v>4307</v>
      </c>
      <c r="F7196" s="21"/>
      <c r="G7196" s="16" t="str">
        <f>HYPERLINK("http://maps.google.com/maps?f=q&amp;hl=en&amp;geocode=&amp;q=40.7079,-73.46168")</f>
        <v>http://maps.google.com/maps?f=q&amp;hl=en&amp;geocode=&amp;q=40.7079,-73.46168</v>
      </c>
    </row>
    <row r="7197" spans="1:7" ht="15" x14ac:dyDescent="0.3">
      <c r="A7197">
        <v>40.026150000000001</v>
      </c>
      <c r="B7197">
        <v>-75.127939999999995</v>
      </c>
      <c r="C7197" t="s">
        <v>42</v>
      </c>
      <c r="D7197" t="s">
        <v>4308</v>
      </c>
      <c r="F7197" s="21"/>
      <c r="G7197" s="16" t="str">
        <f>HYPERLINK("http://maps.google.com/maps?f=q&amp;hl=en&amp;geocode=&amp;q=40.02615,-75.12794")</f>
        <v>http://maps.google.com/maps?f=q&amp;hl=en&amp;geocode=&amp;q=40.02615,-75.12794</v>
      </c>
    </row>
    <row r="7198" spans="1:7" ht="15" x14ac:dyDescent="0.3">
      <c r="A7198">
        <v>45.055130004882798</v>
      </c>
      <c r="B7198">
        <v>1.8393800258636499</v>
      </c>
      <c r="C7198" t="s">
        <v>41</v>
      </c>
      <c r="D7198" t="s">
        <v>4309</v>
      </c>
      <c r="F7198" s="21"/>
      <c r="G7198" s="16" t="str">
        <f>HYPERLINK("http://maps.google.com/maps?f=q&amp;hl=en&amp;geocode=&amp;q=45.0551300048828,1.83938002586365")</f>
        <v>http://maps.google.com/maps?f=q&amp;hl=en&amp;geocode=&amp;q=45.0551300048828,1.83938002586365</v>
      </c>
    </row>
    <row r="7199" spans="1:7" ht="15" x14ac:dyDescent="0.3">
      <c r="A7199" t="s">
        <v>44</v>
      </c>
      <c r="B7199" t="s">
        <v>44</v>
      </c>
      <c r="C7199" t="s">
        <v>44</v>
      </c>
      <c r="D7199" t="s">
        <v>4310</v>
      </c>
      <c r="F7199" s="21"/>
      <c r="G7199" s="16"/>
    </row>
    <row r="7200" spans="1:7" ht="15" x14ac:dyDescent="0.3">
      <c r="A7200">
        <v>38.725276947021499</v>
      </c>
      <c r="B7200">
        <v>-77.047775268554702</v>
      </c>
      <c r="C7200" t="s">
        <v>41</v>
      </c>
      <c r="D7200" t="s">
        <v>157</v>
      </c>
      <c r="F7200" s="21"/>
      <c r="G7200" s="16" t="str">
        <f>HYPERLINK("http://maps.google.com/maps?f=q&amp;hl=en&amp;geocode=&amp;q=38.7252769470215,-77.0477752685547")</f>
        <v>http://maps.google.com/maps?f=q&amp;hl=en&amp;geocode=&amp;q=38.7252769470215,-77.0477752685547</v>
      </c>
    </row>
    <row r="7201" spans="1:7" ht="15" x14ac:dyDescent="0.3">
      <c r="A7201" t="s">
        <v>44</v>
      </c>
      <c r="B7201" t="s">
        <v>44</v>
      </c>
      <c r="C7201" t="s">
        <v>44</v>
      </c>
      <c r="D7201" t="s">
        <v>229</v>
      </c>
      <c r="F7201" s="21"/>
      <c r="G7201" s="16"/>
    </row>
    <row r="7202" spans="1:7" ht="15" x14ac:dyDescent="0.3">
      <c r="A7202">
        <v>7.3835182189941397</v>
      </c>
      <c r="B7202">
        <v>-12.2588081359863</v>
      </c>
      <c r="C7202" t="s">
        <v>41</v>
      </c>
      <c r="D7202" t="s">
        <v>202</v>
      </c>
      <c r="F7202" s="21"/>
      <c r="G7202" s="16" t="str">
        <f>HYPERLINK("http://maps.google.com/maps?f=q&amp;hl=en&amp;geocode=&amp;q=7.38351821899414,-12.2588081359863")</f>
        <v>http://maps.google.com/maps?f=q&amp;hl=en&amp;geocode=&amp;q=7.38351821899414,-12.2588081359863</v>
      </c>
    </row>
    <row r="7203" spans="1:7" ht="15" x14ac:dyDescent="0.3">
      <c r="A7203" t="s">
        <v>44</v>
      </c>
      <c r="B7203" t="s">
        <v>44</v>
      </c>
      <c r="C7203" t="s">
        <v>44</v>
      </c>
      <c r="D7203" t="s">
        <v>4311</v>
      </c>
      <c r="F7203" s="21"/>
      <c r="G7203" s="16"/>
    </row>
    <row r="7204" spans="1:7" ht="15" x14ac:dyDescent="0.3">
      <c r="A7204">
        <v>-26.034427642822301</v>
      </c>
      <c r="B7204">
        <v>28.5431098937988</v>
      </c>
      <c r="C7204" t="s">
        <v>43</v>
      </c>
      <c r="D7204" t="s">
        <v>4312</v>
      </c>
      <c r="F7204" s="21"/>
      <c r="G7204" s="16" t="str">
        <f>HYPERLINK("http://maps.google.com/maps?f=q&amp;hl=en&amp;geocode=&amp;q=-26.0344276428223,28.5431098937988")</f>
        <v>http://maps.google.com/maps?f=q&amp;hl=en&amp;geocode=&amp;q=-26.0344276428223,28.5431098937988</v>
      </c>
    </row>
    <row r="7205" spans="1:7" ht="15" x14ac:dyDescent="0.3">
      <c r="A7205">
        <v>39.973175874701703</v>
      </c>
      <c r="B7205">
        <v>-75.159215685452693</v>
      </c>
      <c r="C7205" t="s">
        <v>41</v>
      </c>
      <c r="D7205" t="s">
        <v>4313</v>
      </c>
      <c r="F7205" s="21"/>
      <c r="G7205" s="16" t="str">
        <f>HYPERLINK("http://maps.google.com/maps?f=q&amp;hl=en&amp;geocode=&amp;q=39.9731758747017,-75.1592156854527")</f>
        <v>http://maps.google.com/maps?f=q&amp;hl=en&amp;geocode=&amp;q=39.9731758747017,-75.1592156854527</v>
      </c>
    </row>
    <row r="7206" spans="1:7" ht="15" x14ac:dyDescent="0.3">
      <c r="A7206">
        <v>38.777487146379997</v>
      </c>
      <c r="B7206">
        <v>-87.300277679511694</v>
      </c>
      <c r="C7206" t="s">
        <v>41</v>
      </c>
      <c r="D7206" t="s">
        <v>3822</v>
      </c>
      <c r="F7206" s="21"/>
      <c r="G7206" s="16" t="str">
        <f>HYPERLINK("http://maps.google.com/maps?f=q&amp;hl=en&amp;geocode=&amp;q=38.77748714638,-87.3002776795117")</f>
        <v>http://maps.google.com/maps?f=q&amp;hl=en&amp;geocode=&amp;q=38.77748714638,-87.3002776795117</v>
      </c>
    </row>
    <row r="7207" spans="1:7" ht="15" x14ac:dyDescent="0.3">
      <c r="A7207">
        <v>39.973175874701703</v>
      </c>
      <c r="B7207">
        <v>-75.159215685452693</v>
      </c>
      <c r="C7207" t="s">
        <v>41</v>
      </c>
      <c r="D7207" t="s">
        <v>4313</v>
      </c>
      <c r="F7207" s="21"/>
      <c r="G7207" s="16" t="str">
        <f>HYPERLINK("http://maps.google.com/maps?f=q&amp;hl=en&amp;geocode=&amp;q=39.9731758747017,-75.1592156854527")</f>
        <v>http://maps.google.com/maps?f=q&amp;hl=en&amp;geocode=&amp;q=39.9731758747017,-75.1592156854527</v>
      </c>
    </row>
    <row r="7208" spans="1:7" ht="15" x14ac:dyDescent="0.3">
      <c r="A7208">
        <v>38.588470000000001</v>
      </c>
      <c r="B7208">
        <v>-122.58041</v>
      </c>
      <c r="C7208" t="s">
        <v>42</v>
      </c>
      <c r="D7208" t="s">
        <v>4314</v>
      </c>
      <c r="F7208" s="21"/>
      <c r="G7208" s="16" t="str">
        <f>HYPERLINK("http://maps.google.com/maps?f=q&amp;hl=en&amp;geocode=&amp;q=38.58847,-122.58041")</f>
        <v>http://maps.google.com/maps?f=q&amp;hl=en&amp;geocode=&amp;q=38.58847,-122.58041</v>
      </c>
    </row>
    <row r="7209" spans="1:7" ht="15" x14ac:dyDescent="0.3">
      <c r="A7209">
        <v>41.692830000000001</v>
      </c>
      <c r="B7209">
        <v>-111.84998</v>
      </c>
      <c r="C7209" t="s">
        <v>42</v>
      </c>
      <c r="D7209" t="s">
        <v>4315</v>
      </c>
      <c r="F7209" s="21"/>
      <c r="G7209" s="16" t="str">
        <f>HYPERLINK("http://maps.google.com/maps?f=q&amp;hl=en&amp;geocode=&amp;q=41.69283,-111.84998")</f>
        <v>http://maps.google.com/maps?f=q&amp;hl=en&amp;geocode=&amp;q=41.69283,-111.84998</v>
      </c>
    </row>
    <row r="7210" spans="1:7" ht="15" x14ac:dyDescent="0.3">
      <c r="A7210">
        <v>17.244472503662099</v>
      </c>
      <c r="B7210">
        <v>-62.643184661865199</v>
      </c>
      <c r="C7210" t="s">
        <v>41</v>
      </c>
      <c r="D7210" t="s">
        <v>4316</v>
      </c>
      <c r="F7210" s="21"/>
      <c r="G7210" s="16" t="str">
        <f>HYPERLINK("http://maps.google.com/maps?f=q&amp;hl=en&amp;geocode=&amp;q=17.2444725036621,-62.6431846618652")</f>
        <v>http://maps.google.com/maps?f=q&amp;hl=en&amp;geocode=&amp;q=17.2444725036621,-62.6431846618652</v>
      </c>
    </row>
    <row r="7211" spans="1:7" ht="15" x14ac:dyDescent="0.3">
      <c r="A7211">
        <v>37.420108586910601</v>
      </c>
      <c r="B7211">
        <v>-97.204909247010306</v>
      </c>
      <c r="C7211" t="s">
        <v>41</v>
      </c>
      <c r="D7211" t="s">
        <v>3188</v>
      </c>
      <c r="F7211" s="21"/>
      <c r="G7211" s="16" t="str">
        <f>HYPERLINK("http://maps.google.com/maps?f=q&amp;hl=en&amp;geocode=&amp;q=37.4201085869106,-97.2049092470103")</f>
        <v>http://maps.google.com/maps?f=q&amp;hl=en&amp;geocode=&amp;q=37.4201085869106,-97.2049092470103</v>
      </c>
    </row>
    <row r="7212" spans="1:7" ht="15" x14ac:dyDescent="0.3">
      <c r="A7212">
        <v>38.030922864704401</v>
      </c>
      <c r="B7212">
        <v>-82.129784901817004</v>
      </c>
      <c r="C7212" t="s">
        <v>41</v>
      </c>
      <c r="D7212" t="s">
        <v>4317</v>
      </c>
      <c r="F7212" s="21"/>
      <c r="G7212" s="16" t="str">
        <f>HYPERLINK("http://maps.google.com/maps?f=q&amp;hl=en&amp;geocode=&amp;q=38.0309228647044,-82.129784901817")</f>
        <v>http://maps.google.com/maps?f=q&amp;hl=en&amp;geocode=&amp;q=38.0309228647044,-82.129784901817</v>
      </c>
    </row>
    <row r="7213" spans="1:7" ht="15" x14ac:dyDescent="0.3">
      <c r="A7213">
        <v>41.092313487596797</v>
      </c>
      <c r="B7213">
        <v>-85.112541453908094</v>
      </c>
      <c r="C7213" t="s">
        <v>41</v>
      </c>
      <c r="D7213" t="s">
        <v>3457</v>
      </c>
      <c r="F7213" s="21"/>
      <c r="G7213" s="16" t="str">
        <f>HYPERLINK("http://maps.google.com/maps?f=q&amp;hl=en&amp;geocode=&amp;q=41.0923134875968,-85.1125414539081")</f>
        <v>http://maps.google.com/maps?f=q&amp;hl=en&amp;geocode=&amp;q=41.0923134875968,-85.1125414539081</v>
      </c>
    </row>
    <row r="7214" spans="1:7" ht="15" x14ac:dyDescent="0.3">
      <c r="A7214">
        <v>37.6307527593533</v>
      </c>
      <c r="B7214">
        <v>-80.985487552934401</v>
      </c>
      <c r="C7214" t="s">
        <v>41</v>
      </c>
      <c r="D7214" t="s">
        <v>84</v>
      </c>
      <c r="F7214" s="21"/>
      <c r="G7214" s="16" t="str">
        <f>HYPERLINK("http://maps.google.com/maps?f=q&amp;hl=en&amp;geocode=&amp;q=37.6307527593533,-80.9854875529344")</f>
        <v>http://maps.google.com/maps?f=q&amp;hl=en&amp;geocode=&amp;q=37.6307527593533,-80.9854875529344</v>
      </c>
    </row>
    <row r="7215" spans="1:7" ht="15" x14ac:dyDescent="0.3">
      <c r="A7215">
        <v>37.6307527593533</v>
      </c>
      <c r="B7215">
        <v>-80.985487552934401</v>
      </c>
      <c r="C7215" t="s">
        <v>41</v>
      </c>
      <c r="D7215" t="s">
        <v>84</v>
      </c>
      <c r="F7215" s="21"/>
      <c r="G7215" s="16" t="str">
        <f>HYPERLINK("http://maps.google.com/maps?f=q&amp;hl=en&amp;geocode=&amp;q=37.6307527593533,-80.9854875529344")</f>
        <v>http://maps.google.com/maps?f=q&amp;hl=en&amp;geocode=&amp;q=37.6307527593533,-80.9854875529344</v>
      </c>
    </row>
    <row r="7216" spans="1:7" ht="15" x14ac:dyDescent="0.3">
      <c r="A7216">
        <v>46.408790588378899</v>
      </c>
      <c r="B7216">
        <v>12.017880439758301</v>
      </c>
      <c r="C7216" t="s">
        <v>41</v>
      </c>
      <c r="D7216" t="s">
        <v>3062</v>
      </c>
      <c r="F7216" s="21"/>
      <c r="G7216" s="16" t="str">
        <f>HYPERLINK("http://maps.google.com/maps?f=q&amp;hl=en&amp;geocode=&amp;q=46.4087905883789,12.0178804397583")</f>
        <v>http://maps.google.com/maps?f=q&amp;hl=en&amp;geocode=&amp;q=46.4087905883789,12.0178804397583</v>
      </c>
    </row>
    <row r="7217" spans="1:7" ht="15" x14ac:dyDescent="0.3">
      <c r="A7217" t="s">
        <v>44</v>
      </c>
      <c r="B7217" t="s">
        <v>44</v>
      </c>
      <c r="C7217" t="s">
        <v>44</v>
      </c>
      <c r="D7217" t="s">
        <v>4318</v>
      </c>
      <c r="F7217" s="21"/>
      <c r="G7217" s="16"/>
    </row>
    <row r="7218" spans="1:7" ht="15" x14ac:dyDescent="0.3">
      <c r="A7218">
        <v>37.420108586910601</v>
      </c>
      <c r="B7218">
        <v>-97.204909247010306</v>
      </c>
      <c r="C7218" t="s">
        <v>41</v>
      </c>
      <c r="D7218" t="s">
        <v>3188</v>
      </c>
      <c r="F7218" s="21"/>
      <c r="G7218" s="16" t="str">
        <f>HYPERLINK("http://maps.google.com/maps?f=q&amp;hl=en&amp;geocode=&amp;q=37.4201085869106,-97.2049092470103")</f>
        <v>http://maps.google.com/maps?f=q&amp;hl=en&amp;geocode=&amp;q=37.4201085869106,-97.2049092470103</v>
      </c>
    </row>
    <row r="7219" spans="1:7" ht="15" x14ac:dyDescent="0.3">
      <c r="A7219" t="s">
        <v>44</v>
      </c>
      <c r="B7219" t="s">
        <v>44</v>
      </c>
      <c r="C7219" t="s">
        <v>44</v>
      </c>
      <c r="D7219" t="s">
        <v>4319</v>
      </c>
      <c r="F7219" s="21"/>
      <c r="G7219" s="16"/>
    </row>
    <row r="7220" spans="1:7" ht="15" x14ac:dyDescent="0.3">
      <c r="A7220">
        <v>39.412471037727002</v>
      </c>
      <c r="B7220">
        <v>-77.462604585142202</v>
      </c>
      <c r="C7220" t="s">
        <v>41</v>
      </c>
      <c r="D7220" t="s">
        <v>4320</v>
      </c>
      <c r="F7220" s="21"/>
      <c r="G7220" s="16" t="str">
        <f>HYPERLINK("http://maps.google.com/maps?f=q&amp;hl=en&amp;geocode=&amp;q=39.412471037727,-77.4626045851422")</f>
        <v>http://maps.google.com/maps?f=q&amp;hl=en&amp;geocode=&amp;q=39.412471037727,-77.4626045851422</v>
      </c>
    </row>
    <row r="7221" spans="1:7" ht="15" x14ac:dyDescent="0.3">
      <c r="A7221">
        <v>29.7082328796387</v>
      </c>
      <c r="B7221">
        <v>-90.006401062011705</v>
      </c>
      <c r="C7221" t="s">
        <v>43</v>
      </c>
      <c r="D7221" t="s">
        <v>98</v>
      </c>
      <c r="F7221" s="21"/>
      <c r="G7221" s="16" t="str">
        <f>HYPERLINK("http://maps.google.com/maps?f=q&amp;hl=en&amp;geocode=&amp;q=29.7082328796387,-90.0064010620117")</f>
        <v>http://maps.google.com/maps?f=q&amp;hl=en&amp;geocode=&amp;q=29.7082328796387,-90.0064010620117</v>
      </c>
    </row>
    <row r="7222" spans="1:7" ht="15" x14ac:dyDescent="0.3">
      <c r="A7222">
        <v>29.7082328796387</v>
      </c>
      <c r="B7222">
        <v>-90.006401062011705</v>
      </c>
      <c r="C7222" t="s">
        <v>43</v>
      </c>
      <c r="D7222" t="s">
        <v>98</v>
      </c>
      <c r="F7222" s="21"/>
      <c r="G7222" s="16" t="str">
        <f>HYPERLINK("http://maps.google.com/maps?f=q&amp;hl=en&amp;geocode=&amp;q=29.7082328796387,-90.0064010620117")</f>
        <v>http://maps.google.com/maps?f=q&amp;hl=en&amp;geocode=&amp;q=29.7082328796387,-90.0064010620117</v>
      </c>
    </row>
    <row r="7223" spans="1:7" ht="15" x14ac:dyDescent="0.3">
      <c r="A7223">
        <v>39.926470000000002</v>
      </c>
      <c r="B7223">
        <v>-75.160579999999996</v>
      </c>
      <c r="C7223" t="s">
        <v>43</v>
      </c>
      <c r="D7223" t="s">
        <v>4321</v>
      </c>
      <c r="F7223" s="21"/>
      <c r="G7223" s="16" t="str">
        <f>HYPERLINK("http://maps.google.com/maps?f=q&amp;hl=en&amp;geocode=&amp;q=39.92647,-75.16058")</f>
        <v>http://maps.google.com/maps?f=q&amp;hl=en&amp;geocode=&amp;q=39.92647,-75.16058</v>
      </c>
    </row>
    <row r="7224" spans="1:7" ht="15" x14ac:dyDescent="0.3">
      <c r="A7224">
        <v>-33.958095550537102</v>
      </c>
      <c r="B7224">
        <v>119.100379943848</v>
      </c>
      <c r="C7224" t="s">
        <v>41</v>
      </c>
      <c r="D7224" t="s">
        <v>4322</v>
      </c>
      <c r="F7224" s="21"/>
      <c r="G7224" s="16" t="str">
        <f>HYPERLINK("http://maps.google.com/maps?f=q&amp;hl=en&amp;geocode=&amp;q=-33.9580955505371,119.100379943848")</f>
        <v>http://maps.google.com/maps?f=q&amp;hl=en&amp;geocode=&amp;q=-33.9580955505371,119.100379943848</v>
      </c>
    </row>
    <row r="7225" spans="1:7" ht="15" x14ac:dyDescent="0.3">
      <c r="A7225">
        <v>40.513962312562697</v>
      </c>
      <c r="B7225">
        <v>-112.32147693022</v>
      </c>
      <c r="C7225" t="s">
        <v>43</v>
      </c>
      <c r="D7225" t="s">
        <v>4323</v>
      </c>
      <c r="F7225" s="21"/>
      <c r="G7225" s="16" t="str">
        <f>HYPERLINK("http://maps.google.com/maps?f=q&amp;hl=en&amp;geocode=&amp;q=40.5139623125627,-112.32147693022")</f>
        <v>http://maps.google.com/maps?f=q&amp;hl=en&amp;geocode=&amp;q=40.5139623125627,-112.32147693022</v>
      </c>
    </row>
    <row r="7226" spans="1:7" ht="15" x14ac:dyDescent="0.3">
      <c r="A7226" t="s">
        <v>44</v>
      </c>
      <c r="B7226" t="s">
        <v>44</v>
      </c>
      <c r="C7226" t="s">
        <v>44</v>
      </c>
      <c r="D7226" t="s">
        <v>4324</v>
      </c>
      <c r="F7226" s="21"/>
      <c r="G7226" s="16"/>
    </row>
    <row r="7227" spans="1:7" ht="15" x14ac:dyDescent="0.3">
      <c r="A7227">
        <v>39.964170000000003</v>
      </c>
      <c r="B7227">
        <v>-75.196060000000003</v>
      </c>
      <c r="C7227" t="s">
        <v>43</v>
      </c>
      <c r="D7227" t="s">
        <v>4325</v>
      </c>
      <c r="F7227" s="21"/>
      <c r="G7227" s="16" t="str">
        <f>HYPERLINK("http://maps.google.com/maps?f=q&amp;hl=en&amp;geocode=&amp;q=39.96417,-75.19606")</f>
        <v>http://maps.google.com/maps?f=q&amp;hl=en&amp;geocode=&amp;q=39.96417,-75.19606</v>
      </c>
    </row>
    <row r="7228" spans="1:7" ht="15" x14ac:dyDescent="0.3">
      <c r="A7228">
        <v>43.640470000000001</v>
      </c>
      <c r="B7228">
        <v>-84.798169999999999</v>
      </c>
      <c r="C7228" t="s">
        <v>43</v>
      </c>
      <c r="D7228" t="s">
        <v>4326</v>
      </c>
      <c r="F7228" s="21"/>
      <c r="G7228" s="16" t="str">
        <f>HYPERLINK("http://maps.google.com/maps?f=q&amp;hl=en&amp;geocode=&amp;q=43.64047,-84.79817")</f>
        <v>http://maps.google.com/maps?f=q&amp;hl=en&amp;geocode=&amp;q=43.64047,-84.79817</v>
      </c>
    </row>
    <row r="7229" spans="1:7" ht="15" x14ac:dyDescent="0.3">
      <c r="A7229">
        <v>43.952044784178597</v>
      </c>
      <c r="B7229">
        <v>-85.652329536375902</v>
      </c>
      <c r="C7229" t="s">
        <v>43</v>
      </c>
      <c r="D7229" t="s">
        <v>4327</v>
      </c>
      <c r="F7229" s="21"/>
      <c r="G7229" s="16" t="str">
        <f>HYPERLINK("http://maps.google.com/maps?f=q&amp;hl=en&amp;geocode=&amp;q=43.9520447841786,-85.6523295363759")</f>
        <v>http://maps.google.com/maps?f=q&amp;hl=en&amp;geocode=&amp;q=43.9520447841786,-85.6523295363759</v>
      </c>
    </row>
    <row r="7230" spans="1:7" ht="15" x14ac:dyDescent="0.3">
      <c r="A7230">
        <v>30.018719999999998</v>
      </c>
      <c r="B7230">
        <v>-90.177070000000001</v>
      </c>
      <c r="C7230" t="s">
        <v>41</v>
      </c>
      <c r="D7230" t="s">
        <v>2482</v>
      </c>
      <c r="F7230" s="21"/>
      <c r="G7230" s="16" t="str">
        <f>HYPERLINK("http://maps.google.com/maps?f=q&amp;hl=en&amp;geocode=&amp;q=30.01872,-90.17707")</f>
        <v>http://maps.google.com/maps?f=q&amp;hl=en&amp;geocode=&amp;q=30.01872,-90.17707</v>
      </c>
    </row>
    <row r="7231" spans="1:7" ht="15" x14ac:dyDescent="0.3">
      <c r="A7231">
        <v>40.544945022854399</v>
      </c>
      <c r="B7231">
        <v>-76.943785230532498</v>
      </c>
      <c r="C7231" t="s">
        <v>43</v>
      </c>
      <c r="D7231" t="s">
        <v>4328</v>
      </c>
      <c r="F7231" s="21"/>
      <c r="G7231" s="16" t="str">
        <f>HYPERLINK("http://maps.google.com/maps?f=q&amp;hl=en&amp;geocode=&amp;q=40.5449450228544,-76.9437852305325")</f>
        <v>http://maps.google.com/maps?f=q&amp;hl=en&amp;geocode=&amp;q=40.5449450228544,-76.9437852305325</v>
      </c>
    </row>
    <row r="7232" spans="1:7" ht="15" x14ac:dyDescent="0.3">
      <c r="A7232">
        <v>40.586553463141101</v>
      </c>
      <c r="B7232">
        <v>-74.347637008835505</v>
      </c>
      <c r="C7232" t="s">
        <v>41</v>
      </c>
      <c r="D7232" t="s">
        <v>4329</v>
      </c>
      <c r="F7232" s="21"/>
      <c r="G7232" s="16" t="str">
        <f>HYPERLINK("http://maps.google.com/maps?f=q&amp;hl=en&amp;geocode=&amp;q=40.5865534631411,-74.3476370088355")</f>
        <v>http://maps.google.com/maps?f=q&amp;hl=en&amp;geocode=&amp;q=40.5865534631411,-74.3476370088355</v>
      </c>
    </row>
    <row r="7233" spans="1:7" ht="15" x14ac:dyDescent="0.3">
      <c r="A7233">
        <v>42.934272766113303</v>
      </c>
      <c r="B7233">
        <v>23.206947326660199</v>
      </c>
      <c r="C7233" t="s">
        <v>41</v>
      </c>
      <c r="D7233" t="s">
        <v>4330</v>
      </c>
      <c r="F7233" s="21"/>
      <c r="G7233" s="16" t="str">
        <f>HYPERLINK("http://maps.google.com/maps?f=q&amp;hl=en&amp;geocode=&amp;q=42.9342727661133,23.2069473266602")</f>
        <v>http://maps.google.com/maps?f=q&amp;hl=en&amp;geocode=&amp;q=42.9342727661133,23.2069473266602</v>
      </c>
    </row>
    <row r="7234" spans="1:7" ht="15" x14ac:dyDescent="0.3">
      <c r="A7234">
        <v>39.996009999999998</v>
      </c>
      <c r="B7234">
        <v>-75.172529999999995</v>
      </c>
      <c r="C7234" t="s">
        <v>41</v>
      </c>
      <c r="D7234" t="s">
        <v>4331</v>
      </c>
      <c r="F7234" s="21"/>
      <c r="G7234" s="16" t="str">
        <f>HYPERLINK("http://maps.google.com/maps?f=q&amp;hl=en&amp;geocode=&amp;q=39.99601,-75.17253")</f>
        <v>http://maps.google.com/maps?f=q&amp;hl=en&amp;geocode=&amp;q=39.99601,-75.17253</v>
      </c>
    </row>
    <row r="7235" spans="1:7" ht="15" x14ac:dyDescent="0.3">
      <c r="A7235">
        <v>39.996009999999998</v>
      </c>
      <c r="B7235">
        <v>-75.172529999999995</v>
      </c>
      <c r="C7235" t="s">
        <v>41</v>
      </c>
      <c r="D7235" t="s">
        <v>4331</v>
      </c>
      <c r="F7235" s="21"/>
      <c r="G7235" s="16" t="str">
        <f>HYPERLINK("http://maps.google.com/maps?f=q&amp;hl=en&amp;geocode=&amp;q=39.99601,-75.17253")</f>
        <v>http://maps.google.com/maps?f=q&amp;hl=en&amp;geocode=&amp;q=39.99601,-75.17253</v>
      </c>
    </row>
    <row r="7236" spans="1:7" ht="15" x14ac:dyDescent="0.3">
      <c r="A7236">
        <v>-36.718856811523402</v>
      </c>
      <c r="B7236">
        <v>142.19622802734401</v>
      </c>
      <c r="C7236" t="s">
        <v>43</v>
      </c>
      <c r="D7236" t="s">
        <v>4332</v>
      </c>
      <c r="F7236" s="21"/>
      <c r="G7236" s="16" t="str">
        <f>HYPERLINK("http://maps.google.com/maps?f=q&amp;hl=en&amp;geocode=&amp;q=-36.7188568115234,142.196228027344")</f>
        <v>http://maps.google.com/maps?f=q&amp;hl=en&amp;geocode=&amp;q=-36.7188568115234,142.196228027344</v>
      </c>
    </row>
    <row r="7237" spans="1:7" ht="15" x14ac:dyDescent="0.3">
      <c r="A7237" t="s">
        <v>44</v>
      </c>
      <c r="B7237" t="s">
        <v>44</v>
      </c>
      <c r="C7237" t="s">
        <v>44</v>
      </c>
      <c r="D7237" t="s">
        <v>4333</v>
      </c>
      <c r="F7237" s="21"/>
      <c r="G7237" s="16"/>
    </row>
    <row r="7238" spans="1:7" ht="15" x14ac:dyDescent="0.3">
      <c r="A7238">
        <v>40.767360687255902</v>
      </c>
      <c r="B7238">
        <v>-78.633056640625</v>
      </c>
      <c r="C7238" t="s">
        <v>43</v>
      </c>
      <c r="D7238" t="s">
        <v>4334</v>
      </c>
      <c r="F7238" s="21"/>
      <c r="G7238" s="16" t="str">
        <f>HYPERLINK("http://maps.google.com/maps?f=q&amp;hl=en&amp;geocode=&amp;q=40.7673606872559,-78.633056640625")</f>
        <v>http://maps.google.com/maps?f=q&amp;hl=en&amp;geocode=&amp;q=40.7673606872559,-78.633056640625</v>
      </c>
    </row>
    <row r="7239" spans="1:7" ht="15" x14ac:dyDescent="0.3">
      <c r="A7239">
        <v>39.936543876136703</v>
      </c>
      <c r="B7239">
        <v>-75.149431783666103</v>
      </c>
      <c r="C7239" t="s">
        <v>41</v>
      </c>
      <c r="D7239" t="s">
        <v>3810</v>
      </c>
      <c r="F7239" s="21"/>
      <c r="G7239" s="16" t="str">
        <f>HYPERLINK("http://maps.google.com/maps?f=q&amp;hl=en&amp;geocode=&amp;q=39.9365438761367,-75.1494317836661")</f>
        <v>http://maps.google.com/maps?f=q&amp;hl=en&amp;geocode=&amp;q=39.9365438761367,-75.1494317836661</v>
      </c>
    </row>
    <row r="7240" spans="1:7" ht="15" x14ac:dyDescent="0.3">
      <c r="A7240">
        <v>40.067748132789703</v>
      </c>
      <c r="B7240">
        <v>-88.332726086679003</v>
      </c>
      <c r="C7240" t="s">
        <v>41</v>
      </c>
      <c r="D7240" t="s">
        <v>4335</v>
      </c>
      <c r="F7240" s="21"/>
      <c r="G7240" s="16" t="str">
        <f>HYPERLINK("http://maps.google.com/maps?f=q&amp;hl=en&amp;geocode=&amp;q=40.0677481327897,-88.332726086679")</f>
        <v>http://maps.google.com/maps?f=q&amp;hl=en&amp;geocode=&amp;q=40.0677481327897,-88.332726086679</v>
      </c>
    </row>
    <row r="7241" spans="1:7" ht="15" x14ac:dyDescent="0.3">
      <c r="A7241">
        <v>30.408243968910401</v>
      </c>
      <c r="B7241">
        <v>-86.913981388965993</v>
      </c>
      <c r="C7241" t="s">
        <v>41</v>
      </c>
      <c r="D7241" t="s">
        <v>4336</v>
      </c>
      <c r="F7241" s="21"/>
      <c r="G7241" s="16" t="str">
        <f>HYPERLINK("http://maps.google.com/maps?f=q&amp;hl=en&amp;geocode=&amp;q=30.4082439689104,-86.913981388966")</f>
        <v>http://maps.google.com/maps?f=q&amp;hl=en&amp;geocode=&amp;q=30.4082439689104,-86.913981388966</v>
      </c>
    </row>
    <row r="7242" spans="1:7" ht="15" x14ac:dyDescent="0.3">
      <c r="A7242">
        <v>38.5503</v>
      </c>
      <c r="B7242">
        <v>-92.087440000000001</v>
      </c>
      <c r="C7242" t="s">
        <v>41</v>
      </c>
      <c r="D7242" t="s">
        <v>4337</v>
      </c>
      <c r="F7242" s="21"/>
      <c r="G7242" s="16" t="str">
        <f>HYPERLINK("http://maps.google.com/maps?f=q&amp;hl=en&amp;geocode=&amp;q=38.5503,-92.08744")</f>
        <v>http://maps.google.com/maps?f=q&amp;hl=en&amp;geocode=&amp;q=38.5503,-92.08744</v>
      </c>
    </row>
    <row r="7243" spans="1:7" ht="15" x14ac:dyDescent="0.3">
      <c r="A7243">
        <v>-31.636620000000001</v>
      </c>
      <c r="B7243">
        <v>115.70892000000001</v>
      </c>
      <c r="C7243" t="s">
        <v>41</v>
      </c>
      <c r="D7243" t="s">
        <v>4337</v>
      </c>
      <c r="F7243" s="21"/>
      <c r="G7243" s="16" t="str">
        <f>HYPERLINK("http://maps.google.com/maps?f=q&amp;hl=en&amp;geocode=&amp;q=-31.63662,115.70892")</f>
        <v>http://maps.google.com/maps?f=q&amp;hl=en&amp;geocode=&amp;q=-31.63662,115.70892</v>
      </c>
    </row>
    <row r="7244" spans="1:7" ht="15" x14ac:dyDescent="0.3">
      <c r="A7244">
        <v>52.487190246582003</v>
      </c>
      <c r="B7244">
        <v>0.679989993572235</v>
      </c>
      <c r="C7244" t="s">
        <v>41</v>
      </c>
      <c r="D7244" t="s">
        <v>2882</v>
      </c>
      <c r="F7244" s="21"/>
      <c r="G7244" s="16" t="str">
        <f>HYPERLINK("http://maps.google.com/maps?f=q&amp;hl=en&amp;geocode=&amp;q=52.487190246582,0.679989993572235")</f>
        <v>http://maps.google.com/maps?f=q&amp;hl=en&amp;geocode=&amp;q=52.487190246582,0.679989993572235</v>
      </c>
    </row>
    <row r="7245" spans="1:7" ht="15" x14ac:dyDescent="0.3">
      <c r="A7245">
        <v>40.543950000000002</v>
      </c>
      <c r="B7245">
        <v>-112.29679</v>
      </c>
      <c r="C7245" t="s">
        <v>43</v>
      </c>
      <c r="D7245" t="s">
        <v>2688</v>
      </c>
      <c r="F7245" s="21"/>
      <c r="G7245" s="16" t="str">
        <f>HYPERLINK("http://maps.google.com/maps?f=q&amp;hl=en&amp;geocode=&amp;q=40.54395,-112.29679")</f>
        <v>http://maps.google.com/maps?f=q&amp;hl=en&amp;geocode=&amp;q=40.54395,-112.29679</v>
      </c>
    </row>
    <row r="7246" spans="1:7" ht="15" x14ac:dyDescent="0.3">
      <c r="A7246">
        <v>52.487189999999998</v>
      </c>
      <c r="B7246">
        <v>0.67998999999999998</v>
      </c>
      <c r="C7246" t="s">
        <v>41</v>
      </c>
      <c r="D7246" t="s">
        <v>3126</v>
      </c>
      <c r="F7246" s="21"/>
      <c r="G7246" s="16" t="str">
        <f>HYPERLINK("http://maps.google.com/maps?f=q&amp;hl=en&amp;geocode=&amp;q=52.48719,0.67999")</f>
        <v>http://maps.google.com/maps?f=q&amp;hl=en&amp;geocode=&amp;q=52.48719,0.67999</v>
      </c>
    </row>
    <row r="7247" spans="1:7" ht="15" x14ac:dyDescent="0.3">
      <c r="A7247">
        <v>37.845399999999998</v>
      </c>
      <c r="B7247">
        <v>-122.27585999999999</v>
      </c>
      <c r="C7247" t="s">
        <v>43</v>
      </c>
      <c r="D7247" t="s">
        <v>4338</v>
      </c>
      <c r="F7247" s="21"/>
      <c r="G7247" s="16" t="str">
        <f>HYPERLINK("http://maps.google.com/maps?f=q&amp;hl=en&amp;geocode=&amp;q=37.8454,-122.27586")</f>
        <v>http://maps.google.com/maps?f=q&amp;hl=en&amp;geocode=&amp;q=37.8454,-122.27586</v>
      </c>
    </row>
    <row r="7248" spans="1:7" ht="15" x14ac:dyDescent="0.3">
      <c r="A7248">
        <v>39.592970000000001</v>
      </c>
      <c r="B7248">
        <v>-88.613290000000006</v>
      </c>
      <c r="C7248" t="s">
        <v>41</v>
      </c>
      <c r="D7248" t="s">
        <v>4339</v>
      </c>
      <c r="F7248" s="21"/>
      <c r="G7248" s="16" t="str">
        <f>HYPERLINK("http://maps.google.com/maps?f=q&amp;hl=en&amp;geocode=&amp;q=39.59297,-88.61329")</f>
        <v>http://maps.google.com/maps?f=q&amp;hl=en&amp;geocode=&amp;q=39.59297,-88.61329</v>
      </c>
    </row>
    <row r="7249" spans="1:7" ht="15" x14ac:dyDescent="0.3">
      <c r="A7249">
        <v>37.019889999999997</v>
      </c>
      <c r="B7249">
        <v>-88.679940000000002</v>
      </c>
      <c r="C7249" t="s">
        <v>42</v>
      </c>
      <c r="D7249" t="s">
        <v>4340</v>
      </c>
      <c r="F7249" s="21"/>
      <c r="G7249" s="16" t="str">
        <f>HYPERLINK("http://maps.google.com/maps?f=q&amp;hl=en&amp;geocode=&amp;q=37.01989,-88.67994")</f>
        <v>http://maps.google.com/maps?f=q&amp;hl=en&amp;geocode=&amp;q=37.01989,-88.67994</v>
      </c>
    </row>
    <row r="7250" spans="1:7" ht="15" x14ac:dyDescent="0.3">
      <c r="A7250" t="s">
        <v>44</v>
      </c>
      <c r="B7250" t="s">
        <v>44</v>
      </c>
      <c r="C7250" t="s">
        <v>44</v>
      </c>
      <c r="D7250" t="s">
        <v>4341</v>
      </c>
      <c r="F7250" s="21"/>
      <c r="G7250" s="16"/>
    </row>
    <row r="7251" spans="1:7" ht="15" x14ac:dyDescent="0.3">
      <c r="A7251">
        <v>39.418942000000001</v>
      </c>
      <c r="B7251">
        <v>-76.637510000000006</v>
      </c>
      <c r="C7251" t="s">
        <v>41</v>
      </c>
      <c r="D7251" t="s">
        <v>4342</v>
      </c>
      <c r="F7251" s="21"/>
      <c r="G7251" s="16" t="str">
        <f>HYPERLINK("http://maps.google.com/maps?f=q&amp;hl=en&amp;geocode=&amp;q=39.418942,-76.63751")</f>
        <v>http://maps.google.com/maps?f=q&amp;hl=en&amp;geocode=&amp;q=39.418942,-76.63751</v>
      </c>
    </row>
    <row r="7252" spans="1:7" ht="15" x14ac:dyDescent="0.3">
      <c r="A7252">
        <v>35.105589999999999</v>
      </c>
      <c r="B7252">
        <v>-90.019360000000006</v>
      </c>
      <c r="C7252" t="s">
        <v>41</v>
      </c>
      <c r="D7252" t="s">
        <v>4343</v>
      </c>
      <c r="F7252" s="21"/>
      <c r="G7252" s="16" t="str">
        <f>HYPERLINK("http://maps.google.com/maps?f=q&amp;hl=en&amp;geocode=&amp;q=35.10559,-90.01936")</f>
        <v>http://maps.google.com/maps?f=q&amp;hl=en&amp;geocode=&amp;q=35.10559,-90.01936</v>
      </c>
    </row>
    <row r="7253" spans="1:7" ht="15" x14ac:dyDescent="0.3">
      <c r="A7253">
        <v>39.040599822997997</v>
      </c>
      <c r="B7253">
        <v>-120.63067626953099</v>
      </c>
      <c r="C7253" t="s">
        <v>43</v>
      </c>
      <c r="D7253" t="s">
        <v>3011</v>
      </c>
      <c r="F7253" s="21"/>
      <c r="G7253" s="16" t="str">
        <f>HYPERLINK("http://maps.google.com/maps?f=q&amp;hl=en&amp;geocode=&amp;q=39.040599822998,-120.630676269531")</f>
        <v>http://maps.google.com/maps?f=q&amp;hl=en&amp;geocode=&amp;q=39.040599822998,-120.630676269531</v>
      </c>
    </row>
    <row r="7254" spans="1:7" ht="15" x14ac:dyDescent="0.3">
      <c r="A7254">
        <v>40.0249298037918</v>
      </c>
      <c r="B7254">
        <v>-75.115633288093505</v>
      </c>
      <c r="C7254" t="s">
        <v>43</v>
      </c>
      <c r="D7254" t="s">
        <v>3301</v>
      </c>
      <c r="F7254" s="21"/>
      <c r="G7254" s="16" t="str">
        <f>HYPERLINK("http://maps.google.com/maps?f=q&amp;hl=en&amp;geocode=&amp;q=40.0249298037918,-75.1156332880935")</f>
        <v>http://maps.google.com/maps?f=q&amp;hl=en&amp;geocode=&amp;q=40.0249298037918,-75.1156332880935</v>
      </c>
    </row>
    <row r="7255" spans="1:7" ht="15" x14ac:dyDescent="0.3">
      <c r="A7255">
        <v>40.0249298037918</v>
      </c>
      <c r="B7255">
        <v>-75.115633288093505</v>
      </c>
      <c r="C7255" t="s">
        <v>43</v>
      </c>
      <c r="D7255" t="s">
        <v>3301</v>
      </c>
      <c r="F7255" s="21"/>
      <c r="G7255" s="16" t="str">
        <f>HYPERLINK("http://maps.google.com/maps?f=q&amp;hl=en&amp;geocode=&amp;q=40.0249298037918,-75.1156332880935")</f>
        <v>http://maps.google.com/maps?f=q&amp;hl=en&amp;geocode=&amp;q=40.0249298037918,-75.1156332880935</v>
      </c>
    </row>
    <row r="7256" spans="1:7" ht="15" x14ac:dyDescent="0.3">
      <c r="A7256">
        <v>46.200000762939503</v>
      </c>
      <c r="B7256">
        <v>-1.41600000858307</v>
      </c>
      <c r="C7256" t="s">
        <v>43</v>
      </c>
      <c r="D7256" t="s">
        <v>4344</v>
      </c>
      <c r="F7256" s="21"/>
      <c r="G7256" s="16" t="str">
        <f>HYPERLINK("http://maps.google.com/maps?f=q&amp;hl=en&amp;geocode=&amp;q=46.2000007629395,-1.41600000858307")</f>
        <v>http://maps.google.com/maps?f=q&amp;hl=en&amp;geocode=&amp;q=46.2000007629395,-1.41600000858307</v>
      </c>
    </row>
    <row r="7257" spans="1:7" ht="15" x14ac:dyDescent="0.3">
      <c r="A7257">
        <v>44.873699188232401</v>
      </c>
      <c r="B7257">
        <v>-67.989730834960895</v>
      </c>
      <c r="C7257" t="s">
        <v>41</v>
      </c>
      <c r="D7257" t="s">
        <v>4345</v>
      </c>
      <c r="F7257" s="21"/>
      <c r="G7257" s="16" t="str">
        <f>HYPERLINK("http://maps.google.com/maps?f=q&amp;hl=en&amp;geocode=&amp;q=44.8736991882324,-67.9897308349609")</f>
        <v>http://maps.google.com/maps?f=q&amp;hl=en&amp;geocode=&amp;q=44.8736991882324,-67.9897308349609</v>
      </c>
    </row>
    <row r="7258" spans="1:7" ht="15" x14ac:dyDescent="0.3">
      <c r="A7258">
        <v>41.740650415145403</v>
      </c>
      <c r="B7258">
        <v>-111.81466461120699</v>
      </c>
      <c r="C7258" t="s">
        <v>43</v>
      </c>
      <c r="D7258" t="s">
        <v>4346</v>
      </c>
      <c r="F7258" s="21"/>
      <c r="G7258" s="16" t="str">
        <f>HYPERLINK("http://maps.google.com/maps?f=q&amp;hl=en&amp;geocode=&amp;q=41.7406504151454,-111.814664611207")</f>
        <v>http://maps.google.com/maps?f=q&amp;hl=en&amp;geocode=&amp;q=41.7406504151454,-111.814664611207</v>
      </c>
    </row>
    <row r="7259" spans="1:7" ht="15" x14ac:dyDescent="0.3">
      <c r="A7259">
        <v>39.948994538195798</v>
      </c>
      <c r="B7259">
        <v>-83.090432976089403</v>
      </c>
      <c r="C7259" t="s">
        <v>41</v>
      </c>
      <c r="D7259" t="s">
        <v>4347</v>
      </c>
      <c r="F7259" s="21"/>
      <c r="G7259" s="16" t="str">
        <f>HYPERLINK("http://maps.google.com/maps?f=q&amp;hl=en&amp;geocode=&amp;q=39.9489945381958,-83.0904329760894")</f>
        <v>http://maps.google.com/maps?f=q&amp;hl=en&amp;geocode=&amp;q=39.9489945381958,-83.0904329760894</v>
      </c>
    </row>
    <row r="7260" spans="1:7" ht="15" x14ac:dyDescent="0.3">
      <c r="A7260">
        <v>35.711087030759202</v>
      </c>
      <c r="B7260">
        <v>-97.360474188670196</v>
      </c>
      <c r="C7260" t="s">
        <v>41</v>
      </c>
      <c r="D7260" t="s">
        <v>4348</v>
      </c>
      <c r="F7260" s="21"/>
      <c r="G7260" s="16" t="str">
        <f>HYPERLINK("http://maps.google.com/maps?f=q&amp;hl=en&amp;geocode=&amp;q=35.7110870307592,-97.3604741886702")</f>
        <v>http://maps.google.com/maps?f=q&amp;hl=en&amp;geocode=&amp;q=35.7110870307592,-97.3604741886702</v>
      </c>
    </row>
    <row r="7261" spans="1:7" ht="15" x14ac:dyDescent="0.3">
      <c r="A7261">
        <v>35.5168526978415</v>
      </c>
      <c r="B7261">
        <v>-80.971383957410495</v>
      </c>
      <c r="C7261" t="s">
        <v>41</v>
      </c>
      <c r="D7261" t="s">
        <v>4349</v>
      </c>
      <c r="F7261" s="21"/>
      <c r="G7261" s="16" t="str">
        <f>HYPERLINK("http://maps.google.com/maps?f=q&amp;hl=en&amp;geocode=&amp;q=35.5168526978415,-80.9713839574105")</f>
        <v>http://maps.google.com/maps?f=q&amp;hl=en&amp;geocode=&amp;q=35.5168526978415,-80.9713839574105</v>
      </c>
    </row>
    <row r="7262" spans="1:7" ht="15" x14ac:dyDescent="0.3">
      <c r="A7262">
        <v>47.414239999999999</v>
      </c>
      <c r="B7262">
        <v>7.0715199999999996</v>
      </c>
      <c r="C7262" t="s">
        <v>41</v>
      </c>
      <c r="D7262" t="s">
        <v>4350</v>
      </c>
      <c r="F7262" s="21"/>
      <c r="G7262" s="16" t="str">
        <f>HYPERLINK("http://maps.google.com/maps?f=q&amp;hl=en&amp;geocode=&amp;q=47.41424,7.07152")</f>
        <v>http://maps.google.com/maps?f=q&amp;hl=en&amp;geocode=&amp;q=47.41424,7.07152</v>
      </c>
    </row>
    <row r="7263" spans="1:7" ht="15" x14ac:dyDescent="0.3">
      <c r="A7263" t="s">
        <v>44</v>
      </c>
      <c r="B7263" t="s">
        <v>44</v>
      </c>
      <c r="C7263" t="s">
        <v>44</v>
      </c>
      <c r="D7263" t="s">
        <v>456</v>
      </c>
      <c r="F7263" s="21"/>
      <c r="G7263" s="16"/>
    </row>
    <row r="7264" spans="1:7" ht="15" x14ac:dyDescent="0.3">
      <c r="A7264" t="s">
        <v>44</v>
      </c>
      <c r="B7264" t="s">
        <v>44</v>
      </c>
      <c r="C7264" t="s">
        <v>44</v>
      </c>
      <c r="D7264" t="s">
        <v>456</v>
      </c>
      <c r="F7264" s="21"/>
      <c r="G7264" s="16"/>
    </row>
    <row r="7265" spans="1:7" ht="15" x14ac:dyDescent="0.3">
      <c r="A7265">
        <v>41.612380801952902</v>
      </c>
      <c r="B7265">
        <v>-111.83998038351599</v>
      </c>
      <c r="C7265" t="s">
        <v>41</v>
      </c>
      <c r="D7265" t="s">
        <v>4351</v>
      </c>
      <c r="F7265" s="21"/>
      <c r="G7265" s="16" t="str">
        <f>HYPERLINK("http://maps.google.com/maps?f=q&amp;hl=en&amp;geocode=&amp;q=41.6123808019529,-111.839980383516")</f>
        <v>http://maps.google.com/maps?f=q&amp;hl=en&amp;geocode=&amp;q=41.6123808019529,-111.839980383516</v>
      </c>
    </row>
    <row r="7266" spans="1:7" ht="15" x14ac:dyDescent="0.3">
      <c r="A7266">
        <v>41.479734422346297</v>
      </c>
      <c r="B7266">
        <v>-93.177987210067201</v>
      </c>
      <c r="C7266" t="s">
        <v>41</v>
      </c>
      <c r="D7266" t="s">
        <v>4352</v>
      </c>
      <c r="F7266" s="21"/>
      <c r="G7266" s="16" t="str">
        <f>HYPERLINK("http://maps.google.com/maps?f=q&amp;hl=en&amp;geocode=&amp;q=41.4797344223463,-93.1779872100672")</f>
        <v>http://maps.google.com/maps?f=q&amp;hl=en&amp;geocode=&amp;q=41.4797344223463,-93.1779872100672</v>
      </c>
    </row>
    <row r="7267" spans="1:7" ht="15" x14ac:dyDescent="0.3">
      <c r="A7267">
        <v>41.541675730001302</v>
      </c>
      <c r="B7267">
        <v>-83.857924041237098</v>
      </c>
      <c r="C7267" t="s">
        <v>41</v>
      </c>
      <c r="D7267" t="s">
        <v>4353</v>
      </c>
      <c r="F7267" s="21"/>
      <c r="G7267" s="16" t="str">
        <f>HYPERLINK("http://maps.google.com/maps?f=q&amp;hl=en&amp;geocode=&amp;q=41.5416757300013,-83.8579240412371")</f>
        <v>http://maps.google.com/maps?f=q&amp;hl=en&amp;geocode=&amp;q=41.5416757300013,-83.8579240412371</v>
      </c>
    </row>
    <row r="7268" spans="1:7" ht="15" x14ac:dyDescent="0.3">
      <c r="A7268">
        <v>39.403060000000004</v>
      </c>
      <c r="B7268">
        <v>-83.982119999999995</v>
      </c>
      <c r="C7268" t="s">
        <v>43</v>
      </c>
      <c r="D7268" t="s">
        <v>3129</v>
      </c>
      <c r="F7268" s="21"/>
      <c r="G7268" s="16" t="str">
        <f>HYPERLINK("http://maps.google.com/maps?f=q&amp;hl=en&amp;geocode=&amp;q=39.40306,-83.98212")</f>
        <v>http://maps.google.com/maps?f=q&amp;hl=en&amp;geocode=&amp;q=39.40306,-83.98212</v>
      </c>
    </row>
    <row r="7269" spans="1:7" ht="15" x14ac:dyDescent="0.3">
      <c r="A7269">
        <v>32.7229478782439</v>
      </c>
      <c r="B7269">
        <v>-96.832599826110496</v>
      </c>
      <c r="C7269" t="s">
        <v>41</v>
      </c>
      <c r="D7269" t="s">
        <v>1662</v>
      </c>
      <c r="F7269" s="21"/>
      <c r="G7269" s="16" t="str">
        <f>HYPERLINK("http://maps.google.com/maps?f=q&amp;hl=en&amp;geocode=&amp;q=32.7229478782439,-96.8325998261105")</f>
        <v>http://maps.google.com/maps?f=q&amp;hl=en&amp;geocode=&amp;q=32.7229478782439,-96.8325998261105</v>
      </c>
    </row>
    <row r="7270" spans="1:7" ht="15" x14ac:dyDescent="0.3">
      <c r="A7270">
        <v>44.8207397460938</v>
      </c>
      <c r="B7270">
        <v>-93.802543640136705</v>
      </c>
      <c r="C7270" t="s">
        <v>43</v>
      </c>
      <c r="D7270" t="s">
        <v>4354</v>
      </c>
      <c r="F7270" s="21"/>
      <c r="G7270" s="16" t="str">
        <f>HYPERLINK("http://maps.google.com/maps?f=q&amp;hl=en&amp;geocode=&amp;q=44.8207397460938,-93.8025436401367")</f>
        <v>http://maps.google.com/maps?f=q&amp;hl=en&amp;geocode=&amp;q=44.8207397460938,-93.8025436401367</v>
      </c>
    </row>
    <row r="7271" spans="1:7" ht="15" x14ac:dyDescent="0.3">
      <c r="A7271">
        <v>44.8207397460938</v>
      </c>
      <c r="B7271">
        <v>-93.802543640136705</v>
      </c>
      <c r="C7271" t="s">
        <v>43</v>
      </c>
      <c r="D7271" t="s">
        <v>4354</v>
      </c>
      <c r="F7271" s="21"/>
      <c r="G7271" s="16" t="str">
        <f>HYPERLINK("http://maps.google.com/maps?f=q&amp;hl=en&amp;geocode=&amp;q=44.8207397460938,-93.8025436401367")</f>
        <v>http://maps.google.com/maps?f=q&amp;hl=en&amp;geocode=&amp;q=44.8207397460938,-93.8025436401367</v>
      </c>
    </row>
    <row r="7272" spans="1:7" ht="15" x14ac:dyDescent="0.3">
      <c r="A7272">
        <v>7.1978502273559597</v>
      </c>
      <c r="B7272">
        <v>80.035339355468807</v>
      </c>
      <c r="C7272" t="s">
        <v>43</v>
      </c>
      <c r="D7272" t="s">
        <v>4355</v>
      </c>
      <c r="F7272" s="21"/>
      <c r="G7272" s="16" t="str">
        <f>HYPERLINK("http://maps.google.com/maps?f=q&amp;hl=en&amp;geocode=&amp;q=7.19785022735596,80.0353393554688")</f>
        <v>http://maps.google.com/maps?f=q&amp;hl=en&amp;geocode=&amp;q=7.19785022735596,80.0353393554688</v>
      </c>
    </row>
    <row r="7273" spans="1:7" ht="15" x14ac:dyDescent="0.3">
      <c r="A7273">
        <v>7.1978502273559597</v>
      </c>
      <c r="B7273">
        <v>80.035339355468807</v>
      </c>
      <c r="C7273" t="s">
        <v>43</v>
      </c>
      <c r="D7273" t="s">
        <v>4355</v>
      </c>
      <c r="F7273" s="21"/>
      <c r="G7273" s="16" t="str">
        <f>HYPERLINK("http://maps.google.com/maps?f=q&amp;hl=en&amp;geocode=&amp;q=7.19785022735596,80.0353393554688")</f>
        <v>http://maps.google.com/maps?f=q&amp;hl=en&amp;geocode=&amp;q=7.19785022735596,80.0353393554688</v>
      </c>
    </row>
    <row r="7274" spans="1:7" ht="15" x14ac:dyDescent="0.3">
      <c r="A7274">
        <v>50.780136108398402</v>
      </c>
      <c r="B7274">
        <v>4.2288222312927202</v>
      </c>
      <c r="C7274" t="s">
        <v>43</v>
      </c>
      <c r="D7274" t="s">
        <v>2776</v>
      </c>
      <c r="F7274" s="21"/>
      <c r="G7274" s="16" t="str">
        <f>HYPERLINK("http://maps.google.com/maps?f=q&amp;hl=en&amp;geocode=&amp;q=50.7801361083984,4.22882223129272")</f>
        <v>http://maps.google.com/maps?f=q&amp;hl=en&amp;geocode=&amp;q=50.7801361083984,4.22882223129272</v>
      </c>
    </row>
    <row r="7275" spans="1:7" ht="15" x14ac:dyDescent="0.3">
      <c r="A7275">
        <v>-33.138832092285199</v>
      </c>
      <c r="B7275">
        <v>137.29994201660199</v>
      </c>
      <c r="C7275" t="s">
        <v>41</v>
      </c>
      <c r="D7275" t="s">
        <v>293</v>
      </c>
      <c r="F7275" s="21"/>
      <c r="G7275" s="16" t="str">
        <f>HYPERLINK("http://maps.google.com/maps?f=q&amp;hl=en&amp;geocode=&amp;q=-33.1388320922852,137.299942016602")</f>
        <v>http://maps.google.com/maps?f=q&amp;hl=en&amp;geocode=&amp;q=-33.1388320922852,137.299942016602</v>
      </c>
    </row>
    <row r="7276" spans="1:7" ht="15" x14ac:dyDescent="0.3">
      <c r="A7276">
        <v>35.624870000000001</v>
      </c>
      <c r="B7276">
        <v>-78.680340000000001</v>
      </c>
      <c r="C7276" t="s">
        <v>43</v>
      </c>
      <c r="D7276" t="s">
        <v>4356</v>
      </c>
      <c r="F7276" s="21"/>
      <c r="G7276" s="16" t="str">
        <f>HYPERLINK("http://maps.google.com/maps?f=q&amp;hl=en&amp;geocode=&amp;q=35.62487,-78.68034")</f>
        <v>http://maps.google.com/maps?f=q&amp;hl=en&amp;geocode=&amp;q=35.62487,-78.68034</v>
      </c>
    </row>
    <row r="7277" spans="1:7" ht="15" x14ac:dyDescent="0.3">
      <c r="A7277">
        <v>39.951009999999997</v>
      </c>
      <c r="B7277">
        <v>-75.224720000000005</v>
      </c>
      <c r="C7277" t="s">
        <v>43</v>
      </c>
      <c r="D7277" t="s">
        <v>4357</v>
      </c>
      <c r="F7277" s="21"/>
      <c r="G7277" s="16" t="str">
        <f>HYPERLINK("http://maps.google.com/maps?f=q&amp;hl=en&amp;geocode=&amp;q=39.95101,-75.22472")</f>
        <v>http://maps.google.com/maps?f=q&amp;hl=en&amp;geocode=&amp;q=39.95101,-75.22472</v>
      </c>
    </row>
    <row r="7278" spans="1:7" ht="15" x14ac:dyDescent="0.3">
      <c r="A7278">
        <v>47.099225252878298</v>
      </c>
      <c r="B7278">
        <v>-122.73808203164</v>
      </c>
      <c r="C7278" t="s">
        <v>41</v>
      </c>
      <c r="D7278" t="s">
        <v>4358</v>
      </c>
      <c r="F7278" s="21"/>
      <c r="G7278" s="16" t="str">
        <f>HYPERLINK("http://maps.google.com/maps?f=q&amp;hl=en&amp;geocode=&amp;q=47.0992252528783,-122.73808203164")</f>
        <v>http://maps.google.com/maps?f=q&amp;hl=en&amp;geocode=&amp;q=47.0992252528783,-122.73808203164</v>
      </c>
    </row>
    <row r="7279" spans="1:7" ht="15" x14ac:dyDescent="0.3">
      <c r="A7279">
        <v>39.970078479663201</v>
      </c>
      <c r="B7279">
        <v>-75.219388248918804</v>
      </c>
      <c r="C7279" t="s">
        <v>41</v>
      </c>
      <c r="D7279" t="s">
        <v>786</v>
      </c>
      <c r="F7279" s="21"/>
      <c r="G7279" s="16" t="str">
        <f>HYPERLINK("http://maps.google.com/maps?f=q&amp;hl=en&amp;geocode=&amp;q=39.9700784796632,-75.2193882489188")</f>
        <v>http://maps.google.com/maps?f=q&amp;hl=en&amp;geocode=&amp;q=39.9700784796632,-75.2193882489188</v>
      </c>
    </row>
    <row r="7280" spans="1:7" ht="15" x14ac:dyDescent="0.3">
      <c r="A7280">
        <v>40.042769999999997</v>
      </c>
      <c r="B7280">
        <v>-75.124480000000005</v>
      </c>
      <c r="C7280" t="s">
        <v>41</v>
      </c>
      <c r="D7280" t="s">
        <v>4359</v>
      </c>
      <c r="F7280" s="21"/>
      <c r="G7280" s="16" t="str">
        <f>HYPERLINK("http://maps.google.com/maps?f=q&amp;hl=en&amp;geocode=&amp;q=40.04277,-75.12448")</f>
        <v>http://maps.google.com/maps?f=q&amp;hl=en&amp;geocode=&amp;q=40.04277,-75.12448</v>
      </c>
    </row>
    <row r="7281" spans="1:7" ht="15" x14ac:dyDescent="0.3">
      <c r="A7281">
        <v>39.95579</v>
      </c>
      <c r="B7281">
        <v>-75.209890000000001</v>
      </c>
      <c r="C7281" t="s">
        <v>43</v>
      </c>
      <c r="D7281" t="s">
        <v>4360</v>
      </c>
      <c r="F7281" s="21"/>
      <c r="G7281" s="16" t="str">
        <f>HYPERLINK("http://maps.google.com/maps?f=q&amp;hl=en&amp;geocode=&amp;q=39.95579,-75.20989")</f>
        <v>http://maps.google.com/maps?f=q&amp;hl=en&amp;geocode=&amp;q=39.95579,-75.20989</v>
      </c>
    </row>
    <row r="7282" spans="1:7" ht="15" x14ac:dyDescent="0.3">
      <c r="A7282">
        <v>46.545850039620397</v>
      </c>
      <c r="B7282">
        <v>-117.122874179787</v>
      </c>
      <c r="C7282" t="s">
        <v>43</v>
      </c>
      <c r="D7282" t="s">
        <v>4361</v>
      </c>
      <c r="F7282" s="21"/>
      <c r="G7282" s="16" t="str">
        <f>HYPERLINK("http://maps.google.com/maps?f=q&amp;hl=en&amp;geocode=&amp;q=46.5458500396204,-117.122874179787")</f>
        <v>http://maps.google.com/maps?f=q&amp;hl=en&amp;geocode=&amp;q=46.5458500396204,-117.122874179787</v>
      </c>
    </row>
    <row r="7283" spans="1:7" ht="15" x14ac:dyDescent="0.3">
      <c r="A7283">
        <v>31.356929999999998</v>
      </c>
      <c r="B7283">
        <v>-89.800349999999995</v>
      </c>
      <c r="C7283" t="s">
        <v>43</v>
      </c>
      <c r="D7283" t="s">
        <v>4362</v>
      </c>
      <c r="F7283" s="21"/>
      <c r="G7283" s="16" t="str">
        <f>HYPERLINK("http://maps.google.com/maps?f=q&amp;hl=en&amp;geocode=&amp;q=31.35693,-89.80035")</f>
        <v>http://maps.google.com/maps?f=q&amp;hl=en&amp;geocode=&amp;q=31.35693,-89.80035</v>
      </c>
    </row>
    <row r="7284" spans="1:7" ht="15" x14ac:dyDescent="0.3">
      <c r="A7284">
        <v>-23.5252494812012</v>
      </c>
      <c r="B7284">
        <v>148.15791320800801</v>
      </c>
      <c r="C7284" t="s">
        <v>43</v>
      </c>
      <c r="D7284" t="s">
        <v>4363</v>
      </c>
      <c r="F7284" s="21"/>
      <c r="G7284" s="16" t="str">
        <f>HYPERLINK("http://maps.google.com/maps?f=q&amp;hl=en&amp;geocode=&amp;q=-23.5252494812012,148.157913208008")</f>
        <v>http://maps.google.com/maps?f=q&amp;hl=en&amp;geocode=&amp;q=-23.5252494812012,148.157913208008</v>
      </c>
    </row>
    <row r="7285" spans="1:7" ht="15" x14ac:dyDescent="0.3">
      <c r="A7285">
        <v>30.4877605438232</v>
      </c>
      <c r="B7285">
        <v>-87.708351135253906</v>
      </c>
      <c r="C7285" t="s">
        <v>43</v>
      </c>
      <c r="D7285" t="s">
        <v>4364</v>
      </c>
      <c r="F7285" s="21"/>
      <c r="G7285" s="16" t="str">
        <f>HYPERLINK("http://maps.google.com/maps?f=q&amp;hl=en&amp;geocode=&amp;q=30.4877605438232,-87.7083511352539")</f>
        <v>http://maps.google.com/maps?f=q&amp;hl=en&amp;geocode=&amp;q=30.4877605438232,-87.7083511352539</v>
      </c>
    </row>
    <row r="7286" spans="1:7" ht="15" x14ac:dyDescent="0.3">
      <c r="A7286">
        <v>15.411506652831999</v>
      </c>
      <c r="B7286">
        <v>106.69881439209</v>
      </c>
      <c r="C7286" t="s">
        <v>43</v>
      </c>
      <c r="D7286" t="s">
        <v>4365</v>
      </c>
      <c r="F7286" s="21"/>
      <c r="G7286" s="16" t="str">
        <f>HYPERLINK("http://maps.google.com/maps?f=q&amp;hl=en&amp;geocode=&amp;q=15.411506652832,106.69881439209")</f>
        <v>http://maps.google.com/maps?f=q&amp;hl=en&amp;geocode=&amp;q=15.411506652832,106.69881439209</v>
      </c>
    </row>
    <row r="7287" spans="1:7" ht="15" x14ac:dyDescent="0.3">
      <c r="A7287">
        <v>45.853270000000002</v>
      </c>
      <c r="B7287">
        <v>-66.122669999999999</v>
      </c>
      <c r="C7287" t="s">
        <v>41</v>
      </c>
      <c r="D7287" t="s">
        <v>158</v>
      </c>
      <c r="F7287" s="21"/>
      <c r="G7287" s="16" t="str">
        <f>HYPERLINK("http://maps.google.com/maps?f=q&amp;hl=en&amp;geocode=&amp;q=45.85327,-66.12267")</f>
        <v>http://maps.google.com/maps?f=q&amp;hl=en&amp;geocode=&amp;q=45.85327,-66.12267</v>
      </c>
    </row>
    <row r="7288" spans="1:7" ht="15" x14ac:dyDescent="0.3">
      <c r="A7288">
        <v>59.234821319580099</v>
      </c>
      <c r="B7288">
        <v>-135.44305419921901</v>
      </c>
      <c r="C7288" t="s">
        <v>43</v>
      </c>
      <c r="D7288" t="s">
        <v>4366</v>
      </c>
      <c r="F7288" s="21"/>
      <c r="G7288" s="16" t="str">
        <f>HYPERLINK("http://maps.google.com/maps?f=q&amp;hl=en&amp;geocode=&amp;q=59.2348213195801,-135.443054199219")</f>
        <v>http://maps.google.com/maps?f=q&amp;hl=en&amp;geocode=&amp;q=59.2348213195801,-135.443054199219</v>
      </c>
    </row>
    <row r="7289" spans="1:7" ht="15" x14ac:dyDescent="0.3">
      <c r="A7289">
        <v>39.947278043166698</v>
      </c>
      <c r="B7289">
        <v>-83.126473122443301</v>
      </c>
      <c r="C7289" t="s">
        <v>41</v>
      </c>
      <c r="D7289" t="s">
        <v>4367</v>
      </c>
      <c r="F7289" s="21"/>
      <c r="G7289" s="16" t="str">
        <f>HYPERLINK("http://maps.google.com/maps?f=q&amp;hl=en&amp;geocode=&amp;q=39.9472780431667,-83.1264731224433")</f>
        <v>http://maps.google.com/maps?f=q&amp;hl=en&amp;geocode=&amp;q=39.9472780431667,-83.1264731224433</v>
      </c>
    </row>
    <row r="7290" spans="1:7" ht="15" x14ac:dyDescent="0.3">
      <c r="A7290">
        <v>39.823607430549004</v>
      </c>
      <c r="B7290">
        <v>-86.0906586444693</v>
      </c>
      <c r="C7290" t="s">
        <v>43</v>
      </c>
      <c r="D7290" t="s">
        <v>4368</v>
      </c>
      <c r="F7290" s="21"/>
      <c r="G7290" s="16" t="str">
        <f>HYPERLINK("http://maps.google.com/maps?f=q&amp;hl=en&amp;geocode=&amp;q=39.823607430549,-86.0906586444693")</f>
        <v>http://maps.google.com/maps?f=q&amp;hl=en&amp;geocode=&amp;q=39.823607430549,-86.0906586444693</v>
      </c>
    </row>
    <row r="7291" spans="1:7" ht="15" x14ac:dyDescent="0.3">
      <c r="A7291">
        <v>36.0435027075658</v>
      </c>
      <c r="B7291">
        <v>-83.881813849224599</v>
      </c>
      <c r="C7291" t="s">
        <v>43</v>
      </c>
      <c r="D7291" t="s">
        <v>4369</v>
      </c>
      <c r="F7291" s="21"/>
      <c r="G7291" s="16" t="str">
        <f>HYPERLINK("http://maps.google.com/maps?f=q&amp;hl=en&amp;geocode=&amp;q=36.0435027075658,-83.8818138492246")</f>
        <v>http://maps.google.com/maps?f=q&amp;hl=en&amp;geocode=&amp;q=36.0435027075658,-83.8818138492246</v>
      </c>
    </row>
    <row r="7292" spans="1:7" ht="15" x14ac:dyDescent="0.3">
      <c r="A7292">
        <v>7.3835182189941397</v>
      </c>
      <c r="B7292">
        <v>-12.2588081359863</v>
      </c>
      <c r="C7292" t="s">
        <v>41</v>
      </c>
      <c r="D7292" t="s">
        <v>202</v>
      </c>
      <c r="F7292" s="21"/>
      <c r="G7292" s="16" t="str">
        <f>HYPERLINK("http://maps.google.com/maps?f=q&amp;hl=en&amp;geocode=&amp;q=7.38351821899414,-12.2588081359863")</f>
        <v>http://maps.google.com/maps?f=q&amp;hl=en&amp;geocode=&amp;q=7.38351821899414,-12.2588081359863</v>
      </c>
    </row>
    <row r="7293" spans="1:7" ht="15" x14ac:dyDescent="0.3">
      <c r="A7293">
        <v>35.6454534876151</v>
      </c>
      <c r="B7293">
        <v>-101.451608003968</v>
      </c>
      <c r="C7293" t="s">
        <v>41</v>
      </c>
      <c r="D7293" t="s">
        <v>205</v>
      </c>
      <c r="F7293" s="21"/>
      <c r="G7293" s="16" t="str">
        <f>HYPERLINK("http://maps.google.com/maps?f=q&amp;hl=en&amp;geocode=&amp;q=35.6454534876151,-101.451608003968")</f>
        <v>http://maps.google.com/maps?f=q&amp;hl=en&amp;geocode=&amp;q=35.6454534876151,-101.451608003968</v>
      </c>
    </row>
    <row r="7294" spans="1:7" ht="15" x14ac:dyDescent="0.3">
      <c r="A7294">
        <v>32.96228</v>
      </c>
      <c r="B7294">
        <v>-80.018060000000006</v>
      </c>
      <c r="C7294" t="s">
        <v>43</v>
      </c>
      <c r="D7294" t="s">
        <v>1659</v>
      </c>
      <c r="F7294" s="21"/>
      <c r="G7294" s="16" t="str">
        <f>HYPERLINK("http://maps.google.com/maps?f=q&amp;hl=en&amp;geocode=&amp;q=32.96228,-80.01806")</f>
        <v>http://maps.google.com/maps?f=q&amp;hl=en&amp;geocode=&amp;q=32.96228,-80.01806</v>
      </c>
    </row>
    <row r="7295" spans="1:7" ht="15" x14ac:dyDescent="0.3">
      <c r="A7295">
        <v>39.554729999999999</v>
      </c>
      <c r="B7295">
        <v>-74.859539999999996</v>
      </c>
      <c r="C7295" t="s">
        <v>41</v>
      </c>
      <c r="D7295" t="s">
        <v>4370</v>
      </c>
      <c r="F7295" s="21"/>
      <c r="G7295" s="16" t="str">
        <f>HYPERLINK("http://maps.google.com/maps?f=q&amp;hl=en&amp;geocode=&amp;q=39.55473,-74.85954")</f>
        <v>http://maps.google.com/maps?f=q&amp;hl=en&amp;geocode=&amp;q=39.55473,-74.85954</v>
      </c>
    </row>
    <row r="7296" spans="1:7" ht="15" x14ac:dyDescent="0.3">
      <c r="A7296">
        <v>39.554729999999999</v>
      </c>
      <c r="B7296">
        <v>-74.859539999999996</v>
      </c>
      <c r="C7296" t="s">
        <v>41</v>
      </c>
      <c r="D7296" t="s">
        <v>4370</v>
      </c>
      <c r="F7296" s="21"/>
      <c r="G7296" s="16" t="str">
        <f>HYPERLINK("http://maps.google.com/maps?f=q&amp;hl=en&amp;geocode=&amp;q=39.55473,-74.85954")</f>
        <v>http://maps.google.com/maps?f=q&amp;hl=en&amp;geocode=&amp;q=39.55473,-74.85954</v>
      </c>
    </row>
    <row r="7297" spans="1:7" ht="15" x14ac:dyDescent="0.3">
      <c r="A7297">
        <v>48.802200317382798</v>
      </c>
      <c r="B7297">
        <v>0.104719996452332</v>
      </c>
      <c r="C7297" t="s">
        <v>43</v>
      </c>
      <c r="D7297" t="s">
        <v>103</v>
      </c>
      <c r="F7297" s="21"/>
      <c r="G7297" s="16" t="str">
        <f>HYPERLINK("http://maps.google.com/maps?f=q&amp;hl=en&amp;geocode=&amp;q=48.8022003173828,0.104719996452332")</f>
        <v>http://maps.google.com/maps?f=q&amp;hl=en&amp;geocode=&amp;q=48.8022003173828,0.104719996452332</v>
      </c>
    </row>
    <row r="7298" spans="1:7" ht="15" x14ac:dyDescent="0.3">
      <c r="A7298">
        <v>35.513777888303103</v>
      </c>
      <c r="B7298">
        <v>-95.131445353413099</v>
      </c>
      <c r="C7298" t="s">
        <v>41</v>
      </c>
      <c r="D7298" t="s">
        <v>4371</v>
      </c>
      <c r="F7298" s="21"/>
      <c r="G7298" s="16" t="str">
        <f>HYPERLINK("http://maps.google.com/maps?f=q&amp;hl=en&amp;geocode=&amp;q=35.5137778883031,-95.1314453534131")</f>
        <v>http://maps.google.com/maps?f=q&amp;hl=en&amp;geocode=&amp;q=35.5137778883031,-95.1314453534131</v>
      </c>
    </row>
    <row r="7299" spans="1:7" ht="15" x14ac:dyDescent="0.3">
      <c r="A7299">
        <v>33.926909999999999</v>
      </c>
      <c r="B7299">
        <v>-78.242170000000002</v>
      </c>
      <c r="C7299" t="s">
        <v>42</v>
      </c>
      <c r="D7299" t="s">
        <v>4372</v>
      </c>
      <c r="F7299" s="21"/>
      <c r="G7299" s="16" t="str">
        <f>HYPERLINK("http://maps.google.com/maps?f=q&amp;hl=en&amp;geocode=&amp;q=33.92691,-78.24217")</f>
        <v>http://maps.google.com/maps?f=q&amp;hl=en&amp;geocode=&amp;q=33.92691,-78.24217</v>
      </c>
    </row>
    <row r="7300" spans="1:7" ht="15" x14ac:dyDescent="0.3">
      <c r="A7300" t="s">
        <v>44</v>
      </c>
      <c r="B7300" t="s">
        <v>44</v>
      </c>
      <c r="C7300" t="s">
        <v>44</v>
      </c>
      <c r="D7300" t="s">
        <v>4373</v>
      </c>
      <c r="F7300" s="21"/>
      <c r="G7300" s="16"/>
    </row>
    <row r="7301" spans="1:7" ht="15" x14ac:dyDescent="0.3">
      <c r="A7301">
        <v>43.912325811876997</v>
      </c>
      <c r="B7301">
        <v>-88.040976068964696</v>
      </c>
      <c r="C7301" t="s">
        <v>41</v>
      </c>
      <c r="D7301" t="s">
        <v>4374</v>
      </c>
      <c r="F7301" s="21"/>
      <c r="G7301" s="16" t="str">
        <f>HYPERLINK("http://maps.google.com/maps?f=q&amp;hl=en&amp;geocode=&amp;q=43.912325811877,-88.0409760689647")</f>
        <v>http://maps.google.com/maps?f=q&amp;hl=en&amp;geocode=&amp;q=43.912325811877,-88.0409760689647</v>
      </c>
    </row>
    <row r="7302" spans="1:7" ht="15" x14ac:dyDescent="0.3">
      <c r="A7302">
        <v>39.996639999999999</v>
      </c>
      <c r="B7302">
        <v>-75.177109999999999</v>
      </c>
      <c r="C7302" t="s">
        <v>41</v>
      </c>
      <c r="D7302" t="s">
        <v>3290</v>
      </c>
      <c r="F7302" s="21"/>
      <c r="G7302" s="16" t="str">
        <f>HYPERLINK("http://maps.google.com/maps?f=q&amp;hl=en&amp;geocode=&amp;q=39.99664,-75.17711")</f>
        <v>http://maps.google.com/maps?f=q&amp;hl=en&amp;geocode=&amp;q=39.99664,-75.17711</v>
      </c>
    </row>
    <row r="7303" spans="1:7" ht="15" x14ac:dyDescent="0.3">
      <c r="A7303">
        <v>39.979129999999998</v>
      </c>
      <c r="B7303">
        <v>-75.131749999999997</v>
      </c>
      <c r="C7303" t="s">
        <v>41</v>
      </c>
      <c r="D7303" t="s">
        <v>4375</v>
      </c>
      <c r="F7303" s="21"/>
      <c r="G7303" s="16" t="str">
        <f>HYPERLINK("http://maps.google.com/maps?f=q&amp;hl=en&amp;geocode=&amp;q=39.97913,-75.13175")</f>
        <v>http://maps.google.com/maps?f=q&amp;hl=en&amp;geocode=&amp;q=39.97913,-75.13175</v>
      </c>
    </row>
    <row r="7304" spans="1:7" ht="15" x14ac:dyDescent="0.3">
      <c r="A7304">
        <v>27.449580000000001</v>
      </c>
      <c r="B7304">
        <v>-80.331710000000001</v>
      </c>
      <c r="C7304" t="s">
        <v>43</v>
      </c>
      <c r="D7304" t="s">
        <v>4376</v>
      </c>
      <c r="F7304" s="21"/>
      <c r="G7304" s="16" t="str">
        <f>HYPERLINK("http://maps.google.com/maps?f=q&amp;hl=en&amp;geocode=&amp;q=27.44958,-80.33171")</f>
        <v>http://maps.google.com/maps?f=q&amp;hl=en&amp;geocode=&amp;q=27.44958,-80.33171</v>
      </c>
    </row>
    <row r="7305" spans="1:7" ht="15" x14ac:dyDescent="0.3">
      <c r="A7305">
        <v>40.049795295843502</v>
      </c>
      <c r="B7305">
        <v>-75.058208565539999</v>
      </c>
      <c r="C7305" t="s">
        <v>41</v>
      </c>
      <c r="D7305" t="s">
        <v>1604</v>
      </c>
      <c r="F7305" s="21"/>
      <c r="G7305" s="16" t="str">
        <f>HYPERLINK("http://maps.google.com/maps?f=q&amp;hl=en&amp;geocode=&amp;q=40.0497952958435,-75.05820856554")</f>
        <v>http://maps.google.com/maps?f=q&amp;hl=en&amp;geocode=&amp;q=40.0497952958435,-75.05820856554</v>
      </c>
    </row>
    <row r="7306" spans="1:7" ht="15" x14ac:dyDescent="0.3">
      <c r="A7306">
        <v>53.755119999999998</v>
      </c>
      <c r="B7306">
        <v>-4.41E-2</v>
      </c>
      <c r="C7306" t="s">
        <v>43</v>
      </c>
      <c r="D7306" t="s">
        <v>4377</v>
      </c>
      <c r="F7306" s="21"/>
      <c r="G7306" s="16" t="str">
        <f>HYPERLINK("http://maps.google.com/maps?f=q&amp;hl=en&amp;geocode=&amp;q=53.75512,-0.0441")</f>
        <v>http://maps.google.com/maps?f=q&amp;hl=en&amp;geocode=&amp;q=53.75512,-0.0441</v>
      </c>
    </row>
    <row r="7307" spans="1:7" ht="15" x14ac:dyDescent="0.3">
      <c r="A7307">
        <v>26.22251</v>
      </c>
      <c r="B7307">
        <v>-98.184250000000006</v>
      </c>
      <c r="C7307" t="s">
        <v>41</v>
      </c>
      <c r="D7307" t="s">
        <v>4378</v>
      </c>
      <c r="F7307" s="21"/>
      <c r="G7307" s="16" t="str">
        <f>HYPERLINK("http://maps.google.com/maps?f=q&amp;hl=en&amp;geocode=&amp;q=26.22251,-98.18425")</f>
        <v>http://maps.google.com/maps?f=q&amp;hl=en&amp;geocode=&amp;q=26.22251,-98.18425</v>
      </c>
    </row>
    <row r="7308" spans="1:7" ht="15" x14ac:dyDescent="0.3">
      <c r="F7308" s="21"/>
      <c r="G7308" s="16"/>
    </row>
    <row r="7309" spans="1:7" ht="15" x14ac:dyDescent="0.3">
      <c r="F7309" s="21"/>
      <c r="G7309" s="16"/>
    </row>
    <row r="7310" spans="1:7" ht="15" x14ac:dyDescent="0.3">
      <c r="A7310">
        <v>-33.299518585205099</v>
      </c>
      <c r="B7310">
        <v>149.01606750488301</v>
      </c>
      <c r="C7310" t="s">
        <v>43</v>
      </c>
      <c r="D7310" t="s">
        <v>4379</v>
      </c>
      <c r="F7310" s="21"/>
      <c r="G7310" s="16" t="str">
        <f>HYPERLINK("http://maps.google.com/maps?f=q&amp;hl=en&amp;geocode=&amp;q=-33.2995185852051,149.016067504883")</f>
        <v>http://maps.google.com/maps?f=q&amp;hl=en&amp;geocode=&amp;q=-33.2995185852051,149.016067504883</v>
      </c>
    </row>
    <row r="7311" spans="1:7" ht="15" x14ac:dyDescent="0.3">
      <c r="A7311">
        <v>34.983314011026202</v>
      </c>
      <c r="B7311">
        <v>-80.551371197258305</v>
      </c>
      <c r="C7311" t="s">
        <v>41</v>
      </c>
      <c r="D7311" t="s">
        <v>2486</v>
      </c>
      <c r="F7311" s="21"/>
      <c r="G7311" s="16" t="str">
        <f>HYPERLINK("http://maps.google.com/maps?f=q&amp;hl=en&amp;geocode=&amp;q=34.9833140110262,-80.5513711972583")</f>
        <v>http://maps.google.com/maps?f=q&amp;hl=en&amp;geocode=&amp;q=34.9833140110262,-80.5513711972583</v>
      </c>
    </row>
    <row r="7312" spans="1:7" ht="15" x14ac:dyDescent="0.3">
      <c r="A7312">
        <v>39.994509000000001</v>
      </c>
      <c r="B7312">
        <v>-75.092248999999995</v>
      </c>
      <c r="C7312" t="s">
        <v>41</v>
      </c>
      <c r="D7312" t="s">
        <v>553</v>
      </c>
      <c r="F7312" s="21"/>
      <c r="G7312" s="16" t="str">
        <f>HYPERLINK("http://maps.google.com/maps?f=q&amp;hl=en&amp;geocode=&amp;q=39.994509,-75.092249")</f>
        <v>http://maps.google.com/maps?f=q&amp;hl=en&amp;geocode=&amp;q=39.994509,-75.092249</v>
      </c>
    </row>
    <row r="7313" spans="1:7" ht="15" x14ac:dyDescent="0.3">
      <c r="A7313">
        <v>39.994509000000001</v>
      </c>
      <c r="B7313">
        <v>-75.092248999999995</v>
      </c>
      <c r="C7313" t="s">
        <v>41</v>
      </c>
      <c r="D7313" t="s">
        <v>553</v>
      </c>
      <c r="F7313" s="21"/>
      <c r="G7313" s="16" t="str">
        <f>HYPERLINK("http://maps.google.com/maps?f=q&amp;hl=en&amp;geocode=&amp;q=39.994509,-75.092249")</f>
        <v>http://maps.google.com/maps?f=q&amp;hl=en&amp;geocode=&amp;q=39.994509,-75.092249</v>
      </c>
    </row>
    <row r="7314" spans="1:7" ht="15" x14ac:dyDescent="0.3">
      <c r="A7314" t="s">
        <v>44</v>
      </c>
      <c r="B7314" t="s">
        <v>44</v>
      </c>
      <c r="C7314" t="s">
        <v>44</v>
      </c>
      <c r="D7314" t="s">
        <v>4108</v>
      </c>
      <c r="F7314" s="21"/>
      <c r="G7314" s="16"/>
    </row>
    <row r="7315" spans="1:7" ht="15" x14ac:dyDescent="0.3">
      <c r="A7315">
        <v>38.766411589082097</v>
      </c>
      <c r="B7315">
        <v>-90.591846957956406</v>
      </c>
      <c r="C7315" t="s">
        <v>43</v>
      </c>
      <c r="D7315" t="s">
        <v>401</v>
      </c>
      <c r="F7315" s="21"/>
      <c r="G7315" s="16" t="str">
        <f>HYPERLINK("http://maps.google.com/maps?f=q&amp;hl=en&amp;geocode=&amp;q=38.7664115890821,-90.5918469579564")</f>
        <v>http://maps.google.com/maps?f=q&amp;hl=en&amp;geocode=&amp;q=38.7664115890821,-90.5918469579564</v>
      </c>
    </row>
    <row r="7316" spans="1:7" ht="15" x14ac:dyDescent="0.3">
      <c r="A7316">
        <v>40.527883000341099</v>
      </c>
      <c r="B7316">
        <v>-74.175955885255604</v>
      </c>
      <c r="C7316" t="s">
        <v>43</v>
      </c>
      <c r="D7316" t="s">
        <v>2260</v>
      </c>
      <c r="F7316" s="21"/>
      <c r="G7316" s="16" t="str">
        <f>HYPERLINK("http://maps.google.com/maps?f=q&amp;hl=en&amp;geocode=&amp;q=40.5278830003411,-74.1759558852556")</f>
        <v>http://maps.google.com/maps?f=q&amp;hl=en&amp;geocode=&amp;q=40.5278830003411,-74.1759558852556</v>
      </c>
    </row>
    <row r="7317" spans="1:7" ht="15" x14ac:dyDescent="0.3">
      <c r="A7317">
        <v>46.967300415039098</v>
      </c>
      <c r="B7317">
        <v>7.2218999862670898</v>
      </c>
      <c r="C7317" t="s">
        <v>41</v>
      </c>
      <c r="D7317" t="s">
        <v>4380</v>
      </c>
      <c r="F7317" s="21"/>
      <c r="G7317" s="16" t="str">
        <f>HYPERLINK("http://maps.google.com/maps?f=q&amp;hl=en&amp;geocode=&amp;q=46.9673004150391,7.22189998626709")</f>
        <v>http://maps.google.com/maps?f=q&amp;hl=en&amp;geocode=&amp;q=46.9673004150391,7.22189998626709</v>
      </c>
    </row>
    <row r="7318" spans="1:7" ht="15" x14ac:dyDescent="0.3">
      <c r="A7318">
        <v>37.016419999999997</v>
      </c>
      <c r="B7318">
        <v>-97.041730000000001</v>
      </c>
      <c r="C7318" t="s">
        <v>42</v>
      </c>
      <c r="D7318" t="s">
        <v>717</v>
      </c>
      <c r="F7318" s="21"/>
      <c r="G7318" s="16" t="str">
        <f>HYPERLINK("http://maps.google.com/maps?f=q&amp;hl=en&amp;geocode=&amp;q=37.01642,-97.04173")</f>
        <v>http://maps.google.com/maps?f=q&amp;hl=en&amp;geocode=&amp;q=37.01642,-97.04173</v>
      </c>
    </row>
    <row r="7319" spans="1:7" ht="15" x14ac:dyDescent="0.3">
      <c r="A7319">
        <v>38.766411589082097</v>
      </c>
      <c r="B7319">
        <v>-90.591846957956406</v>
      </c>
      <c r="C7319" t="s">
        <v>43</v>
      </c>
      <c r="D7319" t="s">
        <v>401</v>
      </c>
      <c r="F7319" s="21"/>
      <c r="G7319" s="16" t="str">
        <f>HYPERLINK("http://maps.google.com/maps?f=q&amp;hl=en&amp;geocode=&amp;q=38.7664115890821,-90.5918469579564")</f>
        <v>http://maps.google.com/maps?f=q&amp;hl=en&amp;geocode=&amp;q=38.7664115890821,-90.5918469579564</v>
      </c>
    </row>
    <row r="7320" spans="1:7" ht="15" x14ac:dyDescent="0.3">
      <c r="A7320" t="s">
        <v>44</v>
      </c>
      <c r="B7320" t="s">
        <v>44</v>
      </c>
      <c r="C7320" t="s">
        <v>44</v>
      </c>
      <c r="D7320" t="s">
        <v>3255</v>
      </c>
      <c r="F7320" s="21"/>
      <c r="G7320" s="16"/>
    </row>
    <row r="7321" spans="1:7" ht="15" x14ac:dyDescent="0.3">
      <c r="A7321" t="s">
        <v>44</v>
      </c>
      <c r="B7321" t="s">
        <v>44</v>
      </c>
      <c r="C7321" t="s">
        <v>44</v>
      </c>
      <c r="D7321" t="s">
        <v>227</v>
      </c>
      <c r="F7321" s="21"/>
      <c r="G7321" s="16"/>
    </row>
    <row r="7322" spans="1:7" ht="15" x14ac:dyDescent="0.3">
      <c r="A7322">
        <v>34.347145757981899</v>
      </c>
      <c r="B7322">
        <v>-110.00089609430201</v>
      </c>
      <c r="C7322" t="s">
        <v>43</v>
      </c>
      <c r="D7322" t="s">
        <v>3517</v>
      </c>
      <c r="F7322" s="21"/>
      <c r="G7322" s="16" t="str">
        <f>HYPERLINK("http://maps.google.com/maps?f=q&amp;hl=en&amp;geocode=&amp;q=34.3471457579819,-110.000896094302")</f>
        <v>http://maps.google.com/maps?f=q&amp;hl=en&amp;geocode=&amp;q=34.3471457579819,-110.000896094302</v>
      </c>
    </row>
    <row r="7323" spans="1:7" ht="15" x14ac:dyDescent="0.3">
      <c r="A7323">
        <v>40.025269999999999</v>
      </c>
      <c r="B7323">
        <v>-75.140039999999999</v>
      </c>
      <c r="C7323" t="s">
        <v>41</v>
      </c>
      <c r="D7323" t="s">
        <v>4381</v>
      </c>
      <c r="F7323" s="21"/>
      <c r="G7323" s="16" t="str">
        <f>HYPERLINK("http://maps.google.com/maps?f=q&amp;hl=en&amp;geocode=&amp;q=40.02527,-75.14004")</f>
        <v>http://maps.google.com/maps?f=q&amp;hl=en&amp;geocode=&amp;q=40.02527,-75.14004</v>
      </c>
    </row>
    <row r="7324" spans="1:7" ht="15" x14ac:dyDescent="0.3">
      <c r="A7324">
        <v>-26.142440000000001</v>
      </c>
      <c r="B7324">
        <v>27.91825</v>
      </c>
      <c r="C7324" t="s">
        <v>41</v>
      </c>
      <c r="D7324" t="s">
        <v>2558</v>
      </c>
      <c r="F7324" s="21"/>
      <c r="G7324" s="16" t="str">
        <f>HYPERLINK("http://maps.google.com/maps?f=q&amp;hl=en&amp;geocode=&amp;q=-26.14244,27.91825")</f>
        <v>http://maps.google.com/maps?f=q&amp;hl=en&amp;geocode=&amp;q=-26.14244,27.91825</v>
      </c>
    </row>
    <row r="7325" spans="1:7" ht="15" x14ac:dyDescent="0.3">
      <c r="A7325">
        <v>-5.0306301116943404</v>
      </c>
      <c r="B7325">
        <v>32.819759368896499</v>
      </c>
      <c r="C7325" t="s">
        <v>41</v>
      </c>
      <c r="D7325" t="s">
        <v>4382</v>
      </c>
      <c r="F7325" s="21"/>
      <c r="G7325" s="16" t="str">
        <f>HYPERLINK("http://maps.google.com/maps?f=q&amp;hl=en&amp;geocode=&amp;q=-5.03063011169434,32.8197593688965")</f>
        <v>http://maps.google.com/maps?f=q&amp;hl=en&amp;geocode=&amp;q=-5.03063011169434,32.8197593688965</v>
      </c>
    </row>
    <row r="7326" spans="1:7" ht="15" x14ac:dyDescent="0.3">
      <c r="A7326">
        <v>-5.0306301116943404</v>
      </c>
      <c r="B7326">
        <v>32.819759368896499</v>
      </c>
      <c r="C7326" t="s">
        <v>41</v>
      </c>
      <c r="D7326" t="s">
        <v>4382</v>
      </c>
      <c r="F7326" s="21"/>
      <c r="G7326" s="16" t="str">
        <f>HYPERLINK("http://maps.google.com/maps?f=q&amp;hl=en&amp;geocode=&amp;q=-5.03063011169434,32.8197593688965")</f>
        <v>http://maps.google.com/maps?f=q&amp;hl=en&amp;geocode=&amp;q=-5.03063011169434,32.8197593688965</v>
      </c>
    </row>
    <row r="7327" spans="1:7" ht="15" x14ac:dyDescent="0.3">
      <c r="A7327">
        <v>39.954610000000002</v>
      </c>
      <c r="B7327">
        <v>-75.231819999999999</v>
      </c>
      <c r="C7327" t="s">
        <v>43</v>
      </c>
      <c r="D7327" t="s">
        <v>4383</v>
      </c>
      <c r="F7327" s="21"/>
      <c r="G7327" s="16" t="str">
        <f>HYPERLINK("http://maps.google.com/maps?f=q&amp;hl=en&amp;geocode=&amp;q=39.95461,-75.23182")</f>
        <v>http://maps.google.com/maps?f=q&amp;hl=en&amp;geocode=&amp;q=39.95461,-75.23182</v>
      </c>
    </row>
    <row r="7328" spans="1:7" ht="15" x14ac:dyDescent="0.3">
      <c r="A7328" t="s">
        <v>44</v>
      </c>
      <c r="B7328" t="s">
        <v>44</v>
      </c>
      <c r="C7328" t="s">
        <v>44</v>
      </c>
      <c r="D7328" t="s">
        <v>1004</v>
      </c>
      <c r="F7328" s="21"/>
      <c r="G7328" s="16"/>
    </row>
    <row r="7329" spans="1:7" ht="15" x14ac:dyDescent="0.3">
      <c r="A7329">
        <v>43.023812805403502</v>
      </c>
      <c r="B7329">
        <v>-74.990947660555406</v>
      </c>
      <c r="C7329" t="s">
        <v>41</v>
      </c>
      <c r="D7329" t="s">
        <v>4384</v>
      </c>
      <c r="F7329" s="21"/>
      <c r="G7329" s="16" t="str">
        <f>HYPERLINK("http://maps.google.com/maps?f=q&amp;hl=en&amp;geocode=&amp;q=43.0238128054035,-74.9909476605554")</f>
        <v>http://maps.google.com/maps?f=q&amp;hl=en&amp;geocode=&amp;q=43.0238128054035,-74.9909476605554</v>
      </c>
    </row>
    <row r="7330" spans="1:7" ht="15" x14ac:dyDescent="0.3">
      <c r="A7330">
        <v>31.027550000000002</v>
      </c>
      <c r="B7330">
        <v>-87.518590000000003</v>
      </c>
      <c r="C7330" t="s">
        <v>42</v>
      </c>
      <c r="D7330" t="s">
        <v>4385</v>
      </c>
      <c r="F7330" s="21"/>
      <c r="G7330" s="16" t="str">
        <f>HYPERLINK("http://maps.google.com/maps?f=q&amp;hl=en&amp;geocode=&amp;q=31.02755,-87.51859")</f>
        <v>http://maps.google.com/maps?f=q&amp;hl=en&amp;geocode=&amp;q=31.02755,-87.51859</v>
      </c>
    </row>
    <row r="7331" spans="1:7" ht="15" x14ac:dyDescent="0.3">
      <c r="A7331">
        <v>36.337397170785799</v>
      </c>
      <c r="B7331">
        <v>-89.161968240170097</v>
      </c>
      <c r="C7331" t="s">
        <v>41</v>
      </c>
      <c r="D7331" t="s">
        <v>4386</v>
      </c>
      <c r="F7331" s="21"/>
      <c r="G7331" s="16" t="str">
        <f>HYPERLINK("http://maps.google.com/maps?f=q&amp;hl=en&amp;geocode=&amp;q=36.3373971707858,-89.1619682401701")</f>
        <v>http://maps.google.com/maps?f=q&amp;hl=en&amp;geocode=&amp;q=36.3373971707858,-89.1619682401701</v>
      </c>
    </row>
    <row r="7332" spans="1:7" ht="15" x14ac:dyDescent="0.3">
      <c r="A7332">
        <v>-10.2807397842407</v>
      </c>
      <c r="B7332">
        <v>-48.3053588867188</v>
      </c>
      <c r="C7332" t="s">
        <v>43</v>
      </c>
      <c r="D7332" t="s">
        <v>4387</v>
      </c>
      <c r="F7332" s="21"/>
      <c r="G7332" s="16" t="str">
        <f>HYPERLINK("http://maps.google.com/maps?f=q&amp;hl=en&amp;geocode=&amp;q=-10.2807397842407,-48.3053588867188")</f>
        <v>http://maps.google.com/maps?f=q&amp;hl=en&amp;geocode=&amp;q=-10.2807397842407,-48.3053588867188</v>
      </c>
    </row>
    <row r="7333" spans="1:7" ht="15" x14ac:dyDescent="0.3">
      <c r="A7333">
        <v>23.406011581420898</v>
      </c>
      <c r="B7333">
        <v>79.458091735839801</v>
      </c>
      <c r="C7333" t="s">
        <v>41</v>
      </c>
      <c r="D7333" t="s">
        <v>4388</v>
      </c>
      <c r="F7333" s="21"/>
      <c r="G7333" s="16" t="str">
        <f>HYPERLINK("http://maps.google.com/maps?f=q&amp;hl=en&amp;geocode=&amp;q=23.4060115814209,79.4580917358398")</f>
        <v>http://maps.google.com/maps?f=q&amp;hl=en&amp;geocode=&amp;q=23.4060115814209,79.4580917358398</v>
      </c>
    </row>
    <row r="7334" spans="1:7" ht="15" x14ac:dyDescent="0.3">
      <c r="A7334">
        <v>35.260944978830302</v>
      </c>
      <c r="B7334">
        <v>-114.012836432257</v>
      </c>
      <c r="C7334" t="s">
        <v>41</v>
      </c>
      <c r="D7334" t="s">
        <v>4389</v>
      </c>
      <c r="F7334" s="21"/>
      <c r="G7334" s="16" t="str">
        <f>HYPERLINK("http://maps.google.com/maps?f=q&amp;hl=en&amp;geocode=&amp;q=35.2609449788303,-114.012836432257")</f>
        <v>http://maps.google.com/maps?f=q&amp;hl=en&amp;geocode=&amp;q=35.2609449788303,-114.012836432257</v>
      </c>
    </row>
    <row r="7335" spans="1:7" ht="15" x14ac:dyDescent="0.3">
      <c r="A7335">
        <v>39.89819</v>
      </c>
      <c r="B7335">
        <v>-75.321579999999997</v>
      </c>
      <c r="C7335" t="s">
        <v>43</v>
      </c>
      <c r="D7335" t="s">
        <v>4390</v>
      </c>
      <c r="F7335" s="21"/>
      <c r="G7335" s="16" t="str">
        <f>HYPERLINK("http://maps.google.com/maps?f=q&amp;hl=en&amp;geocode=&amp;q=39.89819,-75.32158")</f>
        <v>http://maps.google.com/maps?f=q&amp;hl=en&amp;geocode=&amp;q=39.89819,-75.32158</v>
      </c>
    </row>
    <row r="7336" spans="1:7" ht="15" x14ac:dyDescent="0.3">
      <c r="A7336">
        <v>39.920350908880501</v>
      </c>
      <c r="B7336">
        <v>-75.168576536206004</v>
      </c>
      <c r="C7336" t="s">
        <v>41</v>
      </c>
      <c r="D7336" t="s">
        <v>3996</v>
      </c>
      <c r="F7336" s="21"/>
      <c r="G7336" s="16" t="str">
        <f>HYPERLINK("http://maps.google.com/maps?f=q&amp;hl=en&amp;geocode=&amp;q=39.9203509088805,-75.168576536206")</f>
        <v>http://maps.google.com/maps?f=q&amp;hl=en&amp;geocode=&amp;q=39.9203509088805,-75.168576536206</v>
      </c>
    </row>
    <row r="7337" spans="1:7" ht="15" x14ac:dyDescent="0.3">
      <c r="A7337">
        <v>37.241072477694097</v>
      </c>
      <c r="B7337">
        <v>-79.998654977856503</v>
      </c>
      <c r="C7337" t="s">
        <v>41</v>
      </c>
      <c r="D7337" t="s">
        <v>372</v>
      </c>
      <c r="F7337" s="21"/>
      <c r="G7337" s="16" t="str">
        <f>HYPERLINK("http://maps.google.com/maps?f=q&amp;hl=en&amp;geocode=&amp;q=37.2410724776941,-79.9986549778565")</f>
        <v>http://maps.google.com/maps?f=q&amp;hl=en&amp;geocode=&amp;q=37.2410724776941,-79.9986549778565</v>
      </c>
    </row>
    <row r="7338" spans="1:7" ht="15" x14ac:dyDescent="0.3">
      <c r="A7338">
        <v>40.548250000000003</v>
      </c>
      <c r="B7338">
        <v>-76.382840000000002</v>
      </c>
      <c r="C7338" t="s">
        <v>41</v>
      </c>
      <c r="D7338" t="s">
        <v>1057</v>
      </c>
      <c r="F7338" s="21"/>
      <c r="G7338" s="16" t="str">
        <f>HYPERLINK("http://maps.google.com/maps?f=q&amp;hl=en&amp;geocode=&amp;q=40.54825,-76.38284")</f>
        <v>http://maps.google.com/maps?f=q&amp;hl=en&amp;geocode=&amp;q=40.54825,-76.38284</v>
      </c>
    </row>
    <row r="7339" spans="1:7" ht="15" x14ac:dyDescent="0.3">
      <c r="A7339">
        <v>40.347160000000002</v>
      </c>
      <c r="B7339">
        <v>-76.41225</v>
      </c>
      <c r="C7339" t="s">
        <v>43</v>
      </c>
      <c r="D7339" t="s">
        <v>2021</v>
      </c>
      <c r="F7339" s="21"/>
      <c r="G7339" s="16" t="str">
        <f>HYPERLINK("http://maps.google.com/maps?f=q&amp;hl=en&amp;geocode=&amp;q=40.34716,-76.41225")</f>
        <v>http://maps.google.com/maps?f=q&amp;hl=en&amp;geocode=&amp;q=40.34716,-76.41225</v>
      </c>
    </row>
    <row r="7340" spans="1:7" ht="15" x14ac:dyDescent="0.3">
      <c r="A7340">
        <v>49.2288818359375</v>
      </c>
      <c r="B7340">
        <v>-0.460180014371872</v>
      </c>
      <c r="C7340" t="s">
        <v>41</v>
      </c>
      <c r="D7340" t="s">
        <v>4391</v>
      </c>
      <c r="F7340" s="21"/>
      <c r="G7340" s="16" t="str">
        <f>HYPERLINK("http://maps.google.com/maps?f=q&amp;hl=en&amp;geocode=&amp;q=49.2288818359375,-0.460180014371872")</f>
        <v>http://maps.google.com/maps?f=q&amp;hl=en&amp;geocode=&amp;q=49.2288818359375,-0.460180014371872</v>
      </c>
    </row>
    <row r="7341" spans="1:7" ht="15" x14ac:dyDescent="0.3">
      <c r="A7341">
        <v>49.2288818359375</v>
      </c>
      <c r="B7341">
        <v>-0.460180014371872</v>
      </c>
      <c r="C7341" t="s">
        <v>41</v>
      </c>
      <c r="D7341" t="s">
        <v>4391</v>
      </c>
      <c r="F7341" s="21"/>
      <c r="G7341" s="16" t="str">
        <f>HYPERLINK("http://maps.google.com/maps?f=q&amp;hl=en&amp;geocode=&amp;q=49.2288818359375,-0.460180014371872")</f>
        <v>http://maps.google.com/maps?f=q&amp;hl=en&amp;geocode=&amp;q=49.2288818359375,-0.460180014371872</v>
      </c>
    </row>
    <row r="7342" spans="1:7" ht="15" x14ac:dyDescent="0.3">
      <c r="A7342">
        <v>41.38729</v>
      </c>
      <c r="B7342">
        <v>-89.450550000000007</v>
      </c>
      <c r="C7342" t="s">
        <v>42</v>
      </c>
      <c r="D7342" t="s">
        <v>4392</v>
      </c>
      <c r="F7342" s="21"/>
      <c r="G7342" s="16" t="str">
        <f>HYPERLINK("http://maps.google.com/maps?f=q&amp;hl=en&amp;geocode=&amp;q=41.38729,-89.45055")</f>
        <v>http://maps.google.com/maps?f=q&amp;hl=en&amp;geocode=&amp;q=41.38729,-89.45055</v>
      </c>
    </row>
    <row r="7343" spans="1:7" ht="15" x14ac:dyDescent="0.3">
      <c r="A7343">
        <v>13.25</v>
      </c>
      <c r="B7343">
        <v>-61.200000762939503</v>
      </c>
      <c r="C7343" t="s">
        <v>41</v>
      </c>
      <c r="D7343" t="s">
        <v>4393</v>
      </c>
      <c r="F7343" s="21"/>
      <c r="G7343" s="16" t="str">
        <f>HYPERLINK("http://maps.google.com/maps?f=q&amp;hl=en&amp;geocode=&amp;q=13.25,-61.2000007629395")</f>
        <v>http://maps.google.com/maps?f=q&amp;hl=en&amp;geocode=&amp;q=13.25,-61.2000007629395</v>
      </c>
    </row>
    <row r="7344" spans="1:7" ht="15" x14ac:dyDescent="0.3">
      <c r="A7344">
        <v>59.649818420410199</v>
      </c>
      <c r="B7344">
        <v>10.673749923706101</v>
      </c>
      <c r="C7344" t="s">
        <v>43</v>
      </c>
      <c r="D7344" t="s">
        <v>4394</v>
      </c>
      <c r="F7344" s="21"/>
      <c r="G7344" s="16" t="str">
        <f>HYPERLINK("http://maps.google.com/maps?f=q&amp;hl=en&amp;geocode=&amp;q=59.6498184204102,10.6737499237061")</f>
        <v>http://maps.google.com/maps?f=q&amp;hl=en&amp;geocode=&amp;q=59.6498184204102,10.6737499237061</v>
      </c>
    </row>
    <row r="7345" spans="1:7" ht="15" x14ac:dyDescent="0.3">
      <c r="A7345" t="s">
        <v>44</v>
      </c>
      <c r="B7345" t="s">
        <v>44</v>
      </c>
      <c r="C7345" t="s">
        <v>44</v>
      </c>
      <c r="D7345" t="s">
        <v>4395</v>
      </c>
      <c r="F7345" s="21"/>
      <c r="G7345" s="16"/>
    </row>
    <row r="7346" spans="1:7" ht="15" x14ac:dyDescent="0.3">
      <c r="A7346">
        <v>39.9209249266694</v>
      </c>
      <c r="B7346">
        <v>-75.239543914633799</v>
      </c>
      <c r="C7346" t="s">
        <v>41</v>
      </c>
      <c r="D7346" t="s">
        <v>4396</v>
      </c>
      <c r="F7346" s="21"/>
      <c r="G7346" s="16" t="str">
        <f>HYPERLINK("http://maps.google.com/maps?f=q&amp;hl=en&amp;geocode=&amp;q=39.9209249266694,-75.2395439146338")</f>
        <v>http://maps.google.com/maps?f=q&amp;hl=en&amp;geocode=&amp;q=39.9209249266694,-75.2395439146338</v>
      </c>
    </row>
    <row r="7347" spans="1:7" ht="15" x14ac:dyDescent="0.3">
      <c r="A7347">
        <v>34.167212304139099</v>
      </c>
      <c r="B7347">
        <v>-117.349784346044</v>
      </c>
      <c r="C7347" t="s">
        <v>41</v>
      </c>
      <c r="D7347" t="s">
        <v>4397</v>
      </c>
      <c r="F7347" s="21"/>
      <c r="G7347" s="16" t="str">
        <f>HYPERLINK("http://maps.google.com/maps?f=q&amp;hl=en&amp;geocode=&amp;q=34.1672123041391,-117.349784346044")</f>
        <v>http://maps.google.com/maps?f=q&amp;hl=en&amp;geocode=&amp;q=34.1672123041391,-117.349784346044</v>
      </c>
    </row>
    <row r="7348" spans="1:7" ht="15" x14ac:dyDescent="0.3">
      <c r="A7348">
        <v>42.195700000000002</v>
      </c>
      <c r="B7348">
        <v>-75.828190000000006</v>
      </c>
      <c r="C7348" t="s">
        <v>42</v>
      </c>
      <c r="D7348" t="s">
        <v>4398</v>
      </c>
      <c r="F7348" s="21"/>
      <c r="G7348" s="16" t="str">
        <f>HYPERLINK("http://maps.google.com/maps?f=q&amp;hl=en&amp;geocode=&amp;q=42.1957,-75.82819")</f>
        <v>http://maps.google.com/maps?f=q&amp;hl=en&amp;geocode=&amp;q=42.1957,-75.82819</v>
      </c>
    </row>
    <row r="7349" spans="1:7" ht="15" x14ac:dyDescent="0.3">
      <c r="A7349">
        <v>50.723228454589801</v>
      </c>
      <c r="B7349">
        <v>4.6152939796447798</v>
      </c>
      <c r="C7349" t="s">
        <v>43</v>
      </c>
      <c r="D7349" t="s">
        <v>4399</v>
      </c>
      <c r="F7349" s="21"/>
      <c r="G7349" s="16" t="str">
        <f>HYPERLINK("http://maps.google.com/maps?f=q&amp;hl=en&amp;geocode=&amp;q=50.7232284545898,4.61529397964478")</f>
        <v>http://maps.google.com/maps?f=q&amp;hl=en&amp;geocode=&amp;q=50.7232284545898,4.61529397964478</v>
      </c>
    </row>
    <row r="7350" spans="1:7" ht="15" x14ac:dyDescent="0.3">
      <c r="A7350">
        <v>50.723228454589801</v>
      </c>
      <c r="B7350">
        <v>4.6152939796447798</v>
      </c>
      <c r="C7350" t="s">
        <v>43</v>
      </c>
      <c r="D7350" t="s">
        <v>4399</v>
      </c>
      <c r="F7350" s="21"/>
      <c r="G7350" s="16" t="str">
        <f>HYPERLINK("http://maps.google.com/maps?f=q&amp;hl=en&amp;geocode=&amp;q=50.7232284545898,4.61529397964478")</f>
        <v>http://maps.google.com/maps?f=q&amp;hl=en&amp;geocode=&amp;q=50.7232284545898,4.61529397964478</v>
      </c>
    </row>
    <row r="7351" spans="1:7" ht="15" x14ac:dyDescent="0.3">
      <c r="A7351">
        <v>41.079008650062399</v>
      </c>
      <c r="B7351">
        <v>-80.721013110627894</v>
      </c>
      <c r="C7351" t="s">
        <v>41</v>
      </c>
      <c r="D7351" t="s">
        <v>630</v>
      </c>
      <c r="F7351" s="21"/>
      <c r="G7351" s="16" t="str">
        <f>HYPERLINK("http://maps.google.com/maps?f=q&amp;hl=en&amp;geocode=&amp;q=41.0790086500624,-80.7210131106279")</f>
        <v>http://maps.google.com/maps?f=q&amp;hl=en&amp;geocode=&amp;q=41.0790086500624,-80.7210131106279</v>
      </c>
    </row>
    <row r="7352" spans="1:7" ht="15" x14ac:dyDescent="0.3">
      <c r="A7352">
        <v>-28.342119216918899</v>
      </c>
      <c r="B7352">
        <v>152.00799560546901</v>
      </c>
      <c r="C7352" t="s">
        <v>43</v>
      </c>
      <c r="D7352" t="s">
        <v>3113</v>
      </c>
      <c r="F7352" s="21"/>
      <c r="G7352" s="16" t="str">
        <f>HYPERLINK("http://maps.google.com/maps?f=q&amp;hl=en&amp;geocode=&amp;q=-28.3421192169189,152.007995605469")</f>
        <v>http://maps.google.com/maps?f=q&amp;hl=en&amp;geocode=&amp;q=-28.3421192169189,152.007995605469</v>
      </c>
    </row>
    <row r="7353" spans="1:7" ht="15" x14ac:dyDescent="0.3">
      <c r="A7353">
        <v>43.293369293212898</v>
      </c>
      <c r="B7353">
        <v>5.3713002204895002</v>
      </c>
      <c r="C7353" t="s">
        <v>43</v>
      </c>
      <c r="D7353" t="s">
        <v>3003</v>
      </c>
      <c r="F7353" s="21"/>
      <c r="G7353" s="16" t="str">
        <f>HYPERLINK("http://maps.google.com/maps?f=q&amp;hl=en&amp;geocode=&amp;q=43.2933692932129,5.3713002204895")</f>
        <v>http://maps.google.com/maps?f=q&amp;hl=en&amp;geocode=&amp;q=43.2933692932129,5.3713002204895</v>
      </c>
    </row>
    <row r="7354" spans="1:7" ht="15" x14ac:dyDescent="0.3">
      <c r="A7354">
        <v>49.518180847167997</v>
      </c>
      <c r="B7354">
        <v>5.8978409767150897</v>
      </c>
      <c r="C7354" t="s">
        <v>41</v>
      </c>
      <c r="D7354" t="s">
        <v>2510</v>
      </c>
      <c r="F7354" s="21"/>
      <c r="G7354" s="16" t="str">
        <f>HYPERLINK("http://maps.google.com/maps?f=q&amp;hl=en&amp;geocode=&amp;q=49.518180847168,5.89784097671509")</f>
        <v>http://maps.google.com/maps?f=q&amp;hl=en&amp;geocode=&amp;q=49.518180847168,5.89784097671509</v>
      </c>
    </row>
    <row r="7355" spans="1:7" ht="15" x14ac:dyDescent="0.3">
      <c r="A7355">
        <v>41.432992909619401</v>
      </c>
      <c r="B7355">
        <v>-82.022776299006097</v>
      </c>
      <c r="C7355" t="s">
        <v>41</v>
      </c>
      <c r="D7355" t="s">
        <v>4400</v>
      </c>
      <c r="F7355" s="21"/>
      <c r="G7355" s="16" t="str">
        <f>HYPERLINK("http://maps.google.com/maps?f=q&amp;hl=en&amp;geocode=&amp;q=41.4329929096194,-82.0227762990061")</f>
        <v>http://maps.google.com/maps?f=q&amp;hl=en&amp;geocode=&amp;q=41.4329929096194,-82.0227762990061</v>
      </c>
    </row>
    <row r="7356" spans="1:7" ht="15" x14ac:dyDescent="0.3">
      <c r="A7356">
        <v>49.518180847167997</v>
      </c>
      <c r="B7356">
        <v>5.8978409767150897</v>
      </c>
      <c r="C7356" t="s">
        <v>41</v>
      </c>
      <c r="D7356" t="s">
        <v>2510</v>
      </c>
      <c r="F7356" s="21"/>
      <c r="G7356" s="16" t="str">
        <f>HYPERLINK("http://maps.google.com/maps?f=q&amp;hl=en&amp;geocode=&amp;q=49.518180847168,5.89784097671509")</f>
        <v>http://maps.google.com/maps?f=q&amp;hl=en&amp;geocode=&amp;q=49.518180847168,5.89784097671509</v>
      </c>
    </row>
    <row r="7357" spans="1:7" ht="15" x14ac:dyDescent="0.3">
      <c r="A7357">
        <v>49.518180847167997</v>
      </c>
      <c r="B7357">
        <v>5.8978409767150897</v>
      </c>
      <c r="C7357" t="s">
        <v>41</v>
      </c>
      <c r="D7357" t="s">
        <v>2510</v>
      </c>
      <c r="F7357" s="21"/>
      <c r="G7357" s="16" t="str">
        <f>HYPERLINK("http://maps.google.com/maps?f=q&amp;hl=en&amp;geocode=&amp;q=49.518180847168,5.89784097671509")</f>
        <v>http://maps.google.com/maps?f=q&amp;hl=en&amp;geocode=&amp;q=49.518180847168,5.89784097671509</v>
      </c>
    </row>
    <row r="7358" spans="1:7" ht="15" x14ac:dyDescent="0.3">
      <c r="A7358">
        <v>49.518180847167997</v>
      </c>
      <c r="B7358">
        <v>5.8978409767150897</v>
      </c>
      <c r="C7358" t="s">
        <v>41</v>
      </c>
      <c r="D7358" t="s">
        <v>2510</v>
      </c>
      <c r="F7358" s="21"/>
      <c r="G7358" s="16" t="str">
        <f>HYPERLINK("http://maps.google.com/maps?f=q&amp;hl=en&amp;geocode=&amp;q=49.518180847168,5.89784097671509")</f>
        <v>http://maps.google.com/maps?f=q&amp;hl=en&amp;geocode=&amp;q=49.518180847168,5.89784097671509</v>
      </c>
    </row>
    <row r="7359" spans="1:7" ht="15" x14ac:dyDescent="0.3">
      <c r="A7359">
        <v>49.518180847167997</v>
      </c>
      <c r="B7359">
        <v>5.8978409767150897</v>
      </c>
      <c r="C7359" t="s">
        <v>41</v>
      </c>
      <c r="D7359" t="s">
        <v>2510</v>
      </c>
      <c r="F7359" s="21"/>
      <c r="G7359" s="16" t="str">
        <f>HYPERLINK("http://maps.google.com/maps?f=q&amp;hl=en&amp;geocode=&amp;q=49.518180847168,5.89784097671509")</f>
        <v>http://maps.google.com/maps?f=q&amp;hl=en&amp;geocode=&amp;q=49.518180847168,5.89784097671509</v>
      </c>
    </row>
    <row r="7360" spans="1:7" ht="15" x14ac:dyDescent="0.3">
      <c r="A7360">
        <v>39.918550000000003</v>
      </c>
      <c r="B7360">
        <v>-75.154229999999998</v>
      </c>
      <c r="C7360" t="s">
        <v>42</v>
      </c>
      <c r="D7360" t="s">
        <v>4401</v>
      </c>
      <c r="F7360" s="21"/>
      <c r="G7360" s="16" t="str">
        <f>HYPERLINK("http://maps.google.com/maps?f=q&amp;hl=en&amp;geocode=&amp;q=39.91855,-75.15423")</f>
        <v>http://maps.google.com/maps?f=q&amp;hl=en&amp;geocode=&amp;q=39.91855,-75.15423</v>
      </c>
    </row>
    <row r="7361" spans="1:7" ht="15" x14ac:dyDescent="0.3">
      <c r="A7361" t="s">
        <v>44</v>
      </c>
      <c r="B7361" t="s">
        <v>44</v>
      </c>
      <c r="C7361" t="s">
        <v>44</v>
      </c>
      <c r="D7361" t="s">
        <v>4402</v>
      </c>
      <c r="F7361" s="21"/>
      <c r="G7361" s="16"/>
    </row>
    <row r="7362" spans="1:7" ht="15" x14ac:dyDescent="0.3">
      <c r="A7362">
        <v>38.766411589082097</v>
      </c>
      <c r="B7362">
        <v>-90.591846957956406</v>
      </c>
      <c r="C7362" t="s">
        <v>43</v>
      </c>
      <c r="D7362" t="s">
        <v>401</v>
      </c>
      <c r="F7362" s="21"/>
      <c r="G7362" s="16" t="str">
        <f>HYPERLINK("http://maps.google.com/maps?f=q&amp;hl=en&amp;geocode=&amp;q=38.7664115890821,-90.5918469579564")</f>
        <v>http://maps.google.com/maps?f=q&amp;hl=en&amp;geocode=&amp;q=38.7664115890821,-90.5918469579564</v>
      </c>
    </row>
    <row r="7363" spans="1:7" ht="15" x14ac:dyDescent="0.3">
      <c r="A7363">
        <v>29.94772</v>
      </c>
      <c r="B7363">
        <v>-93.937799999999996</v>
      </c>
      <c r="C7363" t="s">
        <v>41</v>
      </c>
      <c r="D7363" t="s">
        <v>772</v>
      </c>
      <c r="F7363" s="21"/>
      <c r="G7363" s="16" t="str">
        <f>HYPERLINK("http://maps.google.com/maps?f=q&amp;hl=en&amp;geocode=&amp;q=29.94772,-93.9378")</f>
        <v>http://maps.google.com/maps?f=q&amp;hl=en&amp;geocode=&amp;q=29.94772,-93.9378</v>
      </c>
    </row>
    <row r="7364" spans="1:7" ht="15" x14ac:dyDescent="0.3">
      <c r="A7364" t="s">
        <v>44</v>
      </c>
      <c r="B7364" t="s">
        <v>44</v>
      </c>
      <c r="C7364" t="s">
        <v>44</v>
      </c>
      <c r="D7364" t="s">
        <v>1004</v>
      </c>
      <c r="F7364" s="21"/>
      <c r="G7364" s="16"/>
    </row>
    <row r="7365" spans="1:7" ht="15" x14ac:dyDescent="0.3">
      <c r="A7365">
        <v>40.309514546735599</v>
      </c>
      <c r="B7365">
        <v>-78.319297469868403</v>
      </c>
      <c r="C7365" t="s">
        <v>41</v>
      </c>
      <c r="D7365" t="s">
        <v>2197</v>
      </c>
      <c r="F7365" s="21"/>
      <c r="G7365" s="16" t="str">
        <f>HYPERLINK("http://maps.google.com/maps?f=q&amp;hl=en&amp;geocode=&amp;q=40.3095145467356,-78.3192974698684")</f>
        <v>http://maps.google.com/maps?f=q&amp;hl=en&amp;geocode=&amp;q=40.3095145467356,-78.3192974698684</v>
      </c>
    </row>
    <row r="7366" spans="1:7" ht="15" x14ac:dyDescent="0.3">
      <c r="A7366" t="s">
        <v>44</v>
      </c>
      <c r="B7366" t="s">
        <v>44</v>
      </c>
      <c r="C7366" t="s">
        <v>44</v>
      </c>
      <c r="D7366" t="s">
        <v>2862</v>
      </c>
      <c r="F7366" s="21"/>
      <c r="G7366" s="16"/>
    </row>
    <row r="7367" spans="1:7" ht="15" x14ac:dyDescent="0.3">
      <c r="A7367">
        <v>44.875728607177699</v>
      </c>
      <c r="B7367">
        <v>-98.517570495605497</v>
      </c>
      <c r="C7367" t="s">
        <v>43</v>
      </c>
      <c r="D7367" t="s">
        <v>4403</v>
      </c>
      <c r="F7367" s="21"/>
      <c r="G7367" s="16" t="str">
        <f>HYPERLINK("http://maps.google.com/maps?f=q&amp;hl=en&amp;geocode=&amp;q=44.8757286071777,-98.5175704956055")</f>
        <v>http://maps.google.com/maps?f=q&amp;hl=en&amp;geocode=&amp;q=44.8757286071777,-98.5175704956055</v>
      </c>
    </row>
    <row r="7368" spans="1:7" ht="15" x14ac:dyDescent="0.3">
      <c r="A7368">
        <v>37.016419999999997</v>
      </c>
      <c r="B7368">
        <v>-97.041730000000001</v>
      </c>
      <c r="C7368" t="s">
        <v>42</v>
      </c>
      <c r="D7368" t="s">
        <v>717</v>
      </c>
      <c r="F7368" s="21"/>
      <c r="G7368" s="16" t="str">
        <f>HYPERLINK("http://maps.google.com/maps?f=q&amp;hl=en&amp;geocode=&amp;q=37.01642,-97.04173")</f>
        <v>http://maps.google.com/maps?f=q&amp;hl=en&amp;geocode=&amp;q=37.01642,-97.04173</v>
      </c>
    </row>
    <row r="7369" spans="1:7" ht="15" x14ac:dyDescent="0.3">
      <c r="A7369">
        <v>37.016419999999997</v>
      </c>
      <c r="B7369">
        <v>-97.041730000000001</v>
      </c>
      <c r="C7369" t="s">
        <v>42</v>
      </c>
      <c r="D7369" t="s">
        <v>717</v>
      </c>
      <c r="F7369" s="21"/>
      <c r="G7369" s="16" t="str">
        <f>HYPERLINK("http://maps.google.com/maps?f=q&amp;hl=en&amp;geocode=&amp;q=37.01642,-97.04173")</f>
        <v>http://maps.google.com/maps?f=q&amp;hl=en&amp;geocode=&amp;q=37.01642,-97.04173</v>
      </c>
    </row>
    <row r="7370" spans="1:7" ht="15" x14ac:dyDescent="0.3">
      <c r="A7370">
        <v>38.863590000000002</v>
      </c>
      <c r="B7370">
        <v>-90.079520000000002</v>
      </c>
      <c r="C7370" t="s">
        <v>43</v>
      </c>
      <c r="D7370" t="s">
        <v>4404</v>
      </c>
      <c r="F7370" s="21"/>
      <c r="G7370" s="16" t="str">
        <f>HYPERLINK("http://maps.google.com/maps?f=q&amp;hl=en&amp;geocode=&amp;q=38.86359,-90.07952")</f>
        <v>http://maps.google.com/maps?f=q&amp;hl=en&amp;geocode=&amp;q=38.86359,-90.07952</v>
      </c>
    </row>
    <row r="7371" spans="1:7" ht="15" x14ac:dyDescent="0.3">
      <c r="A7371">
        <v>38.966499917240498</v>
      </c>
      <c r="B7371">
        <v>-77.082193787372006</v>
      </c>
      <c r="C7371" t="s">
        <v>43</v>
      </c>
      <c r="D7371" t="s">
        <v>2637</v>
      </c>
      <c r="F7371" s="21"/>
      <c r="G7371" s="16" t="str">
        <f>HYPERLINK("http://maps.google.com/maps?f=q&amp;hl=en&amp;geocode=&amp;q=38.9664999172405,-77.082193787372")</f>
        <v>http://maps.google.com/maps?f=q&amp;hl=en&amp;geocode=&amp;q=38.9664999172405,-77.082193787372</v>
      </c>
    </row>
    <row r="7372" spans="1:7" ht="15" x14ac:dyDescent="0.3">
      <c r="A7372">
        <v>49.613365173339801</v>
      </c>
      <c r="B7372">
        <v>6.1064939498901403</v>
      </c>
      <c r="C7372" t="s">
        <v>41</v>
      </c>
      <c r="D7372" t="s">
        <v>4405</v>
      </c>
      <c r="F7372" s="21"/>
      <c r="G7372" s="16" t="str">
        <f>HYPERLINK("http://maps.google.com/maps?f=q&amp;hl=en&amp;geocode=&amp;q=49.6133651733398,6.10649394989014")</f>
        <v>http://maps.google.com/maps?f=q&amp;hl=en&amp;geocode=&amp;q=49.6133651733398,6.10649394989014</v>
      </c>
    </row>
    <row r="7373" spans="1:7" ht="15" x14ac:dyDescent="0.3">
      <c r="A7373">
        <v>49.611251831054702</v>
      </c>
      <c r="B7373">
        <v>6.1292181015014604</v>
      </c>
      <c r="C7373" t="s">
        <v>43</v>
      </c>
      <c r="D7373" t="s">
        <v>4406</v>
      </c>
      <c r="F7373" s="21"/>
      <c r="G7373" s="16" t="str">
        <f>HYPERLINK("http://maps.google.com/maps?f=q&amp;hl=en&amp;geocode=&amp;q=49.6112518310547,6.12921810150146")</f>
        <v>http://maps.google.com/maps?f=q&amp;hl=en&amp;geocode=&amp;q=49.6112518310547,6.12921810150146</v>
      </c>
    </row>
    <row r="7374" spans="1:7" ht="15" x14ac:dyDescent="0.3">
      <c r="A7374">
        <v>48.225749969482401</v>
      </c>
      <c r="B7374">
        <v>16.230792999267599</v>
      </c>
      <c r="C7374" t="s">
        <v>43</v>
      </c>
      <c r="D7374" t="s">
        <v>4407</v>
      </c>
      <c r="F7374" s="21"/>
      <c r="G7374" s="16" t="str">
        <f>HYPERLINK("http://maps.google.com/maps?f=q&amp;hl=en&amp;geocode=&amp;q=48.2257499694824,16.2307929992676")</f>
        <v>http://maps.google.com/maps?f=q&amp;hl=en&amp;geocode=&amp;q=48.2257499694824,16.2307929992676</v>
      </c>
    </row>
    <row r="7375" spans="1:7" ht="15" x14ac:dyDescent="0.3">
      <c r="A7375">
        <v>52.487190246582003</v>
      </c>
      <c r="B7375">
        <v>0.679989993572235</v>
      </c>
      <c r="C7375" t="s">
        <v>41</v>
      </c>
      <c r="D7375" t="s">
        <v>4408</v>
      </c>
      <c r="F7375" s="21"/>
      <c r="G7375" s="16" t="str">
        <f>HYPERLINK("http://maps.google.com/maps?f=q&amp;hl=en&amp;geocode=&amp;q=52.487190246582,0.679989993572235")</f>
        <v>http://maps.google.com/maps?f=q&amp;hl=en&amp;geocode=&amp;q=52.487190246582,0.679989993572235</v>
      </c>
    </row>
    <row r="7376" spans="1:7" ht="15" x14ac:dyDescent="0.3">
      <c r="A7376">
        <v>40.248990510834197</v>
      </c>
      <c r="B7376">
        <v>-99.622868115104595</v>
      </c>
      <c r="C7376" t="s">
        <v>41</v>
      </c>
      <c r="D7376" t="s">
        <v>4409</v>
      </c>
      <c r="F7376" s="21"/>
      <c r="G7376" s="16" t="str">
        <f>HYPERLINK("http://maps.google.com/maps?f=q&amp;hl=en&amp;geocode=&amp;q=40.2489905108342,-99.6228681151046")</f>
        <v>http://maps.google.com/maps?f=q&amp;hl=en&amp;geocode=&amp;q=40.2489905108342,-99.6228681151046</v>
      </c>
    </row>
    <row r="7377" spans="1:7" ht="15" x14ac:dyDescent="0.3">
      <c r="A7377">
        <v>-36.718856811523402</v>
      </c>
      <c r="B7377">
        <v>142.19622802734401</v>
      </c>
      <c r="C7377" t="s">
        <v>43</v>
      </c>
      <c r="D7377" t="s">
        <v>508</v>
      </c>
      <c r="F7377" s="21"/>
      <c r="G7377" s="16" t="str">
        <f>HYPERLINK("http://maps.google.com/maps?f=q&amp;hl=en&amp;geocode=&amp;q=-36.7188568115234,142.196228027344")</f>
        <v>http://maps.google.com/maps?f=q&amp;hl=en&amp;geocode=&amp;q=-36.7188568115234,142.196228027344</v>
      </c>
    </row>
    <row r="7378" spans="1:7" ht="15" x14ac:dyDescent="0.3">
      <c r="A7378">
        <v>43.228266719486598</v>
      </c>
      <c r="B7378">
        <v>-92.774121032359801</v>
      </c>
      <c r="C7378" t="s">
        <v>41</v>
      </c>
      <c r="D7378" t="s">
        <v>4410</v>
      </c>
      <c r="F7378" s="21"/>
      <c r="G7378" s="16" t="str">
        <f>HYPERLINK("http://maps.google.com/maps?f=q&amp;hl=en&amp;geocode=&amp;q=43.2282667194866,-92.7741210323598")</f>
        <v>http://maps.google.com/maps?f=q&amp;hl=en&amp;geocode=&amp;q=43.2282667194866,-92.7741210323598</v>
      </c>
    </row>
    <row r="7379" spans="1:7" ht="15" x14ac:dyDescent="0.3">
      <c r="A7379">
        <v>-32.032330000000002</v>
      </c>
      <c r="B7379">
        <v>115.98894</v>
      </c>
      <c r="C7379" t="s">
        <v>41</v>
      </c>
      <c r="D7379" t="s">
        <v>4411</v>
      </c>
      <c r="F7379" s="21"/>
      <c r="G7379" s="16" t="str">
        <f>HYPERLINK("http://maps.google.com/maps?f=q&amp;hl=en&amp;geocode=&amp;q=-32.03233,115.98894")</f>
        <v>http://maps.google.com/maps?f=q&amp;hl=en&amp;geocode=&amp;q=-32.03233,115.98894</v>
      </c>
    </row>
    <row r="7380" spans="1:7" ht="15" x14ac:dyDescent="0.3">
      <c r="A7380">
        <v>34.249409999999997</v>
      </c>
      <c r="B7380">
        <v>-111.31628000000001</v>
      </c>
      <c r="C7380" t="s">
        <v>41</v>
      </c>
      <c r="D7380" t="s">
        <v>4060</v>
      </c>
      <c r="F7380" s="21"/>
      <c r="G7380" s="16" t="str">
        <f>HYPERLINK("http://maps.google.com/maps?f=q&amp;hl=en&amp;geocode=&amp;q=34.24941,-111.31628")</f>
        <v>http://maps.google.com/maps?f=q&amp;hl=en&amp;geocode=&amp;q=34.24941,-111.31628</v>
      </c>
    </row>
    <row r="7381" spans="1:7" ht="15" x14ac:dyDescent="0.3">
      <c r="A7381">
        <v>40.822002758705601</v>
      </c>
      <c r="B7381">
        <v>-73.495125317422094</v>
      </c>
      <c r="C7381" t="s">
        <v>43</v>
      </c>
      <c r="D7381" t="s">
        <v>4412</v>
      </c>
      <c r="F7381" s="21"/>
      <c r="G7381" s="16" t="str">
        <f>HYPERLINK("http://maps.google.com/maps?f=q&amp;hl=en&amp;geocode=&amp;q=40.8220027587056,-73.4951253174221")</f>
        <v>http://maps.google.com/maps?f=q&amp;hl=en&amp;geocode=&amp;q=40.8220027587056,-73.4951253174221</v>
      </c>
    </row>
    <row r="7382" spans="1:7" ht="15" x14ac:dyDescent="0.3">
      <c r="A7382">
        <v>-26.690557479858398</v>
      </c>
      <c r="B7382">
        <v>27.839422225952099</v>
      </c>
      <c r="C7382" t="s">
        <v>43</v>
      </c>
      <c r="D7382" t="s">
        <v>4413</v>
      </c>
      <c r="F7382" s="21"/>
      <c r="G7382" s="16" t="str">
        <f>HYPERLINK("http://maps.google.com/maps?f=q&amp;hl=en&amp;geocode=&amp;q=-26.6905574798584,27.8394222259521")</f>
        <v>http://maps.google.com/maps?f=q&amp;hl=en&amp;geocode=&amp;q=-26.6905574798584,27.8394222259521</v>
      </c>
    </row>
    <row r="7383" spans="1:7" ht="15" x14ac:dyDescent="0.3">
      <c r="A7383">
        <v>29.692519437645899</v>
      </c>
      <c r="B7383">
        <v>-95.353246797063704</v>
      </c>
      <c r="C7383" t="s">
        <v>41</v>
      </c>
      <c r="D7383" t="s">
        <v>4414</v>
      </c>
      <c r="F7383" s="21"/>
      <c r="G7383" s="16" t="str">
        <f>HYPERLINK("http://maps.google.com/maps?f=q&amp;hl=en&amp;geocode=&amp;q=29.6925194376459,-95.3532467970637")</f>
        <v>http://maps.google.com/maps?f=q&amp;hl=en&amp;geocode=&amp;q=29.6925194376459,-95.3532467970637</v>
      </c>
    </row>
    <row r="7384" spans="1:7" ht="15" x14ac:dyDescent="0.3">
      <c r="A7384">
        <v>39.964371566034998</v>
      </c>
      <c r="B7384">
        <v>-76.71444356744</v>
      </c>
      <c r="C7384" t="s">
        <v>41</v>
      </c>
      <c r="D7384" t="s">
        <v>4415</v>
      </c>
      <c r="F7384" s="21"/>
      <c r="G7384" s="16" t="str">
        <f>HYPERLINK("http://maps.google.com/maps?f=q&amp;hl=en&amp;geocode=&amp;q=39.964371566035,-76.71444356744")</f>
        <v>http://maps.google.com/maps?f=q&amp;hl=en&amp;geocode=&amp;q=39.964371566035,-76.71444356744</v>
      </c>
    </row>
    <row r="7385" spans="1:7" ht="15" x14ac:dyDescent="0.3">
      <c r="A7385">
        <v>39.1331766702043</v>
      </c>
      <c r="B7385">
        <v>-86.152760517556004</v>
      </c>
      <c r="C7385" t="s">
        <v>41</v>
      </c>
      <c r="D7385" t="s">
        <v>173</v>
      </c>
      <c r="F7385" s="21"/>
      <c r="G7385" s="16" t="str">
        <f>HYPERLINK("http://maps.google.com/maps?f=q&amp;hl=en&amp;geocode=&amp;q=39.1331766702043,-86.152760517556")</f>
        <v>http://maps.google.com/maps?f=q&amp;hl=en&amp;geocode=&amp;q=39.1331766702043,-86.152760517556</v>
      </c>
    </row>
    <row r="7386" spans="1:7" ht="15" x14ac:dyDescent="0.3">
      <c r="A7386">
        <v>39.745369956936102</v>
      </c>
      <c r="B7386">
        <v>-84.637328641982805</v>
      </c>
      <c r="C7386" t="s">
        <v>41</v>
      </c>
      <c r="D7386" t="s">
        <v>1282</v>
      </c>
      <c r="F7386" s="21"/>
      <c r="G7386" s="16" t="str">
        <f>HYPERLINK("http://maps.google.com/maps?f=q&amp;hl=en&amp;geocode=&amp;q=39.7453699569361,-84.6373286419828")</f>
        <v>http://maps.google.com/maps?f=q&amp;hl=en&amp;geocode=&amp;q=39.7453699569361,-84.6373286419828</v>
      </c>
    </row>
    <row r="7387" spans="1:7" ht="15" x14ac:dyDescent="0.3">
      <c r="A7387">
        <v>40.743331357612803</v>
      </c>
      <c r="B7387">
        <v>-111.83393064589499</v>
      </c>
      <c r="C7387" t="s">
        <v>41</v>
      </c>
      <c r="D7387" t="s">
        <v>3470</v>
      </c>
      <c r="F7387" s="21"/>
      <c r="G7387" s="16" t="str">
        <f>HYPERLINK("http://maps.google.com/maps?f=q&amp;hl=en&amp;geocode=&amp;q=40.7433313576128,-111.833930645895")</f>
        <v>http://maps.google.com/maps?f=q&amp;hl=en&amp;geocode=&amp;q=40.7433313576128,-111.833930645895</v>
      </c>
    </row>
    <row r="7388" spans="1:7" ht="15" x14ac:dyDescent="0.3">
      <c r="A7388">
        <v>38.666782616744101</v>
      </c>
      <c r="B7388">
        <v>-85.549818898985095</v>
      </c>
      <c r="C7388" t="s">
        <v>41</v>
      </c>
      <c r="D7388" t="s">
        <v>4416</v>
      </c>
      <c r="F7388" s="21"/>
      <c r="G7388" s="16" t="str">
        <f>HYPERLINK("http://maps.google.com/maps?f=q&amp;hl=en&amp;geocode=&amp;q=38.6667826167441,-85.5498188989851")</f>
        <v>http://maps.google.com/maps?f=q&amp;hl=en&amp;geocode=&amp;q=38.6667826167441,-85.5498188989851</v>
      </c>
    </row>
    <row r="7389" spans="1:7" ht="15" x14ac:dyDescent="0.3">
      <c r="A7389">
        <v>42.914322620122498</v>
      </c>
      <c r="B7389">
        <v>-87.977065642496896</v>
      </c>
      <c r="C7389" t="s">
        <v>41</v>
      </c>
      <c r="D7389" t="s">
        <v>4417</v>
      </c>
      <c r="F7389" s="21"/>
      <c r="G7389" s="16" t="str">
        <f>HYPERLINK("http://maps.google.com/maps?f=q&amp;hl=en&amp;geocode=&amp;q=42.9143226201225,-87.9770656424969")</f>
        <v>http://maps.google.com/maps?f=q&amp;hl=en&amp;geocode=&amp;q=42.9143226201225,-87.9770656424969</v>
      </c>
    </row>
    <row r="7390" spans="1:7" ht="15" x14ac:dyDescent="0.3">
      <c r="A7390">
        <v>40.056907534953297</v>
      </c>
      <c r="B7390">
        <v>-75.160530073061494</v>
      </c>
      <c r="C7390" t="s">
        <v>41</v>
      </c>
      <c r="D7390" t="s">
        <v>4418</v>
      </c>
      <c r="F7390" s="21"/>
      <c r="G7390" s="16" t="str">
        <f>HYPERLINK("http://maps.google.com/maps?f=q&amp;hl=en&amp;geocode=&amp;q=40.0569075349533,-75.1605300730615")</f>
        <v>http://maps.google.com/maps?f=q&amp;hl=en&amp;geocode=&amp;q=40.0569075349533,-75.1605300730615</v>
      </c>
    </row>
    <row r="7391" spans="1:7" ht="15" x14ac:dyDescent="0.3">
      <c r="A7391">
        <v>41.591900303487002</v>
      </c>
      <c r="B7391">
        <v>-93.594359647043504</v>
      </c>
      <c r="C7391" t="s">
        <v>41</v>
      </c>
      <c r="D7391" t="s">
        <v>4419</v>
      </c>
      <c r="F7391" s="21"/>
      <c r="G7391" s="16" t="str">
        <f>HYPERLINK("http://maps.google.com/maps?f=q&amp;hl=en&amp;geocode=&amp;q=41.591900303487,-93.5943596470435")</f>
        <v>http://maps.google.com/maps?f=q&amp;hl=en&amp;geocode=&amp;q=41.591900303487,-93.5943596470435</v>
      </c>
    </row>
    <row r="7392" spans="1:7" ht="15" x14ac:dyDescent="0.3">
      <c r="A7392">
        <v>42.545396555218097</v>
      </c>
      <c r="B7392">
        <v>-77.222168710793497</v>
      </c>
      <c r="C7392" t="s">
        <v>41</v>
      </c>
      <c r="D7392" t="s">
        <v>4420</v>
      </c>
      <c r="F7392" s="21"/>
      <c r="G7392" s="16" t="str">
        <f>HYPERLINK("http://maps.google.com/maps?f=q&amp;hl=en&amp;geocode=&amp;q=42.5453965552181,-77.2221687107935")</f>
        <v>http://maps.google.com/maps?f=q&amp;hl=en&amp;geocode=&amp;q=42.5453965552181,-77.2221687107935</v>
      </c>
    </row>
    <row r="7393" spans="1:7" ht="15" x14ac:dyDescent="0.3">
      <c r="A7393">
        <v>36.067732427247897</v>
      </c>
      <c r="B7393">
        <v>-79.397036006356103</v>
      </c>
      <c r="C7393" t="s">
        <v>41</v>
      </c>
      <c r="D7393" t="s">
        <v>1857</v>
      </c>
      <c r="F7393" s="21"/>
      <c r="G7393" s="16" t="str">
        <f>HYPERLINK("http://maps.google.com/maps?f=q&amp;hl=en&amp;geocode=&amp;q=36.0677324272479,-79.3970360063561")</f>
        <v>http://maps.google.com/maps?f=q&amp;hl=en&amp;geocode=&amp;q=36.0677324272479,-79.3970360063561</v>
      </c>
    </row>
    <row r="7394" spans="1:7" ht="15" x14ac:dyDescent="0.3">
      <c r="A7394">
        <v>37.519280000000002</v>
      </c>
      <c r="B7394">
        <v>-77.451049999999995</v>
      </c>
      <c r="C7394" t="s">
        <v>43</v>
      </c>
      <c r="D7394" t="s">
        <v>4421</v>
      </c>
      <c r="F7394" s="21"/>
      <c r="G7394" s="16" t="str">
        <f>HYPERLINK("http://maps.google.com/maps?f=q&amp;hl=en&amp;geocode=&amp;q=37.51928,-77.45105")</f>
        <v>http://maps.google.com/maps?f=q&amp;hl=en&amp;geocode=&amp;q=37.51928,-77.45105</v>
      </c>
    </row>
    <row r="7395" spans="1:7" ht="15" x14ac:dyDescent="0.3">
      <c r="A7395">
        <v>43.210891723632798</v>
      </c>
      <c r="B7395">
        <v>-123.343231201172</v>
      </c>
      <c r="C7395" t="s">
        <v>43</v>
      </c>
      <c r="D7395" t="s">
        <v>4422</v>
      </c>
      <c r="F7395" s="21"/>
      <c r="G7395" s="16" t="str">
        <f>HYPERLINK("http://maps.google.com/maps?f=q&amp;hl=en&amp;geocode=&amp;q=43.2108917236328,-123.343231201172")</f>
        <v>http://maps.google.com/maps?f=q&amp;hl=en&amp;geocode=&amp;q=43.2108917236328,-123.343231201172</v>
      </c>
    </row>
    <row r="7396" spans="1:7" ht="15" x14ac:dyDescent="0.3">
      <c r="A7396">
        <v>46.782958984375</v>
      </c>
      <c r="B7396">
        <v>7.0637497901916504</v>
      </c>
      <c r="C7396" t="s">
        <v>41</v>
      </c>
      <c r="D7396" t="s">
        <v>3847</v>
      </c>
      <c r="F7396" s="21"/>
      <c r="G7396" s="16" t="str">
        <f>HYPERLINK("http://maps.google.com/maps?f=q&amp;hl=en&amp;geocode=&amp;q=46.782958984375,7.06374979019165")</f>
        <v>http://maps.google.com/maps?f=q&amp;hl=en&amp;geocode=&amp;q=46.782958984375,7.06374979019165</v>
      </c>
    </row>
    <row r="7397" spans="1:7" ht="15" x14ac:dyDescent="0.3">
      <c r="A7397">
        <v>-33.912281036377003</v>
      </c>
      <c r="B7397">
        <v>151.20166015625</v>
      </c>
      <c r="C7397" t="s">
        <v>41</v>
      </c>
      <c r="D7397" t="s">
        <v>4423</v>
      </c>
      <c r="F7397" s="21"/>
      <c r="G7397" s="16" t="str">
        <f>HYPERLINK("http://maps.google.com/maps?f=q&amp;hl=en&amp;geocode=&amp;q=-33.912281036377,151.20166015625")</f>
        <v>http://maps.google.com/maps?f=q&amp;hl=en&amp;geocode=&amp;q=-33.912281036377,151.20166015625</v>
      </c>
    </row>
    <row r="7398" spans="1:7" ht="15" x14ac:dyDescent="0.3">
      <c r="A7398">
        <v>-33.912281036377003</v>
      </c>
      <c r="B7398">
        <v>151.20166015625</v>
      </c>
      <c r="C7398" t="s">
        <v>41</v>
      </c>
      <c r="D7398" t="s">
        <v>4424</v>
      </c>
      <c r="F7398" s="21"/>
      <c r="G7398" s="16" t="str">
        <f>HYPERLINK("http://maps.google.com/maps?f=q&amp;hl=en&amp;geocode=&amp;q=-33.912281036377,151.20166015625")</f>
        <v>http://maps.google.com/maps?f=q&amp;hl=en&amp;geocode=&amp;q=-33.912281036377,151.20166015625</v>
      </c>
    </row>
    <row r="7399" spans="1:7" ht="15" x14ac:dyDescent="0.3">
      <c r="A7399">
        <v>39.92353</v>
      </c>
      <c r="B7399">
        <v>-75.176450000000003</v>
      </c>
      <c r="C7399" t="s">
        <v>43</v>
      </c>
      <c r="D7399" t="s">
        <v>4425</v>
      </c>
      <c r="F7399" s="21"/>
      <c r="G7399" s="16" t="str">
        <f>HYPERLINK("http://maps.google.com/maps?f=q&amp;hl=en&amp;geocode=&amp;q=39.92353,-75.17645")</f>
        <v>http://maps.google.com/maps?f=q&amp;hl=en&amp;geocode=&amp;q=39.92353,-75.17645</v>
      </c>
    </row>
    <row r="7400" spans="1:7" ht="15" x14ac:dyDescent="0.3">
      <c r="A7400">
        <v>39.997798919677699</v>
      </c>
      <c r="B7400">
        <v>-75.136756896972699</v>
      </c>
      <c r="C7400" t="s">
        <v>41</v>
      </c>
      <c r="D7400" t="s">
        <v>4426</v>
      </c>
      <c r="F7400" s="21"/>
      <c r="G7400" s="16" t="str">
        <f>HYPERLINK("http://maps.google.com/maps?f=q&amp;hl=en&amp;geocode=&amp;q=39.9977989196777,-75.1367568969727")</f>
        <v>http://maps.google.com/maps?f=q&amp;hl=en&amp;geocode=&amp;q=39.9977989196777,-75.1367568969727</v>
      </c>
    </row>
    <row r="7401" spans="1:7" ht="15" x14ac:dyDescent="0.3">
      <c r="A7401">
        <v>35.260855036395697</v>
      </c>
      <c r="B7401">
        <v>-114.01168796303701</v>
      </c>
      <c r="C7401" t="s">
        <v>41</v>
      </c>
      <c r="D7401" t="s">
        <v>1791</v>
      </c>
      <c r="F7401" s="21"/>
      <c r="G7401" s="16" t="str">
        <f>HYPERLINK("http://maps.google.com/maps?f=q&amp;hl=en&amp;geocode=&amp;q=35.2608550363957,-114.011687963037")</f>
        <v>http://maps.google.com/maps?f=q&amp;hl=en&amp;geocode=&amp;q=35.2608550363957,-114.011687963037</v>
      </c>
    </row>
    <row r="7402" spans="1:7" ht="15" x14ac:dyDescent="0.3">
      <c r="A7402">
        <v>41.411827087402301</v>
      </c>
      <c r="B7402">
        <v>-81.834869384765597</v>
      </c>
      <c r="C7402" t="s">
        <v>43</v>
      </c>
      <c r="D7402" t="s">
        <v>2781</v>
      </c>
      <c r="F7402" s="21"/>
      <c r="G7402" s="16" t="str">
        <f>HYPERLINK("http://maps.google.com/maps?f=q&amp;hl=en&amp;geocode=&amp;q=41.4118270874023,-81.8348693847656")</f>
        <v>http://maps.google.com/maps?f=q&amp;hl=en&amp;geocode=&amp;q=41.4118270874023,-81.8348693847656</v>
      </c>
    </row>
    <row r="7403" spans="1:7" ht="15" x14ac:dyDescent="0.3">
      <c r="A7403">
        <v>39.588369999999998</v>
      </c>
      <c r="B7403">
        <v>-86.103340000000003</v>
      </c>
      <c r="C7403" t="s">
        <v>42</v>
      </c>
      <c r="D7403" t="s">
        <v>4427</v>
      </c>
      <c r="F7403" s="21"/>
      <c r="G7403" s="16" t="str">
        <f>HYPERLINK("http://maps.google.com/maps?f=q&amp;hl=en&amp;geocode=&amp;q=39.58837,-86.10334")</f>
        <v>http://maps.google.com/maps?f=q&amp;hl=en&amp;geocode=&amp;q=39.58837,-86.10334</v>
      </c>
    </row>
    <row r="7404" spans="1:7" ht="15" x14ac:dyDescent="0.3">
      <c r="A7404">
        <v>55.444797515869098</v>
      </c>
      <c r="B7404">
        <v>12.1309967041016</v>
      </c>
      <c r="C7404" t="s">
        <v>41</v>
      </c>
      <c r="D7404" t="s">
        <v>1818</v>
      </c>
      <c r="F7404" s="21"/>
      <c r="G7404" s="16" t="str">
        <f>HYPERLINK("http://maps.google.com/maps?f=q&amp;hl=en&amp;geocode=&amp;q=55.4447975158691,12.1309967041016")</f>
        <v>http://maps.google.com/maps?f=q&amp;hl=en&amp;geocode=&amp;q=55.4447975158691,12.1309967041016</v>
      </c>
    </row>
    <row r="7405" spans="1:7" ht="15" x14ac:dyDescent="0.3">
      <c r="A7405">
        <v>45.422190000000001</v>
      </c>
      <c r="B7405">
        <v>-75.465739999999997</v>
      </c>
      <c r="C7405" t="s">
        <v>41</v>
      </c>
      <c r="D7405" t="s">
        <v>4428</v>
      </c>
      <c r="F7405" s="21"/>
      <c r="G7405" s="16" t="str">
        <f>HYPERLINK("http://maps.google.com/maps?f=q&amp;hl=en&amp;geocode=&amp;q=45.42219,-75.46574")</f>
        <v>http://maps.google.com/maps?f=q&amp;hl=en&amp;geocode=&amp;q=45.42219,-75.46574</v>
      </c>
    </row>
    <row r="7406" spans="1:7" ht="15" x14ac:dyDescent="0.3">
      <c r="A7406">
        <v>40.280343137265596</v>
      </c>
      <c r="B7406">
        <v>-111.639331025869</v>
      </c>
      <c r="C7406" t="s">
        <v>41</v>
      </c>
      <c r="D7406" t="s">
        <v>2085</v>
      </c>
      <c r="F7406" s="21"/>
      <c r="G7406" s="16" t="str">
        <f>HYPERLINK("http://maps.google.com/maps?f=q&amp;hl=en&amp;geocode=&amp;q=40.2803431372656,-111.639331025869")</f>
        <v>http://maps.google.com/maps?f=q&amp;hl=en&amp;geocode=&amp;q=40.2803431372656,-111.639331025869</v>
      </c>
    </row>
    <row r="7407" spans="1:7" ht="15" x14ac:dyDescent="0.3">
      <c r="A7407">
        <v>38.766411589082097</v>
      </c>
      <c r="B7407">
        <v>-90.591846957956406</v>
      </c>
      <c r="C7407" t="s">
        <v>43</v>
      </c>
      <c r="D7407" t="s">
        <v>401</v>
      </c>
      <c r="F7407" s="21"/>
      <c r="G7407" s="16" t="str">
        <f>HYPERLINK("http://maps.google.com/maps?f=q&amp;hl=en&amp;geocode=&amp;q=38.7664115890821,-90.5918469579564")</f>
        <v>http://maps.google.com/maps?f=q&amp;hl=en&amp;geocode=&amp;q=38.7664115890821,-90.5918469579564</v>
      </c>
    </row>
    <row r="7408" spans="1:7" ht="15" x14ac:dyDescent="0.3">
      <c r="A7408">
        <v>40.0241115996497</v>
      </c>
      <c r="B7408">
        <v>-75.046516532316701</v>
      </c>
      <c r="C7408" t="s">
        <v>43</v>
      </c>
      <c r="D7408" t="s">
        <v>4429</v>
      </c>
      <c r="F7408" s="21"/>
      <c r="G7408" s="16" t="str">
        <f>HYPERLINK("http://maps.google.com/maps?f=q&amp;hl=en&amp;geocode=&amp;q=40.0241115996497,-75.0465165323167")</f>
        <v>http://maps.google.com/maps?f=q&amp;hl=en&amp;geocode=&amp;q=40.0241115996497,-75.0465165323167</v>
      </c>
    </row>
    <row r="7409" spans="1:7" ht="15" x14ac:dyDescent="0.3">
      <c r="A7409">
        <v>40.0241115996497</v>
      </c>
      <c r="B7409">
        <v>-75.046516532316701</v>
      </c>
      <c r="C7409" t="s">
        <v>43</v>
      </c>
      <c r="D7409" t="s">
        <v>4429</v>
      </c>
      <c r="F7409" s="21"/>
      <c r="G7409" s="16" t="str">
        <f>HYPERLINK("http://maps.google.com/maps?f=q&amp;hl=en&amp;geocode=&amp;q=40.0241115996497,-75.0465165323167")</f>
        <v>http://maps.google.com/maps?f=q&amp;hl=en&amp;geocode=&amp;q=40.0241115996497,-75.0465165323167</v>
      </c>
    </row>
    <row r="7410" spans="1:7" ht="15" x14ac:dyDescent="0.3">
      <c r="A7410">
        <v>46.408790588378899</v>
      </c>
      <c r="B7410">
        <v>12.017880439758301</v>
      </c>
      <c r="C7410" t="s">
        <v>41</v>
      </c>
      <c r="D7410" t="s">
        <v>4430</v>
      </c>
      <c r="F7410" s="21"/>
      <c r="G7410" s="16" t="str">
        <f>HYPERLINK("http://maps.google.com/maps?f=q&amp;hl=en&amp;geocode=&amp;q=46.4087905883789,12.0178804397583")</f>
        <v>http://maps.google.com/maps?f=q&amp;hl=en&amp;geocode=&amp;q=46.4087905883789,12.0178804397583</v>
      </c>
    </row>
    <row r="7411" spans="1:7" ht="15" x14ac:dyDescent="0.3">
      <c r="A7411">
        <v>40.0241115996497</v>
      </c>
      <c r="B7411">
        <v>-75.046516532316701</v>
      </c>
      <c r="C7411" t="s">
        <v>43</v>
      </c>
      <c r="D7411" t="s">
        <v>4429</v>
      </c>
      <c r="F7411" s="21"/>
      <c r="G7411" s="16" t="str">
        <f>HYPERLINK("http://maps.google.com/maps?f=q&amp;hl=en&amp;geocode=&amp;q=40.0241115996497,-75.0465165323167")</f>
        <v>http://maps.google.com/maps?f=q&amp;hl=en&amp;geocode=&amp;q=40.0241115996497,-75.0465165323167</v>
      </c>
    </row>
    <row r="7412" spans="1:7" ht="15" x14ac:dyDescent="0.3">
      <c r="A7412">
        <v>40.0241115996497</v>
      </c>
      <c r="B7412">
        <v>-75.046516532316701</v>
      </c>
      <c r="C7412" t="s">
        <v>43</v>
      </c>
      <c r="D7412" t="s">
        <v>4429</v>
      </c>
      <c r="F7412" s="21"/>
      <c r="G7412" s="16" t="str">
        <f>HYPERLINK("http://maps.google.com/maps?f=q&amp;hl=en&amp;geocode=&amp;q=40.0241115996497,-75.0465165323167")</f>
        <v>http://maps.google.com/maps?f=q&amp;hl=en&amp;geocode=&amp;q=40.0241115996497,-75.0465165323167</v>
      </c>
    </row>
    <row r="7413" spans="1:7" ht="15" x14ac:dyDescent="0.3">
      <c r="A7413">
        <v>35.644151533729001</v>
      </c>
      <c r="B7413">
        <v>-101.451423614281</v>
      </c>
      <c r="C7413" t="s">
        <v>41</v>
      </c>
      <c r="D7413" t="s">
        <v>3461</v>
      </c>
      <c r="F7413" s="21"/>
      <c r="G7413" s="16" t="str">
        <f>HYPERLINK("http://maps.google.com/maps?f=q&amp;hl=en&amp;geocode=&amp;q=35.644151533729,-101.451423614281")</f>
        <v>http://maps.google.com/maps?f=q&amp;hl=en&amp;geocode=&amp;q=35.644151533729,-101.451423614281</v>
      </c>
    </row>
    <row r="7414" spans="1:7" ht="15" x14ac:dyDescent="0.3">
      <c r="A7414">
        <v>34.990092295857998</v>
      </c>
      <c r="B7414">
        <v>-114.58308272709399</v>
      </c>
      <c r="C7414" t="s">
        <v>41</v>
      </c>
      <c r="D7414" t="s">
        <v>4431</v>
      </c>
      <c r="F7414" s="21"/>
      <c r="G7414" s="16" t="str">
        <f>HYPERLINK("http://maps.google.com/maps?f=q&amp;hl=en&amp;geocode=&amp;q=34.990092295858,-114.583082727094")</f>
        <v>http://maps.google.com/maps?f=q&amp;hl=en&amp;geocode=&amp;q=34.990092295858,-114.583082727094</v>
      </c>
    </row>
    <row r="7415" spans="1:7" ht="15" x14ac:dyDescent="0.3">
      <c r="A7415">
        <v>38.947154998779297</v>
      </c>
      <c r="B7415">
        <v>-8.9184045791625994</v>
      </c>
      <c r="C7415" t="s">
        <v>41</v>
      </c>
      <c r="D7415" t="s">
        <v>1228</v>
      </c>
      <c r="F7415" s="21"/>
      <c r="G7415" s="16" t="str">
        <f>HYPERLINK("http://maps.google.com/maps?f=q&amp;hl=en&amp;geocode=&amp;q=38.9471549987793,-8.9184045791626")</f>
        <v>http://maps.google.com/maps?f=q&amp;hl=en&amp;geocode=&amp;q=38.9471549987793,-8.9184045791626</v>
      </c>
    </row>
    <row r="7416" spans="1:7" ht="15" x14ac:dyDescent="0.3">
      <c r="A7416">
        <v>42.901659488987498</v>
      </c>
      <c r="B7416">
        <v>-85.798384577020798</v>
      </c>
      <c r="C7416" t="s">
        <v>41</v>
      </c>
      <c r="D7416" t="s">
        <v>982</v>
      </c>
      <c r="F7416" s="21"/>
      <c r="G7416" s="16" t="str">
        <f>HYPERLINK("http://maps.google.com/maps?f=q&amp;hl=en&amp;geocode=&amp;q=42.9016594889875,-85.7983845770208")</f>
        <v>http://maps.google.com/maps?f=q&amp;hl=en&amp;geocode=&amp;q=42.9016594889875,-85.7983845770208</v>
      </c>
    </row>
    <row r="7417" spans="1:7" ht="15" x14ac:dyDescent="0.3">
      <c r="A7417">
        <v>35.192210054878103</v>
      </c>
      <c r="B7417">
        <v>-111.617847944587</v>
      </c>
      <c r="C7417" t="s">
        <v>41</v>
      </c>
      <c r="D7417" t="s">
        <v>4432</v>
      </c>
      <c r="F7417" s="21"/>
      <c r="G7417" s="16" t="str">
        <f>HYPERLINK("http://maps.google.com/maps?f=q&amp;hl=en&amp;geocode=&amp;q=35.1922100548781,-111.617847944587")</f>
        <v>http://maps.google.com/maps?f=q&amp;hl=en&amp;geocode=&amp;q=35.1922100548781,-111.617847944587</v>
      </c>
    </row>
    <row r="7418" spans="1:7" ht="15" x14ac:dyDescent="0.3">
      <c r="A7418">
        <v>39.9180449215484</v>
      </c>
      <c r="B7418">
        <v>-75.233103899088604</v>
      </c>
      <c r="C7418" t="s">
        <v>43</v>
      </c>
      <c r="D7418" t="s">
        <v>792</v>
      </c>
      <c r="F7418" s="21"/>
      <c r="G7418" s="16" t="str">
        <f>HYPERLINK("http://maps.google.com/maps?f=q&amp;hl=en&amp;geocode=&amp;q=39.9180449215484,-75.2331038990886")</f>
        <v>http://maps.google.com/maps?f=q&amp;hl=en&amp;geocode=&amp;q=39.9180449215484,-75.2331038990886</v>
      </c>
    </row>
    <row r="7419" spans="1:7" ht="15" x14ac:dyDescent="0.3">
      <c r="A7419">
        <v>40.040443352264099</v>
      </c>
      <c r="B7419">
        <v>-75.181967878970994</v>
      </c>
      <c r="C7419" t="s">
        <v>41</v>
      </c>
      <c r="D7419" t="s">
        <v>4433</v>
      </c>
      <c r="F7419" s="21"/>
      <c r="G7419" s="16" t="str">
        <f>HYPERLINK("http://maps.google.com/maps?f=q&amp;hl=en&amp;geocode=&amp;q=40.0404433522641,-75.181967878971")</f>
        <v>http://maps.google.com/maps?f=q&amp;hl=en&amp;geocode=&amp;q=40.0404433522641,-75.181967878971</v>
      </c>
    </row>
    <row r="7420" spans="1:7" ht="15" x14ac:dyDescent="0.3">
      <c r="A7420">
        <v>39.920009999999998</v>
      </c>
      <c r="B7420">
        <v>-75.155600000000007</v>
      </c>
      <c r="C7420" t="s">
        <v>41</v>
      </c>
      <c r="D7420" t="s">
        <v>4434</v>
      </c>
      <c r="F7420" s="21"/>
      <c r="G7420" s="16" t="str">
        <f>HYPERLINK("http://maps.google.com/maps?f=q&amp;hl=en&amp;geocode=&amp;q=39.92001,-75.1556")</f>
        <v>http://maps.google.com/maps?f=q&amp;hl=en&amp;geocode=&amp;q=39.92001,-75.1556</v>
      </c>
    </row>
    <row r="7421" spans="1:7" ht="15" x14ac:dyDescent="0.3">
      <c r="A7421" t="s">
        <v>44</v>
      </c>
      <c r="B7421" t="s">
        <v>44</v>
      </c>
      <c r="C7421" t="s">
        <v>44</v>
      </c>
      <c r="D7421" t="s">
        <v>4310</v>
      </c>
      <c r="F7421" s="21"/>
      <c r="G7421" s="16"/>
    </row>
    <row r="7422" spans="1:7" ht="15" x14ac:dyDescent="0.3">
      <c r="A7422">
        <v>39.920479999999998</v>
      </c>
      <c r="B7422">
        <v>-75.226230000000001</v>
      </c>
      <c r="C7422" t="s">
        <v>41</v>
      </c>
      <c r="D7422" t="s">
        <v>4435</v>
      </c>
      <c r="F7422" s="21"/>
      <c r="G7422" s="16" t="str">
        <f>HYPERLINK("http://maps.google.com/maps?f=q&amp;hl=en&amp;geocode=&amp;q=39.92048,-75.22623")</f>
        <v>http://maps.google.com/maps?f=q&amp;hl=en&amp;geocode=&amp;q=39.92048,-75.22623</v>
      </c>
    </row>
    <row r="7423" spans="1:7" ht="15" x14ac:dyDescent="0.3">
      <c r="A7423" t="s">
        <v>44</v>
      </c>
      <c r="B7423" t="s">
        <v>44</v>
      </c>
      <c r="C7423" t="s">
        <v>44</v>
      </c>
      <c r="D7423" t="s">
        <v>4436</v>
      </c>
      <c r="F7423" s="21"/>
      <c r="G7423" s="16"/>
    </row>
    <row r="7424" spans="1:7" ht="15" x14ac:dyDescent="0.3">
      <c r="A7424">
        <v>35.0695128602461</v>
      </c>
      <c r="B7424">
        <v>-89.708801453091496</v>
      </c>
      <c r="C7424" t="s">
        <v>41</v>
      </c>
      <c r="D7424" t="s">
        <v>4437</v>
      </c>
      <c r="F7424" s="21"/>
      <c r="G7424" s="16" t="str">
        <f>HYPERLINK("http://maps.google.com/maps?f=q&amp;hl=en&amp;geocode=&amp;q=35.0695128602461,-89.7088014530915")</f>
        <v>http://maps.google.com/maps?f=q&amp;hl=en&amp;geocode=&amp;q=35.0695128602461,-89.7088014530915</v>
      </c>
    </row>
    <row r="7425" spans="1:7" ht="15" x14ac:dyDescent="0.3">
      <c r="A7425">
        <v>40.008600000000001</v>
      </c>
      <c r="B7425">
        <v>-75.099540000000005</v>
      </c>
      <c r="C7425" t="s">
        <v>41</v>
      </c>
      <c r="D7425" t="s">
        <v>2820</v>
      </c>
      <c r="F7425" s="21"/>
      <c r="G7425" s="16" t="str">
        <f>HYPERLINK("http://maps.google.com/maps?f=q&amp;hl=en&amp;geocode=&amp;q=40.0086,-75.09954")</f>
        <v>http://maps.google.com/maps?f=q&amp;hl=en&amp;geocode=&amp;q=40.0086,-75.09954</v>
      </c>
    </row>
    <row r="7426" spans="1:7" ht="15" x14ac:dyDescent="0.3">
      <c r="A7426">
        <v>40.008600000000001</v>
      </c>
      <c r="B7426">
        <v>-75.099540000000005</v>
      </c>
      <c r="C7426" t="s">
        <v>41</v>
      </c>
      <c r="D7426" t="s">
        <v>2820</v>
      </c>
      <c r="F7426" s="21"/>
      <c r="G7426" s="16" t="str">
        <f>HYPERLINK("http://maps.google.com/maps?f=q&amp;hl=en&amp;geocode=&amp;q=40.0086,-75.09954")</f>
        <v>http://maps.google.com/maps?f=q&amp;hl=en&amp;geocode=&amp;q=40.0086,-75.09954</v>
      </c>
    </row>
    <row r="7427" spans="1:7" ht="15" x14ac:dyDescent="0.3">
      <c r="A7427">
        <v>40.008600000000001</v>
      </c>
      <c r="B7427">
        <v>-75.099540000000005</v>
      </c>
      <c r="C7427" t="s">
        <v>41</v>
      </c>
      <c r="D7427" t="s">
        <v>2820</v>
      </c>
      <c r="F7427" s="21"/>
      <c r="G7427" s="16" t="str">
        <f>HYPERLINK("http://maps.google.com/maps?f=q&amp;hl=en&amp;geocode=&amp;q=40.0086,-75.09954")</f>
        <v>http://maps.google.com/maps?f=q&amp;hl=en&amp;geocode=&amp;q=40.0086,-75.09954</v>
      </c>
    </row>
    <row r="7428" spans="1:7" ht="15" x14ac:dyDescent="0.3">
      <c r="A7428" t="s">
        <v>44</v>
      </c>
      <c r="B7428" t="s">
        <v>44</v>
      </c>
      <c r="C7428" t="s">
        <v>44</v>
      </c>
      <c r="D7428" t="s">
        <v>4438</v>
      </c>
      <c r="F7428" s="21"/>
      <c r="G7428" s="16"/>
    </row>
    <row r="7429" spans="1:7" ht="15" x14ac:dyDescent="0.3">
      <c r="A7429">
        <v>40.008600000000001</v>
      </c>
      <c r="B7429">
        <v>-75.099540000000005</v>
      </c>
      <c r="C7429" t="s">
        <v>41</v>
      </c>
      <c r="D7429" t="s">
        <v>2820</v>
      </c>
      <c r="F7429" s="21"/>
      <c r="G7429" s="16" t="str">
        <f>HYPERLINK("http://maps.google.com/maps?f=q&amp;hl=en&amp;geocode=&amp;q=40.0086,-75.09954")</f>
        <v>http://maps.google.com/maps?f=q&amp;hl=en&amp;geocode=&amp;q=40.0086,-75.09954</v>
      </c>
    </row>
    <row r="7430" spans="1:7" ht="15" x14ac:dyDescent="0.3">
      <c r="A7430">
        <v>40.9438401544217</v>
      </c>
      <c r="B7430">
        <v>-76.512110209090295</v>
      </c>
      <c r="C7430" t="s">
        <v>43</v>
      </c>
      <c r="D7430" t="s">
        <v>4439</v>
      </c>
      <c r="F7430" s="21"/>
      <c r="G7430" s="16" t="str">
        <f>HYPERLINK("http://maps.google.com/maps?f=q&amp;hl=en&amp;geocode=&amp;q=40.9438401544217,-76.5121102090903")</f>
        <v>http://maps.google.com/maps?f=q&amp;hl=en&amp;geocode=&amp;q=40.9438401544217,-76.5121102090903</v>
      </c>
    </row>
    <row r="7431" spans="1:7" ht="15" x14ac:dyDescent="0.3">
      <c r="A7431">
        <v>39.403060000000004</v>
      </c>
      <c r="B7431">
        <v>-83.982119999999995</v>
      </c>
      <c r="C7431" t="s">
        <v>43</v>
      </c>
      <c r="D7431" t="s">
        <v>3129</v>
      </c>
      <c r="F7431" s="21"/>
      <c r="G7431" s="16" t="str">
        <f>HYPERLINK("http://maps.google.com/maps?f=q&amp;hl=en&amp;geocode=&amp;q=39.40306,-83.98212")</f>
        <v>http://maps.google.com/maps?f=q&amp;hl=en&amp;geocode=&amp;q=39.40306,-83.98212</v>
      </c>
    </row>
    <row r="7432" spans="1:7" ht="15" x14ac:dyDescent="0.3">
      <c r="A7432">
        <v>38.732390000000002</v>
      </c>
      <c r="B7432">
        <v>-85.471360000000004</v>
      </c>
      <c r="C7432" t="s">
        <v>42</v>
      </c>
      <c r="D7432" t="s">
        <v>4440</v>
      </c>
      <c r="F7432" s="21"/>
      <c r="G7432" s="16" t="str">
        <f>HYPERLINK("http://maps.google.com/maps?f=q&amp;hl=en&amp;geocode=&amp;q=38.73239,-85.47136")</f>
        <v>http://maps.google.com/maps?f=q&amp;hl=en&amp;geocode=&amp;q=38.73239,-85.47136</v>
      </c>
    </row>
    <row r="7433" spans="1:7" ht="15" x14ac:dyDescent="0.3">
      <c r="A7433">
        <v>40.038051605224602</v>
      </c>
      <c r="B7433">
        <v>-76.301292419433594</v>
      </c>
      <c r="C7433" t="s">
        <v>41</v>
      </c>
      <c r="D7433" t="s">
        <v>4441</v>
      </c>
      <c r="F7433" s="21"/>
      <c r="G7433" s="16" t="str">
        <f>HYPERLINK("http://maps.google.com/maps?f=q&amp;hl=en&amp;geocode=&amp;q=40.0380516052246,-76.3012924194336")</f>
        <v>http://maps.google.com/maps?f=q&amp;hl=en&amp;geocode=&amp;q=40.0380516052246,-76.3012924194336</v>
      </c>
    </row>
    <row r="7434" spans="1:7" ht="15" x14ac:dyDescent="0.3">
      <c r="A7434">
        <v>-37.815635681152301</v>
      </c>
      <c r="B7434">
        <v>144.96734619140599</v>
      </c>
      <c r="C7434" t="s">
        <v>43</v>
      </c>
      <c r="D7434" t="s">
        <v>3368</v>
      </c>
      <c r="F7434" s="21"/>
      <c r="G7434" s="16" t="str">
        <f>HYPERLINK("http://maps.google.com/maps?f=q&amp;hl=en&amp;geocode=&amp;q=-37.8156356811523,144.967346191406")</f>
        <v>http://maps.google.com/maps?f=q&amp;hl=en&amp;geocode=&amp;q=-37.8156356811523,144.967346191406</v>
      </c>
    </row>
    <row r="7435" spans="1:7" ht="15" x14ac:dyDescent="0.3">
      <c r="A7435">
        <v>33.918190002441399</v>
      </c>
      <c r="B7435">
        <v>-118.35373687744099</v>
      </c>
      <c r="C7435" t="s">
        <v>43</v>
      </c>
      <c r="D7435" t="s">
        <v>4442</v>
      </c>
      <c r="F7435" s="21"/>
      <c r="G7435" s="16" t="str">
        <f>HYPERLINK("http://maps.google.com/maps?f=q&amp;hl=en&amp;geocode=&amp;q=33.9181900024414,-118.353736877441")</f>
        <v>http://maps.google.com/maps?f=q&amp;hl=en&amp;geocode=&amp;q=33.9181900024414,-118.353736877441</v>
      </c>
    </row>
    <row r="7436" spans="1:7" ht="15" x14ac:dyDescent="0.3">
      <c r="A7436">
        <v>29.94772</v>
      </c>
      <c r="B7436">
        <v>-93.937799999999996</v>
      </c>
      <c r="C7436" t="s">
        <v>41</v>
      </c>
      <c r="D7436" t="s">
        <v>772</v>
      </c>
      <c r="F7436" s="21"/>
      <c r="G7436" s="16" t="str">
        <f>HYPERLINK("http://maps.google.com/maps?f=q&amp;hl=en&amp;geocode=&amp;q=29.94772,-93.9378")</f>
        <v>http://maps.google.com/maps?f=q&amp;hl=en&amp;geocode=&amp;q=29.94772,-93.9378</v>
      </c>
    </row>
    <row r="7437" spans="1:7" ht="15" x14ac:dyDescent="0.3">
      <c r="A7437">
        <v>35.193061828613303</v>
      </c>
      <c r="B7437">
        <v>36.620559692382798</v>
      </c>
      <c r="C7437" t="s">
        <v>41</v>
      </c>
      <c r="D7437" t="s">
        <v>4443</v>
      </c>
      <c r="F7437" s="21"/>
      <c r="G7437" s="16" t="str">
        <f>HYPERLINK("http://maps.google.com/maps?f=q&amp;hl=en&amp;geocode=&amp;q=35.1930618286133,36.6205596923828")</f>
        <v>http://maps.google.com/maps?f=q&amp;hl=en&amp;geocode=&amp;q=35.1930618286133,36.6205596923828</v>
      </c>
    </row>
    <row r="7438" spans="1:7" ht="15" x14ac:dyDescent="0.3">
      <c r="A7438">
        <v>39.978250000000003</v>
      </c>
      <c r="B7438">
        <v>-75.247749999999996</v>
      </c>
      <c r="C7438" t="s">
        <v>41</v>
      </c>
      <c r="D7438" t="s">
        <v>4444</v>
      </c>
      <c r="F7438" s="21"/>
      <c r="G7438" s="16" t="str">
        <f>HYPERLINK("http://maps.google.com/maps?f=q&amp;hl=en&amp;geocode=&amp;q=39.97825,-75.24775")</f>
        <v>http://maps.google.com/maps?f=q&amp;hl=en&amp;geocode=&amp;q=39.97825,-75.24775</v>
      </c>
    </row>
    <row r="7439" spans="1:7" ht="15" x14ac:dyDescent="0.3">
      <c r="A7439">
        <v>45.117988507335198</v>
      </c>
      <c r="B7439">
        <v>-93.150377361156302</v>
      </c>
      <c r="C7439" t="s">
        <v>41</v>
      </c>
      <c r="D7439" t="s">
        <v>4445</v>
      </c>
      <c r="F7439" s="21"/>
      <c r="G7439" s="16" t="str">
        <f>HYPERLINK("http://maps.google.com/maps?f=q&amp;hl=en&amp;geocode=&amp;q=45.1179885073352,-93.1503773611563")</f>
        <v>http://maps.google.com/maps?f=q&amp;hl=en&amp;geocode=&amp;q=45.1179885073352,-93.1503773611563</v>
      </c>
    </row>
    <row r="7440" spans="1:7" ht="15" x14ac:dyDescent="0.3">
      <c r="A7440">
        <v>40.027979999999999</v>
      </c>
      <c r="B7440">
        <v>-75.133210000000005</v>
      </c>
      <c r="C7440" t="s">
        <v>41</v>
      </c>
      <c r="D7440" t="s">
        <v>4446</v>
      </c>
      <c r="F7440" s="21"/>
      <c r="G7440" s="16" t="str">
        <f>HYPERLINK("http://maps.google.com/maps?f=q&amp;hl=en&amp;geocode=&amp;q=40.02798,-75.13321")</f>
        <v>http://maps.google.com/maps?f=q&amp;hl=en&amp;geocode=&amp;q=40.02798,-75.13321</v>
      </c>
    </row>
    <row r="7441" spans="1:7" ht="15" x14ac:dyDescent="0.3">
      <c r="A7441">
        <v>40.878033835879499</v>
      </c>
      <c r="B7441">
        <v>-78.728134782391095</v>
      </c>
      <c r="C7441" t="s">
        <v>41</v>
      </c>
      <c r="D7441" t="s">
        <v>4447</v>
      </c>
      <c r="F7441" s="21"/>
      <c r="G7441" s="16" t="str">
        <f>HYPERLINK("http://maps.google.com/maps?f=q&amp;hl=en&amp;geocode=&amp;q=40.8780338358795,-78.7281347823911")</f>
        <v>http://maps.google.com/maps?f=q&amp;hl=en&amp;geocode=&amp;q=40.8780338358795,-78.7281347823911</v>
      </c>
    </row>
    <row r="7442" spans="1:7" ht="15" x14ac:dyDescent="0.3">
      <c r="A7442">
        <v>39.894466442740601</v>
      </c>
      <c r="B7442">
        <v>-74.591912222099296</v>
      </c>
      <c r="C7442" t="s">
        <v>43</v>
      </c>
      <c r="D7442" t="s">
        <v>4448</v>
      </c>
      <c r="F7442" s="21"/>
      <c r="G7442" s="16" t="str">
        <f>HYPERLINK("http://maps.google.com/maps?f=q&amp;hl=en&amp;geocode=&amp;q=39.8944664427406,-74.5919122220993")</f>
        <v>http://maps.google.com/maps?f=q&amp;hl=en&amp;geocode=&amp;q=39.8944664427406,-74.5919122220993</v>
      </c>
    </row>
    <row r="7443" spans="1:7" ht="15" x14ac:dyDescent="0.3">
      <c r="A7443" t="s">
        <v>44</v>
      </c>
      <c r="B7443" t="s">
        <v>44</v>
      </c>
      <c r="C7443" t="s">
        <v>44</v>
      </c>
      <c r="D7443" t="s">
        <v>4449</v>
      </c>
      <c r="F7443" s="21"/>
      <c r="G7443" s="16"/>
    </row>
    <row r="7444" spans="1:7" ht="15" x14ac:dyDescent="0.3">
      <c r="A7444">
        <v>36.052770000000002</v>
      </c>
      <c r="B7444">
        <v>-79.177580000000006</v>
      </c>
      <c r="C7444" t="s">
        <v>41</v>
      </c>
      <c r="D7444" t="s">
        <v>4450</v>
      </c>
      <c r="F7444" s="21"/>
      <c r="G7444" s="16" t="str">
        <f>HYPERLINK("http://maps.google.com/maps?f=q&amp;hl=en&amp;geocode=&amp;q=36.05277,-79.17758")</f>
        <v>http://maps.google.com/maps?f=q&amp;hl=en&amp;geocode=&amp;q=36.05277,-79.17758</v>
      </c>
    </row>
    <row r="7445" spans="1:7" ht="15" x14ac:dyDescent="0.3">
      <c r="A7445">
        <v>36.052770000000002</v>
      </c>
      <c r="B7445">
        <v>-79.177580000000006</v>
      </c>
      <c r="C7445" t="s">
        <v>41</v>
      </c>
      <c r="D7445" t="s">
        <v>4450</v>
      </c>
      <c r="F7445" s="21"/>
      <c r="G7445" s="16" t="str">
        <f>HYPERLINK("http://maps.google.com/maps?f=q&amp;hl=en&amp;geocode=&amp;q=36.05277,-79.17758")</f>
        <v>http://maps.google.com/maps?f=q&amp;hl=en&amp;geocode=&amp;q=36.05277,-79.17758</v>
      </c>
    </row>
    <row r="7446" spans="1:7" ht="15" x14ac:dyDescent="0.3">
      <c r="A7446">
        <v>46.188915252685497</v>
      </c>
      <c r="B7446">
        <v>6.1585922241210902</v>
      </c>
      <c r="C7446" t="s">
        <v>43</v>
      </c>
      <c r="D7446" t="s">
        <v>4451</v>
      </c>
      <c r="F7446" s="21"/>
      <c r="G7446" s="16" t="str">
        <f>HYPERLINK("http://maps.google.com/maps?f=q&amp;hl=en&amp;geocode=&amp;q=46.1889152526855,6.15859222412109")</f>
        <v>http://maps.google.com/maps?f=q&amp;hl=en&amp;geocode=&amp;q=46.1889152526855,6.15859222412109</v>
      </c>
    </row>
    <row r="7447" spans="1:7" ht="15" x14ac:dyDescent="0.3">
      <c r="A7447">
        <v>-35.7065299</v>
      </c>
      <c r="B7447">
        <v>147.32990269999999</v>
      </c>
      <c r="C7447" t="s">
        <v>41</v>
      </c>
      <c r="D7447" t="s">
        <v>4452</v>
      </c>
      <c r="F7447" s="21"/>
      <c r="G7447" s="16" t="str">
        <f>HYPERLINK("http://maps.google.com/maps?f=q&amp;hl=en&amp;geocode=&amp;q=-35.7065299,147.3299027")</f>
        <v>http://maps.google.com/maps?f=q&amp;hl=en&amp;geocode=&amp;q=-35.7065299,147.3299027</v>
      </c>
    </row>
    <row r="7448" spans="1:7" ht="15" x14ac:dyDescent="0.3">
      <c r="A7448">
        <v>37.193010000000001</v>
      </c>
      <c r="B7448">
        <v>-79.925550000000001</v>
      </c>
      <c r="C7448" t="s">
        <v>42</v>
      </c>
      <c r="D7448" t="s">
        <v>640</v>
      </c>
      <c r="F7448" s="21"/>
      <c r="G7448" s="16" t="str">
        <f>HYPERLINK("http://maps.google.com/maps?f=q&amp;hl=en&amp;geocode=&amp;q=37.19301,-79.92555")</f>
        <v>http://maps.google.com/maps?f=q&amp;hl=en&amp;geocode=&amp;q=37.19301,-79.92555</v>
      </c>
    </row>
    <row r="7449" spans="1:7" ht="15" x14ac:dyDescent="0.3">
      <c r="A7449">
        <v>32.735599517822301</v>
      </c>
      <c r="B7449">
        <v>-97.107719421386705</v>
      </c>
      <c r="C7449" t="s">
        <v>41</v>
      </c>
      <c r="D7449" t="s">
        <v>4453</v>
      </c>
      <c r="F7449" s="21"/>
      <c r="G7449" s="16" t="str">
        <f>HYPERLINK("http://maps.google.com/maps?f=q&amp;hl=en&amp;geocode=&amp;q=32.7355995178223,-97.1077194213867")</f>
        <v>http://maps.google.com/maps?f=q&amp;hl=en&amp;geocode=&amp;q=32.7355995178223,-97.1077194213867</v>
      </c>
    </row>
    <row r="7450" spans="1:7" ht="15" x14ac:dyDescent="0.3">
      <c r="A7450">
        <v>39.983289999999997</v>
      </c>
      <c r="B7450">
        <v>-75.161810000000003</v>
      </c>
      <c r="C7450" t="s">
        <v>42</v>
      </c>
      <c r="D7450" t="s">
        <v>4454</v>
      </c>
      <c r="F7450" s="21"/>
      <c r="G7450" s="16" t="str">
        <f>HYPERLINK("http://maps.google.com/maps?f=q&amp;hl=en&amp;geocode=&amp;q=39.98329,-75.16181")</f>
        <v>http://maps.google.com/maps?f=q&amp;hl=en&amp;geocode=&amp;q=39.98329,-75.16181</v>
      </c>
    </row>
    <row r="7451" spans="1:7" ht="15" x14ac:dyDescent="0.3">
      <c r="A7451">
        <v>39.937919999999998</v>
      </c>
      <c r="B7451">
        <v>-75.233410000000006</v>
      </c>
      <c r="C7451" t="s">
        <v>41</v>
      </c>
      <c r="D7451" t="s">
        <v>4455</v>
      </c>
      <c r="F7451" s="21"/>
      <c r="G7451" s="16" t="str">
        <f>HYPERLINK("http://maps.google.com/maps?f=q&amp;hl=en&amp;geocode=&amp;q=39.93792,-75.23341")</f>
        <v>http://maps.google.com/maps?f=q&amp;hl=en&amp;geocode=&amp;q=39.93792,-75.23341</v>
      </c>
    </row>
    <row r="7452" spans="1:7" ht="15" x14ac:dyDescent="0.3">
      <c r="A7452">
        <v>31.908686250629199</v>
      </c>
      <c r="B7452">
        <v>-92.103391706974094</v>
      </c>
      <c r="C7452" t="s">
        <v>42</v>
      </c>
      <c r="D7452" t="s">
        <v>1790</v>
      </c>
      <c r="F7452" s="21"/>
      <c r="G7452" s="16" t="str">
        <f>HYPERLINK("http://maps.google.com/maps?f=q&amp;hl=en&amp;geocode=&amp;q=31.9086862506292,-92.1033917069741")</f>
        <v>http://maps.google.com/maps?f=q&amp;hl=en&amp;geocode=&amp;q=31.9086862506292,-92.1033917069741</v>
      </c>
    </row>
    <row r="7453" spans="1:7" ht="15" x14ac:dyDescent="0.3">
      <c r="A7453">
        <v>48.225749969482401</v>
      </c>
      <c r="B7453">
        <v>16.230792999267599</v>
      </c>
      <c r="C7453" t="s">
        <v>43</v>
      </c>
      <c r="D7453" t="s">
        <v>4407</v>
      </c>
      <c r="F7453" s="21"/>
      <c r="G7453" s="16" t="str">
        <f>HYPERLINK("http://maps.google.com/maps?f=q&amp;hl=en&amp;geocode=&amp;q=48.2257499694824,16.2307929992676")</f>
        <v>http://maps.google.com/maps?f=q&amp;hl=en&amp;geocode=&amp;q=48.2257499694824,16.2307929992676</v>
      </c>
    </row>
    <row r="7454" spans="1:7" ht="15" x14ac:dyDescent="0.3">
      <c r="A7454">
        <v>49.613365173339801</v>
      </c>
      <c r="B7454">
        <v>6.1064939498901403</v>
      </c>
      <c r="C7454" t="s">
        <v>41</v>
      </c>
      <c r="D7454" t="s">
        <v>4405</v>
      </c>
      <c r="F7454" s="21"/>
      <c r="G7454" s="16" t="str">
        <f>HYPERLINK("http://maps.google.com/maps?f=q&amp;hl=en&amp;geocode=&amp;q=49.6133651733398,6.10649394989014")</f>
        <v>http://maps.google.com/maps?f=q&amp;hl=en&amp;geocode=&amp;q=49.6133651733398,6.10649394989014</v>
      </c>
    </row>
    <row r="7455" spans="1:7" ht="15" x14ac:dyDescent="0.3">
      <c r="A7455">
        <v>49.611251831054702</v>
      </c>
      <c r="B7455">
        <v>6.1292181015014604</v>
      </c>
      <c r="C7455" t="s">
        <v>43</v>
      </c>
      <c r="D7455" t="s">
        <v>4406</v>
      </c>
      <c r="F7455" s="21"/>
      <c r="G7455" s="16" t="str">
        <f>HYPERLINK("http://maps.google.com/maps?f=q&amp;hl=en&amp;geocode=&amp;q=49.6112518310547,6.12921810150146")</f>
        <v>http://maps.google.com/maps?f=q&amp;hl=en&amp;geocode=&amp;q=49.6112518310547,6.12921810150146</v>
      </c>
    </row>
    <row r="7456" spans="1:7" ht="15" x14ac:dyDescent="0.3">
      <c r="A7456">
        <v>55.25911</v>
      </c>
      <c r="B7456">
        <v>11.59831</v>
      </c>
      <c r="C7456" t="s">
        <v>41</v>
      </c>
      <c r="D7456" t="s">
        <v>2080</v>
      </c>
      <c r="F7456" s="21"/>
      <c r="G7456" s="16" t="str">
        <f>HYPERLINK("http://maps.google.com/maps?f=q&amp;hl=en&amp;geocode=&amp;q=55.25911,11.59831")</f>
        <v>http://maps.google.com/maps?f=q&amp;hl=en&amp;geocode=&amp;q=55.25911,11.59831</v>
      </c>
    </row>
    <row r="7457" spans="1:7" ht="15" x14ac:dyDescent="0.3">
      <c r="A7457">
        <v>39.998898546722899</v>
      </c>
      <c r="B7457">
        <v>-75.168706313148107</v>
      </c>
      <c r="C7457" t="s">
        <v>41</v>
      </c>
      <c r="D7457" t="s">
        <v>4456</v>
      </c>
      <c r="F7457" s="21"/>
      <c r="G7457" s="16" t="str">
        <f>HYPERLINK("http://maps.google.com/maps?f=q&amp;hl=en&amp;geocode=&amp;q=39.9988985467229,-75.1687063131481")</f>
        <v>http://maps.google.com/maps?f=q&amp;hl=en&amp;geocode=&amp;q=39.9988985467229,-75.1687063131481</v>
      </c>
    </row>
    <row r="7458" spans="1:7" ht="15" x14ac:dyDescent="0.3">
      <c r="A7458">
        <v>40.219416000000002</v>
      </c>
      <c r="B7458">
        <v>-75.369495999999998</v>
      </c>
      <c r="C7458" t="s">
        <v>41</v>
      </c>
      <c r="D7458" t="s">
        <v>923</v>
      </c>
      <c r="F7458" s="21"/>
      <c r="G7458" s="16" t="str">
        <f>HYPERLINK("http://maps.google.com/maps?f=q&amp;hl=en&amp;geocode=&amp;q=40.219416,-75.369496")</f>
        <v>http://maps.google.com/maps?f=q&amp;hl=en&amp;geocode=&amp;q=40.219416,-75.369496</v>
      </c>
    </row>
    <row r="7459" spans="1:7" ht="15" x14ac:dyDescent="0.3">
      <c r="A7459">
        <v>33.110443983454097</v>
      </c>
      <c r="B7459">
        <v>-96.639503004148906</v>
      </c>
      <c r="C7459" t="s">
        <v>41</v>
      </c>
      <c r="D7459" t="s">
        <v>1480</v>
      </c>
      <c r="F7459" s="21"/>
      <c r="G7459" s="16" t="str">
        <f>HYPERLINK("http://maps.google.com/maps?f=q&amp;hl=en&amp;geocode=&amp;q=33.1104439834541,-96.6395030041489")</f>
        <v>http://maps.google.com/maps?f=q&amp;hl=en&amp;geocode=&amp;q=33.1104439834541,-96.6395030041489</v>
      </c>
    </row>
    <row r="7460" spans="1:7" ht="15" x14ac:dyDescent="0.3">
      <c r="A7460">
        <v>33.110443983454097</v>
      </c>
      <c r="B7460">
        <v>-96.639503004148906</v>
      </c>
      <c r="C7460" t="s">
        <v>41</v>
      </c>
      <c r="D7460" t="s">
        <v>1480</v>
      </c>
      <c r="F7460" s="21"/>
      <c r="G7460" s="16" t="str">
        <f>HYPERLINK("http://maps.google.com/maps?f=q&amp;hl=en&amp;geocode=&amp;q=33.1104439834541,-96.6395030041489")</f>
        <v>http://maps.google.com/maps?f=q&amp;hl=en&amp;geocode=&amp;q=33.1104439834541,-96.6395030041489</v>
      </c>
    </row>
    <row r="7461" spans="1:7" ht="15" x14ac:dyDescent="0.3">
      <c r="A7461">
        <v>-26.034427642822301</v>
      </c>
      <c r="B7461">
        <v>28.5431098937988</v>
      </c>
      <c r="C7461" t="s">
        <v>43</v>
      </c>
      <c r="D7461" t="s">
        <v>115</v>
      </c>
      <c r="F7461" s="21"/>
      <c r="G7461" s="16" t="str">
        <f>HYPERLINK("http://maps.google.com/maps?f=q&amp;hl=en&amp;geocode=&amp;q=-26.0344276428223,28.5431098937988")</f>
        <v>http://maps.google.com/maps?f=q&amp;hl=en&amp;geocode=&amp;q=-26.0344276428223,28.5431098937988</v>
      </c>
    </row>
    <row r="7462" spans="1:7" ht="15" x14ac:dyDescent="0.3">
      <c r="A7462">
        <v>46.955040910953102</v>
      </c>
      <c r="B7462">
        <v>-114.011424534187</v>
      </c>
      <c r="C7462" t="s">
        <v>41</v>
      </c>
      <c r="D7462" t="s">
        <v>4457</v>
      </c>
      <c r="F7462" s="21"/>
      <c r="G7462" s="16" t="str">
        <f>HYPERLINK("http://maps.google.com/maps?f=q&amp;hl=en&amp;geocode=&amp;q=46.9550409109531,-114.011424534187")</f>
        <v>http://maps.google.com/maps?f=q&amp;hl=en&amp;geocode=&amp;q=46.9550409109531,-114.011424534187</v>
      </c>
    </row>
    <row r="7463" spans="1:7" ht="15" x14ac:dyDescent="0.3">
      <c r="A7463" t="s">
        <v>44</v>
      </c>
      <c r="B7463" t="s">
        <v>44</v>
      </c>
      <c r="C7463" t="s">
        <v>44</v>
      </c>
      <c r="D7463" t="s">
        <v>4458</v>
      </c>
      <c r="F7463" s="21"/>
      <c r="G7463" s="16"/>
    </row>
    <row r="7464" spans="1:7" ht="15" x14ac:dyDescent="0.3">
      <c r="A7464">
        <v>35.902349999999998</v>
      </c>
      <c r="B7464">
        <v>-78.442880000000002</v>
      </c>
      <c r="C7464" t="s">
        <v>41</v>
      </c>
      <c r="D7464" t="s">
        <v>4459</v>
      </c>
      <c r="F7464" s="21"/>
      <c r="G7464" s="16" t="str">
        <f>HYPERLINK("http://maps.google.com/maps?f=q&amp;hl=en&amp;geocode=&amp;q=35.90235,-78.44288")</f>
        <v>http://maps.google.com/maps?f=q&amp;hl=en&amp;geocode=&amp;q=35.90235,-78.44288</v>
      </c>
    </row>
    <row r="7465" spans="1:7" ht="15" x14ac:dyDescent="0.3">
      <c r="A7465">
        <v>49.533977508544901</v>
      </c>
      <c r="B7465">
        <v>6.0161638259887704</v>
      </c>
      <c r="C7465" t="s">
        <v>41</v>
      </c>
      <c r="D7465" t="s">
        <v>262</v>
      </c>
      <c r="F7465" s="21"/>
      <c r="G7465" s="16" t="str">
        <f>HYPERLINK("http://maps.google.com/maps?f=q&amp;hl=en&amp;geocode=&amp;q=49.5339775085449,6.01616382598877")</f>
        <v>http://maps.google.com/maps?f=q&amp;hl=en&amp;geocode=&amp;q=49.5339775085449,6.01616382598877</v>
      </c>
    </row>
    <row r="7466" spans="1:7" ht="15" x14ac:dyDescent="0.3">
      <c r="A7466">
        <v>35.1497611999512</v>
      </c>
      <c r="B7466">
        <v>-90.049247741699205</v>
      </c>
      <c r="C7466" t="s">
        <v>41</v>
      </c>
      <c r="D7466" t="s">
        <v>4460</v>
      </c>
      <c r="F7466" s="21"/>
      <c r="G7466" s="16" t="str">
        <f>HYPERLINK("http://maps.google.com/maps?f=q&amp;hl=en&amp;geocode=&amp;q=35.1497611999512,-90.0492477416992")</f>
        <v>http://maps.google.com/maps?f=q&amp;hl=en&amp;geocode=&amp;q=35.1497611999512,-90.0492477416992</v>
      </c>
    </row>
    <row r="7467" spans="1:7" ht="15" x14ac:dyDescent="0.3">
      <c r="A7467">
        <v>41.545448303222699</v>
      </c>
      <c r="B7467">
        <v>-76.742660522460895</v>
      </c>
      <c r="C7467" t="s">
        <v>43</v>
      </c>
      <c r="D7467" t="s">
        <v>4461</v>
      </c>
      <c r="F7467" s="21"/>
      <c r="G7467" s="16" t="str">
        <f>HYPERLINK("http://maps.google.com/maps?f=q&amp;hl=en&amp;geocode=&amp;q=41.5454483032227,-76.7426605224609")</f>
        <v>http://maps.google.com/maps?f=q&amp;hl=en&amp;geocode=&amp;q=41.5454483032227,-76.7426605224609</v>
      </c>
    </row>
    <row r="7468" spans="1:7" ht="15" x14ac:dyDescent="0.3">
      <c r="A7468">
        <v>42.545396555218097</v>
      </c>
      <c r="B7468">
        <v>-77.222168710793497</v>
      </c>
      <c r="C7468" t="s">
        <v>41</v>
      </c>
      <c r="D7468" t="s">
        <v>4420</v>
      </c>
      <c r="F7468" s="21"/>
      <c r="G7468" s="16" t="str">
        <f>HYPERLINK("http://maps.google.com/maps?f=q&amp;hl=en&amp;geocode=&amp;q=42.5453965552181,-77.2221687107935")</f>
        <v>http://maps.google.com/maps?f=q&amp;hl=en&amp;geocode=&amp;q=42.5453965552181,-77.2221687107935</v>
      </c>
    </row>
    <row r="7469" spans="1:7" ht="15" x14ac:dyDescent="0.3">
      <c r="A7469">
        <v>36.093150000000001</v>
      </c>
      <c r="B7469">
        <v>-78.968919999999997</v>
      </c>
      <c r="C7469" t="s">
        <v>42</v>
      </c>
      <c r="D7469" t="s">
        <v>4462</v>
      </c>
      <c r="F7469" s="21"/>
      <c r="G7469" s="16" t="str">
        <f>HYPERLINK("http://maps.google.com/maps?f=q&amp;hl=en&amp;geocode=&amp;q=36.09315,-78.96892")</f>
        <v>http://maps.google.com/maps?f=q&amp;hl=en&amp;geocode=&amp;q=36.09315,-78.96892</v>
      </c>
    </row>
    <row r="7470" spans="1:7" ht="15" x14ac:dyDescent="0.3">
      <c r="A7470">
        <v>43.559776671342199</v>
      </c>
      <c r="B7470">
        <v>-116.87920332969099</v>
      </c>
      <c r="C7470" t="s">
        <v>41</v>
      </c>
      <c r="D7470" t="s">
        <v>4463</v>
      </c>
      <c r="F7470" s="21"/>
      <c r="G7470" s="16" t="str">
        <f>HYPERLINK("http://maps.google.com/maps?f=q&amp;hl=en&amp;geocode=&amp;q=43.5597766713422,-116.879203329691")</f>
        <v>http://maps.google.com/maps?f=q&amp;hl=en&amp;geocode=&amp;q=43.5597766713422,-116.879203329691</v>
      </c>
    </row>
    <row r="7471" spans="1:7" ht="15" x14ac:dyDescent="0.3">
      <c r="A7471" t="s">
        <v>44</v>
      </c>
      <c r="B7471" t="s">
        <v>44</v>
      </c>
      <c r="C7471" t="s">
        <v>44</v>
      </c>
      <c r="D7471" t="s">
        <v>4464</v>
      </c>
      <c r="F7471" s="21"/>
      <c r="G7471" s="16"/>
    </row>
    <row r="7472" spans="1:7" ht="15" x14ac:dyDescent="0.3">
      <c r="A7472">
        <v>49.672069549560497</v>
      </c>
      <c r="B7472">
        <v>5.76058101654053</v>
      </c>
      <c r="C7472" t="s">
        <v>43</v>
      </c>
      <c r="D7472" t="s">
        <v>4465</v>
      </c>
      <c r="F7472" s="21"/>
      <c r="G7472" s="16" t="str">
        <f>HYPERLINK("http://maps.google.com/maps?f=q&amp;hl=en&amp;geocode=&amp;q=49.6720695495605,5.76058101654053")</f>
        <v>http://maps.google.com/maps?f=q&amp;hl=en&amp;geocode=&amp;q=49.6720695495605,5.76058101654053</v>
      </c>
    </row>
    <row r="7473" spans="1:7" ht="15" x14ac:dyDescent="0.3">
      <c r="A7473">
        <v>-36.701439999999998</v>
      </c>
      <c r="B7473">
        <v>142.19977</v>
      </c>
      <c r="C7473" t="s">
        <v>41</v>
      </c>
      <c r="D7473" t="s">
        <v>2300</v>
      </c>
      <c r="F7473" s="21"/>
      <c r="G7473" s="16" t="str">
        <f>HYPERLINK("http://maps.google.com/maps?f=q&amp;hl=en&amp;geocode=&amp;q=-36.70144,142.19977")</f>
        <v>http://maps.google.com/maps?f=q&amp;hl=en&amp;geocode=&amp;q=-36.70144,142.19977</v>
      </c>
    </row>
    <row r="7474" spans="1:7" ht="15" x14ac:dyDescent="0.3">
      <c r="A7474">
        <v>40.015439999999998</v>
      </c>
      <c r="B7474">
        <v>-75.07114</v>
      </c>
      <c r="C7474" t="s">
        <v>41</v>
      </c>
      <c r="D7474" t="s">
        <v>4466</v>
      </c>
      <c r="F7474" s="21"/>
      <c r="G7474" s="16" t="str">
        <f>HYPERLINK("http://maps.google.com/maps?f=q&amp;hl=en&amp;geocode=&amp;q=40.01544,-75.07114")</f>
        <v>http://maps.google.com/maps?f=q&amp;hl=en&amp;geocode=&amp;q=40.01544,-75.07114</v>
      </c>
    </row>
    <row r="7475" spans="1:7" ht="15" x14ac:dyDescent="0.3">
      <c r="A7475">
        <v>35.694267272949197</v>
      </c>
      <c r="B7475">
        <v>139.41233825683599</v>
      </c>
      <c r="C7475" t="s">
        <v>43</v>
      </c>
      <c r="D7475" t="s">
        <v>4467</v>
      </c>
      <c r="F7475" s="21"/>
      <c r="G7475" s="16" t="str">
        <f>HYPERLINK("http://maps.google.com/maps?f=q&amp;hl=en&amp;geocode=&amp;q=35.6942672729492,139.412338256836")</f>
        <v>http://maps.google.com/maps?f=q&amp;hl=en&amp;geocode=&amp;q=35.6942672729492,139.412338256836</v>
      </c>
    </row>
    <row r="7476" spans="1:7" ht="15" x14ac:dyDescent="0.3">
      <c r="A7476">
        <v>40.043189784764202</v>
      </c>
      <c r="B7476">
        <v>-75.167376957529498</v>
      </c>
      <c r="C7476" t="s">
        <v>41</v>
      </c>
      <c r="D7476" t="s">
        <v>4468</v>
      </c>
      <c r="F7476" s="21"/>
      <c r="G7476" s="16" t="str">
        <f>HYPERLINK("http://maps.google.com/maps?f=q&amp;hl=en&amp;geocode=&amp;q=40.0431897847642,-75.1673769575295")</f>
        <v>http://maps.google.com/maps?f=q&amp;hl=en&amp;geocode=&amp;q=40.0431897847642,-75.1673769575295</v>
      </c>
    </row>
    <row r="7477" spans="1:7" ht="15" x14ac:dyDescent="0.3">
      <c r="A7477">
        <v>38.96143</v>
      </c>
      <c r="B7477">
        <v>-76.954530000000005</v>
      </c>
      <c r="C7477" t="s">
        <v>43</v>
      </c>
      <c r="D7477" t="s">
        <v>4469</v>
      </c>
      <c r="F7477" s="21"/>
      <c r="G7477" s="16" t="str">
        <f>HYPERLINK("http://maps.google.com/maps?f=q&amp;hl=en&amp;geocode=&amp;q=38.96143,-76.95453")</f>
        <v>http://maps.google.com/maps?f=q&amp;hl=en&amp;geocode=&amp;q=38.96143,-76.95453</v>
      </c>
    </row>
    <row r="7478" spans="1:7" ht="15" x14ac:dyDescent="0.3">
      <c r="A7478">
        <v>42.880218505859403</v>
      </c>
      <c r="B7478">
        <v>-112.65567016601599</v>
      </c>
      <c r="C7478" t="s">
        <v>43</v>
      </c>
      <c r="D7478" t="s">
        <v>4470</v>
      </c>
      <c r="F7478" s="21"/>
      <c r="G7478" s="16" t="str">
        <f>HYPERLINK("http://maps.google.com/maps?f=q&amp;hl=en&amp;geocode=&amp;q=42.8802185058594,-112.655670166016")</f>
        <v>http://maps.google.com/maps?f=q&amp;hl=en&amp;geocode=&amp;q=42.8802185058594,-112.655670166016</v>
      </c>
    </row>
    <row r="7479" spans="1:7" ht="15" x14ac:dyDescent="0.3">
      <c r="A7479">
        <v>40.460018157958999</v>
      </c>
      <c r="B7479">
        <v>-78.591552734375</v>
      </c>
      <c r="C7479" t="s">
        <v>43</v>
      </c>
      <c r="D7479" t="s">
        <v>200</v>
      </c>
      <c r="F7479" s="21"/>
      <c r="G7479" s="16" t="str">
        <f>HYPERLINK("http://maps.google.com/maps?f=q&amp;hl=en&amp;geocode=&amp;q=40.460018157959,-78.591552734375")</f>
        <v>http://maps.google.com/maps?f=q&amp;hl=en&amp;geocode=&amp;q=40.460018157959,-78.591552734375</v>
      </c>
    </row>
    <row r="7480" spans="1:7" ht="15" x14ac:dyDescent="0.3">
      <c r="A7480">
        <v>32.7902604481962</v>
      </c>
      <c r="B7480">
        <v>-88.393424837241596</v>
      </c>
      <c r="C7480" t="s">
        <v>41</v>
      </c>
      <c r="D7480" t="s">
        <v>4471</v>
      </c>
      <c r="F7480" s="21"/>
      <c r="G7480" s="16" t="str">
        <f>HYPERLINK("http://maps.google.com/maps?f=q&amp;hl=en&amp;geocode=&amp;q=32.7902604481962,-88.3934248372416")</f>
        <v>http://maps.google.com/maps?f=q&amp;hl=en&amp;geocode=&amp;q=32.7902604481962,-88.3934248372416</v>
      </c>
    </row>
    <row r="7481" spans="1:7" ht="15" x14ac:dyDescent="0.3">
      <c r="A7481">
        <v>32.7902604481962</v>
      </c>
      <c r="B7481">
        <v>-88.393424837241596</v>
      </c>
      <c r="C7481" t="s">
        <v>41</v>
      </c>
      <c r="D7481" t="s">
        <v>4471</v>
      </c>
      <c r="F7481" s="21"/>
      <c r="G7481" s="16" t="str">
        <f>HYPERLINK("http://maps.google.com/maps?f=q&amp;hl=en&amp;geocode=&amp;q=32.7902604481962,-88.3934248372416")</f>
        <v>http://maps.google.com/maps?f=q&amp;hl=en&amp;geocode=&amp;q=32.7902604481962,-88.3934248372416</v>
      </c>
    </row>
    <row r="7482" spans="1:7" ht="15" x14ac:dyDescent="0.3">
      <c r="A7482">
        <v>35.158396757966997</v>
      </c>
      <c r="B7482">
        <v>-90.045376222310097</v>
      </c>
      <c r="C7482" t="s">
        <v>41</v>
      </c>
      <c r="D7482" t="s">
        <v>154</v>
      </c>
      <c r="F7482" s="21"/>
      <c r="G7482" s="16" t="str">
        <f>HYPERLINK("http://maps.google.com/maps?f=q&amp;hl=en&amp;geocode=&amp;q=35.158396757967,-90.0453762223101")</f>
        <v>http://maps.google.com/maps?f=q&amp;hl=en&amp;geocode=&amp;q=35.158396757967,-90.0453762223101</v>
      </c>
    </row>
    <row r="7483" spans="1:7" ht="15" x14ac:dyDescent="0.3">
      <c r="A7483">
        <v>54.562068939208999</v>
      </c>
      <c r="B7483">
        <v>-125.10440063476599</v>
      </c>
      <c r="C7483" t="s">
        <v>41</v>
      </c>
      <c r="D7483" t="s">
        <v>4472</v>
      </c>
      <c r="F7483" s="21"/>
      <c r="G7483" s="16" t="str">
        <f>HYPERLINK("http://maps.google.com/maps?f=q&amp;hl=en&amp;geocode=&amp;q=54.562068939209,-125.104400634766")</f>
        <v>http://maps.google.com/maps?f=q&amp;hl=en&amp;geocode=&amp;q=54.562068939209,-125.104400634766</v>
      </c>
    </row>
    <row r="7484" spans="1:7" ht="15" x14ac:dyDescent="0.3">
      <c r="A7484" t="s">
        <v>44</v>
      </c>
      <c r="B7484" t="s">
        <v>44</v>
      </c>
      <c r="C7484" t="s">
        <v>44</v>
      </c>
      <c r="D7484" t="s">
        <v>4438</v>
      </c>
      <c r="F7484" s="21"/>
      <c r="G7484" s="16"/>
    </row>
    <row r="7485" spans="1:7" ht="15" x14ac:dyDescent="0.3">
      <c r="A7485" t="s">
        <v>44</v>
      </c>
      <c r="B7485" t="s">
        <v>44</v>
      </c>
      <c r="C7485" t="s">
        <v>44</v>
      </c>
      <c r="D7485" t="s">
        <v>4438</v>
      </c>
      <c r="F7485" s="21"/>
      <c r="G7485" s="16"/>
    </row>
    <row r="7486" spans="1:7" ht="15" x14ac:dyDescent="0.3">
      <c r="A7486">
        <v>43.530050317434501</v>
      </c>
      <c r="B7486">
        <v>-116.568764967471</v>
      </c>
      <c r="C7486" t="s">
        <v>43</v>
      </c>
      <c r="D7486" t="s">
        <v>4473</v>
      </c>
      <c r="F7486" s="21"/>
      <c r="G7486" s="16" t="str">
        <f>HYPERLINK("http://maps.google.com/maps?f=q&amp;hl=en&amp;geocode=&amp;q=43.5300503174345,-116.568764967471")</f>
        <v>http://maps.google.com/maps?f=q&amp;hl=en&amp;geocode=&amp;q=43.5300503174345,-116.568764967471</v>
      </c>
    </row>
    <row r="7487" spans="1:7" ht="15" x14ac:dyDescent="0.3">
      <c r="A7487">
        <v>43.530143623363301</v>
      </c>
      <c r="B7487">
        <v>-116.569240238611</v>
      </c>
      <c r="C7487" t="s">
        <v>43</v>
      </c>
      <c r="D7487" t="s">
        <v>3080</v>
      </c>
      <c r="F7487" s="21"/>
      <c r="G7487" s="16" t="str">
        <f>HYPERLINK("http://maps.google.com/maps?f=q&amp;hl=en&amp;geocode=&amp;q=43.5301436233633,-116.569240238611")</f>
        <v>http://maps.google.com/maps?f=q&amp;hl=en&amp;geocode=&amp;q=43.5301436233633,-116.569240238611</v>
      </c>
    </row>
    <row r="7488" spans="1:7" ht="15" x14ac:dyDescent="0.3">
      <c r="A7488">
        <v>40.041049999999998</v>
      </c>
      <c r="B7488">
        <v>-75.129509999999996</v>
      </c>
      <c r="C7488" t="s">
        <v>42</v>
      </c>
      <c r="D7488" t="s">
        <v>3768</v>
      </c>
      <c r="F7488" s="21"/>
      <c r="G7488" s="16" t="str">
        <f>HYPERLINK("http://maps.google.com/maps?f=q&amp;hl=en&amp;geocode=&amp;q=40.04105,-75.12951")</f>
        <v>http://maps.google.com/maps?f=q&amp;hl=en&amp;geocode=&amp;q=40.04105,-75.12951</v>
      </c>
    </row>
    <row r="7489" spans="1:7" ht="15" x14ac:dyDescent="0.3">
      <c r="A7489" t="s">
        <v>44</v>
      </c>
      <c r="B7489" t="s">
        <v>44</v>
      </c>
      <c r="C7489" t="s">
        <v>44</v>
      </c>
      <c r="D7489" t="s">
        <v>4474</v>
      </c>
      <c r="F7489" s="21"/>
      <c r="G7489" s="16"/>
    </row>
    <row r="7490" spans="1:7" ht="15" x14ac:dyDescent="0.3">
      <c r="A7490">
        <v>40.041069999999998</v>
      </c>
      <c r="B7490">
        <v>-75.128979999999999</v>
      </c>
      <c r="C7490" t="s">
        <v>41</v>
      </c>
      <c r="D7490" t="s">
        <v>3694</v>
      </c>
      <c r="F7490" s="21"/>
      <c r="G7490" s="16" t="str">
        <f>HYPERLINK("http://maps.google.com/maps?f=q&amp;hl=en&amp;geocode=&amp;q=40.04107,-75.12898")</f>
        <v>http://maps.google.com/maps?f=q&amp;hl=en&amp;geocode=&amp;q=40.04107,-75.12898</v>
      </c>
    </row>
    <row r="7491" spans="1:7" ht="15" x14ac:dyDescent="0.3">
      <c r="A7491">
        <v>34.995820000000002</v>
      </c>
      <c r="B7491">
        <v>-81.136610000000005</v>
      </c>
      <c r="C7491" t="s">
        <v>41</v>
      </c>
      <c r="D7491" t="s">
        <v>2888</v>
      </c>
      <c r="F7491" s="21"/>
      <c r="G7491" s="16" t="str">
        <f>HYPERLINK("http://maps.google.com/maps?f=q&amp;hl=en&amp;geocode=&amp;q=34.99582,-81.13661")</f>
        <v>http://maps.google.com/maps?f=q&amp;hl=en&amp;geocode=&amp;q=34.99582,-81.13661</v>
      </c>
    </row>
    <row r="7492" spans="1:7" ht="15" x14ac:dyDescent="0.3">
      <c r="A7492">
        <v>59.898780822753899</v>
      </c>
      <c r="B7492">
        <v>15.560899734497101</v>
      </c>
      <c r="C7492" t="s">
        <v>43</v>
      </c>
      <c r="D7492" t="s">
        <v>4475</v>
      </c>
      <c r="F7492" s="21"/>
      <c r="G7492" s="16" t="str">
        <f>HYPERLINK("http://maps.google.com/maps?f=q&amp;hl=en&amp;geocode=&amp;q=59.8987808227539,15.5608997344971")</f>
        <v>http://maps.google.com/maps?f=q&amp;hl=en&amp;geocode=&amp;q=59.8987808227539,15.5608997344971</v>
      </c>
    </row>
    <row r="7493" spans="1:7" ht="15" x14ac:dyDescent="0.3">
      <c r="A7493">
        <v>42.7791938781738</v>
      </c>
      <c r="B7493">
        <v>-73.691421508789105</v>
      </c>
      <c r="C7493" t="s">
        <v>43</v>
      </c>
      <c r="D7493" t="s">
        <v>1559</v>
      </c>
      <c r="F7493" s="21"/>
      <c r="G7493" s="16" t="str">
        <f>HYPERLINK("http://maps.google.com/maps?f=q&amp;hl=en&amp;geocode=&amp;q=42.7791938781738,-73.6914215087891")</f>
        <v>http://maps.google.com/maps?f=q&amp;hl=en&amp;geocode=&amp;q=42.7791938781738,-73.6914215087891</v>
      </c>
    </row>
    <row r="7494" spans="1:7" ht="15" x14ac:dyDescent="0.3">
      <c r="A7494">
        <v>39.862216949462898</v>
      </c>
      <c r="B7494">
        <v>-75.356597900390597</v>
      </c>
      <c r="C7494" t="s">
        <v>41</v>
      </c>
      <c r="D7494" t="s">
        <v>4476</v>
      </c>
      <c r="F7494" s="21"/>
      <c r="G7494" s="16" t="str">
        <f>HYPERLINK("http://maps.google.com/maps?f=q&amp;hl=en&amp;geocode=&amp;q=39.8622169494629,-75.3565979003906")</f>
        <v>http://maps.google.com/maps?f=q&amp;hl=en&amp;geocode=&amp;q=39.8622169494629,-75.3565979003906</v>
      </c>
    </row>
    <row r="7495" spans="1:7" ht="15" x14ac:dyDescent="0.3">
      <c r="A7495">
        <v>44.5414009094238</v>
      </c>
      <c r="B7495">
        <v>-68.424308776855497</v>
      </c>
      <c r="C7495" t="s">
        <v>43</v>
      </c>
      <c r="D7495" t="s">
        <v>4477</v>
      </c>
      <c r="F7495" s="21"/>
      <c r="G7495" s="16" t="str">
        <f>HYPERLINK("http://maps.google.com/maps?f=q&amp;hl=en&amp;geocode=&amp;q=44.5414009094238,-68.4243087768555")</f>
        <v>http://maps.google.com/maps?f=q&amp;hl=en&amp;geocode=&amp;q=44.5414009094238,-68.4243087768555</v>
      </c>
    </row>
    <row r="7496" spans="1:7" ht="15" x14ac:dyDescent="0.3">
      <c r="A7496">
        <v>49.518180847167997</v>
      </c>
      <c r="B7496">
        <v>5.8978409767150897</v>
      </c>
      <c r="C7496" t="s">
        <v>41</v>
      </c>
      <c r="D7496" t="s">
        <v>2510</v>
      </c>
      <c r="F7496" s="21"/>
      <c r="G7496" s="16" t="str">
        <f>HYPERLINK("http://maps.google.com/maps?f=q&amp;hl=en&amp;geocode=&amp;q=49.518180847168,5.89784097671509")</f>
        <v>http://maps.google.com/maps?f=q&amp;hl=en&amp;geocode=&amp;q=49.518180847168,5.89784097671509</v>
      </c>
    </row>
    <row r="7497" spans="1:7" ht="15" x14ac:dyDescent="0.3">
      <c r="A7497">
        <v>49.518180847167997</v>
      </c>
      <c r="B7497">
        <v>5.8978409767150897</v>
      </c>
      <c r="C7497" t="s">
        <v>41</v>
      </c>
      <c r="D7497" t="s">
        <v>2510</v>
      </c>
      <c r="F7497" s="21"/>
      <c r="G7497" s="16" t="str">
        <f>HYPERLINK("http://maps.google.com/maps?f=q&amp;hl=en&amp;geocode=&amp;q=49.518180847168,5.89784097671509")</f>
        <v>http://maps.google.com/maps?f=q&amp;hl=en&amp;geocode=&amp;q=49.518180847168,5.89784097671509</v>
      </c>
    </row>
    <row r="7498" spans="1:7" ht="15" x14ac:dyDescent="0.3">
      <c r="A7498">
        <v>49.518180847167997</v>
      </c>
      <c r="B7498">
        <v>5.8978409767150897</v>
      </c>
      <c r="C7498" t="s">
        <v>41</v>
      </c>
      <c r="D7498" t="s">
        <v>2510</v>
      </c>
      <c r="F7498" s="21"/>
      <c r="G7498" s="16" t="str">
        <f>HYPERLINK("http://maps.google.com/maps?f=q&amp;hl=en&amp;geocode=&amp;q=49.518180847168,5.89784097671509")</f>
        <v>http://maps.google.com/maps?f=q&amp;hl=en&amp;geocode=&amp;q=49.518180847168,5.89784097671509</v>
      </c>
    </row>
    <row r="7499" spans="1:7" ht="15" x14ac:dyDescent="0.3">
      <c r="A7499">
        <v>49.518180847167997</v>
      </c>
      <c r="B7499">
        <v>5.8978409767150897</v>
      </c>
      <c r="C7499" t="s">
        <v>41</v>
      </c>
      <c r="D7499" t="s">
        <v>2510</v>
      </c>
      <c r="F7499" s="21"/>
      <c r="G7499" s="16" t="str">
        <f>HYPERLINK("http://maps.google.com/maps?f=q&amp;hl=en&amp;geocode=&amp;q=49.518180847168,5.89784097671509")</f>
        <v>http://maps.google.com/maps?f=q&amp;hl=en&amp;geocode=&amp;q=49.518180847168,5.89784097671509</v>
      </c>
    </row>
    <row r="7500" spans="1:7" ht="15" x14ac:dyDescent="0.3">
      <c r="A7500">
        <v>49.518180847167997</v>
      </c>
      <c r="B7500">
        <v>5.8978409767150897</v>
      </c>
      <c r="C7500" t="s">
        <v>41</v>
      </c>
      <c r="D7500" t="s">
        <v>2510</v>
      </c>
      <c r="F7500" s="21"/>
      <c r="G7500" s="16" t="str">
        <f>HYPERLINK("http://maps.google.com/maps?f=q&amp;hl=en&amp;geocode=&amp;q=49.518180847168,5.89784097671509")</f>
        <v>http://maps.google.com/maps?f=q&amp;hl=en&amp;geocode=&amp;q=49.518180847168,5.89784097671509</v>
      </c>
    </row>
    <row r="7501" spans="1:7" ht="15" x14ac:dyDescent="0.3">
      <c r="A7501">
        <v>33.110443983454097</v>
      </c>
      <c r="B7501">
        <v>-96.639503004148906</v>
      </c>
      <c r="C7501" t="s">
        <v>41</v>
      </c>
      <c r="D7501" t="s">
        <v>1480</v>
      </c>
      <c r="F7501" s="21"/>
      <c r="G7501" s="16" t="str">
        <f>HYPERLINK("http://maps.google.com/maps?f=q&amp;hl=en&amp;geocode=&amp;q=33.1104439834541,-96.6395030041489")</f>
        <v>http://maps.google.com/maps?f=q&amp;hl=en&amp;geocode=&amp;q=33.1104439834541,-96.6395030041489</v>
      </c>
    </row>
    <row r="7502" spans="1:7" ht="15" x14ac:dyDescent="0.3">
      <c r="A7502">
        <v>33.674864966525398</v>
      </c>
      <c r="B7502">
        <v>-90.953794800068593</v>
      </c>
      <c r="C7502" t="s">
        <v>41</v>
      </c>
      <c r="D7502" t="s">
        <v>2831</v>
      </c>
      <c r="F7502" s="21"/>
      <c r="G7502" s="16" t="str">
        <f>HYPERLINK("http://maps.google.com/maps?f=q&amp;hl=en&amp;geocode=&amp;q=33.6748649665254,-90.9537948000686")</f>
        <v>http://maps.google.com/maps?f=q&amp;hl=en&amp;geocode=&amp;q=33.6748649665254,-90.9537948000686</v>
      </c>
    </row>
    <row r="7503" spans="1:7" ht="15" x14ac:dyDescent="0.3">
      <c r="A7503">
        <v>39.964741807726398</v>
      </c>
      <c r="B7503">
        <v>-75.231684684514804</v>
      </c>
      <c r="C7503" t="s">
        <v>41</v>
      </c>
      <c r="D7503" t="s">
        <v>1742</v>
      </c>
      <c r="F7503" s="21"/>
      <c r="G7503" s="16" t="str">
        <f>HYPERLINK("http://maps.google.com/maps?f=q&amp;hl=en&amp;geocode=&amp;q=39.9647418077264,-75.2316846845148")</f>
        <v>http://maps.google.com/maps?f=q&amp;hl=en&amp;geocode=&amp;q=39.9647418077264,-75.2316846845148</v>
      </c>
    </row>
    <row r="7504" spans="1:7" ht="15" x14ac:dyDescent="0.3">
      <c r="A7504" t="s">
        <v>44</v>
      </c>
      <c r="B7504" t="s">
        <v>44</v>
      </c>
      <c r="C7504" t="s">
        <v>44</v>
      </c>
      <c r="D7504" t="s">
        <v>4438</v>
      </c>
      <c r="F7504" s="21"/>
      <c r="G7504" s="16"/>
    </row>
    <row r="7505" spans="1:7" ht="15" x14ac:dyDescent="0.3">
      <c r="A7505">
        <v>40.801070000000003</v>
      </c>
      <c r="B7505">
        <v>-96.744690000000006</v>
      </c>
      <c r="C7505" t="s">
        <v>42</v>
      </c>
      <c r="D7505" t="s">
        <v>2408</v>
      </c>
      <c r="F7505" s="21"/>
      <c r="G7505" s="16" t="str">
        <f>HYPERLINK("http://maps.google.com/maps?f=q&amp;hl=en&amp;geocode=&amp;q=40.80107,-96.74469")</f>
        <v>http://maps.google.com/maps?f=q&amp;hl=en&amp;geocode=&amp;q=40.80107,-96.74469</v>
      </c>
    </row>
    <row r="7506" spans="1:7" ht="15" x14ac:dyDescent="0.3">
      <c r="A7506">
        <v>40.9438401544217</v>
      </c>
      <c r="B7506">
        <v>-76.512110209090295</v>
      </c>
      <c r="C7506" t="s">
        <v>43</v>
      </c>
      <c r="D7506" t="s">
        <v>4439</v>
      </c>
      <c r="F7506" s="21"/>
      <c r="G7506" s="16" t="str">
        <f>HYPERLINK("http://maps.google.com/maps?f=q&amp;hl=en&amp;geocode=&amp;q=40.9438401544217,-76.5121102090903")</f>
        <v>http://maps.google.com/maps?f=q&amp;hl=en&amp;geocode=&amp;q=40.9438401544217,-76.5121102090903</v>
      </c>
    </row>
    <row r="7507" spans="1:7" ht="15" x14ac:dyDescent="0.3">
      <c r="A7507">
        <v>49.595409393310497</v>
      </c>
      <c r="B7507">
        <v>6.1419930458068803</v>
      </c>
      <c r="C7507" t="s">
        <v>41</v>
      </c>
      <c r="D7507" t="s">
        <v>4478</v>
      </c>
      <c r="F7507" s="21"/>
      <c r="G7507" s="16" t="str">
        <f>HYPERLINK("http://maps.google.com/maps?f=q&amp;hl=en&amp;geocode=&amp;q=49.5954093933105,6.14199304580688")</f>
        <v>http://maps.google.com/maps?f=q&amp;hl=en&amp;geocode=&amp;q=49.5954093933105,6.14199304580688</v>
      </c>
    </row>
    <row r="7508" spans="1:7" ht="15" x14ac:dyDescent="0.3">
      <c r="A7508">
        <v>-41.755599975585902</v>
      </c>
      <c r="B7508">
        <v>171.59899902343801</v>
      </c>
      <c r="C7508" t="s">
        <v>41</v>
      </c>
      <c r="D7508" t="s">
        <v>4479</v>
      </c>
      <c r="F7508" s="21"/>
      <c r="G7508" s="16" t="str">
        <f>HYPERLINK("http://maps.google.com/maps?f=q&amp;hl=en&amp;geocode=&amp;q=-41.7555999755859,171.598999023438")</f>
        <v>http://maps.google.com/maps?f=q&amp;hl=en&amp;geocode=&amp;q=-41.7555999755859,171.598999023438</v>
      </c>
    </row>
    <row r="7509" spans="1:7" ht="15" x14ac:dyDescent="0.3">
      <c r="A7509">
        <v>34.995820000000002</v>
      </c>
      <c r="B7509">
        <v>-81.136610000000005</v>
      </c>
      <c r="C7509" t="s">
        <v>42</v>
      </c>
      <c r="D7509" t="s">
        <v>3198</v>
      </c>
      <c r="F7509" s="21"/>
      <c r="G7509" s="16" t="str">
        <f>HYPERLINK("http://maps.google.com/maps?f=q&amp;hl=en&amp;geocode=&amp;q=34.99582,-81.13661")</f>
        <v>http://maps.google.com/maps?f=q&amp;hl=en&amp;geocode=&amp;q=34.99582,-81.13661</v>
      </c>
    </row>
    <row r="7510" spans="1:7" ht="15" x14ac:dyDescent="0.3">
      <c r="A7510">
        <v>49.613365173339801</v>
      </c>
      <c r="B7510">
        <v>6.1064939498901403</v>
      </c>
      <c r="C7510" t="s">
        <v>41</v>
      </c>
      <c r="D7510" t="s">
        <v>4405</v>
      </c>
      <c r="F7510" s="21"/>
      <c r="G7510" s="16" t="str">
        <f>HYPERLINK("http://maps.google.com/maps?f=q&amp;hl=en&amp;geocode=&amp;q=49.6133651733398,6.10649394989014")</f>
        <v>http://maps.google.com/maps?f=q&amp;hl=en&amp;geocode=&amp;q=49.6133651733398,6.10649394989014</v>
      </c>
    </row>
    <row r="7511" spans="1:7" ht="15" x14ac:dyDescent="0.3">
      <c r="A7511">
        <v>40.040390000000002</v>
      </c>
      <c r="B7511">
        <v>-75.109629999999996</v>
      </c>
      <c r="C7511" t="s">
        <v>43</v>
      </c>
      <c r="D7511" t="s">
        <v>777</v>
      </c>
      <c r="F7511" s="21"/>
      <c r="G7511" s="16" t="str">
        <f>HYPERLINK("http://maps.google.com/maps?f=q&amp;hl=en&amp;geocode=&amp;q=40.04039,-75.10963")</f>
        <v>http://maps.google.com/maps?f=q&amp;hl=en&amp;geocode=&amp;q=40.04039,-75.10963</v>
      </c>
    </row>
    <row r="7512" spans="1:7" ht="15" x14ac:dyDescent="0.3">
      <c r="A7512">
        <v>50.587699890136697</v>
      </c>
      <c r="B7512">
        <v>4.32674217224121</v>
      </c>
      <c r="C7512" t="s">
        <v>43</v>
      </c>
      <c r="D7512" t="s">
        <v>4480</v>
      </c>
      <c r="F7512" s="21"/>
      <c r="G7512" s="16" t="str">
        <f>HYPERLINK("http://maps.google.com/maps?f=q&amp;hl=en&amp;geocode=&amp;q=50.5876998901367,4.32674217224121")</f>
        <v>http://maps.google.com/maps?f=q&amp;hl=en&amp;geocode=&amp;q=50.5876998901367,4.32674217224121</v>
      </c>
    </row>
    <row r="7513" spans="1:7" ht="15" x14ac:dyDescent="0.3">
      <c r="A7513">
        <v>39.773628234863303</v>
      </c>
      <c r="B7513">
        <v>-87.206352233886705</v>
      </c>
      <c r="C7513" t="s">
        <v>41</v>
      </c>
      <c r="D7513" t="s">
        <v>76</v>
      </c>
      <c r="F7513" s="21"/>
      <c r="G7513" s="16" t="str">
        <f>HYPERLINK("http://maps.google.com/maps?f=q&amp;hl=en&amp;geocode=&amp;q=39.7736282348633,-87.2063522338867")</f>
        <v>http://maps.google.com/maps?f=q&amp;hl=en&amp;geocode=&amp;q=39.7736282348633,-87.2063522338867</v>
      </c>
    </row>
    <row r="7514" spans="1:7" ht="15" x14ac:dyDescent="0.3">
      <c r="A7514" t="s">
        <v>44</v>
      </c>
      <c r="B7514" t="s">
        <v>44</v>
      </c>
      <c r="C7514" t="s">
        <v>44</v>
      </c>
      <c r="D7514" t="s">
        <v>4481</v>
      </c>
      <c r="F7514" s="21"/>
      <c r="G7514" s="16"/>
    </row>
    <row r="7515" spans="1:7" ht="15" x14ac:dyDescent="0.3">
      <c r="A7515">
        <v>40.148701101606299</v>
      </c>
      <c r="B7515">
        <v>-76.083748157299993</v>
      </c>
      <c r="C7515" t="s">
        <v>41</v>
      </c>
      <c r="D7515" t="s">
        <v>4482</v>
      </c>
      <c r="F7515" s="21"/>
      <c r="G7515" s="16" t="str">
        <f>HYPERLINK("http://maps.google.com/maps?f=q&amp;hl=en&amp;geocode=&amp;q=40.1487011016063,-76.0837481573")</f>
        <v>http://maps.google.com/maps?f=q&amp;hl=en&amp;geocode=&amp;q=40.1487011016063,-76.0837481573</v>
      </c>
    </row>
    <row r="7516" spans="1:7" ht="15" x14ac:dyDescent="0.3">
      <c r="A7516" t="s">
        <v>44</v>
      </c>
      <c r="B7516" t="s">
        <v>44</v>
      </c>
      <c r="C7516" t="s">
        <v>44</v>
      </c>
      <c r="D7516" t="s">
        <v>4483</v>
      </c>
      <c r="F7516" s="21"/>
      <c r="G7516" s="16"/>
    </row>
    <row r="7517" spans="1:7" ht="15" x14ac:dyDescent="0.3">
      <c r="A7517">
        <v>40.035719999999998</v>
      </c>
      <c r="B7517">
        <v>-75.070629999999994</v>
      </c>
      <c r="C7517" t="s">
        <v>41</v>
      </c>
      <c r="D7517" t="s">
        <v>760</v>
      </c>
      <c r="F7517" s="21"/>
      <c r="G7517" s="16" t="str">
        <f>HYPERLINK("http://maps.google.com/maps?f=q&amp;hl=en&amp;geocode=&amp;q=40.03572,-75.07063")</f>
        <v>http://maps.google.com/maps?f=q&amp;hl=en&amp;geocode=&amp;q=40.03572,-75.07063</v>
      </c>
    </row>
    <row r="7518" spans="1:7" ht="15" x14ac:dyDescent="0.3">
      <c r="A7518">
        <v>49.595691680908203</v>
      </c>
      <c r="B7518">
        <v>6.11594915390015</v>
      </c>
      <c r="C7518" t="s">
        <v>41</v>
      </c>
      <c r="D7518" t="s">
        <v>3640</v>
      </c>
      <c r="F7518" s="21"/>
      <c r="G7518" s="16" t="str">
        <f>HYPERLINK("http://maps.google.com/maps?f=q&amp;hl=en&amp;geocode=&amp;q=49.5956916809082,6.11594915390015")</f>
        <v>http://maps.google.com/maps?f=q&amp;hl=en&amp;geocode=&amp;q=49.5956916809082,6.11594915390015</v>
      </c>
    </row>
    <row r="7519" spans="1:7" ht="15" x14ac:dyDescent="0.3">
      <c r="A7519">
        <v>51.426620483398402</v>
      </c>
      <c r="B7519">
        <v>-5.48299998044968E-2</v>
      </c>
      <c r="C7519" t="s">
        <v>41</v>
      </c>
      <c r="D7519" t="s">
        <v>4484</v>
      </c>
      <c r="F7519" s="21"/>
      <c r="G7519" s="16" t="str">
        <f>HYPERLINK("http://maps.google.com/maps?f=q&amp;hl=en&amp;geocode=&amp;q=51.4266204833984,-0.0548299998044968")</f>
        <v>http://maps.google.com/maps?f=q&amp;hl=en&amp;geocode=&amp;q=51.4266204833984,-0.0548299998044968</v>
      </c>
    </row>
    <row r="7520" spans="1:7" ht="15" x14ac:dyDescent="0.3">
      <c r="A7520">
        <v>52.487190246582003</v>
      </c>
      <c r="B7520">
        <v>0.679989993572235</v>
      </c>
      <c r="C7520" t="s">
        <v>41</v>
      </c>
      <c r="D7520" t="s">
        <v>2882</v>
      </c>
      <c r="F7520" s="21"/>
      <c r="G7520" s="16" t="str">
        <f>HYPERLINK("http://maps.google.com/maps?f=q&amp;hl=en&amp;geocode=&amp;q=52.487190246582,0.679989993572235")</f>
        <v>http://maps.google.com/maps?f=q&amp;hl=en&amp;geocode=&amp;q=52.487190246582,0.679989993572235</v>
      </c>
    </row>
    <row r="7521" spans="1:7" ht="15" x14ac:dyDescent="0.3">
      <c r="A7521">
        <v>34.799141263787099</v>
      </c>
      <c r="B7521">
        <v>-81.141749035383796</v>
      </c>
      <c r="C7521" t="s">
        <v>41</v>
      </c>
      <c r="D7521" t="s">
        <v>4485</v>
      </c>
      <c r="F7521" s="21"/>
      <c r="G7521" s="16" t="str">
        <f>HYPERLINK("http://maps.google.com/maps?f=q&amp;hl=en&amp;geocode=&amp;q=34.7991412637871,-81.1417490353838")</f>
        <v>http://maps.google.com/maps?f=q&amp;hl=en&amp;geocode=&amp;q=34.7991412637871,-81.1417490353838</v>
      </c>
    </row>
    <row r="7522" spans="1:7" ht="15" x14ac:dyDescent="0.3">
      <c r="A7522">
        <v>40.035719999999998</v>
      </c>
      <c r="B7522">
        <v>-75.070629999999994</v>
      </c>
      <c r="C7522" t="s">
        <v>41</v>
      </c>
      <c r="D7522" t="s">
        <v>760</v>
      </c>
      <c r="F7522" s="21"/>
      <c r="G7522" s="16" t="str">
        <f>HYPERLINK("http://maps.google.com/maps?f=q&amp;hl=en&amp;geocode=&amp;q=40.03572,-75.07063")</f>
        <v>http://maps.google.com/maps?f=q&amp;hl=en&amp;geocode=&amp;q=40.03572,-75.07063</v>
      </c>
    </row>
    <row r="7523" spans="1:7" ht="15" x14ac:dyDescent="0.3">
      <c r="A7523">
        <v>41.242914548559597</v>
      </c>
      <c r="B7523">
        <v>-76.830228552777101</v>
      </c>
      <c r="C7523" t="s">
        <v>41</v>
      </c>
      <c r="D7523" t="s">
        <v>4486</v>
      </c>
      <c r="F7523" s="21"/>
      <c r="G7523" s="16" t="str">
        <f>HYPERLINK("http://maps.google.com/maps?f=q&amp;hl=en&amp;geocode=&amp;q=41.2429145485596,-76.8302285527771")</f>
        <v>http://maps.google.com/maps?f=q&amp;hl=en&amp;geocode=&amp;q=41.2429145485596,-76.8302285527771</v>
      </c>
    </row>
    <row r="7524" spans="1:7" ht="15" x14ac:dyDescent="0.3">
      <c r="A7524">
        <v>39.3029449663211</v>
      </c>
      <c r="B7524">
        <v>-85.765802764411205</v>
      </c>
      <c r="C7524" t="s">
        <v>41</v>
      </c>
      <c r="D7524" t="s">
        <v>4487</v>
      </c>
      <c r="F7524" s="21"/>
      <c r="G7524" s="16" t="str">
        <f>HYPERLINK("http://maps.google.com/maps?f=q&amp;hl=en&amp;geocode=&amp;q=39.3029449663211,-85.7658027644112")</f>
        <v>http://maps.google.com/maps?f=q&amp;hl=en&amp;geocode=&amp;q=39.3029449663211,-85.7658027644112</v>
      </c>
    </row>
    <row r="7525" spans="1:7" ht="15" x14ac:dyDescent="0.3">
      <c r="A7525">
        <v>39.3029449663211</v>
      </c>
      <c r="B7525">
        <v>-85.765802764411205</v>
      </c>
      <c r="C7525" t="s">
        <v>41</v>
      </c>
      <c r="D7525" t="s">
        <v>4487</v>
      </c>
      <c r="F7525" s="21"/>
      <c r="G7525" s="16" t="str">
        <f>HYPERLINK("http://maps.google.com/maps?f=q&amp;hl=en&amp;geocode=&amp;q=39.3029449663211,-85.7658027644112")</f>
        <v>http://maps.google.com/maps?f=q&amp;hl=en&amp;geocode=&amp;q=39.3029449663211,-85.7658027644112</v>
      </c>
    </row>
    <row r="7526" spans="1:7" ht="15" x14ac:dyDescent="0.3">
      <c r="A7526">
        <v>39.305960143236497</v>
      </c>
      <c r="B7526">
        <v>-76.594435092052805</v>
      </c>
      <c r="C7526" t="s">
        <v>41</v>
      </c>
      <c r="D7526" t="s">
        <v>4029</v>
      </c>
      <c r="F7526" s="21"/>
      <c r="G7526" s="16" t="str">
        <f>HYPERLINK("http://maps.google.com/maps?f=q&amp;hl=en&amp;geocode=&amp;q=39.3059601432365,-76.5944350920528")</f>
        <v>http://maps.google.com/maps?f=q&amp;hl=en&amp;geocode=&amp;q=39.3059601432365,-76.5944350920528</v>
      </c>
    </row>
    <row r="7527" spans="1:7" ht="15" x14ac:dyDescent="0.3">
      <c r="A7527">
        <v>33.5234090420591</v>
      </c>
      <c r="B7527">
        <v>-80.514221008028002</v>
      </c>
      <c r="C7527" t="s">
        <v>41</v>
      </c>
      <c r="D7527" t="s">
        <v>4488</v>
      </c>
      <c r="F7527" s="21"/>
      <c r="G7527" s="16" t="str">
        <f>HYPERLINK("http://maps.google.com/maps?f=q&amp;hl=en&amp;geocode=&amp;q=33.5234090420591,-80.514221008028")</f>
        <v>http://maps.google.com/maps?f=q&amp;hl=en&amp;geocode=&amp;q=33.5234090420591,-80.514221008028</v>
      </c>
    </row>
    <row r="7528" spans="1:7" ht="15" x14ac:dyDescent="0.3">
      <c r="A7528">
        <v>46.188915252685497</v>
      </c>
      <c r="B7528">
        <v>6.1585922241210902</v>
      </c>
      <c r="C7528" t="s">
        <v>43</v>
      </c>
      <c r="D7528" t="s">
        <v>4451</v>
      </c>
      <c r="F7528" s="21"/>
      <c r="G7528" s="16" t="str">
        <f>HYPERLINK("http://maps.google.com/maps?f=q&amp;hl=en&amp;geocode=&amp;q=46.1889152526855,6.15859222412109")</f>
        <v>http://maps.google.com/maps?f=q&amp;hl=en&amp;geocode=&amp;q=46.1889152526855,6.15859222412109</v>
      </c>
    </row>
    <row r="7529" spans="1:7" ht="15" x14ac:dyDescent="0.3">
      <c r="A7529">
        <v>36.654731750488303</v>
      </c>
      <c r="B7529">
        <v>-93.041000366210895</v>
      </c>
      <c r="C7529" t="s">
        <v>41</v>
      </c>
      <c r="D7529" t="s">
        <v>4489</v>
      </c>
      <c r="F7529" s="21"/>
      <c r="G7529" s="16" t="str">
        <f>HYPERLINK("http://maps.google.com/maps?f=q&amp;hl=en&amp;geocode=&amp;q=36.6547317504883,-93.0410003662109")</f>
        <v>http://maps.google.com/maps?f=q&amp;hl=en&amp;geocode=&amp;q=36.6547317504883,-93.0410003662109</v>
      </c>
    </row>
    <row r="7530" spans="1:7" ht="15" x14ac:dyDescent="0.3">
      <c r="A7530">
        <v>40.040680000000002</v>
      </c>
      <c r="B7530">
        <v>-75.073350000000005</v>
      </c>
      <c r="C7530" t="s">
        <v>41</v>
      </c>
      <c r="D7530" t="s">
        <v>4490</v>
      </c>
      <c r="F7530" s="21"/>
      <c r="G7530" s="16" t="str">
        <f>HYPERLINK("http://maps.google.com/maps?f=q&amp;hl=en&amp;geocode=&amp;q=40.04068,-75.07335")</f>
        <v>http://maps.google.com/maps?f=q&amp;hl=en&amp;geocode=&amp;q=40.04068,-75.07335</v>
      </c>
    </row>
    <row r="7531" spans="1:7" ht="15" x14ac:dyDescent="0.3">
      <c r="A7531">
        <v>-26.142440000000001</v>
      </c>
      <c r="B7531">
        <v>27.91825</v>
      </c>
      <c r="C7531" t="s">
        <v>41</v>
      </c>
      <c r="D7531" t="s">
        <v>2558</v>
      </c>
      <c r="F7531" s="21"/>
      <c r="G7531" s="16" t="str">
        <f>HYPERLINK("http://maps.google.com/maps?f=q&amp;hl=en&amp;geocode=&amp;q=-26.14244,27.91825")</f>
        <v>http://maps.google.com/maps?f=q&amp;hl=en&amp;geocode=&amp;q=-26.14244,27.91825</v>
      </c>
    </row>
    <row r="7532" spans="1:7" ht="15" x14ac:dyDescent="0.3">
      <c r="A7532">
        <v>39.428069999999998</v>
      </c>
      <c r="B7532">
        <v>-78.552639999999997</v>
      </c>
      <c r="C7532" t="s">
        <v>42</v>
      </c>
      <c r="D7532" t="s">
        <v>4491</v>
      </c>
      <c r="F7532" s="21"/>
      <c r="G7532" s="16" t="str">
        <f>HYPERLINK("http://maps.google.com/maps?f=q&amp;hl=en&amp;geocode=&amp;q=39.42807,-78.55264")</f>
        <v>http://maps.google.com/maps?f=q&amp;hl=en&amp;geocode=&amp;q=39.42807,-78.55264</v>
      </c>
    </row>
    <row r="7533" spans="1:7" ht="15" x14ac:dyDescent="0.3">
      <c r="A7533">
        <v>47.524021148681598</v>
      </c>
      <c r="B7533">
        <v>19.067560195922901</v>
      </c>
      <c r="C7533" t="s">
        <v>43</v>
      </c>
      <c r="D7533" t="s">
        <v>4492</v>
      </c>
      <c r="F7533" s="21"/>
      <c r="G7533" s="16" t="str">
        <f>HYPERLINK("http://maps.google.com/maps?f=q&amp;hl=en&amp;geocode=&amp;q=47.5240211486816,19.0675601959229")</f>
        <v>http://maps.google.com/maps?f=q&amp;hl=en&amp;geocode=&amp;q=47.5240211486816,19.0675601959229</v>
      </c>
    </row>
    <row r="7534" spans="1:7" ht="15" x14ac:dyDescent="0.3">
      <c r="A7534">
        <v>-26.142440000000001</v>
      </c>
      <c r="B7534">
        <v>27.91825</v>
      </c>
      <c r="C7534" t="s">
        <v>41</v>
      </c>
      <c r="D7534" t="s">
        <v>2558</v>
      </c>
      <c r="F7534" s="21"/>
      <c r="G7534" s="16" t="str">
        <f>HYPERLINK("http://maps.google.com/maps?f=q&amp;hl=en&amp;geocode=&amp;q=-26.14244,27.91825")</f>
        <v>http://maps.google.com/maps?f=q&amp;hl=en&amp;geocode=&amp;q=-26.14244,27.91825</v>
      </c>
    </row>
    <row r="7535" spans="1:7" ht="15" x14ac:dyDescent="0.3">
      <c r="A7535">
        <v>-26.142440000000001</v>
      </c>
      <c r="B7535">
        <v>27.91825</v>
      </c>
      <c r="C7535" t="s">
        <v>41</v>
      </c>
      <c r="D7535" t="s">
        <v>2558</v>
      </c>
      <c r="F7535" s="21"/>
      <c r="G7535" s="16" t="str">
        <f>HYPERLINK("http://maps.google.com/maps?f=q&amp;hl=en&amp;geocode=&amp;q=-26.14244,27.91825")</f>
        <v>http://maps.google.com/maps?f=q&amp;hl=en&amp;geocode=&amp;q=-26.14244,27.91825</v>
      </c>
    </row>
    <row r="7536" spans="1:7" ht="15" x14ac:dyDescent="0.3">
      <c r="A7536">
        <v>-26.142440000000001</v>
      </c>
      <c r="B7536">
        <v>27.91825</v>
      </c>
      <c r="C7536" t="s">
        <v>41</v>
      </c>
      <c r="D7536" t="s">
        <v>2558</v>
      </c>
      <c r="F7536" s="21"/>
      <c r="G7536" s="16" t="str">
        <f>HYPERLINK("http://maps.google.com/maps?f=q&amp;hl=en&amp;geocode=&amp;q=-26.14244,27.91825")</f>
        <v>http://maps.google.com/maps?f=q&amp;hl=en&amp;geocode=&amp;q=-26.14244,27.91825</v>
      </c>
    </row>
    <row r="7537" spans="1:7" ht="15" x14ac:dyDescent="0.3">
      <c r="A7537" t="s">
        <v>44</v>
      </c>
      <c r="B7537" t="s">
        <v>44</v>
      </c>
      <c r="C7537" t="s">
        <v>44</v>
      </c>
      <c r="D7537" t="s">
        <v>4493</v>
      </c>
      <c r="F7537" s="21"/>
      <c r="G7537" s="16"/>
    </row>
    <row r="7538" spans="1:7" ht="15" x14ac:dyDescent="0.3">
      <c r="A7538">
        <v>30.563465973630102</v>
      </c>
      <c r="B7538">
        <v>-93.140925383652402</v>
      </c>
      <c r="C7538" t="s">
        <v>41</v>
      </c>
      <c r="D7538" t="s">
        <v>4494</v>
      </c>
      <c r="F7538" s="21"/>
      <c r="G7538" s="16" t="str">
        <f>HYPERLINK("http://maps.google.com/maps?f=q&amp;hl=en&amp;geocode=&amp;q=30.5634659736301,-93.1409253836524")</f>
        <v>http://maps.google.com/maps?f=q&amp;hl=en&amp;geocode=&amp;q=30.5634659736301,-93.1409253836524</v>
      </c>
    </row>
    <row r="7539" spans="1:7" ht="15" x14ac:dyDescent="0.3">
      <c r="A7539">
        <v>34.089030000000001</v>
      </c>
      <c r="B7539">
        <v>-117.33439</v>
      </c>
      <c r="C7539" t="s">
        <v>41</v>
      </c>
      <c r="D7539" t="s">
        <v>4495</v>
      </c>
      <c r="F7539" s="21"/>
      <c r="G7539" s="16" t="str">
        <f>HYPERLINK("http://maps.google.com/maps?f=q&amp;hl=en&amp;geocode=&amp;q=34.08903,-117.33439")</f>
        <v>http://maps.google.com/maps?f=q&amp;hl=en&amp;geocode=&amp;q=34.08903,-117.33439</v>
      </c>
    </row>
    <row r="7540" spans="1:7" ht="15" x14ac:dyDescent="0.3">
      <c r="A7540">
        <v>33.177349999999997</v>
      </c>
      <c r="B7540">
        <v>-84.909649999999999</v>
      </c>
      <c r="C7540" t="s">
        <v>41</v>
      </c>
      <c r="D7540" t="s">
        <v>1767</v>
      </c>
      <c r="F7540" s="21"/>
      <c r="G7540" s="16" t="str">
        <f>HYPERLINK("http://maps.google.com/maps?f=q&amp;hl=en&amp;geocode=&amp;q=33.17735,-84.90965")</f>
        <v>http://maps.google.com/maps?f=q&amp;hl=en&amp;geocode=&amp;q=33.17735,-84.90965</v>
      </c>
    </row>
    <row r="7541" spans="1:7" ht="15" x14ac:dyDescent="0.3">
      <c r="A7541">
        <v>39.920610000000003</v>
      </c>
      <c r="B7541">
        <v>-75.180289999999999</v>
      </c>
      <c r="C7541" t="s">
        <v>42</v>
      </c>
      <c r="D7541" t="s">
        <v>3891</v>
      </c>
      <c r="F7541" s="21"/>
      <c r="G7541" s="16" t="str">
        <f>HYPERLINK("http://maps.google.com/maps?f=q&amp;hl=en&amp;geocode=&amp;q=39.92061,-75.18029")</f>
        <v>http://maps.google.com/maps?f=q&amp;hl=en&amp;geocode=&amp;q=39.92061,-75.18029</v>
      </c>
    </row>
    <row r="7542" spans="1:7" ht="15" x14ac:dyDescent="0.3">
      <c r="A7542">
        <v>41.073617878881599</v>
      </c>
      <c r="B7542">
        <v>-81.248220167043002</v>
      </c>
      <c r="C7542" t="s">
        <v>41</v>
      </c>
      <c r="D7542" t="s">
        <v>404</v>
      </c>
      <c r="F7542" s="21"/>
      <c r="G7542" s="16" t="str">
        <f>HYPERLINK("http://maps.google.com/maps?f=q&amp;hl=en&amp;geocode=&amp;q=41.0736178788816,-81.248220167043")</f>
        <v>http://maps.google.com/maps?f=q&amp;hl=en&amp;geocode=&amp;q=41.0736178788816,-81.248220167043</v>
      </c>
    </row>
    <row r="7543" spans="1:7" ht="15" x14ac:dyDescent="0.3">
      <c r="A7543">
        <v>41.073617878881599</v>
      </c>
      <c r="B7543">
        <v>-81.248220167043002</v>
      </c>
      <c r="C7543" t="s">
        <v>41</v>
      </c>
      <c r="D7543" t="s">
        <v>404</v>
      </c>
      <c r="F7543" s="21"/>
      <c r="G7543" s="16" t="str">
        <f>HYPERLINK("http://maps.google.com/maps?f=q&amp;hl=en&amp;geocode=&amp;q=41.0736178788816,-81.248220167043")</f>
        <v>http://maps.google.com/maps?f=q&amp;hl=en&amp;geocode=&amp;q=41.0736178788816,-81.248220167043</v>
      </c>
    </row>
    <row r="7544" spans="1:7" ht="15" x14ac:dyDescent="0.3">
      <c r="A7544">
        <v>40.037447686007198</v>
      </c>
      <c r="B7544">
        <v>-75.173012577083597</v>
      </c>
      <c r="C7544" t="s">
        <v>41</v>
      </c>
      <c r="D7544" t="s">
        <v>4496</v>
      </c>
      <c r="F7544" s="21"/>
      <c r="G7544" s="16" t="str">
        <f>HYPERLINK("http://maps.google.com/maps?f=q&amp;hl=en&amp;geocode=&amp;q=40.0374476860072,-75.1730125770836")</f>
        <v>http://maps.google.com/maps?f=q&amp;hl=en&amp;geocode=&amp;q=40.0374476860072,-75.1730125770836</v>
      </c>
    </row>
    <row r="7545" spans="1:7" ht="15" x14ac:dyDescent="0.3">
      <c r="A7545">
        <v>41.073617878881599</v>
      </c>
      <c r="B7545">
        <v>-81.248220167043002</v>
      </c>
      <c r="C7545" t="s">
        <v>41</v>
      </c>
      <c r="D7545" t="s">
        <v>404</v>
      </c>
      <c r="F7545" s="21"/>
      <c r="G7545" s="16" t="str">
        <f>HYPERLINK("http://maps.google.com/maps?f=q&amp;hl=en&amp;geocode=&amp;q=41.0736178788816,-81.248220167043")</f>
        <v>http://maps.google.com/maps?f=q&amp;hl=en&amp;geocode=&amp;q=41.0736178788816,-81.248220167043</v>
      </c>
    </row>
    <row r="7546" spans="1:7" ht="15" x14ac:dyDescent="0.3">
      <c r="A7546">
        <v>55.316757202148402</v>
      </c>
      <c r="B7546">
        <v>10.7729501724243</v>
      </c>
      <c r="C7546" t="s">
        <v>43</v>
      </c>
      <c r="D7546" t="s">
        <v>4497</v>
      </c>
      <c r="F7546" s="21"/>
      <c r="G7546" s="16" t="str">
        <f>HYPERLINK("http://maps.google.com/maps?f=q&amp;hl=en&amp;geocode=&amp;q=55.3167572021484,10.7729501724243")</f>
        <v>http://maps.google.com/maps?f=q&amp;hl=en&amp;geocode=&amp;q=55.3167572021484,10.7729501724243</v>
      </c>
    </row>
    <row r="7547" spans="1:7" ht="15" x14ac:dyDescent="0.3">
      <c r="A7547">
        <v>55.316757202148402</v>
      </c>
      <c r="B7547">
        <v>10.7729501724243</v>
      </c>
      <c r="C7547" t="s">
        <v>43</v>
      </c>
      <c r="D7547" t="s">
        <v>4497</v>
      </c>
      <c r="F7547" s="21"/>
      <c r="G7547" s="16" t="str">
        <f>HYPERLINK("http://maps.google.com/maps?f=q&amp;hl=en&amp;geocode=&amp;q=55.3167572021484,10.7729501724243")</f>
        <v>http://maps.google.com/maps?f=q&amp;hl=en&amp;geocode=&amp;q=55.3167572021484,10.7729501724243</v>
      </c>
    </row>
    <row r="7548" spans="1:7" ht="15" x14ac:dyDescent="0.3">
      <c r="A7548">
        <v>55.316757202148402</v>
      </c>
      <c r="B7548">
        <v>10.7729501724243</v>
      </c>
      <c r="C7548" t="s">
        <v>43</v>
      </c>
      <c r="D7548" t="s">
        <v>4497</v>
      </c>
      <c r="F7548" s="21"/>
      <c r="G7548" s="16" t="str">
        <f>HYPERLINK("http://maps.google.com/maps?f=q&amp;hl=en&amp;geocode=&amp;q=55.3167572021484,10.7729501724243")</f>
        <v>http://maps.google.com/maps?f=q&amp;hl=en&amp;geocode=&amp;q=55.3167572021484,10.7729501724243</v>
      </c>
    </row>
    <row r="7549" spans="1:7" ht="15" x14ac:dyDescent="0.3">
      <c r="A7549">
        <v>39.96181</v>
      </c>
      <c r="B7549">
        <v>-75.226519999999994</v>
      </c>
      <c r="C7549" t="s">
        <v>43</v>
      </c>
      <c r="D7549" t="s">
        <v>4498</v>
      </c>
      <c r="F7549" s="21"/>
      <c r="G7549" s="16" t="str">
        <f>HYPERLINK("http://maps.google.com/maps?f=q&amp;hl=en&amp;geocode=&amp;q=39.96181,-75.22652")</f>
        <v>http://maps.google.com/maps?f=q&amp;hl=en&amp;geocode=&amp;q=39.96181,-75.22652</v>
      </c>
    </row>
    <row r="7550" spans="1:7" ht="15" x14ac:dyDescent="0.3">
      <c r="A7550">
        <v>-32.7033500671387</v>
      </c>
      <c r="B7550">
        <v>137.70617675781301</v>
      </c>
      <c r="C7550" t="s">
        <v>41</v>
      </c>
      <c r="D7550" t="s">
        <v>4499</v>
      </c>
      <c r="F7550" s="21"/>
      <c r="G7550" s="16" t="str">
        <f>HYPERLINK("http://maps.google.com/maps?f=q&amp;hl=en&amp;geocode=&amp;q=-32.7033500671387,137.706176757813")</f>
        <v>http://maps.google.com/maps?f=q&amp;hl=en&amp;geocode=&amp;q=-32.7033500671387,137.706176757813</v>
      </c>
    </row>
    <row r="7551" spans="1:7" ht="15" x14ac:dyDescent="0.3">
      <c r="A7551">
        <v>40.387340000000002</v>
      </c>
      <c r="B7551">
        <v>-75.955349999999996</v>
      </c>
      <c r="C7551" t="s">
        <v>42</v>
      </c>
      <c r="D7551" t="s">
        <v>4500</v>
      </c>
      <c r="F7551" s="21"/>
      <c r="G7551" s="16" t="str">
        <f>HYPERLINK("http://maps.google.com/maps?f=q&amp;hl=en&amp;geocode=&amp;q=40.38734,-75.95535")</f>
        <v>http://maps.google.com/maps?f=q&amp;hl=en&amp;geocode=&amp;q=40.38734,-75.95535</v>
      </c>
    </row>
    <row r="7552" spans="1:7" ht="15" x14ac:dyDescent="0.3">
      <c r="A7552">
        <v>32.298690795898402</v>
      </c>
      <c r="B7552">
        <v>-90.180488586425795</v>
      </c>
      <c r="C7552" t="s">
        <v>41</v>
      </c>
      <c r="D7552" t="s">
        <v>4501</v>
      </c>
      <c r="F7552" s="21"/>
      <c r="G7552" s="16" t="str">
        <f>HYPERLINK("http://maps.google.com/maps?f=q&amp;hl=en&amp;geocode=&amp;q=32.2986907958984,-90.1804885864258")</f>
        <v>http://maps.google.com/maps?f=q&amp;hl=en&amp;geocode=&amp;q=32.2986907958984,-90.1804885864258</v>
      </c>
    </row>
    <row r="7553" spans="1:7" ht="15" x14ac:dyDescent="0.3">
      <c r="A7553">
        <v>40.387340000000002</v>
      </c>
      <c r="B7553">
        <v>-75.955349999999996</v>
      </c>
      <c r="C7553" t="s">
        <v>42</v>
      </c>
      <c r="D7553" t="s">
        <v>4500</v>
      </c>
      <c r="F7553" s="21"/>
      <c r="G7553" s="16" t="str">
        <f>HYPERLINK("http://maps.google.com/maps?f=q&amp;hl=en&amp;geocode=&amp;q=40.38734,-75.95535")</f>
        <v>http://maps.google.com/maps?f=q&amp;hl=en&amp;geocode=&amp;q=40.38734,-75.95535</v>
      </c>
    </row>
    <row r="7554" spans="1:7" ht="15" x14ac:dyDescent="0.3">
      <c r="A7554">
        <v>-33.701698303222699</v>
      </c>
      <c r="B7554">
        <v>136.49203491210901</v>
      </c>
      <c r="C7554" t="s">
        <v>41</v>
      </c>
      <c r="D7554" t="s">
        <v>4502</v>
      </c>
      <c r="F7554" s="21"/>
      <c r="G7554" s="16" t="str">
        <f>HYPERLINK("http://maps.google.com/maps?f=q&amp;hl=en&amp;geocode=&amp;q=-33.7016983032227,136.492034912109")</f>
        <v>http://maps.google.com/maps?f=q&amp;hl=en&amp;geocode=&amp;q=-33.7016983032227,136.492034912109</v>
      </c>
    </row>
    <row r="7555" spans="1:7" ht="15" x14ac:dyDescent="0.3">
      <c r="A7555">
        <v>26.628741502289301</v>
      </c>
      <c r="B7555">
        <v>-80.113355605914606</v>
      </c>
      <c r="C7555" t="s">
        <v>41</v>
      </c>
      <c r="D7555" t="s">
        <v>2844</v>
      </c>
      <c r="F7555" s="21"/>
      <c r="G7555" s="16" t="str">
        <f>HYPERLINK("http://maps.google.com/maps?f=q&amp;hl=en&amp;geocode=&amp;q=26.6287415022893,-80.1133556059146")</f>
        <v>http://maps.google.com/maps?f=q&amp;hl=en&amp;geocode=&amp;q=26.6287415022893,-80.1133556059146</v>
      </c>
    </row>
    <row r="7556" spans="1:7" ht="15" x14ac:dyDescent="0.3">
      <c r="A7556">
        <v>39.95655</v>
      </c>
      <c r="B7556">
        <v>-75.241889999999998</v>
      </c>
      <c r="C7556" t="s">
        <v>43</v>
      </c>
      <c r="D7556" t="s">
        <v>2770</v>
      </c>
      <c r="F7556" s="21"/>
      <c r="G7556" s="16" t="str">
        <f>HYPERLINK("http://maps.google.com/maps?f=q&amp;hl=en&amp;geocode=&amp;q=39.95655,-75.24189")</f>
        <v>http://maps.google.com/maps?f=q&amp;hl=en&amp;geocode=&amp;q=39.95655,-75.24189</v>
      </c>
    </row>
    <row r="7557" spans="1:7" ht="15" x14ac:dyDescent="0.3">
      <c r="A7557">
        <v>41.870544834887497</v>
      </c>
      <c r="B7557">
        <v>-88.099290385070404</v>
      </c>
      <c r="C7557" t="s">
        <v>41</v>
      </c>
      <c r="D7557" t="s">
        <v>4503</v>
      </c>
      <c r="F7557" s="21"/>
      <c r="G7557" s="16" t="str">
        <f>HYPERLINK("http://maps.google.com/maps?f=q&amp;hl=en&amp;geocode=&amp;q=41.8705448348875,-88.0992903850704")</f>
        <v>http://maps.google.com/maps?f=q&amp;hl=en&amp;geocode=&amp;q=41.8705448348875,-88.0992903850704</v>
      </c>
    </row>
    <row r="7558" spans="1:7" ht="15" x14ac:dyDescent="0.3">
      <c r="A7558">
        <v>50.587699890136697</v>
      </c>
      <c r="B7558">
        <v>4.32674217224121</v>
      </c>
      <c r="C7558" t="s">
        <v>43</v>
      </c>
      <c r="D7558" t="s">
        <v>4504</v>
      </c>
      <c r="F7558" s="21"/>
      <c r="G7558" s="16" t="str">
        <f>HYPERLINK("http://maps.google.com/maps?f=q&amp;hl=en&amp;geocode=&amp;q=50.5876998901367,4.32674217224121")</f>
        <v>http://maps.google.com/maps?f=q&amp;hl=en&amp;geocode=&amp;q=50.5876998901367,4.32674217224121</v>
      </c>
    </row>
    <row r="7559" spans="1:7" ht="15" x14ac:dyDescent="0.3">
      <c r="A7559">
        <v>39.945340000000002</v>
      </c>
      <c r="B7559">
        <v>-75.241789999999995</v>
      </c>
      <c r="C7559" t="s">
        <v>43</v>
      </c>
      <c r="D7559" t="s">
        <v>4505</v>
      </c>
      <c r="F7559" s="21"/>
      <c r="G7559" s="16" t="str">
        <f>HYPERLINK("http://maps.google.com/maps?f=q&amp;hl=en&amp;geocode=&amp;q=39.94534,-75.24179")</f>
        <v>http://maps.google.com/maps?f=q&amp;hl=en&amp;geocode=&amp;q=39.94534,-75.24179</v>
      </c>
    </row>
    <row r="7560" spans="1:7" ht="15" x14ac:dyDescent="0.3">
      <c r="A7560">
        <v>39.85886</v>
      </c>
      <c r="B7560">
        <v>-88.984170000000006</v>
      </c>
      <c r="C7560" t="s">
        <v>41</v>
      </c>
      <c r="D7560" t="s">
        <v>4506</v>
      </c>
      <c r="F7560" s="21"/>
      <c r="G7560" s="16" t="str">
        <f>HYPERLINK("http://maps.google.com/maps?f=q&amp;hl=en&amp;geocode=&amp;q=39.85886,-88.98417")</f>
        <v>http://maps.google.com/maps?f=q&amp;hl=en&amp;geocode=&amp;q=39.85886,-88.98417</v>
      </c>
    </row>
    <row r="7561" spans="1:7" ht="15" x14ac:dyDescent="0.3">
      <c r="A7561">
        <v>38.622457357798197</v>
      </c>
      <c r="B7561">
        <v>-90.325918167229304</v>
      </c>
      <c r="C7561" t="s">
        <v>41</v>
      </c>
      <c r="D7561" t="s">
        <v>1958</v>
      </c>
      <c r="F7561" s="21"/>
      <c r="G7561" s="16" t="str">
        <f>HYPERLINK("http://maps.google.com/maps?f=q&amp;hl=en&amp;geocode=&amp;q=38.6224573577982,-90.3259181672293")</f>
        <v>http://maps.google.com/maps?f=q&amp;hl=en&amp;geocode=&amp;q=38.6224573577982,-90.3259181672293</v>
      </c>
    </row>
    <row r="7562" spans="1:7" ht="15" x14ac:dyDescent="0.3">
      <c r="A7562">
        <v>38.588470000000001</v>
      </c>
      <c r="B7562">
        <v>-122.58041</v>
      </c>
      <c r="C7562" t="s">
        <v>42</v>
      </c>
      <c r="D7562" t="s">
        <v>4507</v>
      </c>
      <c r="F7562" s="21"/>
      <c r="G7562" s="16" t="str">
        <f>HYPERLINK("http://maps.google.com/maps?f=q&amp;hl=en&amp;geocode=&amp;q=38.58847,-122.58041")</f>
        <v>http://maps.google.com/maps?f=q&amp;hl=en&amp;geocode=&amp;q=38.58847,-122.58041</v>
      </c>
    </row>
    <row r="7563" spans="1:7" ht="15" x14ac:dyDescent="0.3">
      <c r="A7563">
        <v>40.04956</v>
      </c>
      <c r="B7563">
        <v>-75.095280000000002</v>
      </c>
      <c r="C7563" t="s">
        <v>43</v>
      </c>
      <c r="D7563" t="s">
        <v>4508</v>
      </c>
      <c r="F7563" s="21"/>
      <c r="G7563" s="16" t="str">
        <f>HYPERLINK("http://maps.google.com/maps?f=q&amp;hl=en&amp;geocode=&amp;q=40.04956,-75.09528")</f>
        <v>http://maps.google.com/maps?f=q&amp;hl=en&amp;geocode=&amp;q=40.04956,-75.09528</v>
      </c>
    </row>
    <row r="7564" spans="1:7" ht="15" x14ac:dyDescent="0.3">
      <c r="A7564">
        <v>-26.034427642822301</v>
      </c>
      <c r="B7564">
        <v>28.5431098937988</v>
      </c>
      <c r="C7564" t="s">
        <v>43</v>
      </c>
      <c r="D7564" t="s">
        <v>115</v>
      </c>
      <c r="F7564" s="21"/>
      <c r="G7564" s="16" t="str">
        <f>HYPERLINK("http://maps.google.com/maps?f=q&amp;hl=en&amp;geocode=&amp;q=-26.0344276428223,28.5431098937988")</f>
        <v>http://maps.google.com/maps?f=q&amp;hl=en&amp;geocode=&amp;q=-26.0344276428223,28.5431098937988</v>
      </c>
    </row>
    <row r="7565" spans="1:7" ht="15" x14ac:dyDescent="0.3">
      <c r="A7565">
        <v>50.587699890136697</v>
      </c>
      <c r="B7565">
        <v>4.32674217224121</v>
      </c>
      <c r="C7565" t="s">
        <v>41</v>
      </c>
      <c r="D7565">
        <v>1400</v>
      </c>
      <c r="F7565" s="21"/>
      <c r="G7565" s="16" t="str">
        <f>HYPERLINK("http://maps.google.com/maps?f=q&amp;hl=en&amp;geocode=&amp;q=50.5876998901367,4.32674217224121")</f>
        <v>http://maps.google.com/maps?f=q&amp;hl=en&amp;geocode=&amp;q=50.5876998901367,4.32674217224121</v>
      </c>
    </row>
    <row r="7566" spans="1:7" ht="15" x14ac:dyDescent="0.3">
      <c r="A7566">
        <v>42.997422656800801</v>
      </c>
      <c r="B7566">
        <v>-95.623939346082395</v>
      </c>
      <c r="C7566" t="s">
        <v>41</v>
      </c>
      <c r="D7566" t="s">
        <v>71</v>
      </c>
      <c r="F7566" s="21"/>
      <c r="G7566" s="16" t="str">
        <f>HYPERLINK("http://maps.google.com/maps?f=q&amp;hl=en&amp;geocode=&amp;q=42.9974226568008,-95.6239393460824")</f>
        <v>http://maps.google.com/maps?f=q&amp;hl=en&amp;geocode=&amp;q=42.9974226568008,-95.6239393460824</v>
      </c>
    </row>
    <row r="7567" spans="1:7" ht="15" x14ac:dyDescent="0.3">
      <c r="A7567">
        <v>42.997422656800801</v>
      </c>
      <c r="B7567">
        <v>-95.623939346082395</v>
      </c>
      <c r="C7567" t="s">
        <v>41</v>
      </c>
      <c r="D7567" t="s">
        <v>71</v>
      </c>
      <c r="F7567" s="21"/>
      <c r="G7567" s="16" t="str">
        <f>HYPERLINK("http://maps.google.com/maps?f=q&amp;hl=en&amp;geocode=&amp;q=42.9974226568008,-95.6239393460824")</f>
        <v>http://maps.google.com/maps?f=q&amp;hl=en&amp;geocode=&amp;q=42.9974226568008,-95.6239393460824</v>
      </c>
    </row>
    <row r="7568" spans="1:7" ht="15" x14ac:dyDescent="0.3">
      <c r="F7568" s="21"/>
      <c r="G7568" s="16"/>
    </row>
    <row r="7569" spans="1:7" ht="15" x14ac:dyDescent="0.3">
      <c r="A7569">
        <v>-34.928493499755902</v>
      </c>
      <c r="B7569">
        <v>138.60073852539099</v>
      </c>
      <c r="C7569" t="s">
        <v>41</v>
      </c>
      <c r="D7569" t="s">
        <v>4509</v>
      </c>
      <c r="F7569" s="21"/>
      <c r="G7569" s="16" t="str">
        <f>HYPERLINK("http://maps.google.com/maps?f=q&amp;hl=en&amp;geocode=&amp;q=-34.9284934997559,138.600738525391")</f>
        <v>http://maps.google.com/maps?f=q&amp;hl=en&amp;geocode=&amp;q=-34.9284934997559,138.600738525391</v>
      </c>
    </row>
    <row r="7570" spans="1:7" ht="15" x14ac:dyDescent="0.3">
      <c r="A7570">
        <v>39.950969999999998</v>
      </c>
      <c r="B7570">
        <v>-75.222560000000001</v>
      </c>
      <c r="C7570" t="s">
        <v>41</v>
      </c>
      <c r="D7570" t="s">
        <v>665</v>
      </c>
      <c r="F7570" s="21"/>
      <c r="G7570" s="16" t="str">
        <f>HYPERLINK("http://maps.google.com/maps?f=q&amp;hl=en&amp;geocode=&amp;q=39.95097,-75.22256")</f>
        <v>http://maps.google.com/maps?f=q&amp;hl=en&amp;geocode=&amp;q=39.95097,-75.22256</v>
      </c>
    </row>
    <row r="7571" spans="1:7" ht="15" x14ac:dyDescent="0.3">
      <c r="A7571">
        <v>29.583929632853899</v>
      </c>
      <c r="B7571">
        <v>-95.480865252429197</v>
      </c>
      <c r="C7571" t="s">
        <v>43</v>
      </c>
      <c r="D7571" t="s">
        <v>4510</v>
      </c>
      <c r="F7571" s="21"/>
      <c r="G7571" s="16" t="str">
        <f>HYPERLINK("http://maps.google.com/maps?f=q&amp;hl=en&amp;geocode=&amp;q=29.5839296328539,-95.4808652524292")</f>
        <v>http://maps.google.com/maps?f=q&amp;hl=en&amp;geocode=&amp;q=29.5839296328539,-95.4808652524292</v>
      </c>
    </row>
    <row r="7572" spans="1:7" ht="15" x14ac:dyDescent="0.3">
      <c r="A7572">
        <v>43.640470000000001</v>
      </c>
      <c r="B7572">
        <v>-84.798169999999999</v>
      </c>
      <c r="C7572" t="s">
        <v>43</v>
      </c>
      <c r="D7572" t="s">
        <v>4511</v>
      </c>
      <c r="F7572" s="21"/>
      <c r="G7572" s="16" t="str">
        <f>HYPERLINK("http://maps.google.com/maps?f=q&amp;hl=en&amp;geocode=&amp;q=43.64047,-84.79817")</f>
        <v>http://maps.google.com/maps?f=q&amp;hl=en&amp;geocode=&amp;q=43.64047,-84.79817</v>
      </c>
    </row>
    <row r="7573" spans="1:7" ht="15" x14ac:dyDescent="0.3">
      <c r="A7573">
        <v>28.492582321166999</v>
      </c>
      <c r="B7573">
        <v>-82.472221374511705</v>
      </c>
      <c r="C7573" t="s">
        <v>41</v>
      </c>
      <c r="D7573" t="s">
        <v>2573</v>
      </c>
      <c r="F7573" s="21"/>
      <c r="G7573" s="16" t="str">
        <f>HYPERLINK("http://maps.google.com/maps?f=q&amp;hl=en&amp;geocode=&amp;q=28.492582321167,-82.4722213745117")</f>
        <v>http://maps.google.com/maps?f=q&amp;hl=en&amp;geocode=&amp;q=28.492582321167,-82.4722213745117</v>
      </c>
    </row>
    <row r="7574" spans="1:7" ht="15" x14ac:dyDescent="0.3">
      <c r="A7574">
        <v>7.3835182189941397</v>
      </c>
      <c r="B7574">
        <v>-12.2588081359863</v>
      </c>
      <c r="C7574" t="s">
        <v>41</v>
      </c>
      <c r="D7574" t="s">
        <v>202</v>
      </c>
      <c r="F7574" s="21"/>
      <c r="G7574" s="16" t="str">
        <f>HYPERLINK("http://maps.google.com/maps?f=q&amp;hl=en&amp;geocode=&amp;q=7.38351821899414,-12.2588081359863")</f>
        <v>http://maps.google.com/maps?f=q&amp;hl=en&amp;geocode=&amp;q=7.38351821899414,-12.2588081359863</v>
      </c>
    </row>
    <row r="7575" spans="1:7" ht="15" x14ac:dyDescent="0.3">
      <c r="A7575">
        <v>7.3835182189941397</v>
      </c>
      <c r="B7575">
        <v>-12.2588081359863</v>
      </c>
      <c r="C7575" t="s">
        <v>41</v>
      </c>
      <c r="D7575" t="s">
        <v>202</v>
      </c>
      <c r="F7575" s="21"/>
      <c r="G7575" s="16" t="str">
        <f>HYPERLINK("http://maps.google.com/maps?f=q&amp;hl=en&amp;geocode=&amp;q=7.38351821899414,-12.2588081359863")</f>
        <v>http://maps.google.com/maps?f=q&amp;hl=en&amp;geocode=&amp;q=7.38351821899414,-12.2588081359863</v>
      </c>
    </row>
    <row r="7576" spans="1:7" ht="15" x14ac:dyDescent="0.3">
      <c r="A7576">
        <v>38.988394</v>
      </c>
      <c r="B7576">
        <v>-110.15795</v>
      </c>
      <c r="C7576" t="s">
        <v>41</v>
      </c>
      <c r="D7576" t="s">
        <v>4512</v>
      </c>
      <c r="F7576" s="21"/>
      <c r="G7576" s="16" t="str">
        <f>HYPERLINK("http://maps.google.com/maps?f=q&amp;hl=en&amp;geocode=&amp;q=38.988394,-110.15795")</f>
        <v>http://maps.google.com/maps?f=q&amp;hl=en&amp;geocode=&amp;q=38.988394,-110.15795</v>
      </c>
    </row>
    <row r="7577" spans="1:7" ht="15" x14ac:dyDescent="0.3">
      <c r="A7577">
        <v>40.116239326139898</v>
      </c>
      <c r="B7577">
        <v>-75.035864573483494</v>
      </c>
      <c r="C7577" t="s">
        <v>43</v>
      </c>
      <c r="D7577" t="s">
        <v>628</v>
      </c>
      <c r="F7577" s="21"/>
      <c r="G7577" s="16" t="str">
        <f>HYPERLINK("http://maps.google.com/maps?f=q&amp;hl=en&amp;geocode=&amp;q=40.1162393261399,-75.0358645734835")</f>
        <v>http://maps.google.com/maps?f=q&amp;hl=en&amp;geocode=&amp;q=40.1162393261399,-75.0358645734835</v>
      </c>
    </row>
    <row r="7578" spans="1:7" ht="15" x14ac:dyDescent="0.3">
      <c r="A7578">
        <v>35.744709118352098</v>
      </c>
      <c r="B7578">
        <v>-84.316882077442003</v>
      </c>
      <c r="C7578" t="s">
        <v>43</v>
      </c>
      <c r="D7578" t="s">
        <v>4086</v>
      </c>
      <c r="F7578" s="21"/>
      <c r="G7578" s="16" t="str">
        <f>HYPERLINK("http://maps.google.com/maps?f=q&amp;hl=en&amp;geocode=&amp;q=35.7447091183521,-84.316882077442")</f>
        <v>http://maps.google.com/maps?f=q&amp;hl=en&amp;geocode=&amp;q=35.7447091183521,-84.316882077442</v>
      </c>
    </row>
    <row r="7579" spans="1:7" ht="15" x14ac:dyDescent="0.3">
      <c r="A7579">
        <v>39.931530000000002</v>
      </c>
      <c r="B7579">
        <v>-75.151820000000001</v>
      </c>
      <c r="C7579" t="s">
        <v>41</v>
      </c>
      <c r="D7579" t="s">
        <v>4513</v>
      </c>
      <c r="F7579" s="21"/>
      <c r="G7579" s="16" t="str">
        <f>HYPERLINK("http://maps.google.com/maps?f=q&amp;hl=en&amp;geocode=&amp;q=39.93153,-75.15182")</f>
        <v>http://maps.google.com/maps?f=q&amp;hl=en&amp;geocode=&amp;q=39.93153,-75.15182</v>
      </c>
    </row>
    <row r="7580" spans="1:7" ht="15" x14ac:dyDescent="0.3">
      <c r="A7580" t="s">
        <v>44</v>
      </c>
      <c r="B7580" t="s">
        <v>44</v>
      </c>
      <c r="C7580" t="s">
        <v>44</v>
      </c>
      <c r="D7580" t="s">
        <v>4514</v>
      </c>
      <c r="F7580" s="21"/>
      <c r="G7580" s="16"/>
    </row>
    <row r="7581" spans="1:7" ht="15" x14ac:dyDescent="0.3">
      <c r="A7581">
        <v>40.037979125976598</v>
      </c>
      <c r="B7581">
        <v>-75.223060607910199</v>
      </c>
      <c r="C7581" t="s">
        <v>41</v>
      </c>
      <c r="D7581" t="s">
        <v>2505</v>
      </c>
      <c r="F7581" s="21"/>
      <c r="G7581" s="16" t="str">
        <f>HYPERLINK("http://maps.google.com/maps?f=q&amp;hl=en&amp;geocode=&amp;q=40.0379791259766,-75.2230606079102")</f>
        <v>http://maps.google.com/maps?f=q&amp;hl=en&amp;geocode=&amp;q=40.0379791259766,-75.2230606079102</v>
      </c>
    </row>
    <row r="7582" spans="1:7" ht="15" x14ac:dyDescent="0.3">
      <c r="A7582">
        <v>42.130821228027301</v>
      </c>
      <c r="B7582">
        <v>-8.7677803039550799</v>
      </c>
      <c r="C7582" t="s">
        <v>41</v>
      </c>
      <c r="D7582" t="s">
        <v>4515</v>
      </c>
      <c r="F7582" s="21"/>
      <c r="G7582" s="16" t="str">
        <f>HYPERLINK("http://maps.google.com/maps?f=q&amp;hl=en&amp;geocode=&amp;q=42.1308212280273,-8.76778030395508")</f>
        <v>http://maps.google.com/maps?f=q&amp;hl=en&amp;geocode=&amp;q=42.1308212280273,-8.76778030395508</v>
      </c>
    </row>
    <row r="7583" spans="1:7" ht="15" x14ac:dyDescent="0.3">
      <c r="A7583" t="s">
        <v>44</v>
      </c>
      <c r="B7583" t="s">
        <v>44</v>
      </c>
      <c r="C7583" t="s">
        <v>44</v>
      </c>
      <c r="D7583" t="s">
        <v>4108</v>
      </c>
      <c r="F7583" s="21"/>
      <c r="G7583" s="16"/>
    </row>
    <row r="7584" spans="1:7" ht="15" x14ac:dyDescent="0.3">
      <c r="A7584" t="s">
        <v>44</v>
      </c>
      <c r="B7584" t="s">
        <v>44</v>
      </c>
      <c r="C7584" t="s">
        <v>44</v>
      </c>
      <c r="D7584" t="s">
        <v>4108</v>
      </c>
      <c r="F7584" s="21"/>
      <c r="G7584" s="16"/>
    </row>
    <row r="7585" spans="1:7" ht="15" x14ac:dyDescent="0.3">
      <c r="A7585" t="s">
        <v>44</v>
      </c>
      <c r="B7585" t="s">
        <v>44</v>
      </c>
      <c r="C7585" t="s">
        <v>44</v>
      </c>
      <c r="D7585" t="s">
        <v>101</v>
      </c>
      <c r="F7585" s="21"/>
      <c r="G7585" s="16"/>
    </row>
    <row r="7586" spans="1:7" ht="15" x14ac:dyDescent="0.3">
      <c r="A7586">
        <v>52.6822319030762</v>
      </c>
      <c r="B7586">
        <v>0.13165999948978399</v>
      </c>
      <c r="C7586" t="s">
        <v>41</v>
      </c>
      <c r="D7586" t="s">
        <v>1331</v>
      </c>
      <c r="F7586" s="21"/>
      <c r="G7586" s="16" t="str">
        <f>HYPERLINK("http://maps.google.com/maps?f=q&amp;hl=en&amp;geocode=&amp;q=52.6822319030762,0.131659999489784")</f>
        <v>http://maps.google.com/maps?f=q&amp;hl=en&amp;geocode=&amp;q=52.6822319030762,0.131659999489784</v>
      </c>
    </row>
    <row r="7587" spans="1:7" ht="15" x14ac:dyDescent="0.3">
      <c r="A7587">
        <v>52.6822319030762</v>
      </c>
      <c r="B7587">
        <v>0.13165999948978399</v>
      </c>
      <c r="C7587" t="s">
        <v>41</v>
      </c>
      <c r="D7587" t="s">
        <v>1331</v>
      </c>
      <c r="F7587" s="21"/>
      <c r="G7587" s="16" t="str">
        <f>HYPERLINK("http://maps.google.com/maps?f=q&amp;hl=en&amp;geocode=&amp;q=52.6822319030762,0.131659999489784")</f>
        <v>http://maps.google.com/maps?f=q&amp;hl=en&amp;geocode=&amp;q=52.6822319030762,0.131659999489784</v>
      </c>
    </row>
    <row r="7588" spans="1:7" ht="15" x14ac:dyDescent="0.3">
      <c r="A7588" t="s">
        <v>44</v>
      </c>
      <c r="B7588" t="s">
        <v>44</v>
      </c>
      <c r="C7588" t="s">
        <v>44</v>
      </c>
      <c r="D7588" t="s">
        <v>2270</v>
      </c>
      <c r="F7588" s="21"/>
      <c r="G7588" s="16"/>
    </row>
    <row r="7589" spans="1:7" ht="15" x14ac:dyDescent="0.3">
      <c r="A7589">
        <v>51.132999420166001</v>
      </c>
      <c r="B7589">
        <v>9.1669998168945295</v>
      </c>
      <c r="C7589" t="s">
        <v>41</v>
      </c>
      <c r="D7589" t="s">
        <v>4516</v>
      </c>
      <c r="F7589" s="21"/>
      <c r="G7589" s="16" t="str">
        <f>HYPERLINK("http://maps.google.com/maps?f=q&amp;hl=en&amp;geocode=&amp;q=51.132999420166,9.16699981689453")</f>
        <v>http://maps.google.com/maps?f=q&amp;hl=en&amp;geocode=&amp;q=51.132999420166,9.16699981689453</v>
      </c>
    </row>
    <row r="7590" spans="1:7" ht="15" x14ac:dyDescent="0.3">
      <c r="A7590" t="s">
        <v>44</v>
      </c>
      <c r="B7590" t="s">
        <v>44</v>
      </c>
      <c r="C7590" t="s">
        <v>44</v>
      </c>
      <c r="D7590" t="s">
        <v>4517</v>
      </c>
      <c r="F7590" s="21"/>
      <c r="G7590" s="16"/>
    </row>
    <row r="7591" spans="1:7" ht="15" x14ac:dyDescent="0.3">
      <c r="A7591">
        <v>51.132999420166001</v>
      </c>
      <c r="B7591">
        <v>9.1669998168945295</v>
      </c>
      <c r="C7591" t="s">
        <v>41</v>
      </c>
      <c r="D7591" t="s">
        <v>4516</v>
      </c>
      <c r="F7591" s="21"/>
      <c r="G7591" s="16" t="str">
        <f>HYPERLINK("http://maps.google.com/maps?f=q&amp;hl=en&amp;geocode=&amp;q=51.132999420166,9.16699981689453")</f>
        <v>http://maps.google.com/maps?f=q&amp;hl=en&amp;geocode=&amp;q=51.132999420166,9.16699981689453</v>
      </c>
    </row>
    <row r="7592" spans="1:7" ht="15" x14ac:dyDescent="0.3">
      <c r="A7592">
        <v>43.321670532226598</v>
      </c>
      <c r="B7592">
        <v>-92.866836547851605</v>
      </c>
      <c r="C7592" t="s">
        <v>43</v>
      </c>
      <c r="D7592" t="s">
        <v>4518</v>
      </c>
      <c r="F7592" s="21"/>
      <c r="G7592" s="16" t="str">
        <f>HYPERLINK("http://maps.google.com/maps?f=q&amp;hl=en&amp;geocode=&amp;q=43.3216705322266,-92.8668365478516")</f>
        <v>http://maps.google.com/maps?f=q&amp;hl=en&amp;geocode=&amp;q=43.3216705322266,-92.8668365478516</v>
      </c>
    </row>
    <row r="7593" spans="1:7" ht="15" x14ac:dyDescent="0.3">
      <c r="A7593">
        <v>39.940130021362599</v>
      </c>
      <c r="B7593">
        <v>-75.171688950762402</v>
      </c>
      <c r="C7593" t="s">
        <v>41</v>
      </c>
      <c r="D7593" t="s">
        <v>3812</v>
      </c>
      <c r="F7593" s="21"/>
      <c r="G7593" s="16" t="str">
        <f>HYPERLINK("http://maps.google.com/maps?f=q&amp;hl=en&amp;geocode=&amp;q=39.9401300213626,-75.1716889507624")</f>
        <v>http://maps.google.com/maps?f=q&amp;hl=en&amp;geocode=&amp;q=39.9401300213626,-75.1716889507624</v>
      </c>
    </row>
    <row r="7594" spans="1:7" ht="15" x14ac:dyDescent="0.3">
      <c r="A7594">
        <v>31.55846</v>
      </c>
      <c r="B7594">
        <v>-97.15804</v>
      </c>
      <c r="C7594" t="s">
        <v>41</v>
      </c>
      <c r="D7594" t="s">
        <v>4519</v>
      </c>
      <c r="F7594" s="21"/>
      <c r="G7594" s="16" t="str">
        <f>HYPERLINK("http://maps.google.com/maps?f=q&amp;hl=en&amp;geocode=&amp;q=31.55846,-97.15804")</f>
        <v>http://maps.google.com/maps?f=q&amp;hl=en&amp;geocode=&amp;q=31.55846,-97.15804</v>
      </c>
    </row>
    <row r="7595" spans="1:7" ht="15" x14ac:dyDescent="0.3">
      <c r="A7595">
        <v>33.672056381324801</v>
      </c>
      <c r="B7595">
        <v>-102.561453241688</v>
      </c>
      <c r="C7595" t="s">
        <v>41</v>
      </c>
      <c r="D7595" t="s">
        <v>951</v>
      </c>
      <c r="F7595" s="21"/>
      <c r="G7595" s="16" t="str">
        <f>HYPERLINK("http://maps.google.com/maps?f=q&amp;hl=en&amp;geocode=&amp;q=33.6720563813248,-102.561453241688")</f>
        <v>http://maps.google.com/maps?f=q&amp;hl=en&amp;geocode=&amp;q=33.6720563813248,-102.561453241688</v>
      </c>
    </row>
    <row r="7596" spans="1:7" ht="15" x14ac:dyDescent="0.3">
      <c r="A7596">
        <v>50.587699890136697</v>
      </c>
      <c r="B7596">
        <v>4.32674217224121</v>
      </c>
      <c r="C7596" t="s">
        <v>43</v>
      </c>
      <c r="D7596" t="s">
        <v>4520</v>
      </c>
      <c r="F7596" s="21"/>
      <c r="G7596" s="16" t="str">
        <f>HYPERLINK("http://maps.google.com/maps?f=q&amp;hl=en&amp;geocode=&amp;q=50.5876998901367,4.32674217224121")</f>
        <v>http://maps.google.com/maps?f=q&amp;hl=en&amp;geocode=&amp;q=50.5876998901367,4.32674217224121</v>
      </c>
    </row>
    <row r="7597" spans="1:7" ht="15" x14ac:dyDescent="0.3">
      <c r="A7597">
        <v>39.982474788885099</v>
      </c>
      <c r="B7597">
        <v>-75.107415818647297</v>
      </c>
      <c r="C7597" t="s">
        <v>41</v>
      </c>
      <c r="D7597" t="s">
        <v>4521</v>
      </c>
      <c r="F7597" s="21"/>
      <c r="G7597" s="16" t="str">
        <f>HYPERLINK("http://maps.google.com/maps?f=q&amp;hl=en&amp;geocode=&amp;q=39.9824747888851,-75.1074158186473")</f>
        <v>http://maps.google.com/maps?f=q&amp;hl=en&amp;geocode=&amp;q=39.9824747888851,-75.1074158186473</v>
      </c>
    </row>
    <row r="7598" spans="1:7" ht="15" x14ac:dyDescent="0.3">
      <c r="A7598">
        <v>39.984005437389399</v>
      </c>
      <c r="B7598">
        <v>-75.108766935152005</v>
      </c>
      <c r="C7598" t="s">
        <v>41</v>
      </c>
      <c r="D7598" t="s">
        <v>4228</v>
      </c>
      <c r="F7598" s="21"/>
      <c r="G7598" s="16" t="str">
        <f>HYPERLINK("http://maps.google.com/maps?f=q&amp;hl=en&amp;geocode=&amp;q=39.9840054373894,-75.108766935152")</f>
        <v>http://maps.google.com/maps?f=q&amp;hl=en&amp;geocode=&amp;q=39.9840054373894,-75.108766935152</v>
      </c>
    </row>
    <row r="7599" spans="1:7" ht="15" x14ac:dyDescent="0.3">
      <c r="A7599">
        <v>40.0342069636894</v>
      </c>
      <c r="B7599">
        <v>-75.060880548775103</v>
      </c>
      <c r="C7599" t="s">
        <v>43</v>
      </c>
      <c r="D7599" t="s">
        <v>4522</v>
      </c>
      <c r="F7599" s="21"/>
      <c r="G7599" s="16" t="str">
        <f>HYPERLINK("http://maps.google.com/maps?f=q&amp;hl=en&amp;geocode=&amp;q=40.0342069636894,-75.0608805487751")</f>
        <v>http://maps.google.com/maps?f=q&amp;hl=en&amp;geocode=&amp;q=40.0342069636894,-75.0608805487751</v>
      </c>
    </row>
    <row r="7600" spans="1:7" ht="15" x14ac:dyDescent="0.3">
      <c r="A7600">
        <v>47.414239999999999</v>
      </c>
      <c r="B7600">
        <v>7.0715199999999996</v>
      </c>
      <c r="C7600" t="s">
        <v>41</v>
      </c>
      <c r="D7600" t="s">
        <v>4523</v>
      </c>
      <c r="F7600" s="21"/>
      <c r="G7600" s="16" t="str">
        <f>HYPERLINK("http://maps.google.com/maps?f=q&amp;hl=en&amp;geocode=&amp;q=47.41424,7.07152")</f>
        <v>http://maps.google.com/maps?f=q&amp;hl=en&amp;geocode=&amp;q=47.41424,7.07152</v>
      </c>
    </row>
    <row r="7601" spans="1:7" ht="15" x14ac:dyDescent="0.3">
      <c r="A7601">
        <v>42.659824371337898</v>
      </c>
      <c r="B7601">
        <v>23.607048034668001</v>
      </c>
      <c r="C7601" t="s">
        <v>43</v>
      </c>
      <c r="D7601" t="s">
        <v>4524</v>
      </c>
      <c r="F7601" s="21"/>
      <c r="G7601" s="16" t="str">
        <f>HYPERLINK("http://maps.google.com/maps?f=q&amp;hl=en&amp;geocode=&amp;q=42.6598243713379,23.607048034668")</f>
        <v>http://maps.google.com/maps?f=q&amp;hl=en&amp;geocode=&amp;q=42.6598243713379,23.607048034668</v>
      </c>
    </row>
    <row r="7602" spans="1:7" ht="15" x14ac:dyDescent="0.3">
      <c r="A7602">
        <v>45.315280914306598</v>
      </c>
      <c r="B7602">
        <v>-69.203948974609403</v>
      </c>
      <c r="C7602" t="s">
        <v>41</v>
      </c>
      <c r="D7602" t="s">
        <v>4525</v>
      </c>
      <c r="F7602" s="21"/>
      <c r="G7602" s="16" t="str">
        <f>HYPERLINK("http://maps.google.com/maps?f=q&amp;hl=en&amp;geocode=&amp;q=45.3152809143066,-69.2039489746094")</f>
        <v>http://maps.google.com/maps?f=q&amp;hl=en&amp;geocode=&amp;q=45.3152809143066,-69.2039489746094</v>
      </c>
    </row>
    <row r="7603" spans="1:7" ht="15" x14ac:dyDescent="0.3">
      <c r="A7603">
        <v>36.248629999999999</v>
      </c>
      <c r="B7603">
        <v>-119.31603</v>
      </c>
      <c r="C7603" t="s">
        <v>41</v>
      </c>
      <c r="D7603" t="s">
        <v>469</v>
      </c>
      <c r="F7603" s="21"/>
      <c r="G7603" s="16" t="str">
        <f>HYPERLINK("http://maps.google.com/maps?f=q&amp;hl=en&amp;geocode=&amp;q=36.24863,-119.31603")</f>
        <v>http://maps.google.com/maps?f=q&amp;hl=en&amp;geocode=&amp;q=36.24863,-119.31603</v>
      </c>
    </row>
    <row r="7604" spans="1:7" ht="15" x14ac:dyDescent="0.3">
      <c r="A7604">
        <v>41.868020000000001</v>
      </c>
      <c r="B7604">
        <v>-91.57611</v>
      </c>
      <c r="C7604" t="s">
        <v>41</v>
      </c>
      <c r="D7604" t="s">
        <v>243</v>
      </c>
      <c r="F7604" s="21"/>
      <c r="G7604" s="16" t="str">
        <f>HYPERLINK("http://maps.google.com/maps?f=q&amp;hl=en&amp;geocode=&amp;q=41.86802,-91.57611")</f>
        <v>http://maps.google.com/maps?f=q&amp;hl=en&amp;geocode=&amp;q=41.86802,-91.57611</v>
      </c>
    </row>
    <row r="7605" spans="1:7" ht="15" x14ac:dyDescent="0.3">
      <c r="A7605" t="s">
        <v>44</v>
      </c>
      <c r="B7605" t="s">
        <v>44</v>
      </c>
      <c r="C7605" t="s">
        <v>44</v>
      </c>
      <c r="D7605" t="s">
        <v>2890</v>
      </c>
      <c r="F7605" s="21"/>
      <c r="G7605" s="16"/>
    </row>
    <row r="7606" spans="1:7" ht="15" x14ac:dyDescent="0.3">
      <c r="A7606">
        <v>-33.26193</v>
      </c>
      <c r="B7606">
        <v>149.10588989999999</v>
      </c>
      <c r="C7606" t="s">
        <v>41</v>
      </c>
      <c r="D7606" t="s">
        <v>4526</v>
      </c>
      <c r="F7606" s="21"/>
      <c r="G7606" s="16" t="str">
        <f>HYPERLINK("http://maps.google.com/maps?f=q&amp;hl=en&amp;geocode=&amp;q=-33.26193,149.1058899")</f>
        <v>http://maps.google.com/maps?f=q&amp;hl=en&amp;geocode=&amp;q=-33.26193,149.1058899</v>
      </c>
    </row>
    <row r="7607" spans="1:7" ht="15" x14ac:dyDescent="0.3">
      <c r="A7607">
        <v>40.076573314535203</v>
      </c>
      <c r="B7607">
        <v>-75.204974010194803</v>
      </c>
      <c r="C7607" t="s">
        <v>41</v>
      </c>
      <c r="D7607" t="s">
        <v>4527</v>
      </c>
      <c r="F7607" s="21"/>
      <c r="G7607" s="16" t="str">
        <f>HYPERLINK("http://maps.google.com/maps?f=q&amp;hl=en&amp;geocode=&amp;q=40.0765733145352,-75.2049740101948")</f>
        <v>http://maps.google.com/maps?f=q&amp;hl=en&amp;geocode=&amp;q=40.0765733145352,-75.2049740101948</v>
      </c>
    </row>
    <row r="7608" spans="1:7" ht="15" x14ac:dyDescent="0.3">
      <c r="A7608">
        <v>40.042850000000001</v>
      </c>
      <c r="B7608">
        <v>-75.127189999999999</v>
      </c>
      <c r="C7608" t="s">
        <v>43</v>
      </c>
      <c r="D7608" t="s">
        <v>3311</v>
      </c>
      <c r="F7608" s="21"/>
      <c r="G7608" s="16" t="str">
        <f>HYPERLINK("http://maps.google.com/maps?f=q&amp;hl=en&amp;geocode=&amp;q=40.04285,-75.12719")</f>
        <v>http://maps.google.com/maps?f=q&amp;hl=en&amp;geocode=&amp;q=40.04285,-75.12719</v>
      </c>
    </row>
    <row r="7609" spans="1:7" ht="15" x14ac:dyDescent="0.3">
      <c r="A7609">
        <v>38.519611358642599</v>
      </c>
      <c r="B7609">
        <v>-90.209381103515597</v>
      </c>
      <c r="C7609" t="s">
        <v>41</v>
      </c>
      <c r="D7609" t="s">
        <v>1060</v>
      </c>
      <c r="F7609" s="21"/>
      <c r="G7609" s="16" t="str">
        <f>HYPERLINK("http://maps.google.com/maps?f=q&amp;hl=en&amp;geocode=&amp;q=38.5196113586426,-90.2093811035156")</f>
        <v>http://maps.google.com/maps?f=q&amp;hl=en&amp;geocode=&amp;q=38.5196113586426,-90.2093811035156</v>
      </c>
    </row>
    <row r="7610" spans="1:7" ht="15" x14ac:dyDescent="0.3">
      <c r="A7610">
        <v>43.216479220342997</v>
      </c>
      <c r="B7610">
        <v>-75.418876424553204</v>
      </c>
      <c r="C7610" t="s">
        <v>41</v>
      </c>
      <c r="D7610" t="s">
        <v>4528</v>
      </c>
      <c r="F7610" s="21"/>
      <c r="G7610" s="16" t="str">
        <f>HYPERLINK("http://maps.google.com/maps?f=q&amp;hl=en&amp;geocode=&amp;q=43.216479220343,-75.4188764245532")</f>
        <v>http://maps.google.com/maps?f=q&amp;hl=en&amp;geocode=&amp;q=43.216479220343,-75.4188764245532</v>
      </c>
    </row>
    <row r="7611" spans="1:7" ht="15" x14ac:dyDescent="0.3">
      <c r="A7611">
        <v>41.932369232177699</v>
      </c>
      <c r="B7611">
        <v>-89.068351745605497</v>
      </c>
      <c r="C7611" t="s">
        <v>43</v>
      </c>
      <c r="D7611" t="s">
        <v>4529</v>
      </c>
      <c r="F7611" s="21"/>
      <c r="G7611" s="16" t="str">
        <f>HYPERLINK("http://maps.google.com/maps?f=q&amp;hl=en&amp;geocode=&amp;q=41.9323692321777,-89.0683517456055")</f>
        <v>http://maps.google.com/maps?f=q&amp;hl=en&amp;geocode=&amp;q=41.9323692321777,-89.0683517456055</v>
      </c>
    </row>
    <row r="7612" spans="1:7" ht="15" x14ac:dyDescent="0.3">
      <c r="A7612">
        <v>40.024738311767599</v>
      </c>
      <c r="B7612">
        <v>-75.213882446289105</v>
      </c>
      <c r="C7612" t="s">
        <v>43</v>
      </c>
      <c r="D7612" t="s">
        <v>4530</v>
      </c>
      <c r="F7612" s="21"/>
      <c r="G7612" s="16" t="str">
        <f>HYPERLINK("http://maps.google.com/maps?f=q&amp;hl=en&amp;geocode=&amp;q=40.0247383117676,-75.2138824462891")</f>
        <v>http://maps.google.com/maps?f=q&amp;hl=en&amp;geocode=&amp;q=40.0247383117676,-75.2138824462891</v>
      </c>
    </row>
    <row r="7613" spans="1:7" ht="15" x14ac:dyDescent="0.3">
      <c r="A7613">
        <v>40.098059999999997</v>
      </c>
      <c r="B7613">
        <v>-89.08296</v>
      </c>
      <c r="C7613" t="s">
        <v>41</v>
      </c>
      <c r="D7613" t="s">
        <v>4531</v>
      </c>
      <c r="F7613" s="21"/>
      <c r="G7613" s="16" t="str">
        <f>HYPERLINK("http://maps.google.com/maps?f=q&amp;hl=en&amp;geocode=&amp;q=40.09806,-89.08296")</f>
        <v>http://maps.google.com/maps?f=q&amp;hl=en&amp;geocode=&amp;q=40.09806,-89.08296</v>
      </c>
    </row>
    <row r="7614" spans="1:7" ht="15" x14ac:dyDescent="0.3">
      <c r="A7614" t="s">
        <v>44</v>
      </c>
      <c r="B7614" t="s">
        <v>44</v>
      </c>
      <c r="C7614" t="s">
        <v>44</v>
      </c>
      <c r="D7614" t="s">
        <v>4532</v>
      </c>
      <c r="F7614" s="21"/>
      <c r="G7614" s="16"/>
    </row>
    <row r="7615" spans="1:7" ht="15" x14ac:dyDescent="0.3">
      <c r="A7615">
        <v>32.082140239188803</v>
      </c>
      <c r="B7615">
        <v>-83.800395206036399</v>
      </c>
      <c r="C7615" t="s">
        <v>41</v>
      </c>
      <c r="D7615" t="s">
        <v>1918</v>
      </c>
      <c r="F7615" s="21"/>
      <c r="G7615" s="16" t="str">
        <f>HYPERLINK("http://maps.google.com/maps?f=q&amp;hl=en&amp;geocode=&amp;q=32.0821402391888,-83.8003952060364")</f>
        <v>http://maps.google.com/maps?f=q&amp;hl=en&amp;geocode=&amp;q=32.0821402391888,-83.8003952060364</v>
      </c>
    </row>
    <row r="7616" spans="1:7" ht="15" x14ac:dyDescent="0.3">
      <c r="A7616" t="s">
        <v>44</v>
      </c>
      <c r="B7616" t="s">
        <v>44</v>
      </c>
      <c r="C7616" t="s">
        <v>44</v>
      </c>
      <c r="D7616" t="s">
        <v>4533</v>
      </c>
      <c r="F7616" s="21"/>
      <c r="G7616" s="16"/>
    </row>
    <row r="7617" spans="1:7" ht="15" x14ac:dyDescent="0.3">
      <c r="A7617">
        <v>42.659824371337898</v>
      </c>
      <c r="B7617">
        <v>23.607048034668001</v>
      </c>
      <c r="C7617" t="s">
        <v>43</v>
      </c>
      <c r="D7617" t="s">
        <v>2002</v>
      </c>
      <c r="F7617" s="21"/>
      <c r="G7617" s="16" t="str">
        <f>HYPERLINK("http://maps.google.com/maps?f=q&amp;hl=en&amp;geocode=&amp;q=42.6598243713379,23.607048034668")</f>
        <v>http://maps.google.com/maps?f=q&amp;hl=en&amp;geocode=&amp;q=42.6598243713379,23.607048034668</v>
      </c>
    </row>
    <row r="7618" spans="1:7" ht="15" x14ac:dyDescent="0.3">
      <c r="A7618" t="s">
        <v>44</v>
      </c>
      <c r="B7618" t="s">
        <v>44</v>
      </c>
      <c r="C7618" t="s">
        <v>44</v>
      </c>
      <c r="D7618" t="s">
        <v>4108</v>
      </c>
      <c r="F7618" s="21"/>
      <c r="G7618" s="16"/>
    </row>
    <row r="7619" spans="1:7" ht="15" x14ac:dyDescent="0.3">
      <c r="A7619">
        <v>30.013597252129799</v>
      </c>
      <c r="B7619">
        <v>-90.178112333309699</v>
      </c>
      <c r="C7619" t="s">
        <v>41</v>
      </c>
      <c r="D7619" t="s">
        <v>176</v>
      </c>
      <c r="F7619" s="21"/>
      <c r="G7619" s="16" t="str">
        <f>HYPERLINK("http://maps.google.com/maps?f=q&amp;hl=en&amp;geocode=&amp;q=30.0135972521298,-90.1781123333097")</f>
        <v>http://maps.google.com/maps?f=q&amp;hl=en&amp;geocode=&amp;q=30.0135972521298,-90.1781123333097</v>
      </c>
    </row>
    <row r="7620" spans="1:7" ht="15" x14ac:dyDescent="0.3">
      <c r="A7620">
        <v>47.055850982666001</v>
      </c>
      <c r="B7620">
        <v>6.7508301734924299</v>
      </c>
      <c r="C7620" t="s">
        <v>43</v>
      </c>
      <c r="D7620" t="s">
        <v>2283</v>
      </c>
      <c r="F7620" s="21"/>
      <c r="G7620" s="16" t="str">
        <f>HYPERLINK("http://maps.google.com/maps?f=q&amp;hl=en&amp;geocode=&amp;q=47.055850982666,6.75083017349243")</f>
        <v>http://maps.google.com/maps?f=q&amp;hl=en&amp;geocode=&amp;q=47.055850982666,6.75083017349243</v>
      </c>
    </row>
    <row r="7621" spans="1:7" ht="15" x14ac:dyDescent="0.3">
      <c r="A7621">
        <v>47.055850982666001</v>
      </c>
      <c r="B7621">
        <v>6.7508301734924299</v>
      </c>
      <c r="C7621" t="s">
        <v>43</v>
      </c>
      <c r="D7621" t="s">
        <v>2283</v>
      </c>
      <c r="F7621" s="21"/>
      <c r="G7621" s="16" t="str">
        <f>HYPERLINK("http://maps.google.com/maps?f=q&amp;hl=en&amp;geocode=&amp;q=47.055850982666,6.75083017349243")</f>
        <v>http://maps.google.com/maps?f=q&amp;hl=en&amp;geocode=&amp;q=47.055850982666,6.75083017349243</v>
      </c>
    </row>
    <row r="7622" spans="1:7" ht="15" x14ac:dyDescent="0.3">
      <c r="A7622">
        <v>51.489100000000001</v>
      </c>
      <c r="B7622">
        <v>0.33522000000000002</v>
      </c>
      <c r="C7622" t="s">
        <v>43</v>
      </c>
      <c r="D7622" t="s">
        <v>4534</v>
      </c>
      <c r="F7622" s="21"/>
      <c r="G7622" s="16" t="str">
        <f>HYPERLINK("http://maps.google.com/maps?f=q&amp;hl=en&amp;geocode=&amp;q=51.4891,0.33522")</f>
        <v>http://maps.google.com/maps?f=q&amp;hl=en&amp;geocode=&amp;q=51.4891,0.33522</v>
      </c>
    </row>
    <row r="7623" spans="1:7" ht="15" x14ac:dyDescent="0.3">
      <c r="A7623">
        <v>47.055850982666001</v>
      </c>
      <c r="B7623">
        <v>6.7508301734924299</v>
      </c>
      <c r="C7623" t="s">
        <v>43</v>
      </c>
      <c r="D7623" t="s">
        <v>2283</v>
      </c>
      <c r="F7623" s="21"/>
      <c r="G7623" s="16" t="str">
        <f>HYPERLINK("http://maps.google.com/maps?f=q&amp;hl=en&amp;geocode=&amp;q=47.055850982666,6.75083017349243")</f>
        <v>http://maps.google.com/maps?f=q&amp;hl=en&amp;geocode=&amp;q=47.055850982666,6.75083017349243</v>
      </c>
    </row>
    <row r="7624" spans="1:7" ht="15" x14ac:dyDescent="0.3">
      <c r="A7624">
        <v>47.055850982666001</v>
      </c>
      <c r="B7624">
        <v>6.7508301734924299</v>
      </c>
      <c r="C7624" t="s">
        <v>43</v>
      </c>
      <c r="D7624" t="s">
        <v>1771</v>
      </c>
      <c r="F7624" s="21"/>
      <c r="G7624" s="16" t="str">
        <f>HYPERLINK("http://maps.google.com/maps?f=q&amp;hl=en&amp;geocode=&amp;q=47.055850982666,6.75083017349243")</f>
        <v>http://maps.google.com/maps?f=q&amp;hl=en&amp;geocode=&amp;q=47.055850982666,6.75083017349243</v>
      </c>
    </row>
    <row r="7625" spans="1:7" ht="15" x14ac:dyDescent="0.3">
      <c r="A7625">
        <v>49.6153373718262</v>
      </c>
      <c r="B7625">
        <v>6.1284661293029803</v>
      </c>
      <c r="C7625" t="s">
        <v>41</v>
      </c>
      <c r="D7625" t="s">
        <v>4535</v>
      </c>
      <c r="F7625" s="21"/>
      <c r="G7625" s="16" t="str">
        <f>HYPERLINK("http://maps.google.com/maps?f=q&amp;hl=en&amp;geocode=&amp;q=49.6153373718262,6.12846612930298")</f>
        <v>http://maps.google.com/maps?f=q&amp;hl=en&amp;geocode=&amp;q=49.6153373718262,6.12846612930298</v>
      </c>
    </row>
    <row r="7626" spans="1:7" ht="15" x14ac:dyDescent="0.3">
      <c r="A7626">
        <v>35.782380000000003</v>
      </c>
      <c r="B7626">
        <v>-86.408569999999997</v>
      </c>
      <c r="C7626" t="s">
        <v>42</v>
      </c>
      <c r="D7626" t="s">
        <v>4536</v>
      </c>
      <c r="F7626" s="21"/>
      <c r="G7626" s="16" t="str">
        <f>HYPERLINK("http://maps.google.com/maps?f=q&amp;hl=en&amp;geocode=&amp;q=35.78238,-86.40857")</f>
        <v>http://maps.google.com/maps?f=q&amp;hl=en&amp;geocode=&amp;q=35.78238,-86.40857</v>
      </c>
    </row>
    <row r="7627" spans="1:7" ht="15" x14ac:dyDescent="0.3">
      <c r="A7627" t="s">
        <v>44</v>
      </c>
      <c r="B7627" t="s">
        <v>44</v>
      </c>
      <c r="C7627" t="s">
        <v>44</v>
      </c>
      <c r="D7627" t="s">
        <v>981</v>
      </c>
      <c r="F7627" s="21"/>
      <c r="G7627" s="16"/>
    </row>
    <row r="7628" spans="1:7" ht="15" x14ac:dyDescent="0.3">
      <c r="A7628" t="s">
        <v>44</v>
      </c>
      <c r="B7628" t="s">
        <v>44</v>
      </c>
      <c r="C7628" t="s">
        <v>44</v>
      </c>
      <c r="D7628" t="s">
        <v>1004</v>
      </c>
      <c r="F7628" s="21"/>
      <c r="G7628" s="16"/>
    </row>
    <row r="7629" spans="1:7" ht="15" x14ac:dyDescent="0.3">
      <c r="A7629">
        <v>33.633416051250002</v>
      </c>
      <c r="B7629">
        <v>-84.841663607768197</v>
      </c>
      <c r="C7629" t="s">
        <v>41</v>
      </c>
      <c r="D7629" t="s">
        <v>4537</v>
      </c>
      <c r="F7629" s="21"/>
      <c r="G7629" s="16" t="str">
        <f>HYPERLINK("http://maps.google.com/maps?f=q&amp;hl=en&amp;geocode=&amp;q=33.63341605125,-84.8416636077682")</f>
        <v>http://maps.google.com/maps?f=q&amp;hl=en&amp;geocode=&amp;q=33.63341605125,-84.8416636077682</v>
      </c>
    </row>
    <row r="7630" spans="1:7" ht="15" x14ac:dyDescent="0.3">
      <c r="A7630">
        <v>39.915590000000002</v>
      </c>
      <c r="B7630">
        <v>-75.233189999999993</v>
      </c>
      <c r="C7630" t="s">
        <v>41</v>
      </c>
      <c r="D7630" t="s">
        <v>3869</v>
      </c>
      <c r="F7630" s="21"/>
      <c r="G7630" s="16" t="str">
        <f>HYPERLINK("http://maps.google.com/maps?f=q&amp;hl=en&amp;geocode=&amp;q=39.91559,-75.23319")</f>
        <v>http://maps.google.com/maps?f=q&amp;hl=en&amp;geocode=&amp;q=39.91559,-75.23319</v>
      </c>
    </row>
    <row r="7631" spans="1:7" ht="15" x14ac:dyDescent="0.3">
      <c r="A7631">
        <v>40.015053357098097</v>
      </c>
      <c r="B7631">
        <v>-75.135397193599303</v>
      </c>
      <c r="C7631" t="s">
        <v>43</v>
      </c>
      <c r="D7631" t="s">
        <v>2483</v>
      </c>
      <c r="F7631" s="21"/>
      <c r="G7631" s="16" t="str">
        <f>HYPERLINK("http://maps.google.com/maps?f=q&amp;hl=en&amp;geocode=&amp;q=40.0150533570981,-75.1353971935993")</f>
        <v>http://maps.google.com/maps?f=q&amp;hl=en&amp;geocode=&amp;q=40.0150533570981,-75.1353971935993</v>
      </c>
    </row>
    <row r="7632" spans="1:7" ht="15" x14ac:dyDescent="0.3">
      <c r="A7632">
        <v>44.325989999999997</v>
      </c>
      <c r="B7632">
        <v>-94.468639999999994</v>
      </c>
      <c r="C7632" t="s">
        <v>41</v>
      </c>
      <c r="D7632" t="s">
        <v>4538</v>
      </c>
      <c r="F7632" s="21"/>
      <c r="G7632" s="16" t="str">
        <f>HYPERLINK("http://maps.google.com/maps?f=q&amp;hl=en&amp;geocode=&amp;q=44.32599,-94.46864")</f>
        <v>http://maps.google.com/maps?f=q&amp;hl=en&amp;geocode=&amp;q=44.32599,-94.46864</v>
      </c>
    </row>
    <row r="7633" spans="1:7" ht="15" x14ac:dyDescent="0.3">
      <c r="A7633">
        <v>39.996954737656701</v>
      </c>
      <c r="B7633">
        <v>-75.117221959843704</v>
      </c>
      <c r="C7633" t="s">
        <v>41</v>
      </c>
      <c r="D7633" t="s">
        <v>521</v>
      </c>
      <c r="F7633" s="21"/>
      <c r="G7633" s="16" t="str">
        <f>HYPERLINK("http://maps.google.com/maps?f=q&amp;hl=en&amp;geocode=&amp;q=39.9969547376567,-75.1172219598437")</f>
        <v>http://maps.google.com/maps?f=q&amp;hl=en&amp;geocode=&amp;q=39.9969547376567,-75.1172219598437</v>
      </c>
    </row>
    <row r="7634" spans="1:7" ht="15" x14ac:dyDescent="0.3">
      <c r="A7634">
        <v>49.624546051025398</v>
      </c>
      <c r="B7634">
        <v>6.1201701164245597</v>
      </c>
      <c r="C7634" t="s">
        <v>41</v>
      </c>
      <c r="D7634" t="s">
        <v>4539</v>
      </c>
      <c r="F7634" s="21"/>
      <c r="G7634" s="16" t="str">
        <f>HYPERLINK("http://maps.google.com/maps?f=q&amp;hl=en&amp;geocode=&amp;q=49.6245460510254,6.12017011642456")</f>
        <v>http://maps.google.com/maps?f=q&amp;hl=en&amp;geocode=&amp;q=49.6245460510254,6.12017011642456</v>
      </c>
    </row>
    <row r="7635" spans="1:7" ht="15" x14ac:dyDescent="0.3">
      <c r="A7635">
        <v>52.487189999999998</v>
      </c>
      <c r="B7635">
        <v>0.67998999999999998</v>
      </c>
      <c r="C7635" t="s">
        <v>41</v>
      </c>
      <c r="D7635" t="s">
        <v>3126</v>
      </c>
      <c r="F7635" s="21"/>
      <c r="G7635" s="16" t="str">
        <f>HYPERLINK("http://maps.google.com/maps?f=q&amp;hl=en&amp;geocode=&amp;q=52.48719,0.67999")</f>
        <v>http://maps.google.com/maps?f=q&amp;hl=en&amp;geocode=&amp;q=52.48719,0.67999</v>
      </c>
    </row>
    <row r="7636" spans="1:7" ht="15" x14ac:dyDescent="0.3">
      <c r="A7636">
        <v>50.265678405761697</v>
      </c>
      <c r="B7636">
        <v>-119.27378082275401</v>
      </c>
      <c r="C7636" t="s">
        <v>43</v>
      </c>
      <c r="D7636" t="s">
        <v>4540</v>
      </c>
      <c r="F7636" s="21"/>
      <c r="G7636" s="16" t="str">
        <f>HYPERLINK("http://maps.google.com/maps?f=q&amp;hl=en&amp;geocode=&amp;q=50.2656784057617,-119.273780822754")</f>
        <v>http://maps.google.com/maps?f=q&amp;hl=en&amp;geocode=&amp;q=50.2656784057617,-119.273780822754</v>
      </c>
    </row>
    <row r="7637" spans="1:7" ht="15" x14ac:dyDescent="0.3">
      <c r="A7637" t="s">
        <v>44</v>
      </c>
      <c r="B7637" t="s">
        <v>44</v>
      </c>
      <c r="C7637" t="s">
        <v>44</v>
      </c>
      <c r="D7637" t="s">
        <v>4541</v>
      </c>
      <c r="F7637" s="21"/>
      <c r="G7637" s="16"/>
    </row>
    <row r="7638" spans="1:7" ht="15" x14ac:dyDescent="0.3">
      <c r="A7638">
        <v>41.217081324749003</v>
      </c>
      <c r="B7638">
        <v>-79.758092826147106</v>
      </c>
      <c r="C7638" t="s">
        <v>43</v>
      </c>
      <c r="D7638" t="s">
        <v>4542</v>
      </c>
      <c r="F7638" s="21"/>
      <c r="G7638" s="16" t="str">
        <f>HYPERLINK("http://maps.google.com/maps?f=q&amp;hl=en&amp;geocode=&amp;q=41.217081324749,-79.7580928261471")</f>
        <v>http://maps.google.com/maps?f=q&amp;hl=en&amp;geocode=&amp;q=41.217081324749,-79.7580928261471</v>
      </c>
    </row>
    <row r="7639" spans="1:7" ht="15" x14ac:dyDescent="0.3">
      <c r="A7639">
        <v>39.940289274201497</v>
      </c>
      <c r="B7639">
        <v>-75.172986293616304</v>
      </c>
      <c r="C7639" t="s">
        <v>41</v>
      </c>
      <c r="D7639" t="s">
        <v>4543</v>
      </c>
      <c r="F7639" s="21"/>
      <c r="G7639" s="16" t="str">
        <f>HYPERLINK("http://maps.google.com/maps?f=q&amp;hl=en&amp;geocode=&amp;q=39.9402892742015,-75.1729862936163")</f>
        <v>http://maps.google.com/maps?f=q&amp;hl=en&amp;geocode=&amp;q=39.9402892742015,-75.1729862936163</v>
      </c>
    </row>
    <row r="7640" spans="1:7" ht="15" x14ac:dyDescent="0.3">
      <c r="A7640">
        <v>40.017339999999997</v>
      </c>
      <c r="B7640">
        <v>-75.210409999999996</v>
      </c>
      <c r="C7640" t="s">
        <v>41</v>
      </c>
      <c r="D7640" t="s">
        <v>4544</v>
      </c>
      <c r="F7640" s="21"/>
      <c r="G7640" s="16" t="str">
        <f>HYPERLINK("http://maps.google.com/maps?f=q&amp;hl=en&amp;geocode=&amp;q=40.01734,-75.21041")</f>
        <v>http://maps.google.com/maps?f=q&amp;hl=en&amp;geocode=&amp;q=40.01734,-75.21041</v>
      </c>
    </row>
    <row r="7641" spans="1:7" ht="15" x14ac:dyDescent="0.3">
      <c r="A7641" t="s">
        <v>44</v>
      </c>
      <c r="B7641" t="s">
        <v>44</v>
      </c>
      <c r="C7641" t="s">
        <v>44</v>
      </c>
      <c r="D7641" t="s">
        <v>3916</v>
      </c>
      <c r="F7641" s="21"/>
      <c r="G7641" s="16"/>
    </row>
    <row r="7642" spans="1:7" ht="15" x14ac:dyDescent="0.3">
      <c r="A7642">
        <v>43.439952850341797</v>
      </c>
      <c r="B7642">
        <v>25.730157852172901</v>
      </c>
      <c r="C7642" t="s">
        <v>41</v>
      </c>
      <c r="D7642" t="s">
        <v>4545</v>
      </c>
      <c r="F7642" s="21"/>
      <c r="G7642" s="16" t="str">
        <f>HYPERLINK("http://maps.google.com/maps?f=q&amp;hl=en&amp;geocode=&amp;q=43.4399528503418,25.7301578521729")</f>
        <v>http://maps.google.com/maps?f=q&amp;hl=en&amp;geocode=&amp;q=43.4399528503418,25.7301578521729</v>
      </c>
    </row>
    <row r="7643" spans="1:7" ht="15" x14ac:dyDescent="0.3">
      <c r="A7643" t="s">
        <v>44</v>
      </c>
      <c r="B7643" t="s">
        <v>44</v>
      </c>
      <c r="C7643" t="s">
        <v>44</v>
      </c>
      <c r="D7643" t="s">
        <v>4546</v>
      </c>
      <c r="F7643" s="21"/>
      <c r="G7643" s="16"/>
    </row>
    <row r="7644" spans="1:7" ht="15" x14ac:dyDescent="0.3">
      <c r="A7644">
        <v>41.482329999999997</v>
      </c>
      <c r="B7644">
        <v>-88.034660000000002</v>
      </c>
      <c r="C7644" t="s">
        <v>43</v>
      </c>
      <c r="D7644" t="s">
        <v>4547</v>
      </c>
      <c r="F7644" s="21"/>
      <c r="G7644" s="16" t="str">
        <f>HYPERLINK("http://maps.google.com/maps?f=q&amp;hl=en&amp;geocode=&amp;q=41.48233,-88.03466")</f>
        <v>http://maps.google.com/maps?f=q&amp;hl=en&amp;geocode=&amp;q=41.48233,-88.03466</v>
      </c>
    </row>
    <row r="7645" spans="1:7" ht="15" x14ac:dyDescent="0.3">
      <c r="A7645">
        <v>38.588470000000001</v>
      </c>
      <c r="B7645">
        <v>-122.58041</v>
      </c>
      <c r="C7645" t="s">
        <v>42</v>
      </c>
      <c r="D7645" t="s">
        <v>4548</v>
      </c>
      <c r="F7645" s="21"/>
      <c r="G7645" s="16" t="str">
        <f>HYPERLINK("http://maps.google.com/maps?f=q&amp;hl=en&amp;geocode=&amp;q=38.58847,-122.58041")</f>
        <v>http://maps.google.com/maps?f=q&amp;hl=en&amp;geocode=&amp;q=38.58847,-122.58041</v>
      </c>
    </row>
    <row r="7646" spans="1:7" ht="15" x14ac:dyDescent="0.3">
      <c r="A7646">
        <v>47.155120849609403</v>
      </c>
      <c r="B7646">
        <v>21.059139251708999</v>
      </c>
      <c r="C7646" t="s">
        <v>43</v>
      </c>
      <c r="D7646" t="s">
        <v>4549</v>
      </c>
      <c r="F7646" s="21"/>
      <c r="G7646" s="16" t="str">
        <f>HYPERLINK("http://maps.google.com/maps?f=q&amp;hl=en&amp;geocode=&amp;q=47.1551208496094,21.059139251709")</f>
        <v>http://maps.google.com/maps?f=q&amp;hl=en&amp;geocode=&amp;q=47.1551208496094,21.059139251709</v>
      </c>
    </row>
    <row r="7647" spans="1:7" ht="15" x14ac:dyDescent="0.3">
      <c r="A7647">
        <v>41.433275724662899</v>
      </c>
      <c r="B7647">
        <v>-82.022944714217402</v>
      </c>
      <c r="C7647" t="s">
        <v>41</v>
      </c>
      <c r="D7647" t="s">
        <v>422</v>
      </c>
      <c r="F7647" s="21"/>
      <c r="G7647" s="16" t="str">
        <f>HYPERLINK("http://maps.google.com/maps?f=q&amp;hl=en&amp;geocode=&amp;q=41.4332757246629,-82.0229447142174")</f>
        <v>http://maps.google.com/maps?f=q&amp;hl=en&amp;geocode=&amp;q=41.4332757246629,-82.0229447142174</v>
      </c>
    </row>
    <row r="7648" spans="1:7" ht="15" x14ac:dyDescent="0.3">
      <c r="A7648">
        <v>41.433275724662899</v>
      </c>
      <c r="B7648">
        <v>-82.022944714217402</v>
      </c>
      <c r="C7648" t="s">
        <v>41</v>
      </c>
      <c r="D7648" t="s">
        <v>422</v>
      </c>
      <c r="F7648" s="21"/>
      <c r="G7648" s="16" t="str">
        <f>HYPERLINK("http://maps.google.com/maps?f=q&amp;hl=en&amp;geocode=&amp;q=41.4332757246629,-82.0229447142174")</f>
        <v>http://maps.google.com/maps?f=q&amp;hl=en&amp;geocode=&amp;q=41.4332757246629,-82.0229447142174</v>
      </c>
    </row>
    <row r="7649" spans="1:7" ht="15" x14ac:dyDescent="0.3">
      <c r="A7649">
        <v>40.0050908832117</v>
      </c>
      <c r="B7649">
        <v>-79.967765438369995</v>
      </c>
      <c r="C7649" t="s">
        <v>41</v>
      </c>
      <c r="D7649" t="s">
        <v>4550</v>
      </c>
      <c r="F7649" s="21"/>
      <c r="G7649" s="16" t="str">
        <f>HYPERLINK("http://maps.google.com/maps?f=q&amp;hl=en&amp;geocode=&amp;q=40.0050908832117,-79.96776543837")</f>
        <v>http://maps.google.com/maps?f=q&amp;hl=en&amp;geocode=&amp;q=40.0050908832117,-79.96776543837</v>
      </c>
    </row>
    <row r="7650" spans="1:7" ht="15" x14ac:dyDescent="0.3">
      <c r="A7650">
        <v>42.365261963768603</v>
      </c>
      <c r="B7650">
        <v>-83.018577535051406</v>
      </c>
      <c r="C7650" t="s">
        <v>41</v>
      </c>
      <c r="D7650" t="s">
        <v>4551</v>
      </c>
      <c r="F7650" s="21"/>
      <c r="G7650" s="16" t="str">
        <f>HYPERLINK("http://maps.google.com/maps?f=q&amp;hl=en&amp;geocode=&amp;q=42.3652619637686,-83.0185775350514")</f>
        <v>http://maps.google.com/maps?f=q&amp;hl=en&amp;geocode=&amp;q=42.3652619637686,-83.0185775350514</v>
      </c>
    </row>
    <row r="7651" spans="1:7" ht="15" x14ac:dyDescent="0.3">
      <c r="A7651">
        <v>39.954090000000001</v>
      </c>
      <c r="B7651">
        <v>-75.222059999999999</v>
      </c>
      <c r="C7651" t="s">
        <v>43</v>
      </c>
      <c r="D7651" t="s">
        <v>4552</v>
      </c>
      <c r="F7651" s="21"/>
      <c r="G7651" s="16" t="str">
        <f>HYPERLINK("http://maps.google.com/maps?f=q&amp;hl=en&amp;geocode=&amp;q=39.95409,-75.22206")</f>
        <v>http://maps.google.com/maps?f=q&amp;hl=en&amp;geocode=&amp;q=39.95409,-75.22206</v>
      </c>
    </row>
    <row r="7652" spans="1:7" ht="15" x14ac:dyDescent="0.3">
      <c r="A7652">
        <v>52.880680084228501</v>
      </c>
      <c r="B7652">
        <v>1.0268900394439699</v>
      </c>
      <c r="C7652" t="s">
        <v>43</v>
      </c>
      <c r="D7652" t="s">
        <v>3883</v>
      </c>
      <c r="F7652" s="21"/>
      <c r="G7652" s="16" t="str">
        <f>HYPERLINK("http://maps.google.com/maps?f=q&amp;hl=en&amp;geocode=&amp;q=52.8806800842285,1.02689003944397")</f>
        <v>http://maps.google.com/maps?f=q&amp;hl=en&amp;geocode=&amp;q=52.8806800842285,1.02689003944397</v>
      </c>
    </row>
    <row r="7653" spans="1:7" ht="15" x14ac:dyDescent="0.3">
      <c r="A7653">
        <v>37.15155</v>
      </c>
      <c r="B7653">
        <v>-77.300139999999999</v>
      </c>
      <c r="C7653" t="s">
        <v>41</v>
      </c>
      <c r="D7653" t="s">
        <v>329</v>
      </c>
      <c r="F7653" s="21"/>
      <c r="G7653" s="16" t="str">
        <f>HYPERLINK("http://maps.google.com/maps?f=q&amp;hl=en&amp;geocode=&amp;q=37.15155,-77.30014")</f>
        <v>http://maps.google.com/maps?f=q&amp;hl=en&amp;geocode=&amp;q=37.15155,-77.30014</v>
      </c>
    </row>
    <row r="7654" spans="1:7" ht="15" x14ac:dyDescent="0.3">
      <c r="A7654">
        <v>40.090143336672199</v>
      </c>
      <c r="B7654">
        <v>-88.162334169822998</v>
      </c>
      <c r="C7654" t="s">
        <v>41</v>
      </c>
      <c r="D7654" t="s">
        <v>4553</v>
      </c>
      <c r="F7654" s="21"/>
      <c r="G7654" s="16" t="str">
        <f>HYPERLINK("http://maps.google.com/maps?f=q&amp;hl=en&amp;geocode=&amp;q=40.0901433366722,-88.162334169823")</f>
        <v>http://maps.google.com/maps?f=q&amp;hl=en&amp;geocode=&amp;q=40.0901433366722,-88.162334169823</v>
      </c>
    </row>
    <row r="7655" spans="1:7" ht="15" x14ac:dyDescent="0.3">
      <c r="A7655">
        <v>40.135045034198903</v>
      </c>
      <c r="B7655">
        <v>-85.708614635141899</v>
      </c>
      <c r="C7655" t="s">
        <v>41</v>
      </c>
      <c r="D7655" t="s">
        <v>4554</v>
      </c>
      <c r="F7655" s="21"/>
      <c r="G7655" s="16" t="str">
        <f>HYPERLINK("http://maps.google.com/maps?f=q&amp;hl=en&amp;geocode=&amp;q=40.1350450341989,-85.7086146351419")</f>
        <v>http://maps.google.com/maps?f=q&amp;hl=en&amp;geocode=&amp;q=40.1350450341989,-85.7086146351419</v>
      </c>
    </row>
    <row r="7656" spans="1:7" ht="15" x14ac:dyDescent="0.3">
      <c r="A7656">
        <v>44.5414009094238</v>
      </c>
      <c r="B7656">
        <v>-68.424308776855497</v>
      </c>
      <c r="C7656" t="s">
        <v>43</v>
      </c>
      <c r="D7656" t="s">
        <v>4555</v>
      </c>
      <c r="F7656" s="21"/>
      <c r="G7656" s="16" t="str">
        <f>HYPERLINK("http://maps.google.com/maps?f=q&amp;hl=en&amp;geocode=&amp;q=44.5414009094238,-68.4243087768555")</f>
        <v>http://maps.google.com/maps?f=q&amp;hl=en&amp;geocode=&amp;q=44.5414009094238,-68.4243087768555</v>
      </c>
    </row>
    <row r="7657" spans="1:7" ht="15" x14ac:dyDescent="0.3">
      <c r="A7657">
        <v>39.1331766702043</v>
      </c>
      <c r="B7657">
        <v>-86.152760517556004</v>
      </c>
      <c r="C7657" t="s">
        <v>41</v>
      </c>
      <c r="D7657" t="s">
        <v>173</v>
      </c>
      <c r="F7657" s="21"/>
      <c r="G7657" s="16" t="str">
        <f>HYPERLINK("http://maps.google.com/maps?f=q&amp;hl=en&amp;geocode=&amp;q=39.1331766702043,-86.152760517556")</f>
        <v>http://maps.google.com/maps?f=q&amp;hl=en&amp;geocode=&amp;q=39.1331766702043,-86.152760517556</v>
      </c>
    </row>
    <row r="7658" spans="1:7" ht="15" x14ac:dyDescent="0.3">
      <c r="A7658" t="s">
        <v>44</v>
      </c>
      <c r="B7658" t="s">
        <v>44</v>
      </c>
      <c r="C7658" t="s">
        <v>44</v>
      </c>
      <c r="D7658" t="s">
        <v>227</v>
      </c>
      <c r="F7658" s="21"/>
      <c r="G7658" s="16"/>
    </row>
    <row r="7659" spans="1:7" ht="15" x14ac:dyDescent="0.3">
      <c r="A7659">
        <v>32.96228</v>
      </c>
      <c r="B7659">
        <v>-80.018060000000006</v>
      </c>
      <c r="C7659" t="s">
        <v>43</v>
      </c>
      <c r="D7659" t="s">
        <v>1659</v>
      </c>
      <c r="F7659" s="21"/>
      <c r="G7659" s="16" t="str">
        <f>HYPERLINK("http://maps.google.com/maps?f=q&amp;hl=en&amp;geocode=&amp;q=32.96228,-80.01806")</f>
        <v>http://maps.google.com/maps?f=q&amp;hl=en&amp;geocode=&amp;q=32.96228,-80.01806</v>
      </c>
    </row>
    <row r="7660" spans="1:7" ht="15" x14ac:dyDescent="0.3">
      <c r="A7660">
        <v>42.888706207275398</v>
      </c>
      <c r="B7660">
        <v>23.203067779541001</v>
      </c>
      <c r="C7660" t="s">
        <v>41</v>
      </c>
      <c r="D7660" t="s">
        <v>4556</v>
      </c>
      <c r="F7660" s="21"/>
      <c r="G7660" s="16" t="str">
        <f>HYPERLINK("http://maps.google.com/maps?f=q&amp;hl=en&amp;geocode=&amp;q=42.8887062072754,23.203067779541")</f>
        <v>http://maps.google.com/maps?f=q&amp;hl=en&amp;geocode=&amp;q=42.8887062072754,23.203067779541</v>
      </c>
    </row>
    <row r="7661" spans="1:7" ht="15" x14ac:dyDescent="0.3">
      <c r="A7661" t="s">
        <v>44</v>
      </c>
      <c r="B7661" t="s">
        <v>44</v>
      </c>
      <c r="C7661" t="s">
        <v>44</v>
      </c>
      <c r="D7661" t="s">
        <v>227</v>
      </c>
      <c r="F7661" s="21"/>
      <c r="G7661" s="16"/>
    </row>
    <row r="7662" spans="1:7" ht="15" x14ac:dyDescent="0.3">
      <c r="A7662">
        <v>39.9131</v>
      </c>
      <c r="B7662">
        <v>-75.234459999999999</v>
      </c>
      <c r="C7662" t="s">
        <v>43</v>
      </c>
      <c r="D7662" t="s">
        <v>4557</v>
      </c>
      <c r="F7662" s="21"/>
      <c r="G7662" s="16" t="str">
        <f>HYPERLINK("http://maps.google.com/maps?f=q&amp;hl=en&amp;geocode=&amp;q=39.9131,-75.23446")</f>
        <v>http://maps.google.com/maps?f=q&amp;hl=en&amp;geocode=&amp;q=39.9131,-75.23446</v>
      </c>
    </row>
    <row r="7663" spans="1:7" ht="15" x14ac:dyDescent="0.3">
      <c r="A7663">
        <v>37.520870000000002</v>
      </c>
      <c r="B7663">
        <v>-77.448539999999994</v>
      </c>
      <c r="C7663" t="s">
        <v>43</v>
      </c>
      <c r="D7663" t="s">
        <v>4558</v>
      </c>
      <c r="F7663" s="21"/>
      <c r="G7663" s="16" t="str">
        <f>HYPERLINK("http://maps.google.com/maps?f=q&amp;hl=en&amp;geocode=&amp;q=37.52087,-77.44854")</f>
        <v>http://maps.google.com/maps?f=q&amp;hl=en&amp;geocode=&amp;q=37.52087,-77.44854</v>
      </c>
    </row>
    <row r="7664" spans="1:7" ht="15" x14ac:dyDescent="0.3">
      <c r="A7664" t="s">
        <v>44</v>
      </c>
      <c r="B7664" t="s">
        <v>44</v>
      </c>
      <c r="C7664" t="s">
        <v>44</v>
      </c>
      <c r="D7664" t="s">
        <v>75</v>
      </c>
      <c r="F7664" s="21"/>
      <c r="G7664" s="16"/>
    </row>
    <row r="7665" spans="1:7" ht="15" x14ac:dyDescent="0.3">
      <c r="A7665">
        <v>38.2698505852699</v>
      </c>
      <c r="B7665">
        <v>-121.28326737933</v>
      </c>
      <c r="C7665" t="s">
        <v>41</v>
      </c>
      <c r="D7665" t="s">
        <v>4559</v>
      </c>
      <c r="F7665" s="21"/>
      <c r="G7665" s="16" t="str">
        <f>HYPERLINK("http://maps.google.com/maps?f=q&amp;hl=en&amp;geocode=&amp;q=38.2698505852699,-121.28326737933")</f>
        <v>http://maps.google.com/maps?f=q&amp;hl=en&amp;geocode=&amp;q=38.2698505852699,-121.28326737933</v>
      </c>
    </row>
    <row r="7666" spans="1:7" ht="15" x14ac:dyDescent="0.3">
      <c r="A7666">
        <v>40.032958392899097</v>
      </c>
      <c r="B7666">
        <v>-75.062036492606794</v>
      </c>
      <c r="C7666" t="s">
        <v>43</v>
      </c>
      <c r="D7666" t="s">
        <v>4560</v>
      </c>
      <c r="F7666" s="21"/>
      <c r="G7666" s="16" t="str">
        <f>HYPERLINK("http://maps.google.com/maps?f=q&amp;hl=en&amp;geocode=&amp;q=40.0329583928991,-75.0620364926068")</f>
        <v>http://maps.google.com/maps?f=q&amp;hl=en&amp;geocode=&amp;q=40.0329583928991,-75.0620364926068</v>
      </c>
    </row>
    <row r="7667" spans="1:7" ht="15" x14ac:dyDescent="0.3">
      <c r="A7667" t="s">
        <v>44</v>
      </c>
      <c r="B7667" t="s">
        <v>44</v>
      </c>
      <c r="C7667" t="s">
        <v>44</v>
      </c>
      <c r="D7667" t="s">
        <v>1485</v>
      </c>
      <c r="F7667" s="21"/>
      <c r="G7667" s="16"/>
    </row>
    <row r="7668" spans="1:7" ht="15" x14ac:dyDescent="0.3">
      <c r="A7668" t="s">
        <v>44</v>
      </c>
      <c r="B7668" t="s">
        <v>44</v>
      </c>
      <c r="C7668" t="s">
        <v>44</v>
      </c>
      <c r="D7668" t="s">
        <v>1485</v>
      </c>
      <c r="F7668" s="21"/>
      <c r="G7668" s="16"/>
    </row>
    <row r="7669" spans="1:7" ht="15" x14ac:dyDescent="0.3">
      <c r="A7669" t="s">
        <v>44</v>
      </c>
      <c r="B7669" t="s">
        <v>44</v>
      </c>
      <c r="C7669" t="s">
        <v>44</v>
      </c>
      <c r="D7669" t="s">
        <v>1485</v>
      </c>
      <c r="F7669" s="21"/>
      <c r="G7669" s="16"/>
    </row>
    <row r="7670" spans="1:7" ht="15" x14ac:dyDescent="0.3">
      <c r="A7670">
        <v>45.648633461865103</v>
      </c>
      <c r="B7670">
        <v>-84.501479084805098</v>
      </c>
      <c r="C7670" t="s">
        <v>41</v>
      </c>
      <c r="D7670" t="s">
        <v>4561</v>
      </c>
      <c r="F7670" s="21"/>
      <c r="G7670" s="16" t="str">
        <f>HYPERLINK("http://maps.google.com/maps?f=q&amp;hl=en&amp;geocode=&amp;q=45.6486334618651,-84.5014790848051")</f>
        <v>http://maps.google.com/maps?f=q&amp;hl=en&amp;geocode=&amp;q=45.6486334618651,-84.5014790848051</v>
      </c>
    </row>
    <row r="7671" spans="1:7" ht="15" x14ac:dyDescent="0.3">
      <c r="A7671">
        <v>52.6822319030762</v>
      </c>
      <c r="B7671">
        <v>0.13165999948978399</v>
      </c>
      <c r="C7671" t="s">
        <v>41</v>
      </c>
      <c r="D7671" t="s">
        <v>1331</v>
      </c>
      <c r="F7671" s="21"/>
      <c r="G7671" s="16" t="str">
        <f>HYPERLINK("http://maps.google.com/maps?f=q&amp;hl=en&amp;geocode=&amp;q=52.6822319030762,0.131659999489784")</f>
        <v>http://maps.google.com/maps?f=q&amp;hl=en&amp;geocode=&amp;q=52.6822319030762,0.131659999489784</v>
      </c>
    </row>
    <row r="7672" spans="1:7" ht="15" x14ac:dyDescent="0.3">
      <c r="A7672">
        <v>39.987336506266601</v>
      </c>
      <c r="B7672">
        <v>-75.098128812827298</v>
      </c>
      <c r="C7672" t="s">
        <v>41</v>
      </c>
      <c r="D7672" t="s">
        <v>1452</v>
      </c>
      <c r="F7672" s="21"/>
      <c r="G7672" s="16" t="str">
        <f>HYPERLINK("http://maps.google.com/maps?f=q&amp;hl=en&amp;geocode=&amp;q=39.9873365062666,-75.0981288128273")</f>
        <v>http://maps.google.com/maps?f=q&amp;hl=en&amp;geocode=&amp;q=39.9873365062666,-75.0981288128273</v>
      </c>
    </row>
    <row r="7673" spans="1:7" ht="15" x14ac:dyDescent="0.3">
      <c r="A7673">
        <v>29.7082328796387</v>
      </c>
      <c r="B7673">
        <v>-90.006401062011705</v>
      </c>
      <c r="C7673" t="s">
        <v>43</v>
      </c>
      <c r="D7673" t="s">
        <v>98</v>
      </c>
      <c r="F7673" s="21"/>
      <c r="G7673" s="16" t="str">
        <f>HYPERLINK("http://maps.google.com/maps?f=q&amp;hl=en&amp;geocode=&amp;q=29.7082328796387,-90.0064010620117")</f>
        <v>http://maps.google.com/maps?f=q&amp;hl=en&amp;geocode=&amp;q=29.7082328796387,-90.0064010620117</v>
      </c>
    </row>
    <row r="7674" spans="1:7" ht="15" x14ac:dyDescent="0.3">
      <c r="A7674">
        <v>29.7082328796387</v>
      </c>
      <c r="B7674">
        <v>-90.006401062011705</v>
      </c>
      <c r="C7674" t="s">
        <v>43</v>
      </c>
      <c r="D7674" t="s">
        <v>98</v>
      </c>
      <c r="F7674" s="21"/>
      <c r="G7674" s="16" t="str">
        <f>HYPERLINK("http://maps.google.com/maps?f=q&amp;hl=en&amp;geocode=&amp;q=29.7082328796387,-90.0064010620117")</f>
        <v>http://maps.google.com/maps?f=q&amp;hl=en&amp;geocode=&amp;q=29.7082328796387,-90.0064010620117</v>
      </c>
    </row>
    <row r="7675" spans="1:7" ht="15" x14ac:dyDescent="0.3">
      <c r="A7675">
        <v>29.7082328796387</v>
      </c>
      <c r="B7675">
        <v>-90.006401062011705</v>
      </c>
      <c r="C7675" t="s">
        <v>43</v>
      </c>
      <c r="D7675" t="s">
        <v>98</v>
      </c>
      <c r="F7675" s="21"/>
      <c r="G7675" s="16" t="str">
        <f>HYPERLINK("http://maps.google.com/maps?f=q&amp;hl=en&amp;geocode=&amp;q=29.7082328796387,-90.0064010620117")</f>
        <v>http://maps.google.com/maps?f=q&amp;hl=en&amp;geocode=&amp;q=29.7082328796387,-90.0064010620117</v>
      </c>
    </row>
    <row r="7676" spans="1:7" ht="15" x14ac:dyDescent="0.3">
      <c r="A7676">
        <v>59.234821319580099</v>
      </c>
      <c r="B7676">
        <v>-135.44305419921901</v>
      </c>
      <c r="C7676" t="s">
        <v>43</v>
      </c>
      <c r="D7676" t="s">
        <v>4366</v>
      </c>
      <c r="F7676" s="21"/>
      <c r="G7676" s="16" t="str">
        <f>HYPERLINK("http://maps.google.com/maps?f=q&amp;hl=en&amp;geocode=&amp;q=59.2348213195801,-135.443054199219")</f>
        <v>http://maps.google.com/maps?f=q&amp;hl=en&amp;geocode=&amp;q=59.2348213195801,-135.443054199219</v>
      </c>
    </row>
    <row r="7677" spans="1:7" ht="15" x14ac:dyDescent="0.3">
      <c r="A7677">
        <v>39.972230000000003</v>
      </c>
      <c r="B7677">
        <v>-75.226029999999994</v>
      </c>
      <c r="C7677" t="s">
        <v>43</v>
      </c>
      <c r="D7677" t="s">
        <v>3020</v>
      </c>
      <c r="F7677" s="21"/>
      <c r="G7677" s="16" t="str">
        <f>HYPERLINK("http://maps.google.com/maps?f=q&amp;hl=en&amp;geocode=&amp;q=39.97223,-75.22603")</f>
        <v>http://maps.google.com/maps?f=q&amp;hl=en&amp;geocode=&amp;q=39.97223,-75.22603</v>
      </c>
    </row>
    <row r="7678" spans="1:7" ht="15" x14ac:dyDescent="0.3">
      <c r="A7678">
        <v>36.189420165586398</v>
      </c>
      <c r="B7678">
        <v>-115.04193551100499</v>
      </c>
      <c r="C7678" t="s">
        <v>43</v>
      </c>
      <c r="D7678" t="s">
        <v>4562</v>
      </c>
      <c r="F7678" s="21"/>
      <c r="G7678" s="16" t="str">
        <f>HYPERLINK("http://maps.google.com/maps?f=q&amp;hl=en&amp;geocode=&amp;q=36.1894201655864,-115.041935511005")</f>
        <v>http://maps.google.com/maps?f=q&amp;hl=en&amp;geocode=&amp;q=36.1894201655864,-115.041935511005</v>
      </c>
    </row>
    <row r="7679" spans="1:7" ht="15" x14ac:dyDescent="0.3">
      <c r="A7679">
        <v>40.043340000000001</v>
      </c>
      <c r="B7679">
        <v>-75.104200000000006</v>
      </c>
      <c r="C7679" t="s">
        <v>43</v>
      </c>
      <c r="D7679" t="s">
        <v>1245</v>
      </c>
      <c r="F7679" s="21"/>
      <c r="G7679" s="16" t="str">
        <f>HYPERLINK("http://maps.google.com/maps?f=q&amp;hl=en&amp;geocode=&amp;q=40.04334,-75.1042")</f>
        <v>http://maps.google.com/maps?f=q&amp;hl=en&amp;geocode=&amp;q=40.04334,-75.1042</v>
      </c>
    </row>
    <row r="7680" spans="1:7" ht="15" x14ac:dyDescent="0.3">
      <c r="A7680">
        <v>33.371048351591597</v>
      </c>
      <c r="B7680">
        <v>-117.229862497158</v>
      </c>
      <c r="C7680" t="s">
        <v>41</v>
      </c>
      <c r="D7680" t="s">
        <v>4563</v>
      </c>
      <c r="F7680" s="21"/>
      <c r="G7680" s="16" t="str">
        <f>HYPERLINK("http://maps.google.com/maps?f=q&amp;hl=en&amp;geocode=&amp;q=33.3710483515916,-117.229862497158")</f>
        <v>http://maps.google.com/maps?f=q&amp;hl=en&amp;geocode=&amp;q=33.3710483515916,-117.229862497158</v>
      </c>
    </row>
    <row r="7681" spans="1:7" ht="15" x14ac:dyDescent="0.3">
      <c r="A7681">
        <v>-26.09151</v>
      </c>
      <c r="B7681">
        <v>27.91452</v>
      </c>
      <c r="C7681" t="s">
        <v>41</v>
      </c>
      <c r="D7681" t="s">
        <v>4563</v>
      </c>
      <c r="F7681" s="21"/>
      <c r="G7681" s="16" t="str">
        <f>HYPERLINK("http://maps.google.com/maps?f=q&amp;hl=en&amp;geocode=&amp;q=-26.09151,27.91452")</f>
        <v>http://maps.google.com/maps?f=q&amp;hl=en&amp;geocode=&amp;q=-26.09151,27.91452</v>
      </c>
    </row>
    <row r="7682" spans="1:7" ht="15" x14ac:dyDescent="0.3">
      <c r="A7682">
        <v>40.003607265153299</v>
      </c>
      <c r="B7682">
        <v>-75.069941772962494</v>
      </c>
      <c r="C7682" t="s">
        <v>41</v>
      </c>
      <c r="D7682" t="s">
        <v>4564</v>
      </c>
      <c r="F7682" s="21"/>
      <c r="G7682" s="16" t="str">
        <f>HYPERLINK("http://maps.google.com/maps?f=q&amp;hl=en&amp;geocode=&amp;q=40.0036072651533,-75.0699417729625")</f>
        <v>http://maps.google.com/maps?f=q&amp;hl=en&amp;geocode=&amp;q=40.0036072651533,-75.0699417729625</v>
      </c>
    </row>
    <row r="7683" spans="1:7" ht="15" x14ac:dyDescent="0.3">
      <c r="A7683">
        <v>40.027412619241403</v>
      </c>
      <c r="B7683">
        <v>-75.055973786631398</v>
      </c>
      <c r="C7683" t="s">
        <v>41</v>
      </c>
      <c r="D7683" t="s">
        <v>4565</v>
      </c>
      <c r="F7683" s="21"/>
      <c r="G7683" s="16" t="str">
        <f>HYPERLINK("http://maps.google.com/maps?f=q&amp;hl=en&amp;geocode=&amp;q=40.0274126192414,-75.0559737866314")</f>
        <v>http://maps.google.com/maps?f=q&amp;hl=en&amp;geocode=&amp;q=40.0274126192414,-75.0559737866314</v>
      </c>
    </row>
    <row r="7684" spans="1:7" ht="15" x14ac:dyDescent="0.3">
      <c r="A7684">
        <v>35.644151533729001</v>
      </c>
      <c r="B7684">
        <v>-101.451423614281</v>
      </c>
      <c r="C7684" t="s">
        <v>41</v>
      </c>
      <c r="D7684" t="s">
        <v>3148</v>
      </c>
      <c r="F7684" s="21"/>
      <c r="G7684" s="16" t="str">
        <f>HYPERLINK("http://maps.google.com/maps?f=q&amp;hl=en&amp;geocode=&amp;q=35.644151533729,-101.451423614281")</f>
        <v>http://maps.google.com/maps?f=q&amp;hl=en&amp;geocode=&amp;q=35.644151533729,-101.451423614281</v>
      </c>
    </row>
    <row r="7685" spans="1:7" ht="15" x14ac:dyDescent="0.3">
      <c r="A7685">
        <v>35.514073333543699</v>
      </c>
      <c r="B7685">
        <v>-108.739489080844</v>
      </c>
      <c r="C7685" t="s">
        <v>43</v>
      </c>
      <c r="D7685" t="s">
        <v>321</v>
      </c>
      <c r="F7685" s="21"/>
      <c r="G7685" s="16" t="str">
        <f>HYPERLINK("http://maps.google.com/maps?f=q&amp;hl=en&amp;geocode=&amp;q=35.5140733335437,-108.739489080844")</f>
        <v>http://maps.google.com/maps?f=q&amp;hl=en&amp;geocode=&amp;q=35.5140733335437,-108.739489080844</v>
      </c>
    </row>
    <row r="7686" spans="1:7" ht="15" x14ac:dyDescent="0.3">
      <c r="A7686">
        <v>42.997422656800801</v>
      </c>
      <c r="B7686">
        <v>-95.623939346082395</v>
      </c>
      <c r="C7686" t="s">
        <v>41</v>
      </c>
      <c r="D7686" t="s">
        <v>71</v>
      </c>
      <c r="F7686" s="21"/>
      <c r="G7686" s="16" t="str">
        <f>HYPERLINK("http://maps.google.com/maps?f=q&amp;hl=en&amp;geocode=&amp;q=42.9974226568008,-95.6239393460824")</f>
        <v>http://maps.google.com/maps?f=q&amp;hl=en&amp;geocode=&amp;q=42.9974226568008,-95.6239393460824</v>
      </c>
    </row>
    <row r="7687" spans="1:7" ht="15" x14ac:dyDescent="0.3">
      <c r="A7687">
        <v>34.859409999999997</v>
      </c>
      <c r="B7687">
        <v>-82.386250000000004</v>
      </c>
      <c r="C7687" t="s">
        <v>42</v>
      </c>
      <c r="D7687" t="s">
        <v>4566</v>
      </c>
      <c r="F7687" s="21"/>
      <c r="G7687" s="16" t="str">
        <f>HYPERLINK("http://maps.google.com/maps?f=q&amp;hl=en&amp;geocode=&amp;q=34.85941,-82.38625")</f>
        <v>http://maps.google.com/maps?f=q&amp;hl=en&amp;geocode=&amp;q=34.85941,-82.38625</v>
      </c>
    </row>
    <row r="7688" spans="1:7" ht="15" x14ac:dyDescent="0.3">
      <c r="A7688">
        <v>39.973289999999999</v>
      </c>
      <c r="B7688">
        <v>-75.229129999999998</v>
      </c>
      <c r="C7688" t="s">
        <v>43</v>
      </c>
      <c r="D7688" t="s">
        <v>4567</v>
      </c>
      <c r="F7688" s="21"/>
      <c r="G7688" s="16" t="str">
        <f>HYPERLINK("http://maps.google.com/maps?f=q&amp;hl=en&amp;geocode=&amp;q=39.97329,-75.22913")</f>
        <v>http://maps.google.com/maps?f=q&amp;hl=en&amp;geocode=&amp;q=39.97329,-75.22913</v>
      </c>
    </row>
    <row r="7689" spans="1:7" ht="15" x14ac:dyDescent="0.3">
      <c r="A7689">
        <v>39.972230000000003</v>
      </c>
      <c r="B7689">
        <v>-75.226029999999994</v>
      </c>
      <c r="C7689" t="s">
        <v>43</v>
      </c>
      <c r="D7689" t="s">
        <v>3020</v>
      </c>
      <c r="F7689" s="21"/>
      <c r="G7689" s="16" t="str">
        <f>HYPERLINK("http://maps.google.com/maps?f=q&amp;hl=en&amp;geocode=&amp;q=39.97223,-75.22603")</f>
        <v>http://maps.google.com/maps?f=q&amp;hl=en&amp;geocode=&amp;q=39.97223,-75.22603</v>
      </c>
    </row>
    <row r="7690" spans="1:7" ht="15" x14ac:dyDescent="0.3">
      <c r="A7690">
        <v>47.307655334472699</v>
      </c>
      <c r="B7690">
        <v>11.6537437438965</v>
      </c>
      <c r="C7690" t="s">
        <v>43</v>
      </c>
      <c r="D7690" t="s">
        <v>4568</v>
      </c>
      <c r="F7690" s="21"/>
      <c r="G7690" s="16" t="str">
        <f>HYPERLINK("http://maps.google.com/maps?f=q&amp;hl=en&amp;geocode=&amp;q=47.3076553344727,11.6537437438965")</f>
        <v>http://maps.google.com/maps?f=q&amp;hl=en&amp;geocode=&amp;q=47.3076553344727,11.6537437438965</v>
      </c>
    </row>
    <row r="7691" spans="1:7" ht="15" x14ac:dyDescent="0.3">
      <c r="A7691">
        <v>30.081711973057999</v>
      </c>
      <c r="B7691">
        <v>-90.497200829962495</v>
      </c>
      <c r="C7691" t="s">
        <v>41</v>
      </c>
      <c r="D7691" t="s">
        <v>992</v>
      </c>
      <c r="F7691" s="21"/>
      <c r="G7691" s="16" t="str">
        <f>HYPERLINK("http://maps.google.com/maps?f=q&amp;hl=en&amp;geocode=&amp;q=30.081711973058,-90.4972008299625")</f>
        <v>http://maps.google.com/maps?f=q&amp;hl=en&amp;geocode=&amp;q=30.081711973058,-90.4972008299625</v>
      </c>
    </row>
    <row r="7692" spans="1:7" ht="15" x14ac:dyDescent="0.3">
      <c r="A7692">
        <v>31.579280000000001</v>
      </c>
      <c r="B7692">
        <v>-97.174850000000006</v>
      </c>
      <c r="C7692" t="s">
        <v>41</v>
      </c>
      <c r="D7692" t="s">
        <v>4569</v>
      </c>
      <c r="F7692" s="21"/>
      <c r="G7692" s="16" t="str">
        <f>HYPERLINK("http://maps.google.com/maps?f=q&amp;hl=en&amp;geocode=&amp;q=31.57928,-97.17485")</f>
        <v>http://maps.google.com/maps?f=q&amp;hl=en&amp;geocode=&amp;q=31.57928,-97.17485</v>
      </c>
    </row>
    <row r="7693" spans="1:7" ht="15" x14ac:dyDescent="0.3">
      <c r="A7693">
        <v>34.016159999999999</v>
      </c>
      <c r="B7693">
        <v>-117.42122999999999</v>
      </c>
      <c r="C7693" t="s">
        <v>41</v>
      </c>
      <c r="D7693" t="s">
        <v>4570</v>
      </c>
      <c r="F7693" s="21"/>
      <c r="G7693" s="16" t="str">
        <f>HYPERLINK("http://maps.google.com/maps?f=q&amp;hl=en&amp;geocode=&amp;q=34.01616,-117.42123")</f>
        <v>http://maps.google.com/maps?f=q&amp;hl=en&amp;geocode=&amp;q=34.01616,-117.42123</v>
      </c>
    </row>
    <row r="7694" spans="1:7" ht="15" x14ac:dyDescent="0.3">
      <c r="A7694" t="s">
        <v>44</v>
      </c>
      <c r="B7694" t="s">
        <v>44</v>
      </c>
      <c r="C7694" t="s">
        <v>44</v>
      </c>
      <c r="D7694" t="s">
        <v>235</v>
      </c>
      <c r="F7694" s="21"/>
      <c r="G7694" s="16"/>
    </row>
    <row r="7695" spans="1:7" ht="15" x14ac:dyDescent="0.3">
      <c r="A7695">
        <v>40.033653263550598</v>
      </c>
      <c r="B7695">
        <v>-75.058599149477203</v>
      </c>
      <c r="C7695" t="s">
        <v>41</v>
      </c>
      <c r="D7695" t="s">
        <v>4571</v>
      </c>
      <c r="F7695" s="21"/>
      <c r="G7695" s="16" t="str">
        <f>HYPERLINK("http://maps.google.com/maps?f=q&amp;hl=en&amp;geocode=&amp;q=40.0336532635506,-75.0585991494772")</f>
        <v>http://maps.google.com/maps?f=q&amp;hl=en&amp;geocode=&amp;q=40.0336532635506,-75.0585991494772</v>
      </c>
    </row>
    <row r="7696" spans="1:7" ht="15" x14ac:dyDescent="0.3">
      <c r="A7696">
        <v>42.934272766113303</v>
      </c>
      <c r="B7696">
        <v>23.206947326660199</v>
      </c>
      <c r="C7696" t="s">
        <v>41</v>
      </c>
      <c r="D7696" t="s">
        <v>4572</v>
      </c>
      <c r="F7696" s="21"/>
      <c r="G7696" s="16" t="str">
        <f>HYPERLINK("http://maps.google.com/maps?f=q&amp;hl=en&amp;geocode=&amp;q=42.9342727661133,23.2069473266602")</f>
        <v>http://maps.google.com/maps?f=q&amp;hl=en&amp;geocode=&amp;q=42.9342727661133,23.2069473266602</v>
      </c>
    </row>
    <row r="7697" spans="1:7" ht="15" x14ac:dyDescent="0.3">
      <c r="A7697">
        <v>39.922519999999999</v>
      </c>
      <c r="B7697">
        <v>-75.175070000000005</v>
      </c>
      <c r="C7697" t="s">
        <v>43</v>
      </c>
      <c r="D7697" t="s">
        <v>4573</v>
      </c>
      <c r="F7697" s="21"/>
      <c r="G7697" s="16" t="str">
        <f>HYPERLINK("http://maps.google.com/maps?f=q&amp;hl=en&amp;geocode=&amp;q=39.92252,-75.17507")</f>
        <v>http://maps.google.com/maps?f=q&amp;hl=en&amp;geocode=&amp;q=39.92252,-75.17507</v>
      </c>
    </row>
    <row r="7698" spans="1:7" ht="15" x14ac:dyDescent="0.3">
      <c r="A7698">
        <v>39.963769999999997</v>
      </c>
      <c r="B7698">
        <v>-75.242400000000004</v>
      </c>
      <c r="C7698" t="s">
        <v>43</v>
      </c>
      <c r="D7698" t="s">
        <v>3719</v>
      </c>
      <c r="F7698" s="21"/>
      <c r="G7698" s="16" t="str">
        <f>HYPERLINK("http://maps.google.com/maps?f=q&amp;hl=en&amp;geocode=&amp;q=39.96377,-75.2424")</f>
        <v>http://maps.google.com/maps?f=q&amp;hl=en&amp;geocode=&amp;q=39.96377,-75.2424</v>
      </c>
    </row>
    <row r="7699" spans="1:7" ht="15" x14ac:dyDescent="0.3">
      <c r="A7699">
        <v>49.605754852294901</v>
      </c>
      <c r="B7699">
        <v>6.10778713226318</v>
      </c>
      <c r="C7699" t="s">
        <v>43</v>
      </c>
      <c r="D7699" t="s">
        <v>4574</v>
      </c>
      <c r="F7699" s="21"/>
      <c r="G7699" s="16" t="str">
        <f>HYPERLINK("http://maps.google.com/maps?f=q&amp;hl=en&amp;geocode=&amp;q=49.6057548522949,6.10778713226318")</f>
        <v>http://maps.google.com/maps?f=q&amp;hl=en&amp;geocode=&amp;q=49.6057548522949,6.10778713226318</v>
      </c>
    </row>
    <row r="7700" spans="1:7" ht="15" x14ac:dyDescent="0.3">
      <c r="A7700">
        <v>40.0095026692955</v>
      </c>
      <c r="B7700">
        <v>-75.103838500995806</v>
      </c>
      <c r="C7700" t="s">
        <v>41</v>
      </c>
      <c r="D7700" t="s">
        <v>1922</v>
      </c>
      <c r="F7700" s="21"/>
      <c r="G7700" s="16" t="str">
        <f>HYPERLINK("http://maps.google.com/maps?f=q&amp;hl=en&amp;geocode=&amp;q=40.0095026692955,-75.1038385009958")</f>
        <v>http://maps.google.com/maps?f=q&amp;hl=en&amp;geocode=&amp;q=40.0095026692955,-75.1038385009958</v>
      </c>
    </row>
    <row r="7701" spans="1:7" ht="15" x14ac:dyDescent="0.3">
      <c r="A7701">
        <v>38.360236567638601</v>
      </c>
      <c r="B7701">
        <v>-75.628497648950898</v>
      </c>
      <c r="C7701" t="s">
        <v>41</v>
      </c>
      <c r="D7701" t="s">
        <v>4575</v>
      </c>
      <c r="F7701" s="21"/>
      <c r="G7701" s="16" t="str">
        <f>HYPERLINK("http://maps.google.com/maps?f=q&amp;hl=en&amp;geocode=&amp;q=38.3602365676386,-75.6284976489509")</f>
        <v>http://maps.google.com/maps?f=q&amp;hl=en&amp;geocode=&amp;q=38.3602365676386,-75.6284976489509</v>
      </c>
    </row>
    <row r="7702" spans="1:7" ht="15" x14ac:dyDescent="0.3">
      <c r="A7702">
        <v>38.360236567638601</v>
      </c>
      <c r="B7702">
        <v>-75.628497648950898</v>
      </c>
      <c r="C7702" t="s">
        <v>41</v>
      </c>
      <c r="D7702" t="s">
        <v>4575</v>
      </c>
      <c r="F7702" s="21"/>
      <c r="G7702" s="16" t="str">
        <f>HYPERLINK("http://maps.google.com/maps?f=q&amp;hl=en&amp;geocode=&amp;q=38.3602365676386,-75.6284976489509")</f>
        <v>http://maps.google.com/maps?f=q&amp;hl=en&amp;geocode=&amp;q=38.3602365676386,-75.6284976489509</v>
      </c>
    </row>
    <row r="7703" spans="1:7" ht="15" x14ac:dyDescent="0.3">
      <c r="A7703">
        <v>39.911706093644703</v>
      </c>
      <c r="B7703">
        <v>-75.239026495784202</v>
      </c>
      <c r="C7703" t="s">
        <v>43</v>
      </c>
      <c r="D7703" t="s">
        <v>561</v>
      </c>
      <c r="F7703" s="21"/>
      <c r="G7703" s="16" t="str">
        <f>HYPERLINK("http://maps.google.com/maps?f=q&amp;hl=en&amp;geocode=&amp;q=39.9117060936447,-75.2390264957842")</f>
        <v>http://maps.google.com/maps?f=q&amp;hl=en&amp;geocode=&amp;q=39.9117060936447,-75.2390264957842</v>
      </c>
    </row>
    <row r="7704" spans="1:7" ht="15" x14ac:dyDescent="0.3">
      <c r="A7704">
        <v>40.337333793922603</v>
      </c>
      <c r="B7704">
        <v>-79.967059031541993</v>
      </c>
      <c r="C7704" t="s">
        <v>41</v>
      </c>
      <c r="D7704" t="s">
        <v>4576</v>
      </c>
      <c r="F7704" s="21"/>
      <c r="G7704" s="16" t="str">
        <f>HYPERLINK("http://maps.google.com/maps?f=q&amp;hl=en&amp;geocode=&amp;q=40.3373337939226,-79.967059031542")</f>
        <v>http://maps.google.com/maps?f=q&amp;hl=en&amp;geocode=&amp;q=40.3373337939226,-79.967059031542</v>
      </c>
    </row>
    <row r="7705" spans="1:7" ht="15" x14ac:dyDescent="0.3">
      <c r="A7705">
        <v>33.047476239498202</v>
      </c>
      <c r="B7705">
        <v>-96.751214081028294</v>
      </c>
      <c r="C7705" t="s">
        <v>41</v>
      </c>
      <c r="D7705" t="s">
        <v>1077</v>
      </c>
      <c r="F7705" s="21"/>
      <c r="G7705" s="16" t="str">
        <f>HYPERLINK("http://maps.google.com/maps?f=q&amp;hl=en&amp;geocode=&amp;q=33.0474762394982,-96.7512140810283")</f>
        <v>http://maps.google.com/maps?f=q&amp;hl=en&amp;geocode=&amp;q=33.0474762394982,-96.7512140810283</v>
      </c>
    </row>
    <row r="7706" spans="1:7" ht="15" x14ac:dyDescent="0.3">
      <c r="A7706">
        <v>39.94012</v>
      </c>
      <c r="B7706">
        <v>-75.171229999999994</v>
      </c>
      <c r="C7706" t="s">
        <v>43</v>
      </c>
      <c r="D7706" t="s">
        <v>4577</v>
      </c>
      <c r="F7706" s="21"/>
      <c r="G7706" s="16" t="str">
        <f>HYPERLINK("http://maps.google.com/maps?f=q&amp;hl=en&amp;geocode=&amp;q=39.94012,-75.17123")</f>
        <v>http://maps.google.com/maps?f=q&amp;hl=en&amp;geocode=&amp;q=39.94012,-75.17123</v>
      </c>
    </row>
    <row r="7707" spans="1:7" ht="15" x14ac:dyDescent="0.3">
      <c r="A7707">
        <v>28.690329999999999</v>
      </c>
      <c r="B7707">
        <v>-81.307270000000003</v>
      </c>
      <c r="C7707" t="s">
        <v>43</v>
      </c>
      <c r="D7707" t="s">
        <v>4578</v>
      </c>
      <c r="F7707" s="21"/>
      <c r="G7707" s="16" t="str">
        <f>HYPERLINK("http://maps.google.com/maps?f=q&amp;hl=en&amp;geocode=&amp;q=28.69033,-81.30727")</f>
        <v>http://maps.google.com/maps?f=q&amp;hl=en&amp;geocode=&amp;q=28.69033,-81.30727</v>
      </c>
    </row>
    <row r="7708" spans="1:7" ht="15" x14ac:dyDescent="0.3">
      <c r="A7708">
        <v>59.922351837158203</v>
      </c>
      <c r="B7708">
        <v>11.178321838378899</v>
      </c>
      <c r="C7708" t="s">
        <v>43</v>
      </c>
      <c r="D7708" t="s">
        <v>4579</v>
      </c>
      <c r="F7708" s="21"/>
      <c r="G7708" s="16" t="str">
        <f>HYPERLINK("http://maps.google.com/maps?f=q&amp;hl=en&amp;geocode=&amp;q=59.9223518371582,11.1783218383789")</f>
        <v>http://maps.google.com/maps?f=q&amp;hl=en&amp;geocode=&amp;q=59.9223518371582,11.1783218383789</v>
      </c>
    </row>
    <row r="7709" spans="1:7" ht="15" x14ac:dyDescent="0.3">
      <c r="A7709">
        <v>40.826839999999997</v>
      </c>
      <c r="B7709">
        <v>-86.794939999999997</v>
      </c>
      <c r="C7709" t="s">
        <v>43</v>
      </c>
      <c r="D7709" t="s">
        <v>4580</v>
      </c>
      <c r="F7709" s="21"/>
      <c r="G7709" s="16" t="str">
        <f>HYPERLINK("http://maps.google.com/maps?f=q&amp;hl=en&amp;geocode=&amp;q=40.82684,-86.79494")</f>
        <v>http://maps.google.com/maps?f=q&amp;hl=en&amp;geocode=&amp;q=40.82684,-86.79494</v>
      </c>
    </row>
    <row r="7710" spans="1:7" ht="15" x14ac:dyDescent="0.3">
      <c r="A7710">
        <v>40.078620000000001</v>
      </c>
      <c r="B7710">
        <v>-75.086420000000004</v>
      </c>
      <c r="C7710" t="s">
        <v>41</v>
      </c>
      <c r="D7710" t="s">
        <v>247</v>
      </c>
      <c r="F7710" s="21"/>
      <c r="G7710" s="16" t="str">
        <f>HYPERLINK("http://maps.google.com/maps?f=q&amp;hl=en&amp;geocode=&amp;q=40.07862,-75.08642")</f>
        <v>http://maps.google.com/maps?f=q&amp;hl=en&amp;geocode=&amp;q=40.07862,-75.08642</v>
      </c>
    </row>
    <row r="7711" spans="1:7" ht="15" x14ac:dyDescent="0.3">
      <c r="A7711">
        <v>42.736513714122502</v>
      </c>
      <c r="B7711">
        <v>-75.218642867432607</v>
      </c>
      <c r="C7711" t="s">
        <v>41</v>
      </c>
      <c r="D7711" t="s">
        <v>1360</v>
      </c>
      <c r="F7711" s="21"/>
      <c r="G7711" s="16" t="str">
        <f>HYPERLINK("http://maps.google.com/maps?f=q&amp;hl=en&amp;geocode=&amp;q=42.7365137141225,-75.2186428674326")</f>
        <v>http://maps.google.com/maps?f=q&amp;hl=en&amp;geocode=&amp;q=42.7365137141225,-75.2186428674326</v>
      </c>
    </row>
    <row r="7712" spans="1:7" ht="15" x14ac:dyDescent="0.3">
      <c r="A7712">
        <v>39.926499999999997</v>
      </c>
      <c r="B7712">
        <v>-75.225579999999994</v>
      </c>
      <c r="C7712" t="s">
        <v>43</v>
      </c>
      <c r="D7712" t="s">
        <v>2216</v>
      </c>
      <c r="F7712" s="21"/>
      <c r="G7712" s="16" t="str">
        <f>HYPERLINK("http://maps.google.com/maps?f=q&amp;hl=en&amp;geocode=&amp;q=39.9265,-75.22558")</f>
        <v>http://maps.google.com/maps?f=q&amp;hl=en&amp;geocode=&amp;q=39.9265,-75.22558</v>
      </c>
    </row>
    <row r="7713" spans="1:7" ht="15" x14ac:dyDescent="0.3">
      <c r="A7713">
        <v>40.460018157958999</v>
      </c>
      <c r="B7713">
        <v>-78.591552734375</v>
      </c>
      <c r="C7713" t="s">
        <v>43</v>
      </c>
      <c r="D7713" t="s">
        <v>3881</v>
      </c>
      <c r="F7713" s="21"/>
      <c r="G7713" s="16" t="str">
        <f>HYPERLINK("http://maps.google.com/maps?f=q&amp;hl=en&amp;geocode=&amp;q=40.460018157959,-78.591552734375")</f>
        <v>http://maps.google.com/maps?f=q&amp;hl=en&amp;geocode=&amp;q=40.460018157959,-78.591552734375</v>
      </c>
    </row>
    <row r="7714" spans="1:7" ht="15" x14ac:dyDescent="0.3">
      <c r="A7714">
        <v>39.043259999999997</v>
      </c>
      <c r="B7714">
        <v>-94.585369999999998</v>
      </c>
      <c r="C7714" t="s">
        <v>43</v>
      </c>
      <c r="D7714" t="s">
        <v>3833</v>
      </c>
      <c r="F7714" s="21"/>
      <c r="G7714" s="16" t="str">
        <f>HYPERLINK("http://maps.google.com/maps?f=q&amp;hl=en&amp;geocode=&amp;q=39.04326,-94.58537")</f>
        <v>http://maps.google.com/maps?f=q&amp;hl=en&amp;geocode=&amp;q=39.04326,-94.58537</v>
      </c>
    </row>
    <row r="7715" spans="1:7" ht="15" x14ac:dyDescent="0.3">
      <c r="A7715" t="s">
        <v>44</v>
      </c>
      <c r="B7715" t="s">
        <v>44</v>
      </c>
      <c r="C7715" t="s">
        <v>44</v>
      </c>
      <c r="D7715" t="s">
        <v>4581</v>
      </c>
      <c r="F7715" s="21"/>
      <c r="G7715" s="16"/>
    </row>
    <row r="7716" spans="1:7" ht="15" x14ac:dyDescent="0.3">
      <c r="A7716">
        <v>40.460018157958999</v>
      </c>
      <c r="B7716">
        <v>-78.591552734375</v>
      </c>
      <c r="C7716" t="s">
        <v>43</v>
      </c>
      <c r="D7716" t="s">
        <v>427</v>
      </c>
      <c r="F7716" s="21"/>
      <c r="G7716" s="16" t="str">
        <f>HYPERLINK("http://maps.google.com/maps?f=q&amp;hl=en&amp;geocode=&amp;q=40.460018157959,-78.591552734375")</f>
        <v>http://maps.google.com/maps?f=q&amp;hl=en&amp;geocode=&amp;q=40.460018157959,-78.591552734375</v>
      </c>
    </row>
    <row r="7717" spans="1:7" ht="15" x14ac:dyDescent="0.3">
      <c r="A7717">
        <v>27.613869999999999</v>
      </c>
      <c r="B7717">
        <v>-81.409710000000004</v>
      </c>
      <c r="C7717" t="s">
        <v>43</v>
      </c>
      <c r="D7717" t="s">
        <v>2184</v>
      </c>
      <c r="F7717" s="21"/>
      <c r="G7717" s="16" t="str">
        <f>HYPERLINK("http://maps.google.com/maps?f=q&amp;hl=en&amp;geocode=&amp;q=27.61387,-81.40971")</f>
        <v>http://maps.google.com/maps?f=q&amp;hl=en&amp;geocode=&amp;q=27.61387,-81.40971</v>
      </c>
    </row>
    <row r="7718" spans="1:7" ht="15" x14ac:dyDescent="0.3">
      <c r="A7718">
        <v>40.460018157958999</v>
      </c>
      <c r="B7718">
        <v>-78.591552734375</v>
      </c>
      <c r="C7718" t="s">
        <v>43</v>
      </c>
      <c r="D7718" t="s">
        <v>3922</v>
      </c>
      <c r="F7718" s="21"/>
      <c r="G7718" s="16" t="str">
        <f>HYPERLINK("http://maps.google.com/maps?f=q&amp;hl=en&amp;geocode=&amp;q=40.460018157959,-78.591552734375")</f>
        <v>http://maps.google.com/maps?f=q&amp;hl=en&amp;geocode=&amp;q=40.460018157959,-78.591552734375</v>
      </c>
    </row>
    <row r="7719" spans="1:7" ht="15" x14ac:dyDescent="0.3">
      <c r="A7719">
        <v>39.974256793389301</v>
      </c>
      <c r="B7719">
        <v>-75.185375887656804</v>
      </c>
      <c r="C7719" t="s">
        <v>41</v>
      </c>
      <c r="D7719" t="s">
        <v>4582</v>
      </c>
      <c r="F7719" s="21"/>
      <c r="G7719" s="16" t="str">
        <f>HYPERLINK("http://maps.google.com/maps?f=q&amp;hl=en&amp;geocode=&amp;q=39.9742567933893,-75.1853758876568")</f>
        <v>http://maps.google.com/maps?f=q&amp;hl=en&amp;geocode=&amp;q=39.9742567933893,-75.1853758876568</v>
      </c>
    </row>
    <row r="7720" spans="1:7" ht="15" x14ac:dyDescent="0.3">
      <c r="A7720">
        <v>53.799839019775398</v>
      </c>
      <c r="B7720">
        <v>-106.11026000976599</v>
      </c>
      <c r="C7720" t="s">
        <v>41</v>
      </c>
      <c r="D7720" t="s">
        <v>4583</v>
      </c>
      <c r="F7720" s="21"/>
      <c r="G7720" s="16" t="str">
        <f>HYPERLINK("http://maps.google.com/maps?f=q&amp;hl=en&amp;geocode=&amp;q=53.7998390197754,-106.110260009766")</f>
        <v>http://maps.google.com/maps?f=q&amp;hl=en&amp;geocode=&amp;q=53.7998390197754,-106.110260009766</v>
      </c>
    </row>
    <row r="7721" spans="1:7" ht="15" x14ac:dyDescent="0.3">
      <c r="A7721" t="s">
        <v>44</v>
      </c>
      <c r="B7721" t="s">
        <v>44</v>
      </c>
      <c r="C7721" t="s">
        <v>44</v>
      </c>
      <c r="D7721" t="s">
        <v>4584</v>
      </c>
      <c r="F7721" s="21"/>
      <c r="G7721" s="16"/>
    </row>
    <row r="7722" spans="1:7" ht="15" x14ac:dyDescent="0.3">
      <c r="A7722">
        <v>55.25911</v>
      </c>
      <c r="B7722">
        <v>11.59831</v>
      </c>
      <c r="C7722" t="s">
        <v>41</v>
      </c>
      <c r="D7722" t="s">
        <v>2080</v>
      </c>
      <c r="F7722" s="21"/>
      <c r="G7722" s="16" t="str">
        <f>HYPERLINK("http://maps.google.com/maps?f=q&amp;hl=en&amp;geocode=&amp;q=55.25911,11.59831")</f>
        <v>http://maps.google.com/maps?f=q&amp;hl=en&amp;geocode=&amp;q=55.25911,11.59831</v>
      </c>
    </row>
    <row r="7723" spans="1:7" ht="15" x14ac:dyDescent="0.3">
      <c r="A7723">
        <v>28.951051301066599</v>
      </c>
      <c r="B7723">
        <v>-81.185340674718702</v>
      </c>
      <c r="C7723" t="s">
        <v>41</v>
      </c>
      <c r="D7723" t="s">
        <v>4585</v>
      </c>
      <c r="F7723" s="21"/>
      <c r="G7723" s="16" t="str">
        <f>HYPERLINK("http://maps.google.com/maps?f=q&amp;hl=en&amp;geocode=&amp;q=28.9510513010666,-81.1853406747187")</f>
        <v>http://maps.google.com/maps?f=q&amp;hl=en&amp;geocode=&amp;q=28.9510513010666,-81.1853406747187</v>
      </c>
    </row>
    <row r="7724" spans="1:7" ht="15" x14ac:dyDescent="0.3">
      <c r="A7724">
        <v>41.079008650062399</v>
      </c>
      <c r="B7724">
        <v>-80.721013110627894</v>
      </c>
      <c r="C7724" t="s">
        <v>41</v>
      </c>
      <c r="D7724" t="s">
        <v>630</v>
      </c>
      <c r="F7724" s="21"/>
      <c r="G7724" s="16" t="str">
        <f>HYPERLINK("http://maps.google.com/maps?f=q&amp;hl=en&amp;geocode=&amp;q=41.0790086500624,-80.7210131106279")</f>
        <v>http://maps.google.com/maps?f=q&amp;hl=en&amp;geocode=&amp;q=41.0790086500624,-80.7210131106279</v>
      </c>
    </row>
    <row r="7725" spans="1:7" ht="15" x14ac:dyDescent="0.3">
      <c r="A7725">
        <v>40.684169769287102</v>
      </c>
      <c r="B7725">
        <v>-73.035568237304702</v>
      </c>
      <c r="C7725" t="s">
        <v>41</v>
      </c>
      <c r="D7725" t="s">
        <v>4586</v>
      </c>
      <c r="F7725" s="21"/>
      <c r="G7725" s="16" t="str">
        <f>HYPERLINK("http://maps.google.com/maps?f=q&amp;hl=en&amp;geocode=&amp;q=40.6841697692871,-73.0355682373047")</f>
        <v>http://maps.google.com/maps?f=q&amp;hl=en&amp;geocode=&amp;q=40.6841697692871,-73.0355682373047</v>
      </c>
    </row>
    <row r="7726" spans="1:7" ht="15" x14ac:dyDescent="0.3">
      <c r="A7726">
        <v>29.707270000000001</v>
      </c>
      <c r="B7726">
        <v>-95.464579999999998</v>
      </c>
      <c r="C7726" t="s">
        <v>41</v>
      </c>
      <c r="D7726" t="s">
        <v>1759</v>
      </c>
      <c r="F7726" s="21"/>
      <c r="G7726" s="16" t="str">
        <f>HYPERLINK("http://maps.google.com/maps?f=q&amp;hl=en&amp;geocode=&amp;q=29.70727,-95.46458")</f>
        <v>http://maps.google.com/maps?f=q&amp;hl=en&amp;geocode=&amp;q=29.70727,-95.46458</v>
      </c>
    </row>
    <row r="7727" spans="1:7" ht="15" x14ac:dyDescent="0.3">
      <c r="A7727">
        <v>40.684169769287102</v>
      </c>
      <c r="B7727">
        <v>-73.035568237304702</v>
      </c>
      <c r="C7727" t="s">
        <v>41</v>
      </c>
      <c r="D7727" t="s">
        <v>4586</v>
      </c>
      <c r="F7727" s="21"/>
      <c r="G7727" s="16" t="str">
        <f>HYPERLINK("http://maps.google.com/maps?f=q&amp;hl=en&amp;geocode=&amp;q=40.6841697692871,-73.0355682373047")</f>
        <v>http://maps.google.com/maps?f=q&amp;hl=en&amp;geocode=&amp;q=40.6841697692871,-73.0355682373047</v>
      </c>
    </row>
    <row r="7728" spans="1:7" ht="15" x14ac:dyDescent="0.3">
      <c r="A7728">
        <v>50.397903442382798</v>
      </c>
      <c r="B7728">
        <v>4.5238752365112296</v>
      </c>
      <c r="C7728" t="s">
        <v>43</v>
      </c>
      <c r="D7728" t="s">
        <v>2535</v>
      </c>
      <c r="F7728" s="21"/>
      <c r="G7728" s="16" t="str">
        <f>HYPERLINK("http://maps.google.com/maps?f=q&amp;hl=en&amp;geocode=&amp;q=50.3979034423828,4.52387523651123")</f>
        <v>http://maps.google.com/maps?f=q&amp;hl=en&amp;geocode=&amp;q=50.3979034423828,4.52387523651123</v>
      </c>
    </row>
    <row r="7729" spans="1:7" ht="15" x14ac:dyDescent="0.3">
      <c r="A7729" t="s">
        <v>44</v>
      </c>
      <c r="B7729" t="s">
        <v>44</v>
      </c>
      <c r="C7729" t="s">
        <v>44</v>
      </c>
      <c r="D7729" t="s">
        <v>4587</v>
      </c>
      <c r="F7729" s="21"/>
      <c r="G7729" s="16"/>
    </row>
    <row r="7730" spans="1:7" ht="15" x14ac:dyDescent="0.3">
      <c r="A7730">
        <v>40.036692824865597</v>
      </c>
      <c r="B7730">
        <v>-75.062279936913797</v>
      </c>
      <c r="C7730" t="s">
        <v>43</v>
      </c>
      <c r="D7730" t="s">
        <v>4588</v>
      </c>
      <c r="F7730" s="21"/>
      <c r="G7730" s="16" t="str">
        <f>HYPERLINK("http://maps.google.com/maps?f=q&amp;hl=en&amp;geocode=&amp;q=40.0366928248656,-75.0622799369138")</f>
        <v>http://maps.google.com/maps?f=q&amp;hl=en&amp;geocode=&amp;q=40.0366928248656,-75.0622799369138</v>
      </c>
    </row>
    <row r="7731" spans="1:7" ht="15" x14ac:dyDescent="0.3">
      <c r="A7731">
        <v>40.023699999999998</v>
      </c>
      <c r="B7731">
        <v>-75.179699999999997</v>
      </c>
      <c r="C7731" t="s">
        <v>43</v>
      </c>
      <c r="D7731" t="s">
        <v>4589</v>
      </c>
      <c r="F7731" s="21"/>
      <c r="G7731" s="16" t="str">
        <f>HYPERLINK("http://maps.google.com/maps?f=q&amp;hl=en&amp;geocode=&amp;q=40.0237,-75.1797")</f>
        <v>http://maps.google.com/maps?f=q&amp;hl=en&amp;geocode=&amp;q=40.0237,-75.1797</v>
      </c>
    </row>
    <row r="7732" spans="1:7" ht="15" x14ac:dyDescent="0.3">
      <c r="A7732">
        <v>29.7082328796387</v>
      </c>
      <c r="B7732">
        <v>-90.006401062011705</v>
      </c>
      <c r="C7732" t="s">
        <v>43</v>
      </c>
      <c r="D7732" t="s">
        <v>4590</v>
      </c>
      <c r="F7732" s="21"/>
      <c r="G7732" s="16" t="str">
        <f>HYPERLINK("http://maps.google.com/maps?f=q&amp;hl=en&amp;geocode=&amp;q=29.7082328796387,-90.0064010620117")</f>
        <v>http://maps.google.com/maps?f=q&amp;hl=en&amp;geocode=&amp;q=29.7082328796387,-90.0064010620117</v>
      </c>
    </row>
    <row r="7733" spans="1:7" ht="15" x14ac:dyDescent="0.3">
      <c r="A7733">
        <v>39.802032124409301</v>
      </c>
      <c r="B7733">
        <v>-89.620374967793694</v>
      </c>
      <c r="C7733" t="s">
        <v>43</v>
      </c>
      <c r="D7733" t="s">
        <v>4591</v>
      </c>
      <c r="F7733" s="21"/>
      <c r="G7733" s="16" t="str">
        <f>HYPERLINK("http://maps.google.com/maps?f=q&amp;hl=en&amp;geocode=&amp;q=39.8020321244093,-89.6203749677937")</f>
        <v>http://maps.google.com/maps?f=q&amp;hl=en&amp;geocode=&amp;q=39.8020321244093,-89.6203749677937</v>
      </c>
    </row>
    <row r="7734" spans="1:7" ht="15" x14ac:dyDescent="0.3">
      <c r="A7734">
        <v>40.683810000000001</v>
      </c>
      <c r="B7734">
        <v>-89.619540000000001</v>
      </c>
      <c r="C7734" t="s">
        <v>41</v>
      </c>
      <c r="D7734" t="s">
        <v>4592</v>
      </c>
      <c r="F7734" s="21"/>
      <c r="G7734" s="16" t="str">
        <f>HYPERLINK("http://maps.google.com/maps?f=q&amp;hl=en&amp;geocode=&amp;q=40.68381,-89.61954")</f>
        <v>http://maps.google.com/maps?f=q&amp;hl=en&amp;geocode=&amp;q=40.68381,-89.61954</v>
      </c>
    </row>
    <row r="7735" spans="1:7" ht="15" x14ac:dyDescent="0.3">
      <c r="A7735">
        <v>41.832718216699597</v>
      </c>
      <c r="B7735">
        <v>-86.402701280807094</v>
      </c>
      <c r="C7735" t="s">
        <v>43</v>
      </c>
      <c r="D7735" t="s">
        <v>4593</v>
      </c>
      <c r="F7735" s="21"/>
      <c r="G7735" s="16" t="str">
        <f>HYPERLINK("http://maps.google.com/maps?f=q&amp;hl=en&amp;geocode=&amp;q=41.8327182166996,-86.4027012808071")</f>
        <v>http://maps.google.com/maps?f=q&amp;hl=en&amp;geocode=&amp;q=41.8327182166996,-86.4027012808071</v>
      </c>
    </row>
    <row r="7736" spans="1:7" ht="15" x14ac:dyDescent="0.3">
      <c r="A7736">
        <v>31.010798205580901</v>
      </c>
      <c r="B7736">
        <v>-86.338627099760899</v>
      </c>
      <c r="C7736" t="s">
        <v>41</v>
      </c>
      <c r="D7736" t="s">
        <v>4594</v>
      </c>
      <c r="F7736" s="21"/>
      <c r="G7736" s="16" t="str">
        <f>HYPERLINK("http://maps.google.com/maps?f=q&amp;hl=en&amp;geocode=&amp;q=31.0107982055809,-86.3386270997609")</f>
        <v>http://maps.google.com/maps?f=q&amp;hl=en&amp;geocode=&amp;q=31.0107982055809,-86.3386270997609</v>
      </c>
    </row>
    <row r="7737" spans="1:7" ht="15" x14ac:dyDescent="0.3">
      <c r="A7737" t="s">
        <v>44</v>
      </c>
      <c r="B7737" t="s">
        <v>44</v>
      </c>
      <c r="C7737" t="s">
        <v>44</v>
      </c>
      <c r="D7737" t="s">
        <v>4595</v>
      </c>
      <c r="F7737" s="21"/>
      <c r="G7737" s="16"/>
    </row>
    <row r="7738" spans="1:7" ht="15" x14ac:dyDescent="0.3">
      <c r="A7738">
        <v>3.9976069927215598</v>
      </c>
      <c r="B7738">
        <v>-73.277969360351605</v>
      </c>
      <c r="C7738" t="s">
        <v>41</v>
      </c>
      <c r="D7738" t="s">
        <v>454</v>
      </c>
      <c r="F7738" s="21"/>
      <c r="G7738" s="16" t="str">
        <f>HYPERLINK("http://maps.google.com/maps?f=q&amp;hl=en&amp;geocode=&amp;q=3.99760699272156,-73.2779693603516")</f>
        <v>http://maps.google.com/maps?f=q&amp;hl=en&amp;geocode=&amp;q=3.99760699272156,-73.2779693603516</v>
      </c>
    </row>
    <row r="7739" spans="1:7" ht="15" x14ac:dyDescent="0.3">
      <c r="A7739">
        <v>39.976649999999999</v>
      </c>
      <c r="B7739">
        <v>-75.233670000000004</v>
      </c>
      <c r="C7739" t="s">
        <v>43</v>
      </c>
      <c r="D7739" t="s">
        <v>4596</v>
      </c>
      <c r="F7739" s="21"/>
      <c r="G7739" s="16" t="str">
        <f>HYPERLINK("http://maps.google.com/maps?f=q&amp;hl=en&amp;geocode=&amp;q=39.97665,-75.23367")</f>
        <v>http://maps.google.com/maps?f=q&amp;hl=en&amp;geocode=&amp;q=39.97665,-75.23367</v>
      </c>
    </row>
    <row r="7740" spans="1:7" ht="15" x14ac:dyDescent="0.3">
      <c r="A7740">
        <v>60.324600219726598</v>
      </c>
      <c r="B7740">
        <v>5.3379402160644496</v>
      </c>
      <c r="C7740" t="s">
        <v>41</v>
      </c>
      <c r="D7740" t="s">
        <v>4597</v>
      </c>
      <c r="F7740" s="21"/>
      <c r="G7740" s="16" t="str">
        <f>HYPERLINK("http://maps.google.com/maps?f=q&amp;hl=en&amp;geocode=&amp;q=60.3246002197266,5.33794021606445")</f>
        <v>http://maps.google.com/maps?f=q&amp;hl=en&amp;geocode=&amp;q=60.3246002197266,5.33794021606445</v>
      </c>
    </row>
    <row r="7741" spans="1:7" ht="15" x14ac:dyDescent="0.3">
      <c r="A7741">
        <v>40.597559110547103</v>
      </c>
      <c r="B7741">
        <v>-75.500091407749593</v>
      </c>
      <c r="C7741" t="s">
        <v>41</v>
      </c>
      <c r="D7741" t="s">
        <v>4598</v>
      </c>
      <c r="F7741" s="21"/>
      <c r="G7741" s="16" t="str">
        <f>HYPERLINK("http://maps.google.com/maps?f=q&amp;hl=en&amp;geocode=&amp;q=40.5975591105471,-75.5000914077496")</f>
        <v>http://maps.google.com/maps?f=q&amp;hl=en&amp;geocode=&amp;q=40.5975591105471,-75.5000914077496</v>
      </c>
    </row>
    <row r="7742" spans="1:7" ht="15" x14ac:dyDescent="0.3">
      <c r="A7742">
        <v>-34.992130000000003</v>
      </c>
      <c r="B7742">
        <v>138.56040999999999</v>
      </c>
      <c r="C7742" t="s">
        <v>43</v>
      </c>
      <c r="D7742" t="s">
        <v>4599</v>
      </c>
      <c r="F7742" s="21"/>
      <c r="G7742" s="16" t="str">
        <f>HYPERLINK("http://maps.google.com/maps?f=q&amp;hl=en&amp;geocode=&amp;q=-34.99213,138.56041")</f>
        <v>http://maps.google.com/maps?f=q&amp;hl=en&amp;geocode=&amp;q=-34.99213,138.56041</v>
      </c>
    </row>
    <row r="7743" spans="1:7" ht="15" x14ac:dyDescent="0.3">
      <c r="A7743">
        <v>38.725276947021499</v>
      </c>
      <c r="B7743">
        <v>-77.047775268554702</v>
      </c>
      <c r="C7743" t="s">
        <v>41</v>
      </c>
      <c r="D7743" t="s">
        <v>2298</v>
      </c>
      <c r="F7743" s="21"/>
      <c r="G7743" s="16" t="str">
        <f>HYPERLINK("http://maps.google.com/maps?f=q&amp;hl=en&amp;geocode=&amp;q=38.7252769470215,-77.0477752685547")</f>
        <v>http://maps.google.com/maps?f=q&amp;hl=en&amp;geocode=&amp;q=38.7252769470215,-77.0477752685547</v>
      </c>
    </row>
    <row r="7744" spans="1:7" ht="15" x14ac:dyDescent="0.3">
      <c r="A7744">
        <v>40.007272957037998</v>
      </c>
      <c r="B7744">
        <v>-75.078100580348703</v>
      </c>
      <c r="C7744" t="s">
        <v>41</v>
      </c>
      <c r="D7744" t="s">
        <v>4600</v>
      </c>
      <c r="F7744" s="21"/>
      <c r="G7744" s="16" t="str">
        <f>HYPERLINK("http://maps.google.com/maps?f=q&amp;hl=en&amp;geocode=&amp;q=40.007272957038,-75.0781005803487")</f>
        <v>http://maps.google.com/maps?f=q&amp;hl=en&amp;geocode=&amp;q=40.007272957038,-75.0781005803487</v>
      </c>
    </row>
    <row r="7745" spans="1:7" ht="15" x14ac:dyDescent="0.3">
      <c r="A7745">
        <v>40.021224486271201</v>
      </c>
      <c r="B7745">
        <v>-75.059785237227103</v>
      </c>
      <c r="C7745" t="s">
        <v>41</v>
      </c>
      <c r="D7745" t="s">
        <v>4207</v>
      </c>
      <c r="F7745" s="21"/>
      <c r="G7745" s="16" t="str">
        <f>HYPERLINK("http://maps.google.com/maps?f=q&amp;hl=en&amp;geocode=&amp;q=40.0212244862712,-75.0597852372271")</f>
        <v>http://maps.google.com/maps?f=q&amp;hl=en&amp;geocode=&amp;q=40.0212244862712,-75.0597852372271</v>
      </c>
    </row>
    <row r="7746" spans="1:7" ht="15" x14ac:dyDescent="0.3">
      <c r="A7746">
        <v>-32.141361236572301</v>
      </c>
      <c r="B7746">
        <v>-63.798503875732401</v>
      </c>
      <c r="C7746" t="s">
        <v>43</v>
      </c>
      <c r="D7746" t="s">
        <v>4601</v>
      </c>
      <c r="F7746" s="21"/>
      <c r="G7746" s="16" t="str">
        <f>HYPERLINK("http://maps.google.com/maps?f=q&amp;hl=en&amp;geocode=&amp;q=-32.1413612365723,-63.7985038757324")</f>
        <v>http://maps.google.com/maps?f=q&amp;hl=en&amp;geocode=&amp;q=-32.1413612365723,-63.7985038757324</v>
      </c>
    </row>
    <row r="7747" spans="1:7" ht="15" x14ac:dyDescent="0.3">
      <c r="A7747">
        <v>43.026452978160499</v>
      </c>
      <c r="B7747">
        <v>-95.623947972903807</v>
      </c>
      <c r="C7747" t="s">
        <v>41</v>
      </c>
      <c r="D7747" t="s">
        <v>79</v>
      </c>
      <c r="F7747" s="21"/>
      <c r="G7747" s="16" t="str">
        <f>HYPERLINK("http://maps.google.com/maps?f=q&amp;hl=en&amp;geocode=&amp;q=43.0264529781605,-95.6239479729038")</f>
        <v>http://maps.google.com/maps?f=q&amp;hl=en&amp;geocode=&amp;q=43.0264529781605,-95.6239479729038</v>
      </c>
    </row>
    <row r="7748" spans="1:7" ht="15" x14ac:dyDescent="0.3">
      <c r="A7748">
        <v>46.955168205340698</v>
      </c>
      <c r="B7748">
        <v>-114.011374755454</v>
      </c>
      <c r="C7748" t="s">
        <v>41</v>
      </c>
      <c r="D7748" t="s">
        <v>4602</v>
      </c>
      <c r="F7748" s="21"/>
      <c r="G7748" s="16" t="str">
        <f>HYPERLINK("http://maps.google.com/maps?f=q&amp;hl=en&amp;geocode=&amp;q=46.9551682053407,-114.011374755454")</f>
        <v>http://maps.google.com/maps?f=q&amp;hl=en&amp;geocode=&amp;q=46.9551682053407,-114.011374755454</v>
      </c>
    </row>
    <row r="7749" spans="1:7" ht="15" x14ac:dyDescent="0.3">
      <c r="A7749" t="s">
        <v>44</v>
      </c>
      <c r="B7749" t="s">
        <v>44</v>
      </c>
      <c r="C7749" t="s">
        <v>44</v>
      </c>
      <c r="D7749" t="s">
        <v>3876</v>
      </c>
      <c r="F7749" s="21"/>
      <c r="G7749" s="16"/>
    </row>
    <row r="7750" spans="1:7" ht="15" x14ac:dyDescent="0.3">
      <c r="A7750">
        <v>32.990949999999998</v>
      </c>
      <c r="B7750">
        <v>-97.446380000000005</v>
      </c>
      <c r="C7750" t="s">
        <v>42</v>
      </c>
      <c r="D7750" t="s">
        <v>2067</v>
      </c>
      <c r="F7750" s="21"/>
      <c r="G7750" s="16" t="str">
        <f>HYPERLINK("http://maps.google.com/maps?f=q&amp;hl=en&amp;geocode=&amp;q=32.99095,-97.44638")</f>
        <v>http://maps.google.com/maps?f=q&amp;hl=en&amp;geocode=&amp;q=32.99095,-97.44638</v>
      </c>
    </row>
    <row r="7751" spans="1:7" ht="15" x14ac:dyDescent="0.3">
      <c r="A7751">
        <v>29.7082328796387</v>
      </c>
      <c r="B7751">
        <v>-90.006401062011705</v>
      </c>
      <c r="C7751" t="s">
        <v>43</v>
      </c>
      <c r="D7751" t="s">
        <v>4603</v>
      </c>
      <c r="F7751" s="21"/>
      <c r="G7751" s="16" t="str">
        <f>HYPERLINK("http://maps.google.com/maps?f=q&amp;hl=en&amp;geocode=&amp;q=29.7082328796387,-90.0064010620117")</f>
        <v>http://maps.google.com/maps?f=q&amp;hl=en&amp;geocode=&amp;q=29.7082328796387,-90.0064010620117</v>
      </c>
    </row>
    <row r="7752" spans="1:7" ht="15" x14ac:dyDescent="0.3">
      <c r="A7752">
        <v>40.010987087098101</v>
      </c>
      <c r="B7752">
        <v>-87.394581805597795</v>
      </c>
      <c r="C7752" t="s">
        <v>41</v>
      </c>
      <c r="D7752" t="s">
        <v>4604</v>
      </c>
      <c r="F7752" s="21"/>
      <c r="G7752" s="16" t="str">
        <f>HYPERLINK("http://maps.google.com/maps?f=q&amp;hl=en&amp;geocode=&amp;q=40.0109870870981,-87.3945818055978")</f>
        <v>http://maps.google.com/maps?f=q&amp;hl=en&amp;geocode=&amp;q=40.0109870870981,-87.3945818055978</v>
      </c>
    </row>
    <row r="7753" spans="1:7" ht="15" x14ac:dyDescent="0.3">
      <c r="A7753">
        <v>46.955168205340698</v>
      </c>
      <c r="B7753">
        <v>-114.011374755454</v>
      </c>
      <c r="C7753" t="s">
        <v>41</v>
      </c>
      <c r="D7753" t="s">
        <v>4602</v>
      </c>
      <c r="F7753" s="21"/>
      <c r="G7753" s="16" t="str">
        <f>HYPERLINK("http://maps.google.com/maps?f=q&amp;hl=en&amp;geocode=&amp;q=46.9551682053407,-114.011374755454")</f>
        <v>http://maps.google.com/maps?f=q&amp;hl=en&amp;geocode=&amp;q=46.9551682053407,-114.011374755454</v>
      </c>
    </row>
    <row r="7754" spans="1:7" ht="15" x14ac:dyDescent="0.3">
      <c r="A7754">
        <v>33.072550973310697</v>
      </c>
      <c r="B7754">
        <v>-96.222423114853797</v>
      </c>
      <c r="C7754" t="s">
        <v>41</v>
      </c>
      <c r="D7754" t="s">
        <v>4605</v>
      </c>
      <c r="F7754" s="21"/>
      <c r="G7754" s="16" t="str">
        <f>HYPERLINK("http://maps.google.com/maps?f=q&amp;hl=en&amp;geocode=&amp;q=33.0725509733107,-96.2224231148538")</f>
        <v>http://maps.google.com/maps?f=q&amp;hl=en&amp;geocode=&amp;q=33.0725509733107,-96.2224231148538</v>
      </c>
    </row>
    <row r="7755" spans="1:7" ht="15" x14ac:dyDescent="0.3">
      <c r="A7755">
        <v>36.654731750488303</v>
      </c>
      <c r="B7755">
        <v>-93.041000366210895</v>
      </c>
      <c r="C7755" t="s">
        <v>41</v>
      </c>
      <c r="D7755" t="s">
        <v>4606</v>
      </c>
      <c r="F7755" s="21"/>
      <c r="G7755" s="16" t="str">
        <f>HYPERLINK("http://maps.google.com/maps?f=q&amp;hl=en&amp;geocode=&amp;q=36.6547317504883,-93.0410003662109")</f>
        <v>http://maps.google.com/maps?f=q&amp;hl=en&amp;geocode=&amp;q=36.6547317504883,-93.0410003662109</v>
      </c>
    </row>
    <row r="7756" spans="1:7" ht="15" x14ac:dyDescent="0.3">
      <c r="A7756">
        <v>51.508949279785199</v>
      </c>
      <c r="B7756">
        <v>-1.7500000074505799E-2</v>
      </c>
      <c r="C7756" t="s">
        <v>41</v>
      </c>
      <c r="D7756" t="s">
        <v>4607</v>
      </c>
      <c r="F7756" s="21"/>
      <c r="G7756" s="16" t="str">
        <f>HYPERLINK("http://maps.google.com/maps?f=q&amp;hl=en&amp;geocode=&amp;q=51.5089492797852,-0.0175000000745058")</f>
        <v>http://maps.google.com/maps?f=q&amp;hl=en&amp;geocode=&amp;q=51.5089492797852,-0.0175000000745058</v>
      </c>
    </row>
    <row r="7757" spans="1:7" ht="15" x14ac:dyDescent="0.3">
      <c r="A7757">
        <v>39.973179999999999</v>
      </c>
      <c r="B7757">
        <v>-75.209850000000003</v>
      </c>
      <c r="C7757" t="s">
        <v>41</v>
      </c>
      <c r="D7757" t="s">
        <v>3179</v>
      </c>
      <c r="F7757" s="21"/>
      <c r="G7757" s="16" t="str">
        <f>HYPERLINK("http://maps.google.com/maps?f=q&amp;hl=en&amp;geocode=&amp;q=39.97318,-75.20985")</f>
        <v>http://maps.google.com/maps?f=q&amp;hl=en&amp;geocode=&amp;q=39.97318,-75.20985</v>
      </c>
    </row>
    <row r="7758" spans="1:7" ht="15" x14ac:dyDescent="0.3">
      <c r="A7758" t="s">
        <v>44</v>
      </c>
      <c r="B7758" t="s">
        <v>44</v>
      </c>
      <c r="C7758" t="s">
        <v>44</v>
      </c>
      <c r="D7758" t="s">
        <v>227</v>
      </c>
      <c r="F7758" s="21"/>
      <c r="G7758" s="16"/>
    </row>
    <row r="7759" spans="1:7" ht="15" x14ac:dyDescent="0.3">
      <c r="A7759">
        <v>34.621390362148098</v>
      </c>
      <c r="B7759">
        <v>-82.1260451203066</v>
      </c>
      <c r="C7759" t="s">
        <v>43</v>
      </c>
      <c r="D7759" t="s">
        <v>4259</v>
      </c>
      <c r="F7759" s="21"/>
      <c r="G7759" s="16" t="str">
        <f>HYPERLINK("http://maps.google.com/maps?f=q&amp;hl=en&amp;geocode=&amp;q=34.6213903621481,-82.1260451203066")</f>
        <v>http://maps.google.com/maps?f=q&amp;hl=en&amp;geocode=&amp;q=34.6213903621481,-82.1260451203066</v>
      </c>
    </row>
    <row r="7760" spans="1:7" ht="15" x14ac:dyDescent="0.3">
      <c r="A7760">
        <v>39.847194399532903</v>
      </c>
      <c r="B7760">
        <v>-86.074291127035806</v>
      </c>
      <c r="C7760" t="s">
        <v>43</v>
      </c>
      <c r="D7760" t="s">
        <v>4608</v>
      </c>
      <c r="F7760" s="21"/>
      <c r="G7760" s="16" t="str">
        <f>HYPERLINK("http://maps.google.com/maps?f=q&amp;hl=en&amp;geocode=&amp;q=39.8471943995329,-86.0742911270358")</f>
        <v>http://maps.google.com/maps?f=q&amp;hl=en&amp;geocode=&amp;q=39.8471943995329,-86.0742911270358</v>
      </c>
    </row>
    <row r="7761" spans="1:7" ht="15" x14ac:dyDescent="0.3">
      <c r="A7761">
        <v>32.928100000000001</v>
      </c>
      <c r="B7761">
        <v>-117.20565000000001</v>
      </c>
      <c r="C7761" t="s">
        <v>43</v>
      </c>
      <c r="D7761" t="s">
        <v>2107</v>
      </c>
      <c r="F7761" s="21"/>
      <c r="G7761" s="16" t="str">
        <f>HYPERLINK("http://maps.google.com/maps?f=q&amp;hl=en&amp;geocode=&amp;q=32.9281,-117.20565")</f>
        <v>http://maps.google.com/maps?f=q&amp;hl=en&amp;geocode=&amp;q=32.9281,-117.20565</v>
      </c>
    </row>
    <row r="7762" spans="1:7" ht="15" x14ac:dyDescent="0.3">
      <c r="A7762">
        <v>31.008949999999999</v>
      </c>
      <c r="B7762">
        <v>-86.337400000000002</v>
      </c>
      <c r="C7762" t="s">
        <v>42</v>
      </c>
      <c r="D7762" t="s">
        <v>4609</v>
      </c>
      <c r="F7762" s="21"/>
      <c r="G7762" s="16" t="str">
        <f>HYPERLINK("http://maps.google.com/maps?f=q&amp;hl=en&amp;geocode=&amp;q=31.00895,-86.3374")</f>
        <v>http://maps.google.com/maps?f=q&amp;hl=en&amp;geocode=&amp;q=31.00895,-86.3374</v>
      </c>
    </row>
    <row r="7763" spans="1:7" ht="15" x14ac:dyDescent="0.3">
      <c r="A7763">
        <v>40.113320000000002</v>
      </c>
      <c r="B7763">
        <v>-75.02561</v>
      </c>
      <c r="C7763" t="s">
        <v>41</v>
      </c>
      <c r="D7763" t="s">
        <v>3998</v>
      </c>
      <c r="F7763" s="21"/>
      <c r="G7763" s="16" t="str">
        <f>HYPERLINK("http://maps.google.com/maps?f=q&amp;hl=en&amp;geocode=&amp;q=40.11332,-75.02561")</f>
        <v>http://maps.google.com/maps?f=q&amp;hl=en&amp;geocode=&amp;q=40.11332,-75.02561</v>
      </c>
    </row>
    <row r="7764" spans="1:7" ht="15" x14ac:dyDescent="0.3">
      <c r="A7764">
        <v>-37.068550109863303</v>
      </c>
      <c r="B7764">
        <v>142.741134643555</v>
      </c>
      <c r="C7764" t="s">
        <v>41</v>
      </c>
      <c r="D7764" t="s">
        <v>4610</v>
      </c>
      <c r="F7764" s="21"/>
      <c r="G7764" s="16" t="str">
        <f>HYPERLINK("http://maps.google.com/maps?f=q&amp;hl=en&amp;geocode=&amp;q=-37.0685501098633,142.741134643555")</f>
        <v>http://maps.google.com/maps?f=q&amp;hl=en&amp;geocode=&amp;q=-37.0685501098633,142.741134643555</v>
      </c>
    </row>
    <row r="7765" spans="1:7" ht="15" x14ac:dyDescent="0.3">
      <c r="A7765">
        <v>50.4301147460938</v>
      </c>
      <c r="B7765">
        <v>3.7866749763488801</v>
      </c>
      <c r="C7765" t="s">
        <v>43</v>
      </c>
      <c r="D7765" t="s">
        <v>4611</v>
      </c>
      <c r="F7765" s="21"/>
      <c r="G7765" s="16" t="str">
        <f>HYPERLINK("http://maps.google.com/maps?f=q&amp;hl=en&amp;geocode=&amp;q=50.4301147460938,3.78667497634888")</f>
        <v>http://maps.google.com/maps?f=q&amp;hl=en&amp;geocode=&amp;q=50.4301147460938,3.78667497634888</v>
      </c>
    </row>
    <row r="7766" spans="1:7" ht="15" x14ac:dyDescent="0.3">
      <c r="A7766">
        <v>50.4301147460938</v>
      </c>
      <c r="B7766">
        <v>3.7866749763488801</v>
      </c>
      <c r="C7766" t="s">
        <v>43</v>
      </c>
      <c r="D7766" t="s">
        <v>4612</v>
      </c>
      <c r="F7766" s="21"/>
      <c r="G7766" s="16" t="str">
        <f>HYPERLINK("http://maps.google.com/maps?f=q&amp;hl=en&amp;geocode=&amp;q=50.4301147460938,3.78667497634888")</f>
        <v>http://maps.google.com/maps?f=q&amp;hl=en&amp;geocode=&amp;q=50.4301147460938,3.78667497634888</v>
      </c>
    </row>
    <row r="7767" spans="1:7" ht="15" x14ac:dyDescent="0.3">
      <c r="A7767">
        <v>40.692622030125698</v>
      </c>
      <c r="B7767">
        <v>-75.541149140988907</v>
      </c>
      <c r="C7767" t="s">
        <v>41</v>
      </c>
      <c r="D7767" t="s">
        <v>4613</v>
      </c>
      <c r="F7767" s="21"/>
      <c r="G7767" s="16" t="str">
        <f>HYPERLINK("http://maps.google.com/maps?f=q&amp;hl=en&amp;geocode=&amp;q=40.6926220301257,-75.5411491409889")</f>
        <v>http://maps.google.com/maps?f=q&amp;hl=en&amp;geocode=&amp;q=40.6926220301257,-75.5411491409889</v>
      </c>
    </row>
    <row r="7768" spans="1:7" ht="15" x14ac:dyDescent="0.3">
      <c r="A7768">
        <v>40.6908966159993</v>
      </c>
      <c r="B7768">
        <v>-75.5439385914718</v>
      </c>
      <c r="C7768" t="s">
        <v>41</v>
      </c>
      <c r="D7768" t="s">
        <v>4614</v>
      </c>
      <c r="F7768" s="21"/>
      <c r="G7768" s="16" t="str">
        <f>HYPERLINK("http://maps.google.com/maps?f=q&amp;hl=en&amp;geocode=&amp;q=40.6908966159993,-75.5439385914718")</f>
        <v>http://maps.google.com/maps?f=q&amp;hl=en&amp;geocode=&amp;q=40.6908966159993,-75.5439385914718</v>
      </c>
    </row>
    <row r="7769" spans="1:7" ht="15" x14ac:dyDescent="0.3">
      <c r="A7769">
        <v>35.553759999999997</v>
      </c>
      <c r="B7769">
        <v>-89.646860000000004</v>
      </c>
      <c r="C7769" t="s">
        <v>43</v>
      </c>
      <c r="D7769" t="s">
        <v>1151</v>
      </c>
      <c r="F7769" s="21"/>
      <c r="G7769" s="16" t="str">
        <f>HYPERLINK("http://maps.google.com/maps?f=q&amp;hl=en&amp;geocode=&amp;q=35.55376,-89.64686")</f>
        <v>http://maps.google.com/maps?f=q&amp;hl=en&amp;geocode=&amp;q=35.55376,-89.64686</v>
      </c>
    </row>
    <row r="7770" spans="1:7" ht="15" x14ac:dyDescent="0.3">
      <c r="A7770">
        <v>40.037979125976598</v>
      </c>
      <c r="B7770">
        <v>-75.223060607910199</v>
      </c>
      <c r="C7770" t="s">
        <v>41</v>
      </c>
      <c r="D7770" t="s">
        <v>590</v>
      </c>
      <c r="F7770" s="21"/>
      <c r="G7770" s="16" t="str">
        <f>HYPERLINK("http://maps.google.com/maps?f=q&amp;hl=en&amp;geocode=&amp;q=40.0379791259766,-75.2230606079102")</f>
        <v>http://maps.google.com/maps?f=q&amp;hl=en&amp;geocode=&amp;q=40.0379791259766,-75.2230606079102</v>
      </c>
    </row>
    <row r="7771" spans="1:7" ht="15" x14ac:dyDescent="0.3">
      <c r="A7771">
        <v>40.113320000000002</v>
      </c>
      <c r="B7771">
        <v>-75.02561</v>
      </c>
      <c r="C7771" t="s">
        <v>41</v>
      </c>
      <c r="D7771" t="s">
        <v>3998</v>
      </c>
      <c r="F7771" s="21"/>
      <c r="G7771" s="16" t="str">
        <f>HYPERLINK("http://maps.google.com/maps?f=q&amp;hl=en&amp;geocode=&amp;q=40.11332,-75.02561")</f>
        <v>http://maps.google.com/maps?f=q&amp;hl=en&amp;geocode=&amp;q=40.11332,-75.02561</v>
      </c>
    </row>
    <row r="7772" spans="1:7" ht="15" x14ac:dyDescent="0.3">
      <c r="A7772">
        <v>37.6307527593533</v>
      </c>
      <c r="B7772">
        <v>-80.985487552934401</v>
      </c>
      <c r="C7772" t="s">
        <v>41</v>
      </c>
      <c r="D7772" t="s">
        <v>84</v>
      </c>
      <c r="F7772" s="21"/>
      <c r="G7772" s="16" t="str">
        <f>HYPERLINK("http://maps.google.com/maps?f=q&amp;hl=en&amp;geocode=&amp;q=37.6307527593533,-80.9854875529344")</f>
        <v>http://maps.google.com/maps?f=q&amp;hl=en&amp;geocode=&amp;q=37.6307527593533,-80.9854875529344</v>
      </c>
    </row>
    <row r="7773" spans="1:7" ht="15" x14ac:dyDescent="0.3">
      <c r="A7773">
        <v>37.6307527593533</v>
      </c>
      <c r="B7773">
        <v>-80.985487552934401</v>
      </c>
      <c r="C7773" t="s">
        <v>41</v>
      </c>
      <c r="D7773" t="s">
        <v>84</v>
      </c>
      <c r="F7773" s="21"/>
      <c r="G7773" s="16" t="str">
        <f>HYPERLINK("http://maps.google.com/maps?f=q&amp;hl=en&amp;geocode=&amp;q=37.6307527593533,-80.9854875529344")</f>
        <v>http://maps.google.com/maps?f=q&amp;hl=en&amp;geocode=&amp;q=37.6307527593533,-80.9854875529344</v>
      </c>
    </row>
    <row r="7774" spans="1:7" ht="15" x14ac:dyDescent="0.3">
      <c r="A7774">
        <v>40.009125394058501</v>
      </c>
      <c r="B7774">
        <v>-75.102381498165798</v>
      </c>
      <c r="C7774" t="s">
        <v>43</v>
      </c>
      <c r="D7774" t="s">
        <v>310</v>
      </c>
      <c r="F7774" s="21"/>
      <c r="G7774" s="16" t="str">
        <f>HYPERLINK("http://maps.google.com/maps?f=q&amp;hl=en&amp;geocode=&amp;q=40.0091253940585,-75.1023814981658")</f>
        <v>http://maps.google.com/maps?f=q&amp;hl=en&amp;geocode=&amp;q=40.0091253940585,-75.1023814981658</v>
      </c>
    </row>
    <row r="7775" spans="1:7" ht="15" x14ac:dyDescent="0.3">
      <c r="A7775">
        <v>41.262371270614899</v>
      </c>
      <c r="B7775">
        <v>-76.835435316045903</v>
      </c>
      <c r="C7775" t="s">
        <v>41</v>
      </c>
      <c r="D7775" t="s">
        <v>4615</v>
      </c>
      <c r="F7775" s="21"/>
      <c r="G7775" s="16" t="str">
        <f>HYPERLINK("http://maps.google.com/maps?f=q&amp;hl=en&amp;geocode=&amp;q=41.2623712706149,-76.8354353160459")</f>
        <v>http://maps.google.com/maps?f=q&amp;hl=en&amp;geocode=&amp;q=41.2623712706149,-76.8354353160459</v>
      </c>
    </row>
    <row r="7776" spans="1:7" ht="15" x14ac:dyDescent="0.3">
      <c r="A7776">
        <v>7.3835182189941397</v>
      </c>
      <c r="B7776">
        <v>-12.2588081359863</v>
      </c>
      <c r="C7776" t="s">
        <v>41</v>
      </c>
      <c r="D7776" t="s">
        <v>202</v>
      </c>
      <c r="F7776" s="21"/>
      <c r="G7776" s="16" t="str">
        <f>HYPERLINK("http://maps.google.com/maps?f=q&amp;hl=en&amp;geocode=&amp;q=7.38351821899414,-12.2588081359863")</f>
        <v>http://maps.google.com/maps?f=q&amp;hl=en&amp;geocode=&amp;q=7.38351821899414,-12.2588081359863</v>
      </c>
    </row>
    <row r="7777" spans="1:7" ht="15" x14ac:dyDescent="0.3">
      <c r="A7777">
        <v>47.202430725097699</v>
      </c>
      <c r="B7777">
        <v>19.835624694824201</v>
      </c>
      <c r="C7777" t="s">
        <v>43</v>
      </c>
      <c r="D7777" t="s">
        <v>3434</v>
      </c>
      <c r="F7777" s="21"/>
      <c r="G7777" s="16" t="str">
        <f>HYPERLINK("http://maps.google.com/maps?f=q&amp;hl=en&amp;geocode=&amp;q=47.2024307250977,19.8356246948242")</f>
        <v>http://maps.google.com/maps?f=q&amp;hl=en&amp;geocode=&amp;q=47.2024307250977,19.8356246948242</v>
      </c>
    </row>
    <row r="7778" spans="1:7" ht="15" x14ac:dyDescent="0.3">
      <c r="A7778">
        <v>37.765643670295198</v>
      </c>
      <c r="B7778">
        <v>-113.711334017117</v>
      </c>
      <c r="C7778" t="s">
        <v>43</v>
      </c>
      <c r="D7778" t="s">
        <v>3154</v>
      </c>
      <c r="F7778" s="21"/>
      <c r="G7778" s="16" t="str">
        <f>HYPERLINK("http://maps.google.com/maps?f=q&amp;hl=en&amp;geocode=&amp;q=37.7656436702952,-113.711334017117")</f>
        <v>http://maps.google.com/maps?f=q&amp;hl=en&amp;geocode=&amp;q=37.7656436702952,-113.711334017117</v>
      </c>
    </row>
    <row r="7779" spans="1:7" ht="15" x14ac:dyDescent="0.3">
      <c r="A7779">
        <v>35.514073333543699</v>
      </c>
      <c r="B7779">
        <v>-108.739489080844</v>
      </c>
      <c r="C7779" t="s">
        <v>43</v>
      </c>
      <c r="D7779" t="s">
        <v>321</v>
      </c>
      <c r="F7779" s="21"/>
      <c r="G7779" s="16" t="str">
        <f>HYPERLINK("http://maps.google.com/maps?f=q&amp;hl=en&amp;geocode=&amp;q=35.5140733335437,-108.739489080844")</f>
        <v>http://maps.google.com/maps?f=q&amp;hl=en&amp;geocode=&amp;q=35.5140733335437,-108.739489080844</v>
      </c>
    </row>
    <row r="7780" spans="1:7" ht="15" x14ac:dyDescent="0.3">
      <c r="A7780">
        <v>37.016419999999997</v>
      </c>
      <c r="B7780">
        <v>-97.041730000000001</v>
      </c>
      <c r="C7780" t="s">
        <v>42</v>
      </c>
      <c r="D7780" t="s">
        <v>717</v>
      </c>
      <c r="F7780" s="21"/>
      <c r="G7780" s="16" t="str">
        <f>HYPERLINK("http://maps.google.com/maps?f=q&amp;hl=en&amp;geocode=&amp;q=37.01642,-97.04173")</f>
        <v>http://maps.google.com/maps?f=q&amp;hl=en&amp;geocode=&amp;q=37.01642,-97.04173</v>
      </c>
    </row>
    <row r="7781" spans="1:7" ht="15" x14ac:dyDescent="0.3">
      <c r="A7781" t="s">
        <v>44</v>
      </c>
      <c r="B7781" t="s">
        <v>44</v>
      </c>
      <c r="C7781" t="s">
        <v>44</v>
      </c>
      <c r="D7781" t="s">
        <v>3052</v>
      </c>
      <c r="F7781" s="21"/>
      <c r="G7781" s="16"/>
    </row>
    <row r="7782" spans="1:7" ht="15" x14ac:dyDescent="0.3">
      <c r="A7782">
        <v>38.973060607910199</v>
      </c>
      <c r="B7782">
        <v>-95.236526489257798</v>
      </c>
      <c r="C7782" t="s">
        <v>43</v>
      </c>
      <c r="D7782" t="s">
        <v>3051</v>
      </c>
      <c r="F7782" s="21"/>
      <c r="G7782" s="16" t="str">
        <f>HYPERLINK("http://maps.google.com/maps?f=q&amp;hl=en&amp;geocode=&amp;q=38.9730606079102,-95.2365264892578")</f>
        <v>http://maps.google.com/maps?f=q&amp;hl=en&amp;geocode=&amp;q=38.9730606079102,-95.2365264892578</v>
      </c>
    </row>
    <row r="7783" spans="1:7" ht="15" x14ac:dyDescent="0.3">
      <c r="A7783">
        <v>-24.962446212768601</v>
      </c>
      <c r="B7783">
        <v>26.9598484039307</v>
      </c>
      <c r="C7783" t="s">
        <v>43</v>
      </c>
      <c r="D7783" t="s">
        <v>4616</v>
      </c>
      <c r="F7783" s="21"/>
      <c r="G7783" s="16" t="str">
        <f>HYPERLINK("http://maps.google.com/maps?f=q&amp;hl=en&amp;geocode=&amp;q=-24.9624462127686,26.9598484039307")</f>
        <v>http://maps.google.com/maps?f=q&amp;hl=en&amp;geocode=&amp;q=-24.9624462127686,26.9598484039307</v>
      </c>
    </row>
    <row r="7784" spans="1:7" ht="15" x14ac:dyDescent="0.3">
      <c r="A7784">
        <v>34.787712162460899</v>
      </c>
      <c r="B7784">
        <v>-89.801279659140206</v>
      </c>
      <c r="C7784" t="s">
        <v>42</v>
      </c>
      <c r="D7784" t="s">
        <v>4617</v>
      </c>
      <c r="F7784" s="21"/>
      <c r="G7784" s="16" t="str">
        <f>HYPERLINK("http://maps.google.com/maps?f=q&amp;hl=en&amp;geocode=&amp;q=34.7877121624609,-89.8012796591402")</f>
        <v>http://maps.google.com/maps?f=q&amp;hl=en&amp;geocode=&amp;q=34.7877121624609,-89.8012796591402</v>
      </c>
    </row>
    <row r="7785" spans="1:7" ht="15" x14ac:dyDescent="0.3">
      <c r="A7785">
        <v>38.205227146380302</v>
      </c>
      <c r="B7785">
        <v>-97.520512776783093</v>
      </c>
      <c r="C7785" t="s">
        <v>41</v>
      </c>
      <c r="D7785" t="s">
        <v>1744</v>
      </c>
      <c r="F7785" s="21"/>
      <c r="G7785" s="16" t="str">
        <f>HYPERLINK("http://maps.google.com/maps?f=q&amp;hl=en&amp;geocode=&amp;q=38.2052271463803,-97.5205127767831")</f>
        <v>http://maps.google.com/maps?f=q&amp;hl=en&amp;geocode=&amp;q=38.2052271463803,-97.5205127767831</v>
      </c>
    </row>
    <row r="7786" spans="1:7" ht="15" x14ac:dyDescent="0.3">
      <c r="A7786">
        <v>32.581761537936202</v>
      </c>
      <c r="B7786">
        <v>-83.131346292689102</v>
      </c>
      <c r="C7786" t="s">
        <v>41</v>
      </c>
      <c r="D7786" t="s">
        <v>4618</v>
      </c>
      <c r="F7786" s="21"/>
      <c r="G7786" s="16" t="str">
        <f>HYPERLINK("http://maps.google.com/maps?f=q&amp;hl=en&amp;geocode=&amp;q=32.5817615379362,-83.1313462926891")</f>
        <v>http://maps.google.com/maps?f=q&amp;hl=en&amp;geocode=&amp;q=32.5817615379362,-83.1313462926891</v>
      </c>
    </row>
    <row r="7787" spans="1:7" ht="15" x14ac:dyDescent="0.3">
      <c r="A7787">
        <v>40.027900000000002</v>
      </c>
      <c r="B7787">
        <v>-75.172809999999998</v>
      </c>
      <c r="C7787" t="s">
        <v>41</v>
      </c>
      <c r="D7787" t="s">
        <v>4619</v>
      </c>
      <c r="F7787" s="21"/>
      <c r="G7787" s="16" t="str">
        <f>HYPERLINK("http://maps.google.com/maps?f=q&amp;hl=en&amp;geocode=&amp;q=40.0279,-75.17281")</f>
        <v>http://maps.google.com/maps?f=q&amp;hl=en&amp;geocode=&amp;q=40.0279,-75.17281</v>
      </c>
    </row>
    <row r="7788" spans="1:7" ht="15" x14ac:dyDescent="0.3">
      <c r="A7788">
        <v>37.802446571715997</v>
      </c>
      <c r="B7788">
        <v>-113.11562091808101</v>
      </c>
      <c r="C7788" t="s">
        <v>41</v>
      </c>
      <c r="D7788" t="s">
        <v>4620</v>
      </c>
      <c r="F7788" s="21"/>
      <c r="G7788" s="16" t="str">
        <f>HYPERLINK("http://maps.google.com/maps?f=q&amp;hl=en&amp;geocode=&amp;q=37.802446571716,-113.115620918081")</f>
        <v>http://maps.google.com/maps?f=q&amp;hl=en&amp;geocode=&amp;q=37.802446571716,-113.115620918081</v>
      </c>
    </row>
    <row r="7789" spans="1:7" ht="15" x14ac:dyDescent="0.3">
      <c r="A7789">
        <v>41.968815437805503</v>
      </c>
      <c r="B7789">
        <v>-91.492033864593296</v>
      </c>
      <c r="C7789" t="s">
        <v>43</v>
      </c>
      <c r="D7789" t="s">
        <v>3285</v>
      </c>
      <c r="F7789" s="21"/>
      <c r="G7789" s="16" t="str">
        <f>HYPERLINK("http://maps.google.com/maps?f=q&amp;hl=en&amp;geocode=&amp;q=41.9688154378055,-91.4920338645933")</f>
        <v>http://maps.google.com/maps?f=q&amp;hl=en&amp;geocode=&amp;q=41.9688154378055,-91.4920338645933</v>
      </c>
    </row>
    <row r="7790" spans="1:7" ht="15" x14ac:dyDescent="0.3">
      <c r="A7790">
        <v>39.919820000000001</v>
      </c>
      <c r="B7790">
        <v>-75.184089999999998</v>
      </c>
      <c r="C7790" t="s">
        <v>43</v>
      </c>
      <c r="D7790" t="s">
        <v>4115</v>
      </c>
      <c r="F7790" s="21"/>
      <c r="G7790" s="16" t="str">
        <f>HYPERLINK("http://maps.google.com/maps?f=q&amp;hl=en&amp;geocode=&amp;q=39.91982,-75.18409")</f>
        <v>http://maps.google.com/maps?f=q&amp;hl=en&amp;geocode=&amp;q=39.91982,-75.18409</v>
      </c>
    </row>
    <row r="7791" spans="1:7" ht="15" x14ac:dyDescent="0.3">
      <c r="A7791">
        <v>48.922684967240997</v>
      </c>
      <c r="B7791">
        <v>-122.743728721306</v>
      </c>
      <c r="C7791" t="s">
        <v>41</v>
      </c>
      <c r="D7791" t="s">
        <v>4621</v>
      </c>
      <c r="F7791" s="21"/>
      <c r="G7791" s="16" t="str">
        <f>HYPERLINK("http://maps.google.com/maps?f=q&amp;hl=en&amp;geocode=&amp;q=48.922684967241,-122.743728721306")</f>
        <v>http://maps.google.com/maps?f=q&amp;hl=en&amp;geocode=&amp;q=48.922684967241,-122.743728721306</v>
      </c>
    </row>
    <row r="7792" spans="1:7" ht="15" x14ac:dyDescent="0.3">
      <c r="A7792">
        <v>29.694665620011701</v>
      </c>
      <c r="B7792">
        <v>-95.352223177386094</v>
      </c>
      <c r="C7792" t="s">
        <v>41</v>
      </c>
      <c r="D7792" t="s">
        <v>3412</v>
      </c>
      <c r="F7792" s="21"/>
      <c r="G7792" s="16" t="str">
        <f>HYPERLINK("http://maps.google.com/maps?f=q&amp;hl=en&amp;geocode=&amp;q=29.6946656200117,-95.3522231773861")</f>
        <v>http://maps.google.com/maps?f=q&amp;hl=en&amp;geocode=&amp;q=29.6946656200117,-95.3522231773861</v>
      </c>
    </row>
    <row r="7793" spans="1:7" ht="15" x14ac:dyDescent="0.3">
      <c r="A7793">
        <v>39.985076403831201</v>
      </c>
      <c r="B7793">
        <v>-75.106754449039101</v>
      </c>
      <c r="C7793" t="s">
        <v>41</v>
      </c>
      <c r="D7793" t="s">
        <v>3814</v>
      </c>
      <c r="F7793" s="21"/>
      <c r="G7793" s="16" t="str">
        <f>HYPERLINK("http://maps.google.com/maps?f=q&amp;hl=en&amp;geocode=&amp;q=39.9850764038312,-75.1067544490391")</f>
        <v>http://maps.google.com/maps?f=q&amp;hl=en&amp;geocode=&amp;q=39.9850764038312,-75.1067544490391</v>
      </c>
    </row>
    <row r="7794" spans="1:7" ht="15" x14ac:dyDescent="0.3">
      <c r="A7794">
        <v>42.999576568603501</v>
      </c>
      <c r="B7794">
        <v>-107.551513671875</v>
      </c>
      <c r="C7794" t="s">
        <v>41</v>
      </c>
      <c r="D7794" t="s">
        <v>2245</v>
      </c>
      <c r="F7794" s="21"/>
      <c r="G7794" s="16" t="str">
        <f>HYPERLINK("http://maps.google.com/maps?f=q&amp;hl=en&amp;geocode=&amp;q=42.9995765686035,-107.551513671875")</f>
        <v>http://maps.google.com/maps?f=q&amp;hl=en&amp;geocode=&amp;q=42.9995765686035,-107.551513671875</v>
      </c>
    </row>
    <row r="7795" spans="1:7" ht="15" x14ac:dyDescent="0.3">
      <c r="A7795">
        <v>42.999576568603501</v>
      </c>
      <c r="B7795">
        <v>-107.551513671875</v>
      </c>
      <c r="C7795" t="s">
        <v>41</v>
      </c>
      <c r="D7795" t="s">
        <v>2245</v>
      </c>
      <c r="F7795" s="21"/>
      <c r="G7795" s="16" t="str">
        <f>HYPERLINK("http://maps.google.com/maps?f=q&amp;hl=en&amp;geocode=&amp;q=42.9995765686035,-107.551513671875")</f>
        <v>http://maps.google.com/maps?f=q&amp;hl=en&amp;geocode=&amp;q=42.9995765686035,-107.551513671875</v>
      </c>
    </row>
    <row r="7796" spans="1:7" ht="15" x14ac:dyDescent="0.3">
      <c r="A7796">
        <v>42.999576568603501</v>
      </c>
      <c r="B7796">
        <v>-107.551513671875</v>
      </c>
      <c r="C7796" t="s">
        <v>41</v>
      </c>
      <c r="D7796" t="s">
        <v>2245</v>
      </c>
      <c r="F7796" s="21"/>
      <c r="G7796" s="16" t="str">
        <f>HYPERLINK("http://maps.google.com/maps?f=q&amp;hl=en&amp;geocode=&amp;q=42.9995765686035,-107.551513671875")</f>
        <v>http://maps.google.com/maps?f=q&amp;hl=en&amp;geocode=&amp;q=42.9995765686035,-107.551513671875</v>
      </c>
    </row>
    <row r="7797" spans="1:7" ht="15" x14ac:dyDescent="0.3">
      <c r="A7797">
        <v>38.3172798156738</v>
      </c>
      <c r="B7797">
        <v>-88.903640747070298</v>
      </c>
      <c r="C7797" t="s">
        <v>41</v>
      </c>
      <c r="D7797" t="s">
        <v>4622</v>
      </c>
      <c r="F7797" s="21"/>
      <c r="G7797" s="16" t="str">
        <f>HYPERLINK("http://maps.google.com/maps?f=q&amp;hl=en&amp;geocode=&amp;q=38.3172798156738,-88.9036407470703")</f>
        <v>http://maps.google.com/maps?f=q&amp;hl=en&amp;geocode=&amp;q=38.3172798156738,-88.9036407470703</v>
      </c>
    </row>
    <row r="7798" spans="1:7" ht="15" x14ac:dyDescent="0.3">
      <c r="A7798">
        <v>40.040819999999997</v>
      </c>
      <c r="B7798">
        <v>-75.065640000000002</v>
      </c>
      <c r="C7798" t="s">
        <v>41</v>
      </c>
      <c r="D7798" t="s">
        <v>4623</v>
      </c>
      <c r="F7798" s="21"/>
      <c r="G7798" s="16" t="str">
        <f>HYPERLINK("http://maps.google.com/maps?f=q&amp;hl=en&amp;geocode=&amp;q=40.04082,-75.06564")</f>
        <v>http://maps.google.com/maps?f=q&amp;hl=en&amp;geocode=&amp;q=40.04082,-75.06564</v>
      </c>
    </row>
    <row r="7799" spans="1:7" ht="15" x14ac:dyDescent="0.3">
      <c r="A7799">
        <v>40.040819999999997</v>
      </c>
      <c r="B7799">
        <v>-75.065640000000002</v>
      </c>
      <c r="C7799" t="s">
        <v>41</v>
      </c>
      <c r="D7799" t="s">
        <v>4623</v>
      </c>
      <c r="F7799" s="21"/>
      <c r="G7799" s="16" t="str">
        <f>HYPERLINK("http://maps.google.com/maps?f=q&amp;hl=en&amp;geocode=&amp;q=40.04082,-75.06564")</f>
        <v>http://maps.google.com/maps?f=q&amp;hl=en&amp;geocode=&amp;q=40.04082,-75.06564</v>
      </c>
    </row>
    <row r="7800" spans="1:7" ht="15" x14ac:dyDescent="0.3">
      <c r="A7800">
        <v>-36.718856811523402</v>
      </c>
      <c r="B7800">
        <v>142.19622802734401</v>
      </c>
      <c r="C7800" t="s">
        <v>43</v>
      </c>
      <c r="D7800" t="s">
        <v>86</v>
      </c>
      <c r="F7800" s="21"/>
      <c r="G7800" s="16" t="str">
        <f>HYPERLINK("http://maps.google.com/maps?f=q&amp;hl=en&amp;geocode=&amp;q=-36.7188568115234,142.196228027344")</f>
        <v>http://maps.google.com/maps?f=q&amp;hl=en&amp;geocode=&amp;q=-36.7188568115234,142.196228027344</v>
      </c>
    </row>
    <row r="7801" spans="1:7" ht="15" x14ac:dyDescent="0.3">
      <c r="A7801">
        <v>-36.718856811523402</v>
      </c>
      <c r="B7801">
        <v>142.19622802734401</v>
      </c>
      <c r="C7801" t="s">
        <v>43</v>
      </c>
      <c r="D7801" t="s">
        <v>86</v>
      </c>
      <c r="F7801" s="21"/>
      <c r="G7801" s="16" t="str">
        <f>HYPERLINK("http://maps.google.com/maps?f=q&amp;hl=en&amp;geocode=&amp;q=-36.7188568115234,142.196228027344")</f>
        <v>http://maps.google.com/maps?f=q&amp;hl=en&amp;geocode=&amp;q=-36.7188568115234,142.196228027344</v>
      </c>
    </row>
    <row r="7802" spans="1:7" ht="15" x14ac:dyDescent="0.3">
      <c r="A7802">
        <v>52.737533569335902</v>
      </c>
      <c r="B7802">
        <v>6.4419651031494096</v>
      </c>
      <c r="C7802" t="s">
        <v>43</v>
      </c>
      <c r="D7802" t="s">
        <v>4624</v>
      </c>
      <c r="F7802" s="21"/>
      <c r="G7802" s="16" t="str">
        <f>HYPERLINK("http://maps.google.com/maps?f=q&amp;hl=en&amp;geocode=&amp;q=52.7375335693359,6.44196510314941")</f>
        <v>http://maps.google.com/maps?f=q&amp;hl=en&amp;geocode=&amp;q=52.7375335693359,6.44196510314941</v>
      </c>
    </row>
    <row r="7803" spans="1:7" ht="15" x14ac:dyDescent="0.3">
      <c r="A7803">
        <v>-33.791488647460902</v>
      </c>
      <c r="B7803">
        <v>151.08041381835901</v>
      </c>
      <c r="C7803" t="s">
        <v>41</v>
      </c>
      <c r="D7803" t="s">
        <v>4625</v>
      </c>
      <c r="F7803" s="21"/>
      <c r="G7803" s="16" t="str">
        <f>HYPERLINK("http://maps.google.com/maps?f=q&amp;hl=en&amp;geocode=&amp;q=-33.7914886474609,151.080413818359")</f>
        <v>http://maps.google.com/maps?f=q&amp;hl=en&amp;geocode=&amp;q=-33.7914886474609,151.080413818359</v>
      </c>
    </row>
    <row r="7804" spans="1:7" ht="15" x14ac:dyDescent="0.3">
      <c r="A7804">
        <v>35.196949005127003</v>
      </c>
      <c r="B7804">
        <v>-87.032402038574205</v>
      </c>
      <c r="C7804" t="s">
        <v>43</v>
      </c>
      <c r="D7804" t="s">
        <v>4626</v>
      </c>
      <c r="F7804" s="21"/>
      <c r="G7804" s="16" t="str">
        <f>HYPERLINK("http://maps.google.com/maps?f=q&amp;hl=en&amp;geocode=&amp;q=35.196949005127,-87.0324020385742")</f>
        <v>http://maps.google.com/maps?f=q&amp;hl=en&amp;geocode=&amp;q=35.196949005127,-87.0324020385742</v>
      </c>
    </row>
    <row r="7805" spans="1:7" ht="15" x14ac:dyDescent="0.3">
      <c r="A7805" t="s">
        <v>44</v>
      </c>
      <c r="B7805" t="s">
        <v>44</v>
      </c>
      <c r="C7805" t="s">
        <v>44</v>
      </c>
      <c r="D7805" t="s">
        <v>4627</v>
      </c>
      <c r="F7805" s="21"/>
      <c r="G7805" s="16"/>
    </row>
    <row r="7806" spans="1:7" ht="15" x14ac:dyDescent="0.3">
      <c r="A7806" t="s">
        <v>44</v>
      </c>
      <c r="B7806" t="s">
        <v>44</v>
      </c>
      <c r="C7806" t="s">
        <v>44</v>
      </c>
      <c r="D7806" t="s">
        <v>4628</v>
      </c>
      <c r="F7806" s="21"/>
      <c r="G7806" s="16"/>
    </row>
    <row r="7807" spans="1:7" ht="15" x14ac:dyDescent="0.3">
      <c r="A7807">
        <v>39.997210000000003</v>
      </c>
      <c r="B7807">
        <v>-75.178190000000001</v>
      </c>
      <c r="C7807" t="s">
        <v>41</v>
      </c>
      <c r="D7807" t="s">
        <v>4629</v>
      </c>
      <c r="F7807" s="21"/>
      <c r="G7807" s="16" t="str">
        <f>HYPERLINK("http://maps.google.com/maps?f=q&amp;hl=en&amp;geocode=&amp;q=39.99721,-75.17819")</f>
        <v>http://maps.google.com/maps?f=q&amp;hl=en&amp;geocode=&amp;q=39.99721,-75.17819</v>
      </c>
    </row>
    <row r="7808" spans="1:7" ht="15" x14ac:dyDescent="0.3">
      <c r="A7808">
        <v>40.634369999999997</v>
      </c>
      <c r="B7808">
        <v>-82.233559999999997</v>
      </c>
      <c r="C7808" t="s">
        <v>42</v>
      </c>
      <c r="D7808" t="s">
        <v>4630</v>
      </c>
      <c r="F7808" s="21"/>
      <c r="G7808" s="16" t="str">
        <f>HYPERLINK("http://maps.google.com/maps?f=q&amp;hl=en&amp;geocode=&amp;q=40.63437,-82.23356")</f>
        <v>http://maps.google.com/maps?f=q&amp;hl=en&amp;geocode=&amp;q=40.63437,-82.23356</v>
      </c>
    </row>
    <row r="7809" spans="1:7" ht="15" x14ac:dyDescent="0.3">
      <c r="A7809" t="s">
        <v>44</v>
      </c>
      <c r="B7809" t="s">
        <v>44</v>
      </c>
      <c r="C7809" t="s">
        <v>44</v>
      </c>
      <c r="D7809" t="s">
        <v>981</v>
      </c>
      <c r="F7809" s="21"/>
      <c r="G7809" s="16"/>
    </row>
    <row r="7810" spans="1:7" ht="15" x14ac:dyDescent="0.3">
      <c r="A7810">
        <v>32.401069999999997</v>
      </c>
      <c r="B7810">
        <v>-97.327020000000005</v>
      </c>
      <c r="C7810" t="s">
        <v>41</v>
      </c>
      <c r="D7810" t="s">
        <v>4631</v>
      </c>
      <c r="F7810" s="21"/>
      <c r="G7810" s="16" t="str">
        <f>HYPERLINK("http://maps.google.com/maps?f=q&amp;hl=en&amp;geocode=&amp;q=32.40107,-97.32702")</f>
        <v>http://maps.google.com/maps?f=q&amp;hl=en&amp;geocode=&amp;q=32.40107,-97.32702</v>
      </c>
    </row>
    <row r="7811" spans="1:7" ht="15" x14ac:dyDescent="0.3">
      <c r="A7811">
        <v>38.391197682875998</v>
      </c>
      <c r="B7811">
        <v>-122.35258056547001</v>
      </c>
      <c r="C7811" t="s">
        <v>41</v>
      </c>
      <c r="D7811" t="s">
        <v>4632</v>
      </c>
      <c r="F7811" s="21"/>
      <c r="G7811" s="16" t="str">
        <f>HYPERLINK("http://maps.google.com/maps?f=q&amp;hl=en&amp;geocode=&amp;q=38.391197682876,-122.35258056547")</f>
        <v>http://maps.google.com/maps?f=q&amp;hl=en&amp;geocode=&amp;q=38.391197682876,-122.35258056547</v>
      </c>
    </row>
    <row r="7812" spans="1:7" ht="15" x14ac:dyDescent="0.3">
      <c r="A7812">
        <v>39.950800000000001</v>
      </c>
      <c r="B7812">
        <v>-75.224919999999997</v>
      </c>
      <c r="C7812" t="s">
        <v>41</v>
      </c>
      <c r="D7812" t="s">
        <v>213</v>
      </c>
      <c r="F7812" s="21"/>
      <c r="G7812" s="16" t="str">
        <f>HYPERLINK("http://maps.google.com/maps?f=q&amp;hl=en&amp;geocode=&amp;q=39.9508,-75.22492")</f>
        <v>http://maps.google.com/maps?f=q&amp;hl=en&amp;geocode=&amp;q=39.9508,-75.22492</v>
      </c>
    </row>
    <row r="7813" spans="1:7" ht="15" x14ac:dyDescent="0.3">
      <c r="A7813">
        <v>34.931970367514097</v>
      </c>
      <c r="B7813">
        <v>-89.876229477779205</v>
      </c>
      <c r="C7813" t="s">
        <v>41</v>
      </c>
      <c r="D7813" t="s">
        <v>4633</v>
      </c>
      <c r="F7813" s="21"/>
      <c r="G7813" s="16" t="str">
        <f>HYPERLINK("http://maps.google.com/maps?f=q&amp;hl=en&amp;geocode=&amp;q=34.9319703675141,-89.8762294777792")</f>
        <v>http://maps.google.com/maps?f=q&amp;hl=en&amp;geocode=&amp;q=34.9319703675141,-89.8762294777792</v>
      </c>
    </row>
    <row r="7814" spans="1:7" ht="15" x14ac:dyDescent="0.3">
      <c r="A7814">
        <v>31.908686250629199</v>
      </c>
      <c r="B7814">
        <v>-92.103391706974094</v>
      </c>
      <c r="C7814" t="s">
        <v>42</v>
      </c>
      <c r="D7814" t="s">
        <v>1790</v>
      </c>
      <c r="F7814" s="21"/>
      <c r="G7814" s="16" t="str">
        <f>HYPERLINK("http://maps.google.com/maps?f=q&amp;hl=en&amp;geocode=&amp;q=31.9086862506292,-92.1033917069741")</f>
        <v>http://maps.google.com/maps?f=q&amp;hl=en&amp;geocode=&amp;q=31.9086862506292,-92.1033917069741</v>
      </c>
    </row>
    <row r="7815" spans="1:7" ht="15" x14ac:dyDescent="0.3">
      <c r="A7815">
        <v>51.581378936767599</v>
      </c>
      <c r="B7815">
        <v>0.18630999326705899</v>
      </c>
      <c r="C7815" t="s">
        <v>41</v>
      </c>
      <c r="D7815" t="s">
        <v>4634</v>
      </c>
      <c r="F7815" s="21"/>
      <c r="G7815" s="16" t="str">
        <f>HYPERLINK("http://maps.google.com/maps?f=q&amp;hl=en&amp;geocode=&amp;q=51.5813789367676,0.186309993267059")</f>
        <v>http://maps.google.com/maps?f=q&amp;hl=en&amp;geocode=&amp;q=51.5813789367676,0.186309993267059</v>
      </c>
    </row>
    <row r="7816" spans="1:7" ht="15" x14ac:dyDescent="0.3">
      <c r="A7816">
        <v>37.340730000000001</v>
      </c>
      <c r="B7816">
        <v>-122.06955000000001</v>
      </c>
      <c r="C7816" t="s">
        <v>43</v>
      </c>
      <c r="D7816" t="s">
        <v>4635</v>
      </c>
      <c r="F7816" s="21"/>
      <c r="G7816" s="16" t="str">
        <f>HYPERLINK("http://maps.google.com/maps?f=q&amp;hl=en&amp;geocode=&amp;q=37.34073,-122.06955")</f>
        <v>http://maps.google.com/maps?f=q&amp;hl=en&amp;geocode=&amp;q=37.34073,-122.06955</v>
      </c>
    </row>
    <row r="7817" spans="1:7" ht="15" x14ac:dyDescent="0.3">
      <c r="A7817">
        <v>43.0261421203613</v>
      </c>
      <c r="B7817">
        <v>24.1700325012207</v>
      </c>
      <c r="C7817" t="s">
        <v>43</v>
      </c>
      <c r="D7817" t="s">
        <v>4636</v>
      </c>
      <c r="F7817" s="21"/>
      <c r="G7817" s="16" t="str">
        <f>HYPERLINK("http://maps.google.com/maps?f=q&amp;hl=en&amp;geocode=&amp;q=43.0261421203613,24.1700325012207")</f>
        <v>http://maps.google.com/maps?f=q&amp;hl=en&amp;geocode=&amp;q=43.0261421203613,24.1700325012207</v>
      </c>
    </row>
    <row r="7818" spans="1:7" ht="15" x14ac:dyDescent="0.3">
      <c r="A7818">
        <v>39.6249809265137</v>
      </c>
      <c r="B7818">
        <v>-84.369743347167997</v>
      </c>
      <c r="C7818" t="s">
        <v>41</v>
      </c>
      <c r="D7818" t="s">
        <v>4637</v>
      </c>
      <c r="F7818" s="21"/>
      <c r="G7818" s="16" t="str">
        <f>HYPERLINK("http://maps.google.com/maps?f=q&amp;hl=en&amp;geocode=&amp;q=39.6249809265137,-84.369743347168")</f>
        <v>http://maps.google.com/maps?f=q&amp;hl=en&amp;geocode=&amp;q=39.6249809265137,-84.369743347168</v>
      </c>
    </row>
    <row r="7819" spans="1:7" ht="15" x14ac:dyDescent="0.3">
      <c r="A7819">
        <v>39.6249809265137</v>
      </c>
      <c r="B7819">
        <v>-84.369743347167997</v>
      </c>
      <c r="C7819" t="s">
        <v>41</v>
      </c>
      <c r="D7819" t="s">
        <v>4637</v>
      </c>
      <c r="F7819" s="21"/>
      <c r="G7819" s="16" t="str">
        <f>HYPERLINK("http://maps.google.com/maps?f=q&amp;hl=en&amp;geocode=&amp;q=39.6249809265137,-84.369743347168")</f>
        <v>http://maps.google.com/maps?f=q&amp;hl=en&amp;geocode=&amp;q=39.6249809265137,-84.369743347168</v>
      </c>
    </row>
    <row r="7820" spans="1:7" ht="15" x14ac:dyDescent="0.3">
      <c r="A7820">
        <v>38.7548217773438</v>
      </c>
      <c r="B7820">
        <v>-9.2696599960327095</v>
      </c>
      <c r="C7820" t="s">
        <v>41</v>
      </c>
      <c r="D7820" t="s">
        <v>4638</v>
      </c>
      <c r="F7820" s="21"/>
      <c r="G7820" s="16" t="str">
        <f>HYPERLINK("http://maps.google.com/maps?f=q&amp;hl=en&amp;geocode=&amp;q=38.7548217773438,-9.26965999603271")</f>
        <v>http://maps.google.com/maps?f=q&amp;hl=en&amp;geocode=&amp;q=38.7548217773438,-9.26965999603271</v>
      </c>
    </row>
    <row r="7821" spans="1:7" ht="15" x14ac:dyDescent="0.3">
      <c r="A7821">
        <v>46.877762041270799</v>
      </c>
      <c r="B7821">
        <v>-123.302815465542</v>
      </c>
      <c r="C7821" t="s">
        <v>41</v>
      </c>
      <c r="D7821" t="s">
        <v>4639</v>
      </c>
      <c r="F7821" s="21"/>
      <c r="G7821" s="16" t="str">
        <f>HYPERLINK("http://maps.google.com/maps?f=q&amp;hl=en&amp;geocode=&amp;q=46.8777620412708,-123.302815465542")</f>
        <v>http://maps.google.com/maps?f=q&amp;hl=en&amp;geocode=&amp;q=46.8777620412708,-123.302815465542</v>
      </c>
    </row>
    <row r="7822" spans="1:7" ht="15" x14ac:dyDescent="0.3">
      <c r="A7822">
        <v>26.4091701507568</v>
      </c>
      <c r="B7822">
        <v>-97.788848876953097</v>
      </c>
      <c r="C7822" t="s">
        <v>43</v>
      </c>
      <c r="D7822" t="s">
        <v>4640</v>
      </c>
      <c r="F7822" s="21"/>
      <c r="G7822" s="16" t="str">
        <f>HYPERLINK("http://maps.google.com/maps?f=q&amp;hl=en&amp;geocode=&amp;q=26.4091701507568,-97.7888488769531")</f>
        <v>http://maps.google.com/maps?f=q&amp;hl=en&amp;geocode=&amp;q=26.4091701507568,-97.7888488769531</v>
      </c>
    </row>
    <row r="7823" spans="1:7" ht="15" x14ac:dyDescent="0.3">
      <c r="A7823">
        <v>39.043259999999997</v>
      </c>
      <c r="B7823">
        <v>-94.585369999999998</v>
      </c>
      <c r="C7823" t="s">
        <v>43</v>
      </c>
      <c r="D7823" t="s">
        <v>3833</v>
      </c>
      <c r="F7823" s="21"/>
      <c r="G7823" s="16" t="str">
        <f>HYPERLINK("http://maps.google.com/maps?f=q&amp;hl=en&amp;geocode=&amp;q=39.04326,-94.58537")</f>
        <v>http://maps.google.com/maps?f=q&amp;hl=en&amp;geocode=&amp;q=39.04326,-94.58537</v>
      </c>
    </row>
    <row r="7824" spans="1:7" ht="15" x14ac:dyDescent="0.3">
      <c r="A7824">
        <v>37.540699005127003</v>
      </c>
      <c r="B7824">
        <v>-77.433647155761705</v>
      </c>
      <c r="C7824" t="s">
        <v>41</v>
      </c>
      <c r="D7824" t="s">
        <v>4641</v>
      </c>
      <c r="F7824" s="21"/>
      <c r="G7824" s="16" t="str">
        <f>HYPERLINK("http://maps.google.com/maps?f=q&amp;hl=en&amp;geocode=&amp;q=37.540699005127,-77.4336471557617")</f>
        <v>http://maps.google.com/maps?f=q&amp;hl=en&amp;geocode=&amp;q=37.540699005127,-77.4336471557617</v>
      </c>
    </row>
    <row r="7825" spans="1:7" ht="15" x14ac:dyDescent="0.3">
      <c r="A7825">
        <v>40.683799999999998</v>
      </c>
      <c r="B7825">
        <v>-89.614840000000001</v>
      </c>
      <c r="C7825" t="s">
        <v>41</v>
      </c>
      <c r="D7825" t="s">
        <v>4642</v>
      </c>
      <c r="F7825" s="21"/>
      <c r="G7825" s="16" t="str">
        <f>HYPERLINK("http://maps.google.com/maps?f=q&amp;hl=en&amp;geocode=&amp;q=40.6838,-89.61484")</f>
        <v>http://maps.google.com/maps?f=q&amp;hl=en&amp;geocode=&amp;q=40.6838,-89.61484</v>
      </c>
    </row>
    <row r="7826" spans="1:7" ht="15" x14ac:dyDescent="0.3">
      <c r="A7826">
        <v>40.020519999999998</v>
      </c>
      <c r="B7826">
        <v>-75.126689999999996</v>
      </c>
      <c r="C7826" t="s">
        <v>43</v>
      </c>
      <c r="D7826" t="s">
        <v>1085</v>
      </c>
      <c r="F7826" s="21"/>
      <c r="G7826" s="16" t="str">
        <f>HYPERLINK("http://maps.google.com/maps?f=q&amp;hl=en&amp;geocode=&amp;q=40.02052,-75.12669")</f>
        <v>http://maps.google.com/maps?f=q&amp;hl=en&amp;geocode=&amp;q=40.02052,-75.12669</v>
      </c>
    </row>
    <row r="7827" spans="1:7" ht="15" x14ac:dyDescent="0.3">
      <c r="A7827">
        <v>35.645249145778003</v>
      </c>
      <c r="B7827">
        <v>-101.45169908200199</v>
      </c>
      <c r="C7827" t="s">
        <v>41</v>
      </c>
      <c r="D7827" t="s">
        <v>4643</v>
      </c>
      <c r="F7827" s="21"/>
      <c r="G7827" s="16" t="str">
        <f>HYPERLINK("http://maps.google.com/maps?f=q&amp;hl=en&amp;geocode=&amp;q=35.645249145778,-101.451699082002")</f>
        <v>http://maps.google.com/maps?f=q&amp;hl=en&amp;geocode=&amp;q=35.645249145778,-101.451699082002</v>
      </c>
    </row>
    <row r="7828" spans="1:7" ht="15" x14ac:dyDescent="0.3">
      <c r="A7828">
        <v>39.950740000000003</v>
      </c>
      <c r="B7828">
        <v>-75.222740000000002</v>
      </c>
      <c r="C7828" t="s">
        <v>43</v>
      </c>
      <c r="D7828" t="s">
        <v>4644</v>
      </c>
      <c r="F7828" s="21"/>
      <c r="G7828" s="16" t="str">
        <f>HYPERLINK("http://maps.google.com/maps?f=q&amp;hl=en&amp;geocode=&amp;q=39.95074,-75.22274")</f>
        <v>http://maps.google.com/maps?f=q&amp;hl=en&amp;geocode=&amp;q=39.95074,-75.22274</v>
      </c>
    </row>
    <row r="7829" spans="1:7" ht="15" x14ac:dyDescent="0.3">
      <c r="A7829">
        <v>-37.910480499267599</v>
      </c>
      <c r="B7829">
        <v>145.13473510742199</v>
      </c>
      <c r="C7829" t="s">
        <v>41</v>
      </c>
      <c r="D7829" t="s">
        <v>4645</v>
      </c>
      <c r="F7829" s="21"/>
      <c r="G7829" s="16" t="str">
        <f>HYPERLINK("http://maps.google.com/maps?f=q&amp;hl=en&amp;geocode=&amp;q=-37.9104804992676,145.134735107422")</f>
        <v>http://maps.google.com/maps?f=q&amp;hl=en&amp;geocode=&amp;q=-37.9104804992676,145.134735107422</v>
      </c>
    </row>
    <row r="7830" spans="1:7" ht="15" x14ac:dyDescent="0.3">
      <c r="A7830">
        <v>36.661294610261898</v>
      </c>
      <c r="B7830">
        <v>-78.129894515544905</v>
      </c>
      <c r="C7830" t="s">
        <v>41</v>
      </c>
      <c r="D7830" t="s">
        <v>4646</v>
      </c>
      <c r="F7830" s="21"/>
      <c r="G7830" s="16" t="str">
        <f>HYPERLINK("http://maps.google.com/maps?f=q&amp;hl=en&amp;geocode=&amp;q=36.6612946102619,-78.1298945155449")</f>
        <v>http://maps.google.com/maps?f=q&amp;hl=en&amp;geocode=&amp;q=36.6612946102619,-78.1298945155449</v>
      </c>
    </row>
    <row r="7831" spans="1:7" ht="15" x14ac:dyDescent="0.3">
      <c r="A7831">
        <v>-38.048560000000002</v>
      </c>
      <c r="B7831">
        <v>145.36967000000001</v>
      </c>
      <c r="C7831" t="s">
        <v>41</v>
      </c>
      <c r="D7831" t="s">
        <v>4647</v>
      </c>
      <c r="F7831" s="21"/>
      <c r="G7831" s="16" t="str">
        <f>HYPERLINK("http://maps.google.com/maps?f=q&amp;hl=en&amp;geocode=&amp;q=-38.04856,145.36967")</f>
        <v>http://maps.google.com/maps?f=q&amp;hl=en&amp;geocode=&amp;q=-38.04856,145.36967</v>
      </c>
    </row>
    <row r="7832" spans="1:7" ht="15" x14ac:dyDescent="0.3">
      <c r="A7832">
        <v>39.956560000000003</v>
      </c>
      <c r="B7832">
        <v>-75.209729999999993</v>
      </c>
      <c r="C7832" t="s">
        <v>43</v>
      </c>
      <c r="D7832" t="s">
        <v>4039</v>
      </c>
      <c r="F7832" s="21"/>
      <c r="G7832" s="16" t="str">
        <f>HYPERLINK("http://maps.google.com/maps?f=q&amp;hl=en&amp;geocode=&amp;q=39.95656,-75.20973")</f>
        <v>http://maps.google.com/maps?f=q&amp;hl=en&amp;geocode=&amp;q=39.95656,-75.20973</v>
      </c>
    </row>
    <row r="7833" spans="1:7" ht="15" x14ac:dyDescent="0.3">
      <c r="A7833">
        <v>31.008949999999999</v>
      </c>
      <c r="B7833">
        <v>-86.337400000000002</v>
      </c>
      <c r="C7833" t="s">
        <v>42</v>
      </c>
      <c r="D7833" t="s">
        <v>4648</v>
      </c>
      <c r="F7833" s="21"/>
      <c r="G7833" s="16" t="str">
        <f>HYPERLINK("http://maps.google.com/maps?f=q&amp;hl=en&amp;geocode=&amp;q=31.00895,-86.3374")</f>
        <v>http://maps.google.com/maps?f=q&amp;hl=en&amp;geocode=&amp;q=31.00895,-86.3374</v>
      </c>
    </row>
    <row r="7834" spans="1:7" ht="15" x14ac:dyDescent="0.3">
      <c r="A7834">
        <v>31.008949999999999</v>
      </c>
      <c r="B7834">
        <v>-86.337400000000002</v>
      </c>
      <c r="C7834" t="s">
        <v>42</v>
      </c>
      <c r="D7834" t="s">
        <v>4649</v>
      </c>
      <c r="F7834" s="21"/>
      <c r="G7834" s="16" t="str">
        <f>HYPERLINK("http://maps.google.com/maps?f=q&amp;hl=en&amp;geocode=&amp;q=31.00895,-86.3374")</f>
        <v>http://maps.google.com/maps?f=q&amp;hl=en&amp;geocode=&amp;q=31.00895,-86.3374</v>
      </c>
    </row>
    <row r="7835" spans="1:7" ht="15" x14ac:dyDescent="0.3">
      <c r="A7835">
        <v>31.008949999999999</v>
      </c>
      <c r="B7835">
        <v>-86.337400000000002</v>
      </c>
      <c r="C7835" t="s">
        <v>42</v>
      </c>
      <c r="D7835" t="s">
        <v>4650</v>
      </c>
      <c r="F7835" s="21"/>
      <c r="G7835" s="16" t="str">
        <f>HYPERLINK("http://maps.google.com/maps?f=q&amp;hl=en&amp;geocode=&amp;q=31.00895,-86.3374")</f>
        <v>http://maps.google.com/maps?f=q&amp;hl=en&amp;geocode=&amp;q=31.00895,-86.3374</v>
      </c>
    </row>
    <row r="7836" spans="1:7" ht="15" x14ac:dyDescent="0.3">
      <c r="A7836">
        <v>35.1497611999512</v>
      </c>
      <c r="B7836">
        <v>-90.049247741699205</v>
      </c>
      <c r="C7836" t="s">
        <v>41</v>
      </c>
      <c r="D7836" t="s">
        <v>4045</v>
      </c>
      <c r="F7836" s="21"/>
      <c r="G7836" s="16" t="str">
        <f>HYPERLINK("http://maps.google.com/maps?f=q&amp;hl=en&amp;geocode=&amp;q=35.1497611999512,-90.0492477416992")</f>
        <v>http://maps.google.com/maps?f=q&amp;hl=en&amp;geocode=&amp;q=35.1497611999512,-90.0492477416992</v>
      </c>
    </row>
    <row r="7837" spans="1:7" ht="15" x14ac:dyDescent="0.3">
      <c r="A7837">
        <v>32.380149841308601</v>
      </c>
      <c r="B7837">
        <v>-86.300079345703097</v>
      </c>
      <c r="C7837" t="s">
        <v>41</v>
      </c>
      <c r="D7837" t="s">
        <v>4651</v>
      </c>
      <c r="F7837" s="21"/>
      <c r="G7837" s="16" t="str">
        <f>HYPERLINK("http://maps.google.com/maps?f=q&amp;hl=en&amp;geocode=&amp;q=32.3801498413086,-86.3000793457031")</f>
        <v>http://maps.google.com/maps?f=q&amp;hl=en&amp;geocode=&amp;q=32.3801498413086,-86.3000793457031</v>
      </c>
    </row>
    <row r="7838" spans="1:7" ht="15" x14ac:dyDescent="0.3">
      <c r="A7838">
        <v>42.512833275743901</v>
      </c>
      <c r="B7838">
        <v>-83.121748361290699</v>
      </c>
      <c r="C7838" t="s">
        <v>41</v>
      </c>
      <c r="D7838" t="s">
        <v>4652</v>
      </c>
      <c r="F7838" s="21"/>
      <c r="G7838" s="16" t="str">
        <f>HYPERLINK("http://maps.google.com/maps?f=q&amp;hl=en&amp;geocode=&amp;q=42.5128332757439,-83.1217483612907")</f>
        <v>http://maps.google.com/maps?f=q&amp;hl=en&amp;geocode=&amp;q=42.5128332757439,-83.1217483612907</v>
      </c>
    </row>
    <row r="7839" spans="1:7" ht="15" x14ac:dyDescent="0.3">
      <c r="A7839">
        <v>39.692365514193199</v>
      </c>
      <c r="B7839">
        <v>-86.189288370922398</v>
      </c>
      <c r="C7839" t="s">
        <v>41</v>
      </c>
      <c r="D7839" t="s">
        <v>4653</v>
      </c>
      <c r="F7839" s="21"/>
      <c r="G7839" s="16" t="str">
        <f>HYPERLINK("http://maps.google.com/maps?f=q&amp;hl=en&amp;geocode=&amp;q=39.6923655141932,-86.1892883709224")</f>
        <v>http://maps.google.com/maps?f=q&amp;hl=en&amp;geocode=&amp;q=39.6923655141932,-86.1892883709224</v>
      </c>
    </row>
    <row r="7840" spans="1:7" ht="15" x14ac:dyDescent="0.3">
      <c r="A7840">
        <v>51.491233825683601</v>
      </c>
      <c r="B7840">
        <v>-0.278171896934509</v>
      </c>
      <c r="C7840" t="s">
        <v>41</v>
      </c>
      <c r="D7840" t="s">
        <v>4654</v>
      </c>
      <c r="F7840" s="21"/>
      <c r="G7840" s="16" t="str">
        <f>HYPERLINK("http://maps.google.com/maps?f=q&amp;hl=en&amp;geocode=&amp;q=51.4912338256836,-0.278171896934509")</f>
        <v>http://maps.google.com/maps?f=q&amp;hl=en&amp;geocode=&amp;q=51.4912338256836,-0.278171896934509</v>
      </c>
    </row>
    <row r="7841" spans="1:7" ht="15" x14ac:dyDescent="0.3">
      <c r="A7841">
        <v>35.260855036395697</v>
      </c>
      <c r="B7841">
        <v>-114.01168796303701</v>
      </c>
      <c r="C7841" t="s">
        <v>41</v>
      </c>
      <c r="D7841" t="s">
        <v>1791</v>
      </c>
      <c r="F7841" s="21"/>
      <c r="G7841" s="16" t="str">
        <f>HYPERLINK("http://maps.google.com/maps?f=q&amp;hl=en&amp;geocode=&amp;q=35.2608550363957,-114.011687963037")</f>
        <v>http://maps.google.com/maps?f=q&amp;hl=en&amp;geocode=&amp;q=35.2608550363957,-114.011687963037</v>
      </c>
    </row>
    <row r="7842" spans="1:7" ht="15" x14ac:dyDescent="0.3">
      <c r="A7842" t="s">
        <v>44</v>
      </c>
      <c r="B7842" t="s">
        <v>44</v>
      </c>
      <c r="C7842" t="s">
        <v>44</v>
      </c>
      <c r="D7842" t="s">
        <v>227</v>
      </c>
      <c r="F7842" s="21"/>
      <c r="G7842" s="16"/>
    </row>
    <row r="7843" spans="1:7" ht="15" x14ac:dyDescent="0.3">
      <c r="A7843" t="s">
        <v>44</v>
      </c>
      <c r="B7843" t="s">
        <v>44</v>
      </c>
      <c r="C7843" t="s">
        <v>44</v>
      </c>
      <c r="D7843" t="s">
        <v>227</v>
      </c>
      <c r="F7843" s="21"/>
      <c r="G7843" s="16"/>
    </row>
    <row r="7844" spans="1:7" ht="15" x14ac:dyDescent="0.3">
      <c r="A7844">
        <v>40.85745</v>
      </c>
      <c r="B7844">
        <v>-111.86629000000001</v>
      </c>
      <c r="C7844" t="s">
        <v>43</v>
      </c>
      <c r="D7844" t="s">
        <v>1735</v>
      </c>
      <c r="F7844" s="21"/>
      <c r="G7844" s="16" t="str">
        <f>HYPERLINK("http://maps.google.com/maps?f=q&amp;hl=en&amp;geocode=&amp;q=40.85745,-111.86629")</f>
        <v>http://maps.google.com/maps?f=q&amp;hl=en&amp;geocode=&amp;q=40.85745,-111.86629</v>
      </c>
    </row>
    <row r="7845" spans="1:7" ht="15" x14ac:dyDescent="0.3">
      <c r="A7845">
        <v>54.515911102294901</v>
      </c>
      <c r="B7845">
        <v>-128.60321044921901</v>
      </c>
      <c r="C7845" t="s">
        <v>43</v>
      </c>
      <c r="D7845" t="s">
        <v>4655</v>
      </c>
      <c r="F7845" s="21"/>
      <c r="G7845" s="16" t="str">
        <f>HYPERLINK("http://maps.google.com/maps?f=q&amp;hl=en&amp;geocode=&amp;q=54.5159111022949,-128.603210449219")</f>
        <v>http://maps.google.com/maps?f=q&amp;hl=en&amp;geocode=&amp;q=54.5159111022949,-128.603210449219</v>
      </c>
    </row>
    <row r="7846" spans="1:7" ht="15" x14ac:dyDescent="0.3">
      <c r="A7846">
        <v>41.903089999999999</v>
      </c>
      <c r="B7846">
        <v>-111.40125999999999</v>
      </c>
      <c r="C7846" t="s">
        <v>42</v>
      </c>
      <c r="D7846" t="s">
        <v>4656</v>
      </c>
      <c r="F7846" s="21"/>
      <c r="G7846" s="16" t="str">
        <f>HYPERLINK("http://maps.google.com/maps?f=q&amp;hl=en&amp;geocode=&amp;q=41.90309,-111.40126")</f>
        <v>http://maps.google.com/maps?f=q&amp;hl=en&amp;geocode=&amp;q=41.90309,-111.40126</v>
      </c>
    </row>
    <row r="7847" spans="1:7" ht="15" x14ac:dyDescent="0.3">
      <c r="A7847">
        <v>51.432453155517599</v>
      </c>
      <c r="B7847">
        <v>-0.39314523339271501</v>
      </c>
      <c r="C7847" t="s">
        <v>41</v>
      </c>
      <c r="D7847" t="s">
        <v>4657</v>
      </c>
      <c r="F7847" s="21"/>
      <c r="G7847" s="16" t="str">
        <f>HYPERLINK("http://maps.google.com/maps?f=q&amp;hl=en&amp;geocode=&amp;q=51.4324531555176,-0.393145233392715")</f>
        <v>http://maps.google.com/maps?f=q&amp;hl=en&amp;geocode=&amp;q=51.4324531555176,-0.393145233392715</v>
      </c>
    </row>
    <row r="7848" spans="1:7" ht="15" x14ac:dyDescent="0.3">
      <c r="A7848">
        <v>40.116239326139898</v>
      </c>
      <c r="B7848">
        <v>-75.035864573483494</v>
      </c>
      <c r="C7848" t="s">
        <v>43</v>
      </c>
      <c r="D7848" t="s">
        <v>628</v>
      </c>
      <c r="F7848" s="21"/>
      <c r="G7848" s="16" t="str">
        <f>HYPERLINK("http://maps.google.com/maps?f=q&amp;hl=en&amp;geocode=&amp;q=40.1162393261399,-75.0358645734835")</f>
        <v>http://maps.google.com/maps?f=q&amp;hl=en&amp;geocode=&amp;q=40.1162393261399,-75.0358645734835</v>
      </c>
    </row>
    <row r="7849" spans="1:7" ht="15" x14ac:dyDescent="0.3">
      <c r="A7849">
        <v>40.116239326139898</v>
      </c>
      <c r="B7849">
        <v>-75.035864573483494</v>
      </c>
      <c r="C7849" t="s">
        <v>43</v>
      </c>
      <c r="D7849" t="s">
        <v>628</v>
      </c>
      <c r="F7849" s="21"/>
      <c r="G7849" s="16" t="str">
        <f>HYPERLINK("http://maps.google.com/maps?f=q&amp;hl=en&amp;geocode=&amp;q=40.1162393261399,-75.0358645734835")</f>
        <v>http://maps.google.com/maps?f=q&amp;hl=en&amp;geocode=&amp;q=40.1162393261399,-75.0358645734835</v>
      </c>
    </row>
    <row r="7850" spans="1:7" ht="15" x14ac:dyDescent="0.3">
      <c r="A7850">
        <v>27.592373995710201</v>
      </c>
      <c r="B7850">
        <v>-82.052060881225898</v>
      </c>
      <c r="C7850" t="s">
        <v>42</v>
      </c>
      <c r="D7850" t="s">
        <v>4658</v>
      </c>
      <c r="F7850" s="21"/>
      <c r="G7850" s="16" t="str">
        <f>HYPERLINK("http://maps.google.com/maps?f=q&amp;hl=en&amp;geocode=&amp;q=27.5923739957102,-82.0520608812259")</f>
        <v>http://maps.google.com/maps?f=q&amp;hl=en&amp;geocode=&amp;q=27.5923739957102,-82.0520608812259</v>
      </c>
    </row>
    <row r="7851" spans="1:7" ht="15" x14ac:dyDescent="0.3">
      <c r="A7851">
        <v>27.592373995710201</v>
      </c>
      <c r="B7851">
        <v>-82.052060881225898</v>
      </c>
      <c r="C7851" t="s">
        <v>42</v>
      </c>
      <c r="D7851" t="s">
        <v>4658</v>
      </c>
      <c r="F7851" s="21"/>
      <c r="G7851" s="16" t="str">
        <f>HYPERLINK("http://maps.google.com/maps?f=q&amp;hl=en&amp;geocode=&amp;q=27.5923739957102,-82.0520608812259")</f>
        <v>http://maps.google.com/maps?f=q&amp;hl=en&amp;geocode=&amp;q=27.5923739957102,-82.0520608812259</v>
      </c>
    </row>
    <row r="7852" spans="1:7" ht="15" x14ac:dyDescent="0.3">
      <c r="A7852">
        <v>38.895220000000002</v>
      </c>
      <c r="B7852">
        <v>-76.948670000000007</v>
      </c>
      <c r="C7852" t="s">
        <v>41</v>
      </c>
      <c r="D7852" t="s">
        <v>4659</v>
      </c>
      <c r="F7852" s="21"/>
      <c r="G7852" s="16" t="str">
        <f>HYPERLINK("http://maps.google.com/maps?f=q&amp;hl=en&amp;geocode=&amp;q=38.89522,-76.94867")</f>
        <v>http://maps.google.com/maps?f=q&amp;hl=en&amp;geocode=&amp;q=38.89522,-76.94867</v>
      </c>
    </row>
    <row r="7853" spans="1:7" ht="15" x14ac:dyDescent="0.3">
      <c r="A7853">
        <v>35.514073333543699</v>
      </c>
      <c r="B7853">
        <v>-108.739489080844</v>
      </c>
      <c r="C7853" t="s">
        <v>43</v>
      </c>
      <c r="D7853" t="s">
        <v>321</v>
      </c>
      <c r="F7853" s="21"/>
      <c r="G7853" s="16" t="str">
        <f>HYPERLINK("http://maps.google.com/maps?f=q&amp;hl=en&amp;geocode=&amp;q=35.5140733335437,-108.739489080844")</f>
        <v>http://maps.google.com/maps?f=q&amp;hl=en&amp;geocode=&amp;q=35.5140733335437,-108.739489080844</v>
      </c>
    </row>
    <row r="7854" spans="1:7" ht="15" x14ac:dyDescent="0.3">
      <c r="A7854">
        <v>55.25911</v>
      </c>
      <c r="B7854">
        <v>11.59831</v>
      </c>
      <c r="C7854" t="s">
        <v>41</v>
      </c>
      <c r="D7854" t="s">
        <v>2080</v>
      </c>
      <c r="F7854" s="21"/>
      <c r="G7854" s="16" t="str">
        <f>HYPERLINK("http://maps.google.com/maps?f=q&amp;hl=en&amp;geocode=&amp;q=55.25911,11.59831")</f>
        <v>http://maps.google.com/maps?f=q&amp;hl=en&amp;geocode=&amp;q=55.25911,11.59831</v>
      </c>
    </row>
    <row r="7855" spans="1:7" ht="15" x14ac:dyDescent="0.3">
      <c r="A7855">
        <v>34.859409999999997</v>
      </c>
      <c r="B7855">
        <v>-82.386250000000004</v>
      </c>
      <c r="C7855" t="s">
        <v>42</v>
      </c>
      <c r="D7855" t="s">
        <v>4660</v>
      </c>
      <c r="F7855" s="21"/>
      <c r="G7855" s="16" t="str">
        <f>HYPERLINK("http://maps.google.com/maps?f=q&amp;hl=en&amp;geocode=&amp;q=34.85941,-82.38625")</f>
        <v>http://maps.google.com/maps?f=q&amp;hl=en&amp;geocode=&amp;q=34.85941,-82.38625</v>
      </c>
    </row>
    <row r="7856" spans="1:7" ht="15" x14ac:dyDescent="0.3">
      <c r="A7856">
        <v>55.459780000000002</v>
      </c>
      <c r="B7856">
        <v>11.20115</v>
      </c>
      <c r="C7856" t="s">
        <v>41</v>
      </c>
      <c r="D7856" t="s">
        <v>757</v>
      </c>
      <c r="F7856" s="21"/>
      <c r="G7856" s="16" t="str">
        <f>HYPERLINK("http://maps.google.com/maps?f=q&amp;hl=en&amp;geocode=&amp;q=55.45978,11.20115")</f>
        <v>http://maps.google.com/maps?f=q&amp;hl=en&amp;geocode=&amp;q=55.45978,11.20115</v>
      </c>
    </row>
    <row r="7857" spans="1:7" ht="15" x14ac:dyDescent="0.3">
      <c r="A7857">
        <v>36.248629999999999</v>
      </c>
      <c r="B7857">
        <v>-119.31603</v>
      </c>
      <c r="C7857" t="s">
        <v>41</v>
      </c>
      <c r="D7857" t="s">
        <v>469</v>
      </c>
      <c r="F7857" s="21"/>
      <c r="G7857" s="16" t="str">
        <f>HYPERLINK("http://maps.google.com/maps?f=q&amp;hl=en&amp;geocode=&amp;q=36.24863,-119.31603")</f>
        <v>http://maps.google.com/maps?f=q&amp;hl=en&amp;geocode=&amp;q=36.24863,-119.31603</v>
      </c>
    </row>
    <row r="7858" spans="1:7" ht="15" x14ac:dyDescent="0.3">
      <c r="A7858">
        <v>36.084150000000001</v>
      </c>
      <c r="B7858">
        <v>-86.632599999999996</v>
      </c>
      <c r="C7858" t="s">
        <v>41</v>
      </c>
      <c r="D7858" t="s">
        <v>2895</v>
      </c>
      <c r="F7858" s="21"/>
      <c r="G7858" s="16" t="str">
        <f>HYPERLINK("http://maps.google.com/maps?f=q&amp;hl=en&amp;geocode=&amp;q=36.08415,-86.6326")</f>
        <v>http://maps.google.com/maps?f=q&amp;hl=en&amp;geocode=&amp;q=36.08415,-86.6326</v>
      </c>
    </row>
    <row r="7859" spans="1:7" ht="15" x14ac:dyDescent="0.3">
      <c r="A7859">
        <v>40.047170000000001</v>
      </c>
      <c r="B7859">
        <v>-75.128159999999994</v>
      </c>
      <c r="C7859" t="s">
        <v>43</v>
      </c>
      <c r="D7859" t="s">
        <v>4661</v>
      </c>
      <c r="F7859" s="21"/>
      <c r="G7859" s="16" t="str">
        <f>HYPERLINK("http://maps.google.com/maps?f=q&amp;hl=en&amp;geocode=&amp;q=40.04717,-75.12816")</f>
        <v>http://maps.google.com/maps?f=q&amp;hl=en&amp;geocode=&amp;q=40.04717,-75.12816</v>
      </c>
    </row>
    <row r="7860" spans="1:7" ht="15" x14ac:dyDescent="0.3">
      <c r="F7860" s="21"/>
      <c r="G7860" s="16"/>
    </row>
    <row r="7861" spans="1:7" ht="15" x14ac:dyDescent="0.3">
      <c r="A7861">
        <v>40.193464969506998</v>
      </c>
      <c r="B7861">
        <v>-110.04792045993</v>
      </c>
      <c r="C7861" t="s">
        <v>42</v>
      </c>
      <c r="D7861" t="s">
        <v>2748</v>
      </c>
      <c r="F7861" s="21"/>
      <c r="G7861" s="16" t="str">
        <f>HYPERLINK("http://maps.google.com/maps?f=q&amp;hl=en&amp;geocode=&amp;q=40.193464969507,-110.04792045993")</f>
        <v>http://maps.google.com/maps?f=q&amp;hl=en&amp;geocode=&amp;q=40.193464969507,-110.04792045993</v>
      </c>
    </row>
    <row r="7862" spans="1:7" ht="15" x14ac:dyDescent="0.3">
      <c r="A7862">
        <v>36.368764189759702</v>
      </c>
      <c r="B7862">
        <v>-79.861070148883996</v>
      </c>
      <c r="C7862" t="s">
        <v>41</v>
      </c>
      <c r="D7862" t="s">
        <v>4662</v>
      </c>
      <c r="F7862" s="21"/>
      <c r="G7862" s="16" t="str">
        <f>HYPERLINK("http://maps.google.com/maps?f=q&amp;hl=en&amp;geocode=&amp;q=36.3687641897597,-79.861070148884")</f>
        <v>http://maps.google.com/maps?f=q&amp;hl=en&amp;geocode=&amp;q=36.3687641897597,-79.861070148884</v>
      </c>
    </row>
    <row r="7863" spans="1:7" ht="15" x14ac:dyDescent="0.3">
      <c r="A7863">
        <v>39.994141890738298</v>
      </c>
      <c r="B7863">
        <v>-75.156406904148</v>
      </c>
      <c r="C7863" t="s">
        <v>41</v>
      </c>
      <c r="D7863" t="s">
        <v>2258</v>
      </c>
      <c r="F7863" s="21"/>
      <c r="G7863" s="16" t="str">
        <f>HYPERLINK("http://maps.google.com/maps?f=q&amp;hl=en&amp;geocode=&amp;q=39.9941418907383,-75.156406904148")</f>
        <v>http://maps.google.com/maps?f=q&amp;hl=en&amp;geocode=&amp;q=39.9941418907383,-75.156406904148</v>
      </c>
    </row>
    <row r="7864" spans="1:7" ht="15" x14ac:dyDescent="0.3">
      <c r="A7864">
        <v>40.017766826784701</v>
      </c>
      <c r="B7864">
        <v>-75.082533043290795</v>
      </c>
      <c r="C7864" t="s">
        <v>41</v>
      </c>
      <c r="D7864" t="s">
        <v>2702</v>
      </c>
      <c r="F7864" s="21"/>
      <c r="G7864" s="16" t="str">
        <f>HYPERLINK("http://maps.google.com/maps?f=q&amp;hl=en&amp;geocode=&amp;q=40.0177668267847,-75.0825330432908")</f>
        <v>http://maps.google.com/maps?f=q&amp;hl=en&amp;geocode=&amp;q=40.0177668267847,-75.0825330432908</v>
      </c>
    </row>
    <row r="7865" spans="1:7" ht="15" x14ac:dyDescent="0.3">
      <c r="A7865">
        <v>32.380149841308601</v>
      </c>
      <c r="B7865">
        <v>-86.300079345703097</v>
      </c>
      <c r="C7865" t="s">
        <v>41</v>
      </c>
      <c r="D7865" t="s">
        <v>4663</v>
      </c>
      <c r="F7865" s="21"/>
      <c r="G7865" s="16" t="str">
        <f>HYPERLINK("http://maps.google.com/maps?f=q&amp;hl=en&amp;geocode=&amp;q=32.3801498413086,-86.3000793457031")</f>
        <v>http://maps.google.com/maps?f=q&amp;hl=en&amp;geocode=&amp;q=32.3801498413086,-86.3000793457031</v>
      </c>
    </row>
    <row r="7866" spans="1:7" ht="15" x14ac:dyDescent="0.3">
      <c r="A7866">
        <v>-33.299518585205099</v>
      </c>
      <c r="B7866">
        <v>149.01606750488301</v>
      </c>
      <c r="C7866" t="s">
        <v>43</v>
      </c>
      <c r="D7866" t="s">
        <v>3204</v>
      </c>
      <c r="F7866" s="21"/>
      <c r="G7866" s="16" t="str">
        <f>HYPERLINK("http://maps.google.com/maps?f=q&amp;hl=en&amp;geocode=&amp;q=-33.2995185852051,149.016067504883")</f>
        <v>http://maps.google.com/maps?f=q&amp;hl=en&amp;geocode=&amp;q=-33.2995185852051,149.016067504883</v>
      </c>
    </row>
    <row r="7867" spans="1:7" ht="15" x14ac:dyDescent="0.3">
      <c r="A7867">
        <v>33.794615475556299</v>
      </c>
      <c r="B7867">
        <v>-98.4130548281518</v>
      </c>
      <c r="C7867" t="s">
        <v>42</v>
      </c>
      <c r="D7867" t="s">
        <v>4664</v>
      </c>
      <c r="F7867" s="21"/>
      <c r="G7867" s="16" t="str">
        <f>HYPERLINK("http://maps.google.com/maps?f=q&amp;hl=en&amp;geocode=&amp;q=33.7946154755563,-98.4130548281518")</f>
        <v>http://maps.google.com/maps?f=q&amp;hl=en&amp;geocode=&amp;q=33.7946154755563,-98.4130548281518</v>
      </c>
    </row>
    <row r="7868" spans="1:7" ht="15" x14ac:dyDescent="0.3">
      <c r="A7868">
        <v>40.982709643937497</v>
      </c>
      <c r="B7868">
        <v>-93.648792459956894</v>
      </c>
      <c r="C7868" t="s">
        <v>41</v>
      </c>
      <c r="D7868" t="s">
        <v>4665</v>
      </c>
      <c r="F7868" s="21"/>
      <c r="G7868" s="16" t="str">
        <f>HYPERLINK("http://maps.google.com/maps?f=q&amp;hl=en&amp;geocode=&amp;q=40.9827096439375,-93.6487924599569")</f>
        <v>http://maps.google.com/maps?f=q&amp;hl=en&amp;geocode=&amp;q=40.9827096439375,-93.6487924599569</v>
      </c>
    </row>
    <row r="7869" spans="1:7" ht="15" x14ac:dyDescent="0.3">
      <c r="A7869">
        <v>43.26088</v>
      </c>
      <c r="B7869">
        <v>-112.14492</v>
      </c>
      <c r="C7869" t="s">
        <v>42</v>
      </c>
      <c r="D7869" t="s">
        <v>4666</v>
      </c>
      <c r="F7869" s="21"/>
      <c r="G7869" s="16" t="str">
        <f>HYPERLINK("http://maps.google.com/maps?f=q&amp;hl=en&amp;geocode=&amp;q=43.26088,-112.14492")</f>
        <v>http://maps.google.com/maps?f=q&amp;hl=en&amp;geocode=&amp;q=43.26088,-112.14492</v>
      </c>
    </row>
    <row r="7870" spans="1:7" ht="15" x14ac:dyDescent="0.3">
      <c r="A7870">
        <v>40.020519999999998</v>
      </c>
      <c r="B7870">
        <v>-75.126689999999996</v>
      </c>
      <c r="C7870" t="s">
        <v>43</v>
      </c>
      <c r="D7870" t="s">
        <v>1085</v>
      </c>
      <c r="F7870" s="21"/>
      <c r="G7870" s="16" t="str">
        <f>HYPERLINK("http://maps.google.com/maps?f=q&amp;hl=en&amp;geocode=&amp;q=40.02052,-75.12669")</f>
        <v>http://maps.google.com/maps?f=q&amp;hl=en&amp;geocode=&amp;q=40.02052,-75.12669</v>
      </c>
    </row>
    <row r="7871" spans="1:7" ht="15" x14ac:dyDescent="0.3">
      <c r="A7871">
        <v>40.047795024169403</v>
      </c>
      <c r="B7871">
        <v>-75.059858803679006</v>
      </c>
      <c r="C7871" t="s">
        <v>41</v>
      </c>
      <c r="D7871" t="s">
        <v>4156</v>
      </c>
      <c r="F7871" s="21"/>
      <c r="G7871" s="16" t="str">
        <f>HYPERLINK("http://maps.google.com/maps?f=q&amp;hl=en&amp;geocode=&amp;q=40.0477950241694,-75.059858803679")</f>
        <v>http://maps.google.com/maps?f=q&amp;hl=en&amp;geocode=&amp;q=40.0477950241694,-75.059858803679</v>
      </c>
    </row>
    <row r="7872" spans="1:7" ht="15" x14ac:dyDescent="0.3">
      <c r="A7872">
        <v>40.401421626935999</v>
      </c>
      <c r="B7872">
        <v>-75.282755110306198</v>
      </c>
      <c r="C7872" t="s">
        <v>41</v>
      </c>
      <c r="D7872" t="s">
        <v>4667</v>
      </c>
      <c r="F7872" s="21"/>
      <c r="G7872" s="16" t="str">
        <f>HYPERLINK("http://maps.google.com/maps?f=q&amp;hl=en&amp;geocode=&amp;q=40.401421626936,-75.2827551103062")</f>
        <v>http://maps.google.com/maps?f=q&amp;hl=en&amp;geocode=&amp;q=40.401421626936,-75.2827551103062</v>
      </c>
    </row>
    <row r="7873" spans="1:7" ht="15" x14ac:dyDescent="0.3">
      <c r="A7873">
        <v>46.656093775699397</v>
      </c>
      <c r="B7873">
        <v>-104.65953624711</v>
      </c>
      <c r="C7873" t="s">
        <v>41</v>
      </c>
      <c r="D7873" t="s">
        <v>4668</v>
      </c>
      <c r="F7873" s="21"/>
      <c r="G7873" s="16" t="str">
        <f>HYPERLINK("http://maps.google.com/maps?f=q&amp;hl=en&amp;geocode=&amp;q=46.6560937756994,-104.65953624711")</f>
        <v>http://maps.google.com/maps?f=q&amp;hl=en&amp;geocode=&amp;q=46.6560937756994,-104.65953624711</v>
      </c>
    </row>
    <row r="7874" spans="1:7" ht="15" x14ac:dyDescent="0.3">
      <c r="A7874">
        <v>37.194240570068402</v>
      </c>
      <c r="B7874">
        <v>-8.5855684280395508</v>
      </c>
      <c r="C7874" t="s">
        <v>41</v>
      </c>
      <c r="D7874" t="s">
        <v>344</v>
      </c>
      <c r="F7874" s="21"/>
      <c r="G7874" s="16" t="str">
        <f>HYPERLINK("http://maps.google.com/maps?f=q&amp;hl=en&amp;geocode=&amp;q=37.1942405700684,-8.58556842803955")</f>
        <v>http://maps.google.com/maps?f=q&amp;hl=en&amp;geocode=&amp;q=37.1942405700684,-8.58556842803955</v>
      </c>
    </row>
    <row r="7875" spans="1:7" ht="15" x14ac:dyDescent="0.3">
      <c r="A7875">
        <v>34.347145757981899</v>
      </c>
      <c r="B7875">
        <v>-110.00089609430201</v>
      </c>
      <c r="C7875" t="s">
        <v>43</v>
      </c>
      <c r="D7875" t="s">
        <v>3517</v>
      </c>
      <c r="F7875" s="21"/>
      <c r="G7875" s="16" t="str">
        <f>HYPERLINK("http://maps.google.com/maps?f=q&amp;hl=en&amp;geocode=&amp;q=34.3471457579819,-110.000896094302")</f>
        <v>http://maps.google.com/maps?f=q&amp;hl=en&amp;geocode=&amp;q=34.3471457579819,-110.000896094302</v>
      </c>
    </row>
    <row r="7876" spans="1:7" ht="15" x14ac:dyDescent="0.3">
      <c r="A7876" t="s">
        <v>44</v>
      </c>
      <c r="B7876" t="s">
        <v>44</v>
      </c>
      <c r="C7876" t="s">
        <v>44</v>
      </c>
      <c r="D7876" t="s">
        <v>1004</v>
      </c>
      <c r="F7876" s="21"/>
      <c r="G7876" s="16"/>
    </row>
    <row r="7877" spans="1:7" ht="15" x14ac:dyDescent="0.3">
      <c r="A7877">
        <v>39.995910000000002</v>
      </c>
      <c r="B7877">
        <v>-75.168180000000007</v>
      </c>
      <c r="C7877" t="s">
        <v>41</v>
      </c>
      <c r="D7877" t="s">
        <v>4669</v>
      </c>
      <c r="F7877" s="21"/>
      <c r="G7877" s="16" t="str">
        <f>HYPERLINK("http://maps.google.com/maps?f=q&amp;hl=en&amp;geocode=&amp;q=39.99591,-75.16818")</f>
        <v>http://maps.google.com/maps?f=q&amp;hl=en&amp;geocode=&amp;q=39.99591,-75.16818</v>
      </c>
    </row>
    <row r="7878" spans="1:7" ht="15" x14ac:dyDescent="0.3">
      <c r="A7878">
        <v>39.911553906772603</v>
      </c>
      <c r="B7878">
        <v>-75.239433505515606</v>
      </c>
      <c r="C7878" t="s">
        <v>43</v>
      </c>
      <c r="D7878" t="s">
        <v>4670</v>
      </c>
      <c r="F7878" s="21"/>
      <c r="G7878" s="16" t="str">
        <f>HYPERLINK("http://maps.google.com/maps?f=q&amp;hl=en&amp;geocode=&amp;q=39.9115539067726,-75.2394335055156")</f>
        <v>http://maps.google.com/maps?f=q&amp;hl=en&amp;geocode=&amp;q=39.9115539067726,-75.2394335055156</v>
      </c>
    </row>
    <row r="7879" spans="1:7" ht="15" x14ac:dyDescent="0.3">
      <c r="A7879">
        <v>-27.295518875122099</v>
      </c>
      <c r="B7879">
        <v>151.86109924316401</v>
      </c>
      <c r="C7879" t="s">
        <v>41</v>
      </c>
      <c r="D7879" t="s">
        <v>4671</v>
      </c>
      <c r="F7879" s="21"/>
      <c r="G7879" s="16" t="str">
        <f>HYPERLINK("http://maps.google.com/maps?f=q&amp;hl=en&amp;geocode=&amp;q=-27.2955188751221,151.861099243164")</f>
        <v>http://maps.google.com/maps?f=q&amp;hl=en&amp;geocode=&amp;q=-27.2955188751221,151.861099243164</v>
      </c>
    </row>
    <row r="7880" spans="1:7" ht="15" x14ac:dyDescent="0.3">
      <c r="A7880">
        <v>40.383839999999999</v>
      </c>
      <c r="B7880">
        <v>-111.87724</v>
      </c>
      <c r="C7880" t="s">
        <v>42</v>
      </c>
      <c r="D7880" t="s">
        <v>4672</v>
      </c>
      <c r="F7880" s="21"/>
      <c r="G7880" s="16" t="str">
        <f>HYPERLINK("http://maps.google.com/maps?f=q&amp;hl=en&amp;geocode=&amp;q=40.38384,-111.87724")</f>
        <v>http://maps.google.com/maps?f=q&amp;hl=en&amp;geocode=&amp;q=40.38384,-111.87724</v>
      </c>
    </row>
    <row r="7881" spans="1:7" ht="15" x14ac:dyDescent="0.3">
      <c r="A7881">
        <v>39.951479999999997</v>
      </c>
      <c r="B7881">
        <v>-75.226680000000002</v>
      </c>
      <c r="C7881" t="s">
        <v>43</v>
      </c>
      <c r="D7881" t="s">
        <v>4673</v>
      </c>
      <c r="F7881" s="21"/>
      <c r="G7881" s="16" t="str">
        <f>HYPERLINK("http://maps.google.com/maps?f=q&amp;hl=en&amp;geocode=&amp;q=39.95148,-75.22668")</f>
        <v>http://maps.google.com/maps?f=q&amp;hl=en&amp;geocode=&amp;q=39.95148,-75.22668</v>
      </c>
    </row>
    <row r="7882" spans="1:7" ht="15" x14ac:dyDescent="0.3">
      <c r="A7882" t="s">
        <v>44</v>
      </c>
      <c r="B7882" t="s">
        <v>44</v>
      </c>
      <c r="C7882" t="s">
        <v>44</v>
      </c>
      <c r="D7882" t="s">
        <v>1004</v>
      </c>
      <c r="F7882" s="21"/>
      <c r="G7882" s="16"/>
    </row>
    <row r="7883" spans="1:7" ht="15" x14ac:dyDescent="0.3">
      <c r="A7883">
        <v>52.487190246582003</v>
      </c>
      <c r="B7883">
        <v>0.679989993572235</v>
      </c>
      <c r="C7883" t="s">
        <v>41</v>
      </c>
      <c r="D7883" t="s">
        <v>4408</v>
      </c>
      <c r="F7883" s="21"/>
      <c r="G7883" s="16" t="str">
        <f>HYPERLINK("http://maps.google.com/maps?f=q&amp;hl=en&amp;geocode=&amp;q=52.487190246582,0.679989993572235")</f>
        <v>http://maps.google.com/maps?f=q&amp;hl=en&amp;geocode=&amp;q=52.487190246582,0.679989993572235</v>
      </c>
    </row>
    <row r="7884" spans="1:7" ht="15" x14ac:dyDescent="0.3">
      <c r="A7884">
        <v>40.894489288330099</v>
      </c>
      <c r="B7884">
        <v>-72.892898559570298</v>
      </c>
      <c r="C7884" t="s">
        <v>43</v>
      </c>
      <c r="D7884" t="s">
        <v>4674</v>
      </c>
      <c r="F7884" s="21"/>
      <c r="G7884" s="16" t="str">
        <f>HYPERLINK("http://maps.google.com/maps?f=q&amp;hl=en&amp;geocode=&amp;q=40.8944892883301,-72.8928985595703")</f>
        <v>http://maps.google.com/maps?f=q&amp;hl=en&amp;geocode=&amp;q=40.8944892883301,-72.8928985595703</v>
      </c>
    </row>
    <row r="7885" spans="1:7" ht="15" x14ac:dyDescent="0.3">
      <c r="A7885">
        <v>31.745836060279899</v>
      </c>
      <c r="B7885">
        <v>-100.785200555532</v>
      </c>
      <c r="C7885" t="s">
        <v>41</v>
      </c>
      <c r="D7885" t="s">
        <v>4675</v>
      </c>
      <c r="F7885" s="21"/>
      <c r="G7885" s="16" t="str">
        <f>HYPERLINK("http://maps.google.com/maps?f=q&amp;hl=en&amp;geocode=&amp;q=31.7458360602799,-100.785200555532")</f>
        <v>http://maps.google.com/maps?f=q&amp;hl=en&amp;geocode=&amp;q=31.7458360602799,-100.785200555532</v>
      </c>
    </row>
    <row r="7886" spans="1:7" ht="15" x14ac:dyDescent="0.3">
      <c r="A7886">
        <v>42.999576568603501</v>
      </c>
      <c r="B7886">
        <v>-107.551513671875</v>
      </c>
      <c r="C7886" t="s">
        <v>41</v>
      </c>
      <c r="D7886" t="s">
        <v>4676</v>
      </c>
      <c r="F7886" s="21"/>
      <c r="G7886" s="16" t="str">
        <f>HYPERLINK("http://maps.google.com/maps?f=q&amp;hl=en&amp;geocode=&amp;q=42.9995765686035,-107.551513671875")</f>
        <v>http://maps.google.com/maps?f=q&amp;hl=en&amp;geocode=&amp;q=42.9995765686035,-107.551513671875</v>
      </c>
    </row>
    <row r="7887" spans="1:7" ht="15" x14ac:dyDescent="0.3">
      <c r="A7887">
        <v>42.999576568603501</v>
      </c>
      <c r="B7887">
        <v>-107.551513671875</v>
      </c>
      <c r="C7887" t="s">
        <v>41</v>
      </c>
      <c r="D7887" t="s">
        <v>4677</v>
      </c>
      <c r="F7887" s="21"/>
      <c r="G7887" s="16" t="str">
        <f>HYPERLINK("http://maps.google.com/maps?f=q&amp;hl=en&amp;geocode=&amp;q=42.9995765686035,-107.551513671875")</f>
        <v>http://maps.google.com/maps?f=q&amp;hl=en&amp;geocode=&amp;q=42.9995765686035,-107.551513671875</v>
      </c>
    </row>
    <row r="7888" spans="1:7" ht="15" x14ac:dyDescent="0.3">
      <c r="A7888" t="s">
        <v>44</v>
      </c>
      <c r="B7888" t="s">
        <v>44</v>
      </c>
      <c r="C7888" t="s">
        <v>44</v>
      </c>
      <c r="D7888" t="s">
        <v>4678</v>
      </c>
      <c r="F7888" s="21"/>
      <c r="G7888" s="16"/>
    </row>
    <row r="7889" spans="1:7" ht="15" x14ac:dyDescent="0.3">
      <c r="A7889">
        <v>40.693229675292997</v>
      </c>
      <c r="B7889">
        <v>-78.9222412109375</v>
      </c>
      <c r="C7889" t="s">
        <v>43</v>
      </c>
      <c r="D7889" t="s">
        <v>2362</v>
      </c>
      <c r="F7889" s="21"/>
      <c r="G7889" s="16" t="str">
        <f>HYPERLINK("http://maps.google.com/maps?f=q&amp;hl=en&amp;geocode=&amp;q=40.693229675293,-78.9222412109375")</f>
        <v>http://maps.google.com/maps?f=q&amp;hl=en&amp;geocode=&amp;q=40.693229675293,-78.9222412109375</v>
      </c>
    </row>
    <row r="7890" spans="1:7" ht="15" x14ac:dyDescent="0.3">
      <c r="A7890">
        <v>39.684371948242202</v>
      </c>
      <c r="B7890">
        <v>21.8974094390869</v>
      </c>
      <c r="C7890" t="s">
        <v>41</v>
      </c>
      <c r="D7890" t="s">
        <v>809</v>
      </c>
      <c r="F7890" s="21"/>
      <c r="G7890" s="16" t="str">
        <f>HYPERLINK("http://maps.google.com/maps?f=q&amp;hl=en&amp;geocode=&amp;q=39.6843719482422,21.8974094390869")</f>
        <v>http://maps.google.com/maps?f=q&amp;hl=en&amp;geocode=&amp;q=39.6843719482422,21.8974094390869</v>
      </c>
    </row>
    <row r="7891" spans="1:7" ht="15" x14ac:dyDescent="0.3">
      <c r="A7891">
        <v>38.79909</v>
      </c>
      <c r="B7891">
        <v>-104.75112</v>
      </c>
      <c r="C7891" t="s">
        <v>42</v>
      </c>
      <c r="D7891" t="s">
        <v>4679</v>
      </c>
      <c r="F7891" s="21"/>
      <c r="G7891" s="16" t="str">
        <f>HYPERLINK("http://maps.google.com/maps?f=q&amp;hl=en&amp;geocode=&amp;q=38.79909,-104.75112")</f>
        <v>http://maps.google.com/maps?f=q&amp;hl=en&amp;geocode=&amp;q=38.79909,-104.75112</v>
      </c>
    </row>
    <row r="7892" spans="1:7" ht="15" x14ac:dyDescent="0.3">
      <c r="A7892">
        <v>31.05528</v>
      </c>
      <c r="B7892">
        <v>-97.696939999999998</v>
      </c>
      <c r="C7892" t="s">
        <v>41</v>
      </c>
      <c r="D7892" t="s">
        <v>187</v>
      </c>
      <c r="F7892" s="21"/>
      <c r="G7892" s="16" t="str">
        <f>HYPERLINK("http://maps.google.com/maps?f=q&amp;hl=en&amp;geocode=&amp;q=31.05528,-97.69694")</f>
        <v>http://maps.google.com/maps?f=q&amp;hl=en&amp;geocode=&amp;q=31.05528,-97.69694</v>
      </c>
    </row>
    <row r="7893" spans="1:7" ht="15" x14ac:dyDescent="0.3">
      <c r="A7893">
        <v>-26.188575744628899</v>
      </c>
      <c r="B7893">
        <v>27.929327011108398</v>
      </c>
      <c r="C7893" t="s">
        <v>43</v>
      </c>
      <c r="D7893" t="s">
        <v>4680</v>
      </c>
      <c r="F7893" s="21"/>
      <c r="G7893" s="16" t="str">
        <f>HYPERLINK("http://maps.google.com/maps?f=q&amp;hl=en&amp;geocode=&amp;q=-26.1885757446289,27.9293270111084")</f>
        <v>http://maps.google.com/maps?f=q&amp;hl=en&amp;geocode=&amp;q=-26.1885757446289,27.9293270111084</v>
      </c>
    </row>
    <row r="7894" spans="1:7" ht="15" x14ac:dyDescent="0.3">
      <c r="A7894">
        <v>42.977849692169301</v>
      </c>
      <c r="B7894">
        <v>-95.623814234100806</v>
      </c>
      <c r="C7894" t="s">
        <v>41</v>
      </c>
      <c r="D7894" t="s">
        <v>4681</v>
      </c>
      <c r="F7894" s="21"/>
      <c r="G7894" s="16" t="str">
        <f>HYPERLINK("http://maps.google.com/maps?f=q&amp;hl=en&amp;geocode=&amp;q=42.9778496921693,-95.6238142341008")</f>
        <v>http://maps.google.com/maps?f=q&amp;hl=en&amp;geocode=&amp;q=42.9778496921693,-95.6238142341008</v>
      </c>
    </row>
    <row r="7895" spans="1:7" ht="15" x14ac:dyDescent="0.3">
      <c r="A7895">
        <v>26.470888723066601</v>
      </c>
      <c r="B7895">
        <v>-98.870890778886505</v>
      </c>
      <c r="C7895" t="s">
        <v>41</v>
      </c>
      <c r="D7895" t="s">
        <v>4682</v>
      </c>
      <c r="F7895" s="21"/>
      <c r="G7895" s="16" t="str">
        <f>HYPERLINK("http://maps.google.com/maps?f=q&amp;hl=en&amp;geocode=&amp;q=26.4708887230666,-98.8708907788865")</f>
        <v>http://maps.google.com/maps?f=q&amp;hl=en&amp;geocode=&amp;q=26.4708887230666,-98.8708907788865</v>
      </c>
    </row>
    <row r="7896" spans="1:7" ht="15" x14ac:dyDescent="0.3">
      <c r="A7896">
        <v>32.384909999999998</v>
      </c>
      <c r="B7896">
        <v>-86.193430000000006</v>
      </c>
      <c r="C7896" t="s">
        <v>42</v>
      </c>
      <c r="D7896" t="s">
        <v>1351</v>
      </c>
      <c r="F7896" s="21"/>
      <c r="G7896" s="16" t="str">
        <f>HYPERLINK("http://maps.google.com/maps?f=q&amp;hl=en&amp;geocode=&amp;q=32.38491,-86.19343")</f>
        <v>http://maps.google.com/maps?f=q&amp;hl=en&amp;geocode=&amp;q=32.38491,-86.19343</v>
      </c>
    </row>
    <row r="7897" spans="1:7" ht="15" x14ac:dyDescent="0.3">
      <c r="A7897">
        <v>39.974130000000002</v>
      </c>
      <c r="B7897">
        <v>-75.206829999999997</v>
      </c>
      <c r="C7897" t="s">
        <v>41</v>
      </c>
      <c r="D7897" t="s">
        <v>4683</v>
      </c>
      <c r="F7897" s="21"/>
      <c r="G7897" s="16" t="str">
        <f>HYPERLINK("http://maps.google.com/maps?f=q&amp;hl=en&amp;geocode=&amp;q=39.97413,-75.20683")</f>
        <v>http://maps.google.com/maps?f=q&amp;hl=en&amp;geocode=&amp;q=39.97413,-75.20683</v>
      </c>
    </row>
    <row r="7898" spans="1:7" ht="15" x14ac:dyDescent="0.3">
      <c r="A7898" t="s">
        <v>44</v>
      </c>
      <c r="B7898" t="s">
        <v>44</v>
      </c>
      <c r="C7898" t="s">
        <v>44</v>
      </c>
      <c r="D7898" t="s">
        <v>4684</v>
      </c>
      <c r="F7898" s="21"/>
      <c r="G7898" s="16"/>
    </row>
    <row r="7899" spans="1:7" ht="15" x14ac:dyDescent="0.3">
      <c r="A7899">
        <v>49.4726371765137</v>
      </c>
      <c r="B7899">
        <v>-2.4496390819549601</v>
      </c>
      <c r="C7899" t="s">
        <v>41</v>
      </c>
      <c r="D7899" t="s">
        <v>1193</v>
      </c>
      <c r="F7899" s="21"/>
      <c r="G7899" s="16" t="str">
        <f>HYPERLINK("http://maps.google.com/maps?f=q&amp;hl=en&amp;geocode=&amp;q=49.4726371765137,-2.44963908195496")</f>
        <v>http://maps.google.com/maps?f=q&amp;hl=en&amp;geocode=&amp;q=49.4726371765137,-2.44963908195496</v>
      </c>
    </row>
    <row r="7900" spans="1:7" ht="15" x14ac:dyDescent="0.3">
      <c r="A7900">
        <v>52.6621284484863</v>
      </c>
      <c r="B7900">
        <v>-0.65426599979400601</v>
      </c>
      <c r="C7900" t="s">
        <v>41</v>
      </c>
      <c r="D7900" t="s">
        <v>4685</v>
      </c>
      <c r="F7900" s="21"/>
      <c r="G7900" s="16" t="str">
        <f>HYPERLINK("http://maps.google.com/maps?f=q&amp;hl=en&amp;geocode=&amp;q=52.6621284484863,-0.654265999794006")</f>
        <v>http://maps.google.com/maps?f=q&amp;hl=en&amp;geocode=&amp;q=52.6621284484863,-0.654265999794006</v>
      </c>
    </row>
    <row r="7901" spans="1:7" ht="15" x14ac:dyDescent="0.3">
      <c r="A7901">
        <v>40.0286587212386</v>
      </c>
      <c r="B7901">
        <v>-75.081777966362097</v>
      </c>
      <c r="C7901" t="s">
        <v>41</v>
      </c>
      <c r="D7901" t="s">
        <v>4686</v>
      </c>
      <c r="F7901" s="21"/>
      <c r="G7901" s="16" t="str">
        <f>HYPERLINK("http://maps.google.com/maps?f=q&amp;hl=en&amp;geocode=&amp;q=40.0286587212386,-75.0817779663621")</f>
        <v>http://maps.google.com/maps?f=q&amp;hl=en&amp;geocode=&amp;q=40.0286587212386,-75.0817779663621</v>
      </c>
    </row>
    <row r="7902" spans="1:7" ht="15" x14ac:dyDescent="0.3">
      <c r="A7902">
        <v>39.327840000000002</v>
      </c>
      <c r="B7902">
        <v>-76.530510000000007</v>
      </c>
      <c r="C7902" t="s">
        <v>41</v>
      </c>
      <c r="D7902" t="s">
        <v>649</v>
      </c>
      <c r="F7902" s="21"/>
      <c r="G7902" s="16" t="str">
        <f>HYPERLINK("http://maps.google.com/maps?f=q&amp;hl=en&amp;geocode=&amp;q=39.32784,-76.53051")</f>
        <v>http://maps.google.com/maps?f=q&amp;hl=en&amp;geocode=&amp;q=39.32784,-76.53051</v>
      </c>
    </row>
    <row r="7903" spans="1:7" ht="15" x14ac:dyDescent="0.3">
      <c r="A7903" t="s">
        <v>44</v>
      </c>
      <c r="B7903" t="s">
        <v>44</v>
      </c>
      <c r="C7903" t="s">
        <v>44</v>
      </c>
      <c r="D7903" t="s">
        <v>4687</v>
      </c>
      <c r="F7903" s="21"/>
      <c r="G7903" s="16"/>
    </row>
    <row r="7904" spans="1:7" ht="15" x14ac:dyDescent="0.3">
      <c r="A7904">
        <v>37.241072477694097</v>
      </c>
      <c r="B7904">
        <v>-79.998654977856503</v>
      </c>
      <c r="C7904" t="s">
        <v>41</v>
      </c>
      <c r="D7904" t="s">
        <v>372</v>
      </c>
      <c r="F7904" s="21"/>
      <c r="G7904" s="16" t="str">
        <f>HYPERLINK("http://maps.google.com/maps?f=q&amp;hl=en&amp;geocode=&amp;q=37.2410724776941,-79.9986549778565")</f>
        <v>http://maps.google.com/maps?f=q&amp;hl=en&amp;geocode=&amp;q=37.2410724776941,-79.9986549778565</v>
      </c>
    </row>
    <row r="7905" spans="1:7" ht="15" x14ac:dyDescent="0.3">
      <c r="A7905">
        <v>-33.00956</v>
      </c>
      <c r="B7905">
        <v>137.5308</v>
      </c>
      <c r="C7905" t="s">
        <v>43</v>
      </c>
      <c r="D7905" t="s">
        <v>940</v>
      </c>
      <c r="F7905" s="21"/>
      <c r="G7905" s="16" t="str">
        <f>HYPERLINK("http://maps.google.com/maps?f=q&amp;hl=en&amp;geocode=&amp;q=-33.00956,137.5308")</f>
        <v>http://maps.google.com/maps?f=q&amp;hl=en&amp;geocode=&amp;q=-33.00956,137.5308</v>
      </c>
    </row>
    <row r="7906" spans="1:7" ht="15" x14ac:dyDescent="0.3">
      <c r="A7906">
        <v>40.219416000000002</v>
      </c>
      <c r="B7906">
        <v>-75.369495999999998</v>
      </c>
      <c r="C7906" t="s">
        <v>41</v>
      </c>
      <c r="D7906" t="s">
        <v>923</v>
      </c>
      <c r="F7906" s="21"/>
      <c r="G7906" s="16" t="str">
        <f>HYPERLINK("http://maps.google.com/maps?f=q&amp;hl=en&amp;geocode=&amp;q=40.219416,-75.369496")</f>
        <v>http://maps.google.com/maps?f=q&amp;hl=en&amp;geocode=&amp;q=40.219416,-75.369496</v>
      </c>
    </row>
    <row r="7907" spans="1:7" ht="15" x14ac:dyDescent="0.3">
      <c r="A7907">
        <v>27.779890000000002</v>
      </c>
      <c r="B7907">
        <v>-82.728149999999999</v>
      </c>
      <c r="C7907" t="s">
        <v>43</v>
      </c>
      <c r="D7907" t="s">
        <v>4688</v>
      </c>
      <c r="F7907" s="21"/>
      <c r="G7907" s="16" t="str">
        <f>HYPERLINK("http://maps.google.com/maps?f=q&amp;hl=en&amp;geocode=&amp;q=27.77989,-82.72815")</f>
        <v>http://maps.google.com/maps?f=q&amp;hl=en&amp;geocode=&amp;q=27.77989,-82.72815</v>
      </c>
    </row>
    <row r="7908" spans="1:7" ht="15" x14ac:dyDescent="0.3">
      <c r="A7908">
        <v>39.921230000000001</v>
      </c>
      <c r="B7908">
        <v>-75.222430000000003</v>
      </c>
      <c r="C7908" t="s">
        <v>41</v>
      </c>
      <c r="D7908" t="s">
        <v>4689</v>
      </c>
      <c r="F7908" s="21"/>
      <c r="G7908" s="16" t="str">
        <f>HYPERLINK("http://maps.google.com/maps?f=q&amp;hl=en&amp;geocode=&amp;q=39.92123,-75.22243")</f>
        <v>http://maps.google.com/maps?f=q&amp;hl=en&amp;geocode=&amp;q=39.92123,-75.22243</v>
      </c>
    </row>
    <row r="7909" spans="1:7" ht="15" x14ac:dyDescent="0.3">
      <c r="A7909">
        <v>-5.0306301116943404</v>
      </c>
      <c r="B7909">
        <v>32.819759368896499</v>
      </c>
      <c r="C7909" t="s">
        <v>41</v>
      </c>
      <c r="D7909" t="s">
        <v>3418</v>
      </c>
      <c r="F7909" s="21"/>
      <c r="G7909" s="16" t="str">
        <f>HYPERLINK("http://maps.google.com/maps?f=q&amp;hl=en&amp;geocode=&amp;q=-5.03063011169434,32.8197593688965")</f>
        <v>http://maps.google.com/maps?f=q&amp;hl=en&amp;geocode=&amp;q=-5.03063011169434,32.8197593688965</v>
      </c>
    </row>
    <row r="7910" spans="1:7" ht="15" x14ac:dyDescent="0.3">
      <c r="A7910">
        <v>35.694267272949197</v>
      </c>
      <c r="B7910">
        <v>139.41233825683599</v>
      </c>
      <c r="C7910" t="s">
        <v>43</v>
      </c>
      <c r="D7910" t="s">
        <v>4467</v>
      </c>
      <c r="F7910" s="21"/>
      <c r="G7910" s="16" t="str">
        <f>HYPERLINK("http://maps.google.com/maps?f=q&amp;hl=en&amp;geocode=&amp;q=35.6942672729492,139.412338256836")</f>
        <v>http://maps.google.com/maps?f=q&amp;hl=en&amp;geocode=&amp;q=35.6942672729492,139.412338256836</v>
      </c>
    </row>
    <row r="7911" spans="1:7" ht="15" x14ac:dyDescent="0.3">
      <c r="A7911">
        <v>40.097897968491303</v>
      </c>
      <c r="B7911">
        <v>-89.083102045688506</v>
      </c>
      <c r="C7911" t="s">
        <v>41</v>
      </c>
      <c r="D7911" t="s">
        <v>4002</v>
      </c>
      <c r="F7911" s="21"/>
      <c r="G7911" s="16" t="str">
        <f>HYPERLINK("http://maps.google.com/maps?f=q&amp;hl=en&amp;geocode=&amp;q=40.0978979684913,-89.0831020456885")</f>
        <v>http://maps.google.com/maps?f=q&amp;hl=en&amp;geocode=&amp;q=40.0978979684913,-89.0831020456885</v>
      </c>
    </row>
    <row r="7912" spans="1:7" ht="15" x14ac:dyDescent="0.3">
      <c r="A7912">
        <v>39.918959999999998</v>
      </c>
      <c r="B7912">
        <v>-75.177430000000001</v>
      </c>
      <c r="C7912" t="s">
        <v>43</v>
      </c>
      <c r="D7912" t="s">
        <v>4690</v>
      </c>
      <c r="F7912" s="21"/>
      <c r="G7912" s="16" t="str">
        <f>HYPERLINK("http://maps.google.com/maps?f=q&amp;hl=en&amp;geocode=&amp;q=39.91896,-75.17743")</f>
        <v>http://maps.google.com/maps?f=q&amp;hl=en&amp;geocode=&amp;q=39.91896,-75.17743</v>
      </c>
    </row>
    <row r="7913" spans="1:7" ht="15" x14ac:dyDescent="0.3">
      <c r="A7913">
        <v>38.768669128417997</v>
      </c>
      <c r="B7913">
        <v>-9.2970876693725604</v>
      </c>
      <c r="C7913" t="s">
        <v>41</v>
      </c>
      <c r="D7913" t="s">
        <v>4691</v>
      </c>
      <c r="F7913" s="21"/>
      <c r="G7913" s="16" t="str">
        <f>HYPERLINK("http://maps.google.com/maps?f=q&amp;hl=en&amp;geocode=&amp;q=38.768669128418,-9.29708766937256")</f>
        <v>http://maps.google.com/maps?f=q&amp;hl=en&amp;geocode=&amp;q=38.768669128418,-9.29708766937256</v>
      </c>
    </row>
    <row r="7914" spans="1:7" ht="15" x14ac:dyDescent="0.3">
      <c r="A7914">
        <v>39.921669999999999</v>
      </c>
      <c r="B7914">
        <v>-75.178460000000001</v>
      </c>
      <c r="C7914" t="s">
        <v>43</v>
      </c>
      <c r="D7914" t="s">
        <v>4692</v>
      </c>
      <c r="F7914" s="21"/>
      <c r="G7914" s="16" t="str">
        <f>HYPERLINK("http://maps.google.com/maps?f=q&amp;hl=en&amp;geocode=&amp;q=39.92167,-75.17846")</f>
        <v>http://maps.google.com/maps?f=q&amp;hl=en&amp;geocode=&amp;q=39.92167,-75.17846</v>
      </c>
    </row>
    <row r="7915" spans="1:7" ht="15" x14ac:dyDescent="0.3">
      <c r="A7915">
        <v>35.260855047894999</v>
      </c>
      <c r="B7915">
        <v>-114.013376889279</v>
      </c>
      <c r="C7915" t="s">
        <v>41</v>
      </c>
      <c r="D7915" t="s">
        <v>4693</v>
      </c>
      <c r="F7915" s="21"/>
      <c r="G7915" s="16" t="str">
        <f>HYPERLINK("http://maps.google.com/maps?f=q&amp;hl=en&amp;geocode=&amp;q=35.260855047895,-114.013376889279")</f>
        <v>http://maps.google.com/maps?f=q&amp;hl=en&amp;geocode=&amp;q=35.260855047895,-114.013376889279</v>
      </c>
    </row>
    <row r="7916" spans="1:7" ht="15" x14ac:dyDescent="0.3">
      <c r="A7916">
        <v>35.0695128602461</v>
      </c>
      <c r="B7916">
        <v>-89.708801453091496</v>
      </c>
      <c r="C7916" t="s">
        <v>41</v>
      </c>
      <c r="D7916" t="s">
        <v>4437</v>
      </c>
      <c r="F7916" s="21"/>
      <c r="G7916" s="16" t="str">
        <f>HYPERLINK("http://maps.google.com/maps?f=q&amp;hl=en&amp;geocode=&amp;q=35.0695128602461,-89.7088014530915")</f>
        <v>http://maps.google.com/maps?f=q&amp;hl=en&amp;geocode=&amp;q=35.0695128602461,-89.7088014530915</v>
      </c>
    </row>
    <row r="7917" spans="1:7" ht="15" x14ac:dyDescent="0.3">
      <c r="A7917">
        <v>35.0695128602461</v>
      </c>
      <c r="B7917">
        <v>-89.708801453091496</v>
      </c>
      <c r="C7917" t="s">
        <v>41</v>
      </c>
      <c r="D7917" t="s">
        <v>4437</v>
      </c>
      <c r="F7917" s="21"/>
      <c r="G7917" s="16" t="str">
        <f>HYPERLINK("http://maps.google.com/maps?f=q&amp;hl=en&amp;geocode=&amp;q=35.0695128602461,-89.7088014530915")</f>
        <v>http://maps.google.com/maps?f=q&amp;hl=en&amp;geocode=&amp;q=35.0695128602461,-89.7088014530915</v>
      </c>
    </row>
    <row r="7918" spans="1:7" ht="15" x14ac:dyDescent="0.3">
      <c r="A7918">
        <v>35.0695128602461</v>
      </c>
      <c r="B7918">
        <v>-89.708801453091496</v>
      </c>
      <c r="C7918" t="s">
        <v>41</v>
      </c>
      <c r="D7918" t="s">
        <v>4437</v>
      </c>
      <c r="F7918" s="21"/>
      <c r="G7918" s="16" t="str">
        <f>HYPERLINK("http://maps.google.com/maps?f=q&amp;hl=en&amp;geocode=&amp;q=35.0695128602461,-89.7088014530915")</f>
        <v>http://maps.google.com/maps?f=q&amp;hl=en&amp;geocode=&amp;q=35.0695128602461,-89.7088014530915</v>
      </c>
    </row>
    <row r="7919" spans="1:7" ht="15" x14ac:dyDescent="0.3">
      <c r="A7919">
        <v>35.644151533729001</v>
      </c>
      <c r="B7919">
        <v>-101.451423614281</v>
      </c>
      <c r="C7919" t="s">
        <v>41</v>
      </c>
      <c r="D7919" t="s">
        <v>3148</v>
      </c>
      <c r="F7919" s="21"/>
      <c r="G7919" s="16" t="str">
        <f>HYPERLINK("http://maps.google.com/maps?f=q&amp;hl=en&amp;geocode=&amp;q=35.644151533729,-101.451423614281")</f>
        <v>http://maps.google.com/maps?f=q&amp;hl=en&amp;geocode=&amp;q=35.644151533729,-101.451423614281</v>
      </c>
    </row>
    <row r="7920" spans="1:7" ht="15" x14ac:dyDescent="0.3">
      <c r="A7920">
        <v>7.3835182189941397</v>
      </c>
      <c r="B7920">
        <v>-12.2588081359863</v>
      </c>
      <c r="C7920" t="s">
        <v>41</v>
      </c>
      <c r="D7920" t="s">
        <v>202</v>
      </c>
      <c r="F7920" s="21"/>
      <c r="G7920" s="16" t="str">
        <f>HYPERLINK("http://maps.google.com/maps?f=q&amp;hl=en&amp;geocode=&amp;q=7.38351821899414,-12.2588081359863")</f>
        <v>http://maps.google.com/maps?f=q&amp;hl=en&amp;geocode=&amp;q=7.38351821899414,-12.2588081359863</v>
      </c>
    </row>
    <row r="7921" spans="1:7" ht="15" x14ac:dyDescent="0.3">
      <c r="A7921">
        <v>7.3835182189941397</v>
      </c>
      <c r="B7921">
        <v>-12.2588081359863</v>
      </c>
      <c r="C7921" t="s">
        <v>41</v>
      </c>
      <c r="D7921" t="s">
        <v>202</v>
      </c>
      <c r="F7921" s="21"/>
      <c r="G7921" s="16" t="str">
        <f>HYPERLINK("http://maps.google.com/maps?f=q&amp;hl=en&amp;geocode=&amp;q=7.38351821899414,-12.2588081359863")</f>
        <v>http://maps.google.com/maps?f=q&amp;hl=en&amp;geocode=&amp;q=7.38351821899414,-12.2588081359863</v>
      </c>
    </row>
    <row r="7922" spans="1:7" ht="15" x14ac:dyDescent="0.3">
      <c r="A7922">
        <v>-25.5931701660156</v>
      </c>
      <c r="B7922">
        <v>151.65786743164099</v>
      </c>
      <c r="C7922" t="s">
        <v>41</v>
      </c>
      <c r="D7922" t="s">
        <v>1739</v>
      </c>
      <c r="F7922" s="21"/>
      <c r="G7922" s="16" t="str">
        <f>HYPERLINK("http://maps.google.com/maps?f=q&amp;hl=en&amp;geocode=&amp;q=-25.5931701660156,151.657867431641")</f>
        <v>http://maps.google.com/maps?f=q&amp;hl=en&amp;geocode=&amp;q=-25.5931701660156,151.657867431641</v>
      </c>
    </row>
    <row r="7923" spans="1:7" ht="15" x14ac:dyDescent="0.3">
      <c r="A7923">
        <v>-26.182214736938501</v>
      </c>
      <c r="B7923">
        <v>151.40661621093801</v>
      </c>
      <c r="C7923" t="s">
        <v>41</v>
      </c>
      <c r="D7923" t="s">
        <v>4694</v>
      </c>
      <c r="F7923" s="21"/>
      <c r="G7923" s="16" t="str">
        <f>HYPERLINK("http://maps.google.com/maps?f=q&amp;hl=en&amp;geocode=&amp;q=-26.1822147369385,151.406616210938")</f>
        <v>http://maps.google.com/maps?f=q&amp;hl=en&amp;geocode=&amp;q=-26.1822147369385,151.406616210938</v>
      </c>
    </row>
    <row r="7924" spans="1:7" ht="15" x14ac:dyDescent="0.3">
      <c r="A7924">
        <v>37.6307527593533</v>
      </c>
      <c r="B7924">
        <v>-80.985487552934401</v>
      </c>
      <c r="C7924" t="s">
        <v>41</v>
      </c>
      <c r="D7924" t="s">
        <v>84</v>
      </c>
      <c r="F7924" s="21"/>
      <c r="G7924" s="16" t="str">
        <f>HYPERLINK("http://maps.google.com/maps?f=q&amp;hl=en&amp;geocode=&amp;q=37.6307527593533,-80.9854875529344")</f>
        <v>http://maps.google.com/maps?f=q&amp;hl=en&amp;geocode=&amp;q=37.6307527593533,-80.9854875529344</v>
      </c>
    </row>
    <row r="7925" spans="1:7" ht="15" x14ac:dyDescent="0.3">
      <c r="A7925">
        <v>54.562068939208999</v>
      </c>
      <c r="B7925">
        <v>-125.10440063476599</v>
      </c>
      <c r="C7925" t="s">
        <v>41</v>
      </c>
      <c r="D7925" t="s">
        <v>4472</v>
      </c>
      <c r="F7925" s="21"/>
      <c r="G7925" s="16" t="str">
        <f>HYPERLINK("http://maps.google.com/maps?f=q&amp;hl=en&amp;geocode=&amp;q=54.562068939209,-125.104400634766")</f>
        <v>http://maps.google.com/maps?f=q&amp;hl=en&amp;geocode=&amp;q=54.562068939209,-125.104400634766</v>
      </c>
    </row>
    <row r="7926" spans="1:7" ht="15" x14ac:dyDescent="0.3">
      <c r="A7926" t="s">
        <v>44</v>
      </c>
      <c r="B7926" t="s">
        <v>44</v>
      </c>
      <c r="C7926" t="s">
        <v>44</v>
      </c>
      <c r="D7926" t="s">
        <v>4310</v>
      </c>
      <c r="F7926" s="21"/>
      <c r="G7926" s="16"/>
    </row>
    <row r="7927" spans="1:7" ht="15" x14ac:dyDescent="0.3">
      <c r="A7927">
        <v>47.055850982666001</v>
      </c>
      <c r="B7927">
        <v>6.7508301734924299</v>
      </c>
      <c r="C7927" t="s">
        <v>43</v>
      </c>
      <c r="D7927" t="s">
        <v>4695</v>
      </c>
      <c r="F7927" s="21"/>
      <c r="G7927" s="16" t="str">
        <f>HYPERLINK("http://maps.google.com/maps?f=q&amp;hl=en&amp;geocode=&amp;q=47.055850982666,6.75083017349243")</f>
        <v>http://maps.google.com/maps?f=q&amp;hl=en&amp;geocode=&amp;q=47.055850982666,6.75083017349243</v>
      </c>
    </row>
    <row r="7928" spans="1:7" ht="15" x14ac:dyDescent="0.3">
      <c r="A7928" t="s">
        <v>44</v>
      </c>
      <c r="B7928" t="s">
        <v>44</v>
      </c>
      <c r="C7928" t="s">
        <v>44</v>
      </c>
      <c r="D7928" t="s">
        <v>2502</v>
      </c>
      <c r="F7928" s="21"/>
      <c r="G7928" s="16"/>
    </row>
    <row r="7929" spans="1:7" ht="15" x14ac:dyDescent="0.3">
      <c r="A7929" t="s">
        <v>44</v>
      </c>
      <c r="B7929" t="s">
        <v>44</v>
      </c>
      <c r="C7929" t="s">
        <v>44</v>
      </c>
      <c r="D7929" t="s">
        <v>4438</v>
      </c>
      <c r="F7929" s="21"/>
      <c r="G7929" s="16"/>
    </row>
    <row r="7930" spans="1:7" ht="15" x14ac:dyDescent="0.3">
      <c r="A7930">
        <v>40.013817913278999</v>
      </c>
      <c r="B7930">
        <v>-75.064004861159205</v>
      </c>
      <c r="C7930" t="s">
        <v>41</v>
      </c>
      <c r="D7930" t="s">
        <v>4696</v>
      </c>
      <c r="F7930" s="21"/>
      <c r="G7930" s="16" t="str">
        <f>HYPERLINK("http://maps.google.com/maps?f=q&amp;hl=en&amp;geocode=&amp;q=40.013817913279,-75.0640048611592")</f>
        <v>http://maps.google.com/maps?f=q&amp;hl=en&amp;geocode=&amp;q=40.013817913279,-75.0640048611592</v>
      </c>
    </row>
    <row r="7931" spans="1:7" ht="15" x14ac:dyDescent="0.3">
      <c r="A7931">
        <v>39.925638964859402</v>
      </c>
      <c r="B7931">
        <v>-75.154546194767605</v>
      </c>
      <c r="C7931" t="s">
        <v>41</v>
      </c>
      <c r="D7931" t="s">
        <v>3499</v>
      </c>
      <c r="F7931" s="21"/>
      <c r="G7931" s="16" t="str">
        <f>HYPERLINK("http://maps.google.com/maps?f=q&amp;hl=en&amp;geocode=&amp;q=39.9256389648594,-75.1545461947676")</f>
        <v>http://maps.google.com/maps?f=q&amp;hl=en&amp;geocode=&amp;q=39.9256389648594,-75.1545461947676</v>
      </c>
    </row>
    <row r="7932" spans="1:7" ht="15" x14ac:dyDescent="0.3">
      <c r="A7932">
        <v>40.027900000000002</v>
      </c>
      <c r="B7932">
        <v>-75.172809999999998</v>
      </c>
      <c r="C7932" t="s">
        <v>41</v>
      </c>
      <c r="D7932" t="s">
        <v>4619</v>
      </c>
      <c r="F7932" s="21"/>
      <c r="G7932" s="16" t="str">
        <f>HYPERLINK("http://maps.google.com/maps?f=q&amp;hl=en&amp;geocode=&amp;q=40.0279,-75.17281")</f>
        <v>http://maps.google.com/maps?f=q&amp;hl=en&amp;geocode=&amp;q=40.0279,-75.17281</v>
      </c>
    </row>
    <row r="7933" spans="1:7" ht="15" x14ac:dyDescent="0.3">
      <c r="A7933" t="s">
        <v>44</v>
      </c>
      <c r="B7933" t="s">
        <v>44</v>
      </c>
      <c r="C7933" t="s">
        <v>44</v>
      </c>
      <c r="D7933" t="s">
        <v>4017</v>
      </c>
      <c r="F7933" s="21"/>
      <c r="G7933" s="16"/>
    </row>
    <row r="7934" spans="1:7" ht="15" x14ac:dyDescent="0.3">
      <c r="A7934">
        <v>42.8890991210938</v>
      </c>
      <c r="B7934">
        <v>-0.115970000624657</v>
      </c>
      <c r="C7934" t="s">
        <v>41</v>
      </c>
      <c r="D7934" t="s">
        <v>4697</v>
      </c>
      <c r="F7934" s="21"/>
      <c r="G7934" s="16" t="str">
        <f>HYPERLINK("http://maps.google.com/maps?f=q&amp;hl=en&amp;geocode=&amp;q=42.8890991210938,-0.115970000624657")</f>
        <v>http://maps.google.com/maps?f=q&amp;hl=en&amp;geocode=&amp;q=42.8890991210938,-0.115970000624657</v>
      </c>
    </row>
    <row r="7935" spans="1:7" ht="15" x14ac:dyDescent="0.3">
      <c r="A7935">
        <v>-26.034427642822301</v>
      </c>
      <c r="B7935">
        <v>28.5431098937988</v>
      </c>
      <c r="C7935" t="s">
        <v>43</v>
      </c>
      <c r="D7935" t="s">
        <v>2747</v>
      </c>
      <c r="F7935" s="21"/>
      <c r="G7935" s="16" t="str">
        <f>HYPERLINK("http://maps.google.com/maps?f=q&amp;hl=en&amp;geocode=&amp;q=-26.0344276428223,28.5431098937988")</f>
        <v>http://maps.google.com/maps?f=q&amp;hl=en&amp;geocode=&amp;q=-26.0344276428223,28.5431098937988</v>
      </c>
    </row>
    <row r="7936" spans="1:7" ht="15" x14ac:dyDescent="0.3">
      <c r="A7936">
        <v>-26.034427642822301</v>
      </c>
      <c r="B7936">
        <v>28.5431098937988</v>
      </c>
      <c r="C7936" t="s">
        <v>43</v>
      </c>
      <c r="D7936" t="s">
        <v>2747</v>
      </c>
      <c r="F7936" s="21"/>
      <c r="G7936" s="16" t="str">
        <f>HYPERLINK("http://maps.google.com/maps?f=q&amp;hl=en&amp;geocode=&amp;q=-26.0344276428223,28.5431098937988")</f>
        <v>http://maps.google.com/maps?f=q&amp;hl=en&amp;geocode=&amp;q=-26.0344276428223,28.5431098937988</v>
      </c>
    </row>
    <row r="7937" spans="1:7" ht="15" x14ac:dyDescent="0.3">
      <c r="A7937">
        <v>-26.034427642822301</v>
      </c>
      <c r="B7937">
        <v>28.5431098937988</v>
      </c>
      <c r="C7937" t="s">
        <v>43</v>
      </c>
      <c r="D7937" t="s">
        <v>2747</v>
      </c>
      <c r="F7937" s="21"/>
      <c r="G7937" s="16" t="str">
        <f>HYPERLINK("http://maps.google.com/maps?f=q&amp;hl=en&amp;geocode=&amp;q=-26.0344276428223,28.5431098937988")</f>
        <v>http://maps.google.com/maps?f=q&amp;hl=en&amp;geocode=&amp;q=-26.0344276428223,28.5431098937988</v>
      </c>
    </row>
    <row r="7938" spans="1:7" ht="15" x14ac:dyDescent="0.3">
      <c r="A7938">
        <v>47.116134643554702</v>
      </c>
      <c r="B7938">
        <v>6.8440089225768999</v>
      </c>
      <c r="C7938" t="s">
        <v>43</v>
      </c>
      <c r="D7938" t="s">
        <v>2746</v>
      </c>
      <c r="F7938" s="21"/>
      <c r="G7938" s="16" t="str">
        <f>HYPERLINK("http://maps.google.com/maps?f=q&amp;hl=en&amp;geocode=&amp;q=47.1161346435547,6.8440089225769")</f>
        <v>http://maps.google.com/maps?f=q&amp;hl=en&amp;geocode=&amp;q=47.1161346435547,6.8440089225769</v>
      </c>
    </row>
    <row r="7939" spans="1:7" ht="15" x14ac:dyDescent="0.3">
      <c r="A7939">
        <v>47.055850982666001</v>
      </c>
      <c r="B7939">
        <v>6.7508301734924299</v>
      </c>
      <c r="C7939" t="s">
        <v>43</v>
      </c>
      <c r="D7939" t="s">
        <v>2283</v>
      </c>
      <c r="F7939" s="21"/>
      <c r="G7939" s="16" t="str">
        <f>HYPERLINK("http://maps.google.com/maps?f=q&amp;hl=en&amp;geocode=&amp;q=47.055850982666,6.75083017349243")</f>
        <v>http://maps.google.com/maps?f=q&amp;hl=en&amp;geocode=&amp;q=47.055850982666,6.75083017349243</v>
      </c>
    </row>
    <row r="7940" spans="1:7" ht="15" x14ac:dyDescent="0.3">
      <c r="A7940" t="s">
        <v>44</v>
      </c>
      <c r="B7940" t="s">
        <v>44</v>
      </c>
      <c r="C7940" t="s">
        <v>44</v>
      </c>
      <c r="D7940" t="s">
        <v>4438</v>
      </c>
      <c r="F7940" s="21"/>
      <c r="G7940" s="16"/>
    </row>
    <row r="7941" spans="1:7" ht="15" x14ac:dyDescent="0.3">
      <c r="A7941" t="s">
        <v>44</v>
      </c>
      <c r="B7941" t="s">
        <v>44</v>
      </c>
      <c r="C7941" t="s">
        <v>44</v>
      </c>
      <c r="D7941" t="s">
        <v>4438</v>
      </c>
      <c r="F7941" s="21"/>
      <c r="G7941" s="16"/>
    </row>
    <row r="7942" spans="1:7" ht="15" x14ac:dyDescent="0.3">
      <c r="A7942">
        <v>49.518180847167997</v>
      </c>
      <c r="B7942">
        <v>5.8978409767150897</v>
      </c>
      <c r="C7942" t="s">
        <v>41</v>
      </c>
      <c r="D7942" t="s">
        <v>2510</v>
      </c>
      <c r="F7942" s="21"/>
      <c r="G7942" s="16" t="str">
        <f>HYPERLINK("http://maps.google.com/maps?f=q&amp;hl=en&amp;geocode=&amp;q=49.518180847168,5.89784097671509")</f>
        <v>http://maps.google.com/maps?f=q&amp;hl=en&amp;geocode=&amp;q=49.518180847168,5.89784097671509</v>
      </c>
    </row>
    <row r="7943" spans="1:7" ht="15" x14ac:dyDescent="0.3">
      <c r="A7943">
        <v>40.132370000000002</v>
      </c>
      <c r="B7943">
        <v>-75.007909999999995</v>
      </c>
      <c r="C7943" t="s">
        <v>41</v>
      </c>
      <c r="D7943" t="s">
        <v>55</v>
      </c>
      <c r="F7943" s="21"/>
      <c r="G7943" s="16" t="str">
        <f>HYPERLINK("http://maps.google.com/maps?f=q&amp;hl=en&amp;geocode=&amp;q=40.13237,-75.00791")</f>
        <v>http://maps.google.com/maps?f=q&amp;hl=en&amp;geocode=&amp;q=40.13237,-75.00791</v>
      </c>
    </row>
    <row r="7944" spans="1:7" ht="15" x14ac:dyDescent="0.3">
      <c r="A7944">
        <v>31.010231628586599</v>
      </c>
      <c r="B7944">
        <v>-86.338017701683796</v>
      </c>
      <c r="C7944" t="s">
        <v>41</v>
      </c>
      <c r="D7944" t="s">
        <v>4698</v>
      </c>
      <c r="F7944" s="21"/>
      <c r="G7944" s="16" t="str">
        <f>HYPERLINK("http://maps.google.com/maps?f=q&amp;hl=en&amp;geocode=&amp;q=31.0102316285866,-86.3380177016838")</f>
        <v>http://maps.google.com/maps?f=q&amp;hl=en&amp;geocode=&amp;q=31.0102316285866,-86.3380177016838</v>
      </c>
    </row>
    <row r="7945" spans="1:7" ht="15" x14ac:dyDescent="0.3">
      <c r="A7945">
        <v>39.989400873915997</v>
      </c>
      <c r="B7945">
        <v>-75.125869872438898</v>
      </c>
      <c r="C7945" t="s">
        <v>41</v>
      </c>
      <c r="D7945" t="s">
        <v>2312</v>
      </c>
      <c r="F7945" s="21"/>
      <c r="G7945" s="16" t="str">
        <f>HYPERLINK("http://maps.google.com/maps?f=q&amp;hl=en&amp;geocode=&amp;q=39.989400873916,-75.1258698724389")</f>
        <v>http://maps.google.com/maps?f=q&amp;hl=en&amp;geocode=&amp;q=39.989400873916,-75.1258698724389</v>
      </c>
    </row>
    <row r="7946" spans="1:7" ht="15" x14ac:dyDescent="0.3">
      <c r="A7946">
        <v>39.99438</v>
      </c>
      <c r="B7946">
        <v>-75.159530000000004</v>
      </c>
      <c r="C7946" t="s">
        <v>41</v>
      </c>
      <c r="D7946" t="s">
        <v>4699</v>
      </c>
      <c r="F7946" s="21"/>
      <c r="G7946" s="16" t="str">
        <f>HYPERLINK("http://maps.google.com/maps?f=q&amp;hl=en&amp;geocode=&amp;q=39.99438,-75.15953")</f>
        <v>http://maps.google.com/maps?f=q&amp;hl=en&amp;geocode=&amp;q=39.99438,-75.15953</v>
      </c>
    </row>
    <row r="7947" spans="1:7" ht="15" x14ac:dyDescent="0.3">
      <c r="A7947">
        <v>40.035719999999998</v>
      </c>
      <c r="B7947">
        <v>-75.070629999999994</v>
      </c>
      <c r="C7947" t="s">
        <v>41</v>
      </c>
      <c r="D7947" t="s">
        <v>760</v>
      </c>
      <c r="F7947" s="21"/>
      <c r="G7947" s="16" t="str">
        <f>HYPERLINK("http://maps.google.com/maps?f=q&amp;hl=en&amp;geocode=&amp;q=40.03572,-75.07063")</f>
        <v>http://maps.google.com/maps?f=q&amp;hl=en&amp;geocode=&amp;q=40.03572,-75.07063</v>
      </c>
    </row>
    <row r="7948" spans="1:7" ht="15" x14ac:dyDescent="0.3">
      <c r="A7948" t="s">
        <v>44</v>
      </c>
      <c r="B7948" t="s">
        <v>44</v>
      </c>
      <c r="C7948" t="s">
        <v>44</v>
      </c>
      <c r="D7948" t="s">
        <v>4438</v>
      </c>
      <c r="F7948" s="21"/>
      <c r="G7948" s="16"/>
    </row>
    <row r="7949" spans="1:7" ht="15" x14ac:dyDescent="0.3">
      <c r="A7949">
        <v>34.053489685058601</v>
      </c>
      <c r="B7949">
        <v>-118.245323181152</v>
      </c>
      <c r="C7949" t="s">
        <v>43</v>
      </c>
      <c r="D7949" t="s">
        <v>4700</v>
      </c>
      <c r="F7949" s="21"/>
      <c r="G7949" s="16" t="str">
        <f>HYPERLINK("http://maps.google.com/maps?f=q&amp;hl=en&amp;geocode=&amp;q=34.0534896850586,-118.245323181152")</f>
        <v>http://maps.google.com/maps?f=q&amp;hl=en&amp;geocode=&amp;q=34.0534896850586,-118.245323181152</v>
      </c>
    </row>
    <row r="7950" spans="1:7" ht="15" x14ac:dyDescent="0.3">
      <c r="A7950">
        <v>50.648963928222699</v>
      </c>
      <c r="B7950">
        <v>4.64150190353394</v>
      </c>
      <c r="C7950" t="s">
        <v>43</v>
      </c>
      <c r="D7950" t="s">
        <v>1031</v>
      </c>
      <c r="F7950" s="21"/>
      <c r="G7950" s="16" t="str">
        <f>HYPERLINK("http://maps.google.com/maps?f=q&amp;hl=en&amp;geocode=&amp;q=50.6489639282227,4.64150190353394")</f>
        <v>http://maps.google.com/maps?f=q&amp;hl=en&amp;geocode=&amp;q=50.6489639282227,4.64150190353394</v>
      </c>
    </row>
    <row r="7951" spans="1:7" ht="15" x14ac:dyDescent="0.3">
      <c r="A7951">
        <v>49.518180847167997</v>
      </c>
      <c r="B7951">
        <v>5.8978409767150897</v>
      </c>
      <c r="C7951" t="s">
        <v>41</v>
      </c>
      <c r="D7951" t="s">
        <v>2510</v>
      </c>
      <c r="F7951" s="21"/>
      <c r="G7951" s="16" t="str">
        <f>HYPERLINK("http://maps.google.com/maps?f=q&amp;hl=en&amp;geocode=&amp;q=49.518180847168,5.89784097671509")</f>
        <v>http://maps.google.com/maps?f=q&amp;hl=en&amp;geocode=&amp;q=49.518180847168,5.89784097671509</v>
      </c>
    </row>
    <row r="7952" spans="1:7" ht="15" x14ac:dyDescent="0.3">
      <c r="A7952">
        <v>49.518180847167997</v>
      </c>
      <c r="B7952">
        <v>5.8978409767150897</v>
      </c>
      <c r="C7952" t="s">
        <v>41</v>
      </c>
      <c r="D7952" t="s">
        <v>2510</v>
      </c>
      <c r="F7952" s="21"/>
      <c r="G7952" s="16" t="str">
        <f>HYPERLINK("http://maps.google.com/maps?f=q&amp;hl=en&amp;geocode=&amp;q=49.518180847168,5.89784097671509")</f>
        <v>http://maps.google.com/maps?f=q&amp;hl=en&amp;geocode=&amp;q=49.518180847168,5.89784097671509</v>
      </c>
    </row>
    <row r="7953" spans="1:7" ht="15" x14ac:dyDescent="0.3">
      <c r="A7953" t="s">
        <v>44</v>
      </c>
      <c r="B7953" t="s">
        <v>44</v>
      </c>
      <c r="C7953" t="s">
        <v>44</v>
      </c>
      <c r="D7953" t="s">
        <v>4310</v>
      </c>
      <c r="F7953" s="21"/>
      <c r="G7953" s="16"/>
    </row>
    <row r="7954" spans="1:7" ht="15" x14ac:dyDescent="0.3">
      <c r="A7954">
        <v>41.3489774643473</v>
      </c>
      <c r="B7954">
        <v>-88.856541408807203</v>
      </c>
      <c r="C7954" t="s">
        <v>41</v>
      </c>
      <c r="D7954" t="s">
        <v>4701</v>
      </c>
      <c r="F7954" s="21"/>
      <c r="G7954" s="16" t="str">
        <f>HYPERLINK("http://maps.google.com/maps?f=q&amp;hl=en&amp;geocode=&amp;q=41.3489774643473,-88.8565414088072")</f>
        <v>http://maps.google.com/maps?f=q&amp;hl=en&amp;geocode=&amp;q=41.3489774643473,-88.8565414088072</v>
      </c>
    </row>
    <row r="7955" spans="1:7" ht="15" x14ac:dyDescent="0.3">
      <c r="A7955" t="s">
        <v>44</v>
      </c>
      <c r="B7955" t="s">
        <v>44</v>
      </c>
      <c r="C7955" t="s">
        <v>44</v>
      </c>
      <c r="D7955" t="s">
        <v>4702</v>
      </c>
      <c r="F7955" s="21"/>
      <c r="G7955" s="16"/>
    </row>
    <row r="7956" spans="1:7" ht="15" x14ac:dyDescent="0.3">
      <c r="A7956">
        <v>46.408790588378899</v>
      </c>
      <c r="B7956">
        <v>12.017880439758301</v>
      </c>
      <c r="C7956" t="s">
        <v>41</v>
      </c>
      <c r="D7956" t="s">
        <v>4703</v>
      </c>
      <c r="F7956" s="21"/>
      <c r="G7956" s="16" t="str">
        <f>HYPERLINK("http://maps.google.com/maps?f=q&amp;hl=en&amp;geocode=&amp;q=46.4087905883789,12.0178804397583")</f>
        <v>http://maps.google.com/maps?f=q&amp;hl=en&amp;geocode=&amp;q=46.4087905883789,12.0178804397583</v>
      </c>
    </row>
    <row r="7957" spans="1:7" ht="15" x14ac:dyDescent="0.3">
      <c r="A7957" t="s">
        <v>44</v>
      </c>
      <c r="B7957" t="s">
        <v>44</v>
      </c>
      <c r="C7957" t="s">
        <v>44</v>
      </c>
      <c r="D7957" t="s">
        <v>3726</v>
      </c>
      <c r="F7957" s="21"/>
      <c r="G7957" s="16"/>
    </row>
    <row r="7958" spans="1:7" ht="15" x14ac:dyDescent="0.3">
      <c r="A7958" t="s">
        <v>44</v>
      </c>
      <c r="B7958" t="s">
        <v>44</v>
      </c>
      <c r="C7958" t="s">
        <v>44</v>
      </c>
      <c r="D7958" t="s">
        <v>4704</v>
      </c>
      <c r="F7958" s="21"/>
      <c r="G7958" s="16"/>
    </row>
    <row r="7959" spans="1:7" ht="15" x14ac:dyDescent="0.3">
      <c r="A7959">
        <v>39.977249999999998</v>
      </c>
      <c r="B7959">
        <v>-75.129469999999998</v>
      </c>
      <c r="C7959" t="s">
        <v>41</v>
      </c>
      <c r="D7959" t="s">
        <v>4705</v>
      </c>
      <c r="F7959" s="21"/>
      <c r="G7959" s="16" t="str">
        <f>HYPERLINK("http://maps.google.com/maps?f=q&amp;hl=en&amp;geocode=&amp;q=39.97725,-75.12947")</f>
        <v>http://maps.google.com/maps?f=q&amp;hl=en&amp;geocode=&amp;q=39.97725,-75.12947</v>
      </c>
    </row>
    <row r="7960" spans="1:7" ht="15" x14ac:dyDescent="0.3">
      <c r="A7960">
        <v>31.027550000000002</v>
      </c>
      <c r="B7960">
        <v>-87.518590000000003</v>
      </c>
      <c r="C7960" t="s">
        <v>42</v>
      </c>
      <c r="D7960" t="s">
        <v>4706</v>
      </c>
      <c r="F7960" s="21"/>
      <c r="G7960" s="16" t="str">
        <f>HYPERLINK("http://maps.google.com/maps?f=q&amp;hl=en&amp;geocode=&amp;q=31.02755,-87.51859")</f>
        <v>http://maps.google.com/maps?f=q&amp;hl=en&amp;geocode=&amp;q=31.02755,-87.51859</v>
      </c>
    </row>
    <row r="7961" spans="1:7" ht="15" x14ac:dyDescent="0.3">
      <c r="A7961">
        <v>43.4533081054688</v>
      </c>
      <c r="B7961">
        <v>-96.429718017578097</v>
      </c>
      <c r="C7961" t="s">
        <v>43</v>
      </c>
      <c r="D7961" t="s">
        <v>4707</v>
      </c>
      <c r="F7961" s="21"/>
      <c r="G7961" s="16" t="str">
        <f>HYPERLINK("http://maps.google.com/maps?f=q&amp;hl=en&amp;geocode=&amp;q=43.4533081054688,-96.4297180175781")</f>
        <v>http://maps.google.com/maps?f=q&amp;hl=en&amp;geocode=&amp;q=43.4533081054688,-96.4297180175781</v>
      </c>
    </row>
    <row r="7962" spans="1:7" ht="15" x14ac:dyDescent="0.3">
      <c r="A7962">
        <v>39.92436</v>
      </c>
      <c r="B7962">
        <v>-75.228660000000005</v>
      </c>
      <c r="C7962" t="s">
        <v>43</v>
      </c>
      <c r="D7962" t="s">
        <v>4708</v>
      </c>
      <c r="F7962" s="21"/>
      <c r="G7962" s="16" t="str">
        <f>HYPERLINK("http://maps.google.com/maps?f=q&amp;hl=en&amp;geocode=&amp;q=39.92436,-75.22866")</f>
        <v>http://maps.google.com/maps?f=q&amp;hl=en&amp;geocode=&amp;q=39.92436,-75.22866</v>
      </c>
    </row>
    <row r="7963" spans="1:7" ht="15" x14ac:dyDescent="0.3">
      <c r="A7963" t="s">
        <v>44</v>
      </c>
      <c r="B7963" t="s">
        <v>44</v>
      </c>
      <c r="C7963" t="s">
        <v>44</v>
      </c>
      <c r="D7963" t="s">
        <v>4709</v>
      </c>
      <c r="F7963" s="21"/>
      <c r="G7963" s="16"/>
    </row>
    <row r="7964" spans="1:7" ht="15" x14ac:dyDescent="0.3">
      <c r="A7964">
        <v>44.725321150742097</v>
      </c>
      <c r="B7964">
        <v>-83.424390919978293</v>
      </c>
      <c r="C7964" t="s">
        <v>41</v>
      </c>
      <c r="D7964" t="s">
        <v>4710</v>
      </c>
      <c r="F7964" s="21"/>
      <c r="G7964" s="16" t="str">
        <f>HYPERLINK("http://maps.google.com/maps?f=q&amp;hl=en&amp;geocode=&amp;q=44.7253211507421,-83.4243909199783")</f>
        <v>http://maps.google.com/maps?f=q&amp;hl=en&amp;geocode=&amp;q=44.7253211507421,-83.4243909199783</v>
      </c>
    </row>
    <row r="7965" spans="1:7" ht="15" x14ac:dyDescent="0.3">
      <c r="A7965" t="s">
        <v>44</v>
      </c>
      <c r="B7965" t="s">
        <v>44</v>
      </c>
      <c r="C7965" t="s">
        <v>44</v>
      </c>
      <c r="D7965" t="s">
        <v>981</v>
      </c>
      <c r="F7965" s="21"/>
      <c r="G7965" s="16"/>
    </row>
    <row r="7966" spans="1:7" ht="15" x14ac:dyDescent="0.3">
      <c r="A7966">
        <v>47.202430725097699</v>
      </c>
      <c r="B7966">
        <v>19.835624694824201</v>
      </c>
      <c r="C7966" t="s">
        <v>43</v>
      </c>
      <c r="D7966" t="s">
        <v>3434</v>
      </c>
      <c r="F7966" s="21"/>
      <c r="G7966" s="16" t="str">
        <f>HYPERLINK("http://maps.google.com/maps?f=q&amp;hl=en&amp;geocode=&amp;q=47.2024307250977,19.8356246948242")</f>
        <v>http://maps.google.com/maps?f=q&amp;hl=en&amp;geocode=&amp;q=47.2024307250977,19.8356246948242</v>
      </c>
    </row>
    <row r="7967" spans="1:7" ht="15" x14ac:dyDescent="0.3">
      <c r="A7967">
        <v>40.012770000000003</v>
      </c>
      <c r="B7967">
        <v>-75.100520000000003</v>
      </c>
      <c r="C7967" t="s">
        <v>41</v>
      </c>
      <c r="D7967" t="s">
        <v>4711</v>
      </c>
      <c r="F7967" s="21"/>
      <c r="G7967" s="16" t="str">
        <f>HYPERLINK("http://maps.google.com/maps?f=q&amp;hl=en&amp;geocode=&amp;q=40.01277,-75.10052")</f>
        <v>http://maps.google.com/maps?f=q&amp;hl=en&amp;geocode=&amp;q=40.01277,-75.10052</v>
      </c>
    </row>
    <row r="7968" spans="1:7" ht="15" x14ac:dyDescent="0.3">
      <c r="A7968">
        <v>41.0766144897228</v>
      </c>
      <c r="B7968">
        <v>-80.724495965529002</v>
      </c>
      <c r="C7968" t="s">
        <v>41</v>
      </c>
      <c r="D7968" t="s">
        <v>406</v>
      </c>
      <c r="F7968" s="21"/>
      <c r="G7968" s="16" t="str">
        <f>HYPERLINK("http://maps.google.com/maps?f=q&amp;hl=en&amp;geocode=&amp;q=41.0766144897228,-80.724495965529")</f>
        <v>http://maps.google.com/maps?f=q&amp;hl=en&amp;geocode=&amp;q=41.0766144897228,-80.724495965529</v>
      </c>
    </row>
    <row r="7969" spans="1:7" ht="15" x14ac:dyDescent="0.3">
      <c r="A7969">
        <v>33.955483240022502</v>
      </c>
      <c r="B7969">
        <v>-84.283357440164195</v>
      </c>
      <c r="C7969" t="s">
        <v>41</v>
      </c>
      <c r="D7969" t="s">
        <v>4712</v>
      </c>
      <c r="F7969" s="21"/>
      <c r="G7969" s="16" t="str">
        <f>HYPERLINK("http://maps.google.com/maps?f=q&amp;hl=en&amp;geocode=&amp;q=33.9554832400225,-84.2833574401642")</f>
        <v>http://maps.google.com/maps?f=q&amp;hl=en&amp;geocode=&amp;q=33.9554832400225,-84.2833574401642</v>
      </c>
    </row>
    <row r="7970" spans="1:7" ht="15" x14ac:dyDescent="0.3">
      <c r="A7970">
        <v>32.833759999999998</v>
      </c>
      <c r="B7970">
        <v>-96.767750000000007</v>
      </c>
      <c r="C7970" t="s">
        <v>41</v>
      </c>
      <c r="D7970" t="s">
        <v>568</v>
      </c>
      <c r="F7970" s="21"/>
      <c r="G7970" s="16" t="str">
        <f>HYPERLINK("http://maps.google.com/maps?f=q&amp;hl=en&amp;geocode=&amp;q=32.83376,-96.76775")</f>
        <v>http://maps.google.com/maps?f=q&amp;hl=en&amp;geocode=&amp;q=32.83376,-96.76775</v>
      </c>
    </row>
    <row r="7971" spans="1:7" ht="15" x14ac:dyDescent="0.3">
      <c r="A7971">
        <v>7.4225702285766602</v>
      </c>
      <c r="B7971">
        <v>79.919921875</v>
      </c>
      <c r="C7971" t="s">
        <v>43</v>
      </c>
      <c r="D7971" t="s">
        <v>4713</v>
      </c>
      <c r="F7971" s="21"/>
      <c r="G7971" s="16" t="str">
        <f>HYPERLINK("http://maps.google.com/maps?f=q&amp;hl=en&amp;geocode=&amp;q=7.42257022857666,79.919921875")</f>
        <v>http://maps.google.com/maps?f=q&amp;hl=en&amp;geocode=&amp;q=7.42257022857666,79.919921875</v>
      </c>
    </row>
    <row r="7972" spans="1:7" ht="15" x14ac:dyDescent="0.3">
      <c r="A7972">
        <v>38.79909</v>
      </c>
      <c r="B7972">
        <v>-104.75112</v>
      </c>
      <c r="C7972" t="s">
        <v>42</v>
      </c>
      <c r="D7972" t="s">
        <v>4679</v>
      </c>
      <c r="F7972" s="21"/>
      <c r="G7972" s="16" t="str">
        <f>HYPERLINK("http://maps.google.com/maps?f=q&amp;hl=en&amp;geocode=&amp;q=38.79909,-104.75112")</f>
        <v>http://maps.google.com/maps?f=q&amp;hl=en&amp;geocode=&amp;q=38.79909,-104.75112</v>
      </c>
    </row>
    <row r="7973" spans="1:7" ht="15" x14ac:dyDescent="0.3">
      <c r="A7973">
        <v>41.5725156885986</v>
      </c>
      <c r="B7973">
        <v>-87.335572349953495</v>
      </c>
      <c r="C7973" t="s">
        <v>41</v>
      </c>
      <c r="D7973" t="s">
        <v>4714</v>
      </c>
      <c r="F7973" s="21"/>
      <c r="G7973" s="16" t="str">
        <f>HYPERLINK("http://maps.google.com/maps?f=q&amp;hl=en&amp;geocode=&amp;q=41.5725156885986,-87.3355723499535")</f>
        <v>http://maps.google.com/maps?f=q&amp;hl=en&amp;geocode=&amp;q=41.5725156885986,-87.3355723499535</v>
      </c>
    </row>
    <row r="7974" spans="1:7" ht="15" x14ac:dyDescent="0.3">
      <c r="A7974">
        <v>37.6307527593533</v>
      </c>
      <c r="B7974">
        <v>-80.985487552934401</v>
      </c>
      <c r="C7974" t="s">
        <v>41</v>
      </c>
      <c r="D7974" t="s">
        <v>84</v>
      </c>
      <c r="F7974" s="21"/>
      <c r="G7974" s="16" t="str">
        <f>HYPERLINK("http://maps.google.com/maps?f=q&amp;hl=en&amp;geocode=&amp;q=37.6307527593533,-80.9854875529344")</f>
        <v>http://maps.google.com/maps?f=q&amp;hl=en&amp;geocode=&amp;q=37.6307527593533,-80.9854875529344</v>
      </c>
    </row>
    <row r="7975" spans="1:7" ht="15" x14ac:dyDescent="0.3">
      <c r="A7975">
        <v>47.116134643554702</v>
      </c>
      <c r="B7975">
        <v>6.8440089225768999</v>
      </c>
      <c r="C7975" t="s">
        <v>43</v>
      </c>
      <c r="D7975" t="s">
        <v>2373</v>
      </c>
      <c r="F7975" s="21"/>
      <c r="G7975" s="16" t="str">
        <f>HYPERLINK("http://maps.google.com/maps?f=q&amp;hl=en&amp;geocode=&amp;q=47.1161346435547,6.8440089225769")</f>
        <v>http://maps.google.com/maps?f=q&amp;hl=en&amp;geocode=&amp;q=47.1161346435547,6.8440089225769</v>
      </c>
    </row>
    <row r="7976" spans="1:7" ht="15" x14ac:dyDescent="0.3">
      <c r="F7976" s="21"/>
      <c r="G7976" s="16"/>
    </row>
    <row r="7977" spans="1:7" ht="15" x14ac:dyDescent="0.3">
      <c r="A7977">
        <v>31.010231628586599</v>
      </c>
      <c r="B7977">
        <v>-86.338017701683796</v>
      </c>
      <c r="C7977" t="s">
        <v>41</v>
      </c>
      <c r="D7977" t="s">
        <v>4698</v>
      </c>
      <c r="F7977" s="21"/>
      <c r="G7977" s="16" t="str">
        <f>HYPERLINK("http://maps.google.com/maps?f=q&amp;hl=en&amp;geocode=&amp;q=31.0102316285866,-86.3380177016838")</f>
        <v>http://maps.google.com/maps?f=q&amp;hl=en&amp;geocode=&amp;q=31.0102316285866,-86.3380177016838</v>
      </c>
    </row>
    <row r="7978" spans="1:7" ht="15" x14ac:dyDescent="0.3">
      <c r="A7978">
        <v>34.859409999999997</v>
      </c>
      <c r="B7978">
        <v>-82.386250000000004</v>
      </c>
      <c r="C7978" t="s">
        <v>42</v>
      </c>
      <c r="D7978" t="s">
        <v>4715</v>
      </c>
      <c r="F7978" s="21"/>
      <c r="G7978" s="16" t="str">
        <f>HYPERLINK("http://maps.google.com/maps?f=q&amp;hl=en&amp;geocode=&amp;q=34.85941,-82.38625")</f>
        <v>http://maps.google.com/maps?f=q&amp;hl=en&amp;geocode=&amp;q=34.85941,-82.38625</v>
      </c>
    </row>
    <row r="7979" spans="1:7" ht="15" x14ac:dyDescent="0.3">
      <c r="A7979">
        <v>49.545497894287102</v>
      </c>
      <c r="B7979">
        <v>5.8910980224609402</v>
      </c>
      <c r="C7979" t="s">
        <v>41</v>
      </c>
      <c r="D7979" t="s">
        <v>4716</v>
      </c>
      <c r="F7979" s="21"/>
      <c r="G7979" s="16" t="str">
        <f>HYPERLINK("http://maps.google.com/maps?f=q&amp;hl=en&amp;geocode=&amp;q=49.5454978942871,5.89109802246094")</f>
        <v>http://maps.google.com/maps?f=q&amp;hl=en&amp;geocode=&amp;q=49.5454978942871,5.89109802246094</v>
      </c>
    </row>
    <row r="7980" spans="1:7" ht="15" x14ac:dyDescent="0.3">
      <c r="A7980">
        <v>55.887496948242202</v>
      </c>
      <c r="B7980">
        <v>11.6570587158203</v>
      </c>
      <c r="C7980" t="s">
        <v>41</v>
      </c>
      <c r="D7980" t="s">
        <v>4717</v>
      </c>
      <c r="F7980" s="21"/>
      <c r="G7980" s="16" t="str">
        <f>HYPERLINK("http://maps.google.com/maps?f=q&amp;hl=en&amp;geocode=&amp;q=55.8874969482422,11.6570587158203")</f>
        <v>http://maps.google.com/maps?f=q&amp;hl=en&amp;geocode=&amp;q=55.8874969482422,11.6570587158203</v>
      </c>
    </row>
    <row r="7981" spans="1:7" ht="15" x14ac:dyDescent="0.3">
      <c r="A7981">
        <v>-28.342119216918899</v>
      </c>
      <c r="B7981">
        <v>152.00799560546901</v>
      </c>
      <c r="C7981" t="s">
        <v>43</v>
      </c>
      <c r="D7981" t="s">
        <v>3113</v>
      </c>
      <c r="F7981" s="21"/>
      <c r="G7981" s="16" t="str">
        <f>HYPERLINK("http://maps.google.com/maps?f=q&amp;hl=en&amp;geocode=&amp;q=-28.3421192169189,152.007995605469")</f>
        <v>http://maps.google.com/maps?f=q&amp;hl=en&amp;geocode=&amp;q=-28.3421192169189,152.007995605469</v>
      </c>
    </row>
    <row r="7982" spans="1:7" ht="15" x14ac:dyDescent="0.3">
      <c r="A7982">
        <v>40.041922786173103</v>
      </c>
      <c r="B7982">
        <v>-75.071699998782805</v>
      </c>
      <c r="C7982" t="s">
        <v>43</v>
      </c>
      <c r="D7982" t="s">
        <v>4718</v>
      </c>
      <c r="F7982" s="21"/>
      <c r="G7982" s="16" t="str">
        <f>HYPERLINK("http://maps.google.com/maps?f=q&amp;hl=en&amp;geocode=&amp;q=40.0419227861731,-75.0716999987828")</f>
        <v>http://maps.google.com/maps?f=q&amp;hl=en&amp;geocode=&amp;q=40.0419227861731,-75.0716999987828</v>
      </c>
    </row>
    <row r="7983" spans="1:7" ht="15" x14ac:dyDescent="0.3">
      <c r="A7983">
        <v>-5.0306301116943404</v>
      </c>
      <c r="B7983">
        <v>32.819759368896499</v>
      </c>
      <c r="C7983" t="s">
        <v>41</v>
      </c>
      <c r="D7983" t="s">
        <v>3418</v>
      </c>
      <c r="F7983" s="21"/>
      <c r="G7983" s="16" t="str">
        <f>HYPERLINK("http://maps.google.com/maps?f=q&amp;hl=en&amp;geocode=&amp;q=-5.03063011169434,32.8197593688965")</f>
        <v>http://maps.google.com/maps?f=q&amp;hl=en&amp;geocode=&amp;q=-5.03063011169434,32.8197593688965</v>
      </c>
    </row>
    <row r="7984" spans="1:7" ht="15" x14ac:dyDescent="0.3">
      <c r="A7984">
        <v>35.844149999999999</v>
      </c>
      <c r="B7984">
        <v>-101.97694</v>
      </c>
      <c r="C7984" t="s">
        <v>42</v>
      </c>
      <c r="D7984" t="s">
        <v>4719</v>
      </c>
      <c r="F7984" s="21"/>
      <c r="G7984" s="16" t="str">
        <f>HYPERLINK("http://maps.google.com/maps?f=q&amp;hl=en&amp;geocode=&amp;q=35.84415,-101.97694")</f>
        <v>http://maps.google.com/maps?f=q&amp;hl=en&amp;geocode=&amp;q=35.84415,-101.97694</v>
      </c>
    </row>
    <row r="7985" spans="1:7" ht="15" x14ac:dyDescent="0.3">
      <c r="A7985">
        <v>-5.0306301116943404</v>
      </c>
      <c r="B7985">
        <v>32.819759368896499</v>
      </c>
      <c r="C7985" t="s">
        <v>41</v>
      </c>
      <c r="D7985" t="s">
        <v>3418</v>
      </c>
      <c r="F7985" s="21"/>
      <c r="G7985" s="16" t="str">
        <f>HYPERLINK("http://maps.google.com/maps?f=q&amp;hl=en&amp;geocode=&amp;q=-5.03063011169434,32.8197593688965")</f>
        <v>http://maps.google.com/maps?f=q&amp;hl=en&amp;geocode=&amp;q=-5.03063011169434,32.8197593688965</v>
      </c>
    </row>
    <row r="7986" spans="1:7" ht="15" x14ac:dyDescent="0.3">
      <c r="A7986">
        <v>3.6294651031494101</v>
      </c>
      <c r="B7986">
        <v>-53.200729370117202</v>
      </c>
      <c r="C7986" t="s">
        <v>43</v>
      </c>
      <c r="D7986" t="s">
        <v>4720</v>
      </c>
      <c r="F7986" s="21"/>
      <c r="G7986" s="16" t="str">
        <f>HYPERLINK("http://maps.google.com/maps?f=q&amp;hl=en&amp;geocode=&amp;q=3.62946510314941,-53.2007293701172")</f>
        <v>http://maps.google.com/maps?f=q&amp;hl=en&amp;geocode=&amp;q=3.62946510314941,-53.2007293701172</v>
      </c>
    </row>
    <row r="7987" spans="1:7" ht="15" x14ac:dyDescent="0.3">
      <c r="A7987">
        <v>-5.0306301116943404</v>
      </c>
      <c r="B7987">
        <v>32.819759368896499</v>
      </c>
      <c r="C7987" t="s">
        <v>41</v>
      </c>
      <c r="D7987" t="s">
        <v>3418</v>
      </c>
      <c r="F7987" s="21"/>
      <c r="G7987" s="16" t="str">
        <f>HYPERLINK("http://maps.google.com/maps?f=q&amp;hl=en&amp;geocode=&amp;q=-5.03063011169434,32.8197593688965")</f>
        <v>http://maps.google.com/maps?f=q&amp;hl=en&amp;geocode=&amp;q=-5.03063011169434,32.8197593688965</v>
      </c>
    </row>
    <row r="7988" spans="1:7" ht="15" x14ac:dyDescent="0.3">
      <c r="A7988">
        <v>46.955040910953102</v>
      </c>
      <c r="B7988">
        <v>-114.011424534187</v>
      </c>
      <c r="C7988" t="s">
        <v>41</v>
      </c>
      <c r="D7988" t="s">
        <v>4457</v>
      </c>
      <c r="F7988" s="21"/>
      <c r="G7988" s="16" t="str">
        <f>HYPERLINK("http://maps.google.com/maps?f=q&amp;hl=en&amp;geocode=&amp;q=46.9550409109531,-114.011424534187")</f>
        <v>http://maps.google.com/maps?f=q&amp;hl=en&amp;geocode=&amp;q=46.9550409109531,-114.011424534187</v>
      </c>
    </row>
    <row r="7989" spans="1:7" ht="15" x14ac:dyDescent="0.3">
      <c r="A7989">
        <v>40.025145798607802</v>
      </c>
      <c r="B7989">
        <v>-88.556051262325596</v>
      </c>
      <c r="C7989" t="s">
        <v>43</v>
      </c>
      <c r="D7989" t="s">
        <v>1688</v>
      </c>
      <c r="F7989" s="21"/>
      <c r="G7989" s="16" t="str">
        <f>HYPERLINK("http://maps.google.com/maps?f=q&amp;hl=en&amp;geocode=&amp;q=40.0251457986078,-88.5560512623256")</f>
        <v>http://maps.google.com/maps?f=q&amp;hl=en&amp;geocode=&amp;q=40.0251457986078,-88.5560512623256</v>
      </c>
    </row>
    <row r="7990" spans="1:7" ht="15" x14ac:dyDescent="0.3">
      <c r="A7990">
        <v>40.025145798607802</v>
      </c>
      <c r="B7990">
        <v>-88.556051262325596</v>
      </c>
      <c r="C7990" t="s">
        <v>43</v>
      </c>
      <c r="D7990" t="s">
        <v>1688</v>
      </c>
      <c r="F7990" s="21"/>
      <c r="G7990" s="16" t="str">
        <f>HYPERLINK("http://maps.google.com/maps?f=q&amp;hl=en&amp;geocode=&amp;q=40.0251457986078,-88.5560512623256")</f>
        <v>http://maps.google.com/maps?f=q&amp;hl=en&amp;geocode=&amp;q=40.0251457986078,-88.5560512623256</v>
      </c>
    </row>
    <row r="7991" spans="1:7" ht="15" x14ac:dyDescent="0.3">
      <c r="A7991">
        <v>40.279999703685803</v>
      </c>
      <c r="B7991">
        <v>-75.342802505290706</v>
      </c>
      <c r="C7991" t="s">
        <v>41</v>
      </c>
      <c r="D7991" t="s">
        <v>4721</v>
      </c>
      <c r="F7991" s="21"/>
      <c r="G7991" s="16" t="str">
        <f>HYPERLINK("http://maps.google.com/maps?f=q&amp;hl=en&amp;geocode=&amp;q=40.2799997036858,-75.3428025052907")</f>
        <v>http://maps.google.com/maps?f=q&amp;hl=en&amp;geocode=&amp;q=40.2799997036858,-75.3428025052907</v>
      </c>
    </row>
    <row r="7992" spans="1:7" ht="15" x14ac:dyDescent="0.3">
      <c r="A7992">
        <v>40.543880000000001</v>
      </c>
      <c r="B7992">
        <v>-96.027749999999997</v>
      </c>
      <c r="C7992" t="s">
        <v>41</v>
      </c>
      <c r="D7992" t="s">
        <v>4722</v>
      </c>
      <c r="F7992" s="21"/>
      <c r="G7992" s="16" t="str">
        <f>HYPERLINK("http://maps.google.com/maps?f=q&amp;hl=en&amp;geocode=&amp;q=40.54388,-96.02775")</f>
        <v>http://maps.google.com/maps?f=q&amp;hl=en&amp;geocode=&amp;q=40.54388,-96.02775</v>
      </c>
    </row>
    <row r="7993" spans="1:7" ht="15" x14ac:dyDescent="0.3">
      <c r="A7993">
        <v>41.611199999999997</v>
      </c>
      <c r="B7993">
        <v>-71.476339999999993</v>
      </c>
      <c r="C7993" t="s">
        <v>42</v>
      </c>
      <c r="D7993" t="s">
        <v>892</v>
      </c>
      <c r="F7993" s="21"/>
      <c r="G7993" s="16" t="str">
        <f>HYPERLINK("http://maps.google.com/maps?f=q&amp;hl=en&amp;geocode=&amp;q=41.6112,-71.47634")</f>
        <v>http://maps.google.com/maps?f=q&amp;hl=en&amp;geocode=&amp;q=41.6112,-71.47634</v>
      </c>
    </row>
    <row r="7994" spans="1:7" ht="15" x14ac:dyDescent="0.3">
      <c r="A7994">
        <v>35.0245449668775</v>
      </c>
      <c r="B7994">
        <v>-89.844932525300493</v>
      </c>
      <c r="C7994" t="s">
        <v>43</v>
      </c>
      <c r="D7994" t="s">
        <v>4723</v>
      </c>
      <c r="F7994" s="21"/>
      <c r="G7994" s="16" t="str">
        <f>HYPERLINK("http://maps.google.com/maps?f=q&amp;hl=en&amp;geocode=&amp;q=35.0245449668775,-89.8449325253005")</f>
        <v>http://maps.google.com/maps?f=q&amp;hl=en&amp;geocode=&amp;q=35.0245449668775,-89.8449325253005</v>
      </c>
    </row>
    <row r="7995" spans="1:7" ht="15" x14ac:dyDescent="0.3">
      <c r="A7995">
        <v>44.269241333007798</v>
      </c>
      <c r="B7995">
        <v>-0.28749999403953602</v>
      </c>
      <c r="C7995" t="s">
        <v>41</v>
      </c>
      <c r="D7995" t="s">
        <v>4724</v>
      </c>
      <c r="F7995" s="21"/>
      <c r="G7995" s="16" t="str">
        <f>HYPERLINK("http://maps.google.com/maps?f=q&amp;hl=en&amp;geocode=&amp;q=44.2692413330078,-0.287499994039536")</f>
        <v>http://maps.google.com/maps?f=q&amp;hl=en&amp;geocode=&amp;q=44.2692413330078,-0.287499994039536</v>
      </c>
    </row>
    <row r="7996" spans="1:7" ht="15" x14ac:dyDescent="0.3">
      <c r="A7996" t="s">
        <v>44</v>
      </c>
      <c r="B7996" t="s">
        <v>44</v>
      </c>
      <c r="C7996" t="s">
        <v>44</v>
      </c>
      <c r="D7996" t="s">
        <v>4725</v>
      </c>
      <c r="F7996" s="21"/>
      <c r="G7996" s="16"/>
    </row>
    <row r="7997" spans="1:7" ht="15" x14ac:dyDescent="0.3">
      <c r="A7997">
        <v>34.621390362148098</v>
      </c>
      <c r="B7997">
        <v>-82.1260451203066</v>
      </c>
      <c r="C7997" t="s">
        <v>43</v>
      </c>
      <c r="D7997" t="s">
        <v>4259</v>
      </c>
      <c r="F7997" s="21"/>
      <c r="G7997" s="16" t="str">
        <f>HYPERLINK("http://maps.google.com/maps?f=q&amp;hl=en&amp;geocode=&amp;q=34.6213903621481,-82.1260451203066")</f>
        <v>http://maps.google.com/maps?f=q&amp;hl=en&amp;geocode=&amp;q=34.6213903621481,-82.1260451203066</v>
      </c>
    </row>
    <row r="7998" spans="1:7" ht="15" x14ac:dyDescent="0.3">
      <c r="A7998" t="s">
        <v>44</v>
      </c>
      <c r="B7998" t="s">
        <v>44</v>
      </c>
      <c r="C7998" t="s">
        <v>44</v>
      </c>
      <c r="D7998" t="s">
        <v>4726</v>
      </c>
      <c r="F7998" s="21"/>
      <c r="G7998" s="16"/>
    </row>
    <row r="7999" spans="1:7" ht="15" x14ac:dyDescent="0.3">
      <c r="A7999">
        <v>42.207771301269503</v>
      </c>
      <c r="B7999">
        <v>-78.134201049804702</v>
      </c>
      <c r="C7999" t="s">
        <v>43</v>
      </c>
      <c r="D7999" t="s">
        <v>3626</v>
      </c>
      <c r="F7999" s="21"/>
      <c r="G7999" s="16" t="str">
        <f>HYPERLINK("http://maps.google.com/maps?f=q&amp;hl=en&amp;geocode=&amp;q=42.2077713012695,-78.1342010498047")</f>
        <v>http://maps.google.com/maps?f=q&amp;hl=en&amp;geocode=&amp;q=42.2077713012695,-78.1342010498047</v>
      </c>
    </row>
    <row r="8000" spans="1:7" ht="15" x14ac:dyDescent="0.3">
      <c r="A8000">
        <v>37.019889999999997</v>
      </c>
      <c r="B8000">
        <v>-88.679940000000002</v>
      </c>
      <c r="C8000" t="s">
        <v>42</v>
      </c>
      <c r="D8000" t="s">
        <v>1625</v>
      </c>
      <c r="F8000" s="21"/>
      <c r="G8000" s="16" t="str">
        <f>HYPERLINK("http://maps.google.com/maps?f=q&amp;hl=en&amp;geocode=&amp;q=37.01989,-88.67994")</f>
        <v>http://maps.google.com/maps?f=q&amp;hl=en&amp;geocode=&amp;q=37.01989,-88.67994</v>
      </c>
    </row>
    <row r="8001" spans="1:7" ht="15" x14ac:dyDescent="0.3">
      <c r="A8001">
        <v>42.143223012449198</v>
      </c>
      <c r="B8001">
        <v>-80.012950232002893</v>
      </c>
      <c r="C8001" t="s">
        <v>41</v>
      </c>
      <c r="D8001" t="s">
        <v>4727</v>
      </c>
      <c r="F8001" s="21"/>
      <c r="G8001" s="16" t="str">
        <f>HYPERLINK("http://maps.google.com/maps?f=q&amp;hl=en&amp;geocode=&amp;q=42.1432230124492,-80.0129502320029")</f>
        <v>http://maps.google.com/maps?f=q&amp;hl=en&amp;geocode=&amp;q=42.1432230124492,-80.0129502320029</v>
      </c>
    </row>
    <row r="8002" spans="1:7" ht="15" x14ac:dyDescent="0.3">
      <c r="A8002" t="s">
        <v>44</v>
      </c>
      <c r="B8002" t="s">
        <v>44</v>
      </c>
      <c r="C8002" t="s">
        <v>44</v>
      </c>
      <c r="D8002" t="s">
        <v>4687</v>
      </c>
      <c r="F8002" s="21"/>
      <c r="G8002" s="16"/>
    </row>
    <row r="8003" spans="1:7" ht="15" x14ac:dyDescent="0.3">
      <c r="A8003">
        <v>18.481002807617202</v>
      </c>
      <c r="B8003">
        <v>120.65517425537099</v>
      </c>
      <c r="C8003" t="s">
        <v>43</v>
      </c>
      <c r="D8003" t="s">
        <v>4728</v>
      </c>
      <c r="F8003" s="21"/>
      <c r="G8003" s="16" t="str">
        <f>HYPERLINK("http://maps.google.com/maps?f=q&amp;hl=en&amp;geocode=&amp;q=18.4810028076172,120.655174255371")</f>
        <v>http://maps.google.com/maps?f=q&amp;hl=en&amp;geocode=&amp;q=18.4810028076172,120.655174255371</v>
      </c>
    </row>
    <row r="8004" spans="1:7" ht="15" x14ac:dyDescent="0.3">
      <c r="A8004">
        <v>51.403228759765597</v>
      </c>
      <c r="B8004">
        <v>4.4538850784301802</v>
      </c>
      <c r="C8004" t="s">
        <v>43</v>
      </c>
      <c r="D8004" t="s">
        <v>4729</v>
      </c>
      <c r="F8004" s="21"/>
      <c r="G8004" s="16" t="str">
        <f>HYPERLINK("http://maps.google.com/maps?f=q&amp;hl=en&amp;geocode=&amp;q=51.4032287597656,4.45388507843018")</f>
        <v>http://maps.google.com/maps?f=q&amp;hl=en&amp;geocode=&amp;q=51.4032287597656,4.45388507843018</v>
      </c>
    </row>
    <row r="8005" spans="1:7" ht="15" x14ac:dyDescent="0.3">
      <c r="A8005">
        <v>47.4839897155762</v>
      </c>
      <c r="B8005">
        <v>7.0609498023986799</v>
      </c>
      <c r="C8005" t="s">
        <v>43</v>
      </c>
      <c r="D8005" t="s">
        <v>4730</v>
      </c>
      <c r="F8005" s="21"/>
      <c r="G8005" s="16" t="str">
        <f>HYPERLINK("http://maps.google.com/maps?f=q&amp;hl=en&amp;geocode=&amp;q=47.4839897155762,7.06094980239868")</f>
        <v>http://maps.google.com/maps?f=q&amp;hl=en&amp;geocode=&amp;q=47.4839897155762,7.06094980239868</v>
      </c>
    </row>
    <row r="8006" spans="1:7" ht="15" x14ac:dyDescent="0.3">
      <c r="A8006">
        <v>51.309604644775398</v>
      </c>
      <c r="B8006">
        <v>4.5141911506652797</v>
      </c>
      <c r="C8006" t="s">
        <v>43</v>
      </c>
      <c r="D8006" t="s">
        <v>4731</v>
      </c>
      <c r="F8006" s="21"/>
      <c r="G8006" s="16" t="str">
        <f>HYPERLINK("http://maps.google.com/maps?f=q&amp;hl=en&amp;geocode=&amp;q=51.3096046447754,4.51419115066528")</f>
        <v>http://maps.google.com/maps?f=q&amp;hl=en&amp;geocode=&amp;q=51.3096046447754,4.51419115066528</v>
      </c>
    </row>
    <row r="8007" spans="1:7" ht="15" x14ac:dyDescent="0.3">
      <c r="A8007">
        <v>61.498558044433601</v>
      </c>
      <c r="B8007">
        <v>22.225103378295898</v>
      </c>
      <c r="C8007" t="s">
        <v>43</v>
      </c>
      <c r="D8007" t="s">
        <v>4732</v>
      </c>
      <c r="F8007" s="21"/>
      <c r="G8007" s="16" t="str">
        <f>HYPERLINK("http://maps.google.com/maps?f=q&amp;hl=en&amp;geocode=&amp;q=61.4985580444336,22.2251033782959")</f>
        <v>http://maps.google.com/maps?f=q&amp;hl=en&amp;geocode=&amp;q=61.4985580444336,22.2251033782959</v>
      </c>
    </row>
    <row r="8008" spans="1:7" ht="15" x14ac:dyDescent="0.3">
      <c r="A8008">
        <v>-27.751750946044901</v>
      </c>
      <c r="B8008">
        <v>29.966011047363299</v>
      </c>
      <c r="C8008" t="s">
        <v>43</v>
      </c>
      <c r="D8008" t="s">
        <v>4733</v>
      </c>
      <c r="F8008" s="21"/>
      <c r="G8008" s="16" t="str">
        <f>HYPERLINK("http://maps.google.com/maps?f=q&amp;hl=en&amp;geocode=&amp;q=-27.7517509460449,29.9660110473633")</f>
        <v>http://maps.google.com/maps?f=q&amp;hl=en&amp;geocode=&amp;q=-27.7517509460449,29.9660110473633</v>
      </c>
    </row>
    <row r="8009" spans="1:7" ht="15" x14ac:dyDescent="0.3">
      <c r="A8009">
        <v>36.067732427247897</v>
      </c>
      <c r="B8009">
        <v>-79.397036006356103</v>
      </c>
      <c r="C8009" t="s">
        <v>41</v>
      </c>
      <c r="D8009" t="s">
        <v>1857</v>
      </c>
      <c r="F8009" s="21"/>
      <c r="G8009" s="16" t="str">
        <f>HYPERLINK("http://maps.google.com/maps?f=q&amp;hl=en&amp;geocode=&amp;q=36.0677324272479,-79.3970360063561")</f>
        <v>http://maps.google.com/maps?f=q&amp;hl=en&amp;geocode=&amp;q=36.0677324272479,-79.3970360063561</v>
      </c>
    </row>
    <row r="8010" spans="1:7" ht="15" x14ac:dyDescent="0.3">
      <c r="A8010">
        <v>40.460018157958999</v>
      </c>
      <c r="B8010">
        <v>-78.591552734375</v>
      </c>
      <c r="C8010" t="s">
        <v>43</v>
      </c>
      <c r="D8010" t="s">
        <v>2983</v>
      </c>
      <c r="F8010" s="21"/>
      <c r="G8010" s="16" t="str">
        <f>HYPERLINK("http://maps.google.com/maps?f=q&amp;hl=en&amp;geocode=&amp;q=40.460018157959,-78.591552734375")</f>
        <v>http://maps.google.com/maps?f=q&amp;hl=en&amp;geocode=&amp;q=40.460018157959,-78.591552734375</v>
      </c>
    </row>
    <row r="8011" spans="1:7" ht="15" x14ac:dyDescent="0.3">
      <c r="A8011" t="s">
        <v>44</v>
      </c>
      <c r="B8011" t="s">
        <v>44</v>
      </c>
      <c r="C8011" t="s">
        <v>44</v>
      </c>
      <c r="D8011" t="s">
        <v>227</v>
      </c>
      <c r="F8011" s="21"/>
      <c r="G8011" s="16"/>
    </row>
    <row r="8012" spans="1:7" ht="15" x14ac:dyDescent="0.3">
      <c r="A8012">
        <v>41.232268631945402</v>
      </c>
      <c r="B8012">
        <v>-112.02548298332199</v>
      </c>
      <c r="C8012" t="s">
        <v>41</v>
      </c>
      <c r="D8012" t="s">
        <v>4734</v>
      </c>
      <c r="F8012" s="21"/>
      <c r="G8012" s="16" t="str">
        <f>HYPERLINK("http://maps.google.com/maps?f=q&amp;hl=en&amp;geocode=&amp;q=41.2322686319454,-112.025482983322")</f>
        <v>http://maps.google.com/maps?f=q&amp;hl=en&amp;geocode=&amp;q=41.2322686319454,-112.025482983322</v>
      </c>
    </row>
    <row r="8013" spans="1:7" ht="15" x14ac:dyDescent="0.3">
      <c r="A8013">
        <v>23.406011581420898</v>
      </c>
      <c r="B8013">
        <v>79.458091735839801</v>
      </c>
      <c r="C8013" t="s">
        <v>41</v>
      </c>
      <c r="D8013" t="s">
        <v>4735</v>
      </c>
      <c r="F8013" s="21"/>
      <c r="G8013" s="16" t="str">
        <f>HYPERLINK("http://maps.google.com/maps?f=q&amp;hl=en&amp;geocode=&amp;q=23.4060115814209,79.4580917358398")</f>
        <v>http://maps.google.com/maps?f=q&amp;hl=en&amp;geocode=&amp;q=23.4060115814209,79.4580917358398</v>
      </c>
    </row>
    <row r="8014" spans="1:7" ht="15" x14ac:dyDescent="0.3">
      <c r="A8014" t="s">
        <v>44</v>
      </c>
      <c r="B8014" t="s">
        <v>44</v>
      </c>
      <c r="C8014" t="s">
        <v>44</v>
      </c>
      <c r="D8014" t="s">
        <v>4438</v>
      </c>
      <c r="F8014" s="21"/>
      <c r="G8014" s="16"/>
    </row>
    <row r="8015" spans="1:7" ht="15" x14ac:dyDescent="0.3">
      <c r="A8015">
        <v>47.055850982666001</v>
      </c>
      <c r="B8015">
        <v>6.7508301734924299</v>
      </c>
      <c r="C8015" t="s">
        <v>43</v>
      </c>
      <c r="D8015" t="s">
        <v>4736</v>
      </c>
      <c r="F8015" s="21"/>
      <c r="G8015" s="16" t="str">
        <f>HYPERLINK("http://maps.google.com/maps?f=q&amp;hl=en&amp;geocode=&amp;q=47.055850982666,6.75083017349243")</f>
        <v>http://maps.google.com/maps?f=q&amp;hl=en&amp;geocode=&amp;q=47.055850982666,6.75083017349243</v>
      </c>
    </row>
    <row r="8016" spans="1:7" ht="15" x14ac:dyDescent="0.3">
      <c r="A8016">
        <v>39.931432553449</v>
      </c>
      <c r="B8016">
        <v>-75.157047806880101</v>
      </c>
      <c r="C8016" t="s">
        <v>41</v>
      </c>
      <c r="D8016" t="s">
        <v>3538</v>
      </c>
      <c r="F8016" s="21"/>
      <c r="G8016" s="16" t="str">
        <f>HYPERLINK("http://maps.google.com/maps?f=q&amp;hl=en&amp;geocode=&amp;q=39.931432553449,-75.1570478068801")</f>
        <v>http://maps.google.com/maps?f=q&amp;hl=en&amp;geocode=&amp;q=39.931432553449,-75.1570478068801</v>
      </c>
    </row>
    <row r="8017" spans="1:7" ht="15" x14ac:dyDescent="0.3">
      <c r="A8017">
        <v>39.931432553449</v>
      </c>
      <c r="B8017">
        <v>-75.157047806880101</v>
      </c>
      <c r="C8017" t="s">
        <v>41</v>
      </c>
      <c r="D8017" t="s">
        <v>3538</v>
      </c>
      <c r="F8017" s="21"/>
      <c r="G8017" s="16" t="str">
        <f>HYPERLINK("http://maps.google.com/maps?f=q&amp;hl=en&amp;geocode=&amp;q=39.931432553449,-75.1570478068801")</f>
        <v>http://maps.google.com/maps?f=q&amp;hl=en&amp;geocode=&amp;q=39.931432553449,-75.1570478068801</v>
      </c>
    </row>
    <row r="8018" spans="1:7" ht="15" x14ac:dyDescent="0.3">
      <c r="A8018">
        <v>-25.991712570190401</v>
      </c>
      <c r="B8018">
        <v>28.0108318328857</v>
      </c>
      <c r="C8018" t="s">
        <v>43</v>
      </c>
      <c r="D8018" t="s">
        <v>4737</v>
      </c>
      <c r="F8018" s="21"/>
      <c r="G8018" s="16" t="str">
        <f>HYPERLINK("http://maps.google.com/maps?f=q&amp;hl=en&amp;geocode=&amp;q=-25.9917125701904,28.0108318328857")</f>
        <v>http://maps.google.com/maps?f=q&amp;hl=en&amp;geocode=&amp;q=-25.9917125701904,28.0108318328857</v>
      </c>
    </row>
    <row r="8019" spans="1:7" ht="15" x14ac:dyDescent="0.3">
      <c r="A8019">
        <v>41.2618829424217</v>
      </c>
      <c r="B8019">
        <v>-79.715839865861199</v>
      </c>
      <c r="C8019" t="s">
        <v>41</v>
      </c>
      <c r="D8019" t="s">
        <v>4738</v>
      </c>
      <c r="F8019" s="21"/>
      <c r="G8019" s="16" t="str">
        <f>HYPERLINK("http://maps.google.com/maps?f=q&amp;hl=en&amp;geocode=&amp;q=41.2618829424217,-79.7158398658612")</f>
        <v>http://maps.google.com/maps?f=q&amp;hl=en&amp;geocode=&amp;q=41.2618829424217,-79.7158398658612</v>
      </c>
    </row>
    <row r="8020" spans="1:7" ht="15" x14ac:dyDescent="0.3">
      <c r="A8020">
        <v>43.138156943213197</v>
      </c>
      <c r="B8020">
        <v>-75.568391494171706</v>
      </c>
      <c r="C8020" t="s">
        <v>41</v>
      </c>
      <c r="D8020" t="s">
        <v>4739</v>
      </c>
      <c r="F8020" s="21"/>
      <c r="G8020" s="16" t="str">
        <f>HYPERLINK("http://maps.google.com/maps?f=q&amp;hl=en&amp;geocode=&amp;q=43.1381569432132,-75.5683914941717")</f>
        <v>http://maps.google.com/maps?f=q&amp;hl=en&amp;geocode=&amp;q=43.1381569432132,-75.5683914941717</v>
      </c>
    </row>
    <row r="8021" spans="1:7" ht="15" x14ac:dyDescent="0.3">
      <c r="A8021">
        <v>49.619491577148402</v>
      </c>
      <c r="B8021">
        <v>6.1552100181579599</v>
      </c>
      <c r="C8021" t="s">
        <v>41</v>
      </c>
      <c r="D8021" t="s">
        <v>4740</v>
      </c>
      <c r="F8021" s="21"/>
      <c r="G8021" s="16" t="str">
        <f>HYPERLINK("http://maps.google.com/maps?f=q&amp;hl=en&amp;geocode=&amp;q=49.6194915771484,6.15521001815796")</f>
        <v>http://maps.google.com/maps?f=q&amp;hl=en&amp;geocode=&amp;q=49.6194915771484,6.15521001815796</v>
      </c>
    </row>
    <row r="8022" spans="1:7" ht="15" x14ac:dyDescent="0.3">
      <c r="A8022">
        <v>40.5088500976563</v>
      </c>
      <c r="B8022">
        <v>-78.637031555175795</v>
      </c>
      <c r="C8022" t="s">
        <v>43</v>
      </c>
      <c r="D8022" t="s">
        <v>4741</v>
      </c>
      <c r="F8022" s="21"/>
      <c r="G8022" s="16" t="str">
        <f>HYPERLINK("http://maps.google.com/maps?f=q&amp;hl=en&amp;geocode=&amp;q=40.5088500976563,-78.6370315551758")</f>
        <v>http://maps.google.com/maps?f=q&amp;hl=en&amp;geocode=&amp;q=40.5088500976563,-78.6370315551758</v>
      </c>
    </row>
    <row r="8023" spans="1:7" ht="15" x14ac:dyDescent="0.3">
      <c r="A8023">
        <v>42.938005334947199</v>
      </c>
      <c r="B8023">
        <v>-89.664844086116005</v>
      </c>
      <c r="C8023" t="s">
        <v>42</v>
      </c>
      <c r="D8023" t="s">
        <v>4742</v>
      </c>
      <c r="F8023" s="21"/>
      <c r="G8023" s="16" t="str">
        <f>HYPERLINK("http://maps.google.com/maps?f=q&amp;hl=en&amp;geocode=&amp;q=42.9380053349472,-89.664844086116")</f>
        <v>http://maps.google.com/maps?f=q&amp;hl=en&amp;geocode=&amp;q=42.9380053349472,-89.664844086116</v>
      </c>
    </row>
    <row r="8024" spans="1:7" ht="15" x14ac:dyDescent="0.3">
      <c r="A8024">
        <v>32.990949999999998</v>
      </c>
      <c r="B8024">
        <v>-97.446380000000005</v>
      </c>
      <c r="C8024" t="s">
        <v>43</v>
      </c>
      <c r="D8024" t="s">
        <v>4743</v>
      </c>
      <c r="F8024" s="21"/>
      <c r="G8024" s="16" t="str">
        <f>HYPERLINK("http://maps.google.com/maps?f=q&amp;hl=en&amp;geocode=&amp;q=32.99095,-97.44638")</f>
        <v>http://maps.google.com/maps?f=q&amp;hl=en&amp;geocode=&amp;q=32.99095,-97.44638</v>
      </c>
    </row>
    <row r="8025" spans="1:7" ht="15" x14ac:dyDescent="0.3">
      <c r="A8025">
        <v>40.040443352264099</v>
      </c>
      <c r="B8025">
        <v>-75.181967878970994</v>
      </c>
      <c r="C8025" t="s">
        <v>41</v>
      </c>
      <c r="D8025" t="s">
        <v>4433</v>
      </c>
      <c r="F8025" s="21"/>
      <c r="G8025" s="16" t="str">
        <f>HYPERLINK("http://maps.google.com/maps?f=q&amp;hl=en&amp;geocode=&amp;q=40.0404433522641,-75.181967878971")</f>
        <v>http://maps.google.com/maps?f=q&amp;hl=en&amp;geocode=&amp;q=40.0404433522641,-75.181967878971</v>
      </c>
    </row>
    <row r="8026" spans="1:7" ht="15" x14ac:dyDescent="0.3">
      <c r="A8026">
        <v>40.128846952028503</v>
      </c>
      <c r="B8026">
        <v>-75.013916992799693</v>
      </c>
      <c r="C8026" t="s">
        <v>41</v>
      </c>
      <c r="D8026" t="s">
        <v>4744</v>
      </c>
      <c r="F8026" s="21"/>
      <c r="G8026" s="16" t="str">
        <f>HYPERLINK("http://maps.google.com/maps?f=q&amp;hl=en&amp;geocode=&amp;q=40.1288469520285,-75.0139169927997")</f>
        <v>http://maps.google.com/maps?f=q&amp;hl=en&amp;geocode=&amp;q=40.1288469520285,-75.0139169927997</v>
      </c>
    </row>
    <row r="8027" spans="1:7" ht="15" x14ac:dyDescent="0.3">
      <c r="A8027">
        <v>40.982819787261697</v>
      </c>
      <c r="B8027">
        <v>-93.652910754426102</v>
      </c>
      <c r="C8027" t="s">
        <v>41</v>
      </c>
      <c r="D8027" t="s">
        <v>4224</v>
      </c>
      <c r="F8027" s="21"/>
      <c r="G8027" s="16" t="str">
        <f>HYPERLINK("http://maps.google.com/maps?f=q&amp;hl=en&amp;geocode=&amp;q=40.9828197872617,-93.6529107544261")</f>
        <v>http://maps.google.com/maps?f=q&amp;hl=en&amp;geocode=&amp;q=40.9828197872617,-93.6529107544261</v>
      </c>
    </row>
    <row r="8028" spans="1:7" ht="15" x14ac:dyDescent="0.3">
      <c r="A8028">
        <v>47.033481597900398</v>
      </c>
      <c r="B8028">
        <v>-109.64508056640599</v>
      </c>
      <c r="C8028" t="s">
        <v>41</v>
      </c>
      <c r="D8028" t="s">
        <v>4745</v>
      </c>
      <c r="F8028" s="21"/>
      <c r="G8028" s="16" t="str">
        <f>HYPERLINK("http://maps.google.com/maps?f=q&amp;hl=en&amp;geocode=&amp;q=47.0334815979004,-109.645080566406")</f>
        <v>http://maps.google.com/maps?f=q&amp;hl=en&amp;geocode=&amp;q=47.0334815979004,-109.645080566406</v>
      </c>
    </row>
    <row r="8029" spans="1:7" ht="15" x14ac:dyDescent="0.3">
      <c r="A8029">
        <v>32.766984154910197</v>
      </c>
      <c r="B8029">
        <v>-115.43048658800799</v>
      </c>
      <c r="C8029" t="s">
        <v>41</v>
      </c>
      <c r="D8029" t="s">
        <v>3192</v>
      </c>
      <c r="F8029" s="21"/>
      <c r="G8029" s="16" t="str">
        <f>HYPERLINK("http://maps.google.com/maps?f=q&amp;hl=en&amp;geocode=&amp;q=32.7669841549102,-115.430486588008")</f>
        <v>http://maps.google.com/maps?f=q&amp;hl=en&amp;geocode=&amp;q=32.7669841549102,-115.430486588008</v>
      </c>
    </row>
    <row r="8030" spans="1:7" ht="15" x14ac:dyDescent="0.3">
      <c r="A8030">
        <v>29.5102967053522</v>
      </c>
      <c r="B8030">
        <v>-94.977142551376801</v>
      </c>
      <c r="C8030" t="s">
        <v>43</v>
      </c>
      <c r="D8030" t="s">
        <v>4746</v>
      </c>
      <c r="F8030" s="21"/>
      <c r="G8030" s="16" t="str">
        <f>HYPERLINK("http://maps.google.com/maps?f=q&amp;hl=en&amp;geocode=&amp;q=29.5102967053522,-94.9771425513768")</f>
        <v>http://maps.google.com/maps?f=q&amp;hl=en&amp;geocode=&amp;q=29.5102967053522,-94.9771425513768</v>
      </c>
    </row>
    <row r="8031" spans="1:7" ht="15" x14ac:dyDescent="0.3">
      <c r="A8031">
        <v>49.518180847167997</v>
      </c>
      <c r="B8031">
        <v>5.8978409767150897</v>
      </c>
      <c r="C8031" t="s">
        <v>41</v>
      </c>
      <c r="D8031" t="s">
        <v>2510</v>
      </c>
      <c r="F8031" s="21"/>
      <c r="G8031" s="16" t="str">
        <f>HYPERLINK("http://maps.google.com/maps?f=q&amp;hl=en&amp;geocode=&amp;q=49.518180847168,5.89784097671509")</f>
        <v>http://maps.google.com/maps?f=q&amp;hl=en&amp;geocode=&amp;q=49.518180847168,5.89784097671509</v>
      </c>
    </row>
    <row r="8032" spans="1:7" ht="15" x14ac:dyDescent="0.3">
      <c r="A8032">
        <v>34.378619999999998</v>
      </c>
      <c r="B8032">
        <v>-80.049869999999999</v>
      </c>
      <c r="C8032" t="s">
        <v>42</v>
      </c>
      <c r="D8032" t="s">
        <v>4747</v>
      </c>
      <c r="F8032" s="21"/>
      <c r="G8032" s="16" t="str">
        <f>HYPERLINK("http://maps.google.com/maps?f=q&amp;hl=en&amp;geocode=&amp;q=34.37862,-80.04987")</f>
        <v>http://maps.google.com/maps?f=q&amp;hl=en&amp;geocode=&amp;q=34.37862,-80.04987</v>
      </c>
    </row>
    <row r="8033" spans="1:7" ht="15" x14ac:dyDescent="0.3">
      <c r="A8033" t="s">
        <v>44</v>
      </c>
      <c r="B8033" t="s">
        <v>44</v>
      </c>
      <c r="C8033" t="s">
        <v>44</v>
      </c>
      <c r="D8033" t="s">
        <v>4438</v>
      </c>
      <c r="F8033" s="21"/>
      <c r="G8033" s="16"/>
    </row>
    <row r="8034" spans="1:7" ht="15" x14ac:dyDescent="0.3">
      <c r="A8034">
        <v>51.231853485107401</v>
      </c>
      <c r="B8034">
        <v>3.2117860317230198</v>
      </c>
      <c r="C8034" t="s">
        <v>43</v>
      </c>
      <c r="D8034" t="s">
        <v>4748</v>
      </c>
      <c r="F8034" s="21"/>
      <c r="G8034" s="16" t="str">
        <f>HYPERLINK("http://maps.google.com/maps?f=q&amp;hl=en&amp;geocode=&amp;q=51.2318534851074,3.21178603172302")</f>
        <v>http://maps.google.com/maps?f=q&amp;hl=en&amp;geocode=&amp;q=51.2318534851074,3.21178603172302</v>
      </c>
    </row>
    <row r="8035" spans="1:7" ht="15" x14ac:dyDescent="0.3">
      <c r="F8035" s="21"/>
      <c r="G8035" s="16"/>
    </row>
    <row r="8036" spans="1:7" ht="15" x14ac:dyDescent="0.3">
      <c r="A8036">
        <v>39.964741807726398</v>
      </c>
      <c r="B8036">
        <v>-75.231684684514804</v>
      </c>
      <c r="C8036" t="s">
        <v>41</v>
      </c>
      <c r="D8036" t="s">
        <v>1742</v>
      </c>
      <c r="F8036" s="21"/>
      <c r="G8036" s="16" t="str">
        <f>HYPERLINK("http://maps.google.com/maps?f=q&amp;hl=en&amp;geocode=&amp;q=39.9647418077264,-75.2316846845148")</f>
        <v>http://maps.google.com/maps?f=q&amp;hl=en&amp;geocode=&amp;q=39.9647418077264,-75.2316846845148</v>
      </c>
    </row>
    <row r="8037" spans="1:7" ht="15" x14ac:dyDescent="0.3">
      <c r="A8037">
        <v>39.961289999999998</v>
      </c>
      <c r="B8037">
        <v>-75.239360000000005</v>
      </c>
      <c r="C8037" t="s">
        <v>41</v>
      </c>
      <c r="D8037" t="s">
        <v>4749</v>
      </c>
      <c r="F8037" s="21"/>
      <c r="G8037" s="16" t="str">
        <f>HYPERLINK("http://maps.google.com/maps?f=q&amp;hl=en&amp;geocode=&amp;q=39.96129,-75.23936")</f>
        <v>http://maps.google.com/maps?f=q&amp;hl=en&amp;geocode=&amp;q=39.96129,-75.23936</v>
      </c>
    </row>
    <row r="8038" spans="1:7" ht="15" x14ac:dyDescent="0.3">
      <c r="A8038">
        <v>40.041922786173103</v>
      </c>
      <c r="B8038">
        <v>-75.071699998782805</v>
      </c>
      <c r="C8038" t="s">
        <v>43</v>
      </c>
      <c r="D8038" t="s">
        <v>4718</v>
      </c>
      <c r="F8038" s="21"/>
      <c r="G8038" s="16" t="str">
        <f>HYPERLINK("http://maps.google.com/maps?f=q&amp;hl=en&amp;geocode=&amp;q=40.0419227861731,-75.0716999987828")</f>
        <v>http://maps.google.com/maps?f=q&amp;hl=en&amp;geocode=&amp;q=40.0419227861731,-75.0716999987828</v>
      </c>
    </row>
    <row r="8039" spans="1:7" ht="15" x14ac:dyDescent="0.3">
      <c r="A8039">
        <v>-29.628349304199201</v>
      </c>
      <c r="B8039">
        <v>150.32186889648401</v>
      </c>
      <c r="C8039" t="s">
        <v>41</v>
      </c>
      <c r="D8039" t="s">
        <v>4750</v>
      </c>
      <c r="F8039" s="21"/>
      <c r="G8039" s="16" t="str">
        <f>HYPERLINK("http://maps.google.com/maps?f=q&amp;hl=en&amp;geocode=&amp;q=-29.6283493041992,150.321868896484")</f>
        <v>http://maps.google.com/maps?f=q&amp;hl=en&amp;geocode=&amp;q=-29.6283493041992,150.321868896484</v>
      </c>
    </row>
    <row r="8040" spans="1:7" ht="15" x14ac:dyDescent="0.3">
      <c r="A8040">
        <v>42.470289999999999</v>
      </c>
      <c r="B8040">
        <v>-83.077780000000004</v>
      </c>
      <c r="C8040" t="s">
        <v>42</v>
      </c>
      <c r="D8040" t="s">
        <v>4751</v>
      </c>
      <c r="F8040" s="21"/>
      <c r="G8040" s="16" t="str">
        <f>HYPERLINK("http://maps.google.com/maps?f=q&amp;hl=en&amp;geocode=&amp;q=42.47029,-83.07778")</f>
        <v>http://maps.google.com/maps?f=q&amp;hl=en&amp;geocode=&amp;q=42.47029,-83.07778</v>
      </c>
    </row>
    <row r="8041" spans="1:7" ht="15" x14ac:dyDescent="0.3">
      <c r="A8041">
        <v>42.470289999999999</v>
      </c>
      <c r="B8041">
        <v>-83.077780000000004</v>
      </c>
      <c r="C8041" t="s">
        <v>42</v>
      </c>
      <c r="D8041" t="s">
        <v>4751</v>
      </c>
      <c r="F8041" s="21"/>
      <c r="G8041" s="16" t="str">
        <f>HYPERLINK("http://maps.google.com/maps?f=q&amp;hl=en&amp;geocode=&amp;q=42.47029,-83.07778")</f>
        <v>http://maps.google.com/maps?f=q&amp;hl=en&amp;geocode=&amp;q=42.47029,-83.07778</v>
      </c>
    </row>
    <row r="8042" spans="1:7" ht="15" x14ac:dyDescent="0.3">
      <c r="A8042">
        <v>32.7964451445322</v>
      </c>
      <c r="B8042">
        <v>-117.070596612675</v>
      </c>
      <c r="C8042" t="s">
        <v>41</v>
      </c>
      <c r="D8042" t="s">
        <v>4194</v>
      </c>
      <c r="F8042" s="21"/>
      <c r="G8042" s="16" t="str">
        <f>HYPERLINK("http://maps.google.com/maps?f=q&amp;hl=en&amp;geocode=&amp;q=32.7964451445322,-117.070596612675")</f>
        <v>http://maps.google.com/maps?f=q&amp;hl=en&amp;geocode=&amp;q=32.7964451445322,-117.070596612675</v>
      </c>
    </row>
    <row r="8043" spans="1:7" ht="15" x14ac:dyDescent="0.3">
      <c r="A8043">
        <v>39.992179999999998</v>
      </c>
      <c r="B8043">
        <v>-75.100999999999999</v>
      </c>
      <c r="C8043" t="s">
        <v>41</v>
      </c>
      <c r="D8043" t="s">
        <v>716</v>
      </c>
      <c r="F8043" s="21"/>
      <c r="G8043" s="16" t="str">
        <f>HYPERLINK("http://maps.google.com/maps?f=q&amp;hl=en&amp;geocode=&amp;q=39.99218,-75.101")</f>
        <v>http://maps.google.com/maps?f=q&amp;hl=en&amp;geocode=&amp;q=39.99218,-75.101</v>
      </c>
    </row>
    <row r="8044" spans="1:7" ht="15" x14ac:dyDescent="0.3">
      <c r="A8044">
        <v>39.992179999999998</v>
      </c>
      <c r="B8044">
        <v>-75.100999999999999</v>
      </c>
      <c r="C8044" t="s">
        <v>41</v>
      </c>
      <c r="D8044" t="s">
        <v>716</v>
      </c>
      <c r="F8044" s="21"/>
      <c r="G8044" s="16" t="str">
        <f>HYPERLINK("http://maps.google.com/maps?f=q&amp;hl=en&amp;geocode=&amp;q=39.99218,-75.101")</f>
        <v>http://maps.google.com/maps?f=q&amp;hl=en&amp;geocode=&amp;q=39.99218,-75.101</v>
      </c>
    </row>
    <row r="8045" spans="1:7" ht="15" x14ac:dyDescent="0.3">
      <c r="A8045">
        <v>41.686999999999998</v>
      </c>
      <c r="B8045">
        <v>-111.85933</v>
      </c>
      <c r="C8045" t="s">
        <v>43</v>
      </c>
      <c r="D8045" t="s">
        <v>4752</v>
      </c>
      <c r="F8045" s="21"/>
      <c r="G8045" s="16" t="str">
        <f>HYPERLINK("http://maps.google.com/maps?f=q&amp;hl=en&amp;geocode=&amp;q=41.687,-111.85933")</f>
        <v>http://maps.google.com/maps?f=q&amp;hl=en&amp;geocode=&amp;q=41.687,-111.85933</v>
      </c>
    </row>
    <row r="8046" spans="1:7" ht="15" x14ac:dyDescent="0.3">
      <c r="A8046">
        <v>33.180897286656297</v>
      </c>
      <c r="B8046">
        <v>-88.371226787633901</v>
      </c>
      <c r="C8046" t="s">
        <v>41</v>
      </c>
      <c r="D8046" t="s">
        <v>4753</v>
      </c>
      <c r="F8046" s="21"/>
      <c r="G8046" s="16" t="str">
        <f>HYPERLINK("http://maps.google.com/maps?f=q&amp;hl=en&amp;geocode=&amp;q=33.1808972866563,-88.3712267876339")</f>
        <v>http://maps.google.com/maps?f=q&amp;hl=en&amp;geocode=&amp;q=33.1808972866563,-88.3712267876339</v>
      </c>
    </row>
    <row r="8047" spans="1:7" ht="15" x14ac:dyDescent="0.3">
      <c r="A8047">
        <v>39.995800000000003</v>
      </c>
      <c r="B8047">
        <v>-75.170929999999998</v>
      </c>
      <c r="C8047" t="s">
        <v>41</v>
      </c>
      <c r="D8047" t="s">
        <v>3739</v>
      </c>
      <c r="F8047" s="21"/>
      <c r="G8047" s="16" t="str">
        <f>HYPERLINK("http://maps.google.com/maps?f=q&amp;hl=en&amp;geocode=&amp;q=39.9958,-75.17093")</f>
        <v>http://maps.google.com/maps?f=q&amp;hl=en&amp;geocode=&amp;q=39.9958,-75.17093</v>
      </c>
    </row>
    <row r="8048" spans="1:7" ht="15" x14ac:dyDescent="0.3">
      <c r="A8048">
        <v>39.996009999999998</v>
      </c>
      <c r="B8048">
        <v>-75.172529999999995</v>
      </c>
      <c r="C8048" t="s">
        <v>41</v>
      </c>
      <c r="D8048" t="s">
        <v>4331</v>
      </c>
      <c r="F8048" s="21"/>
      <c r="G8048" s="16" t="str">
        <f>HYPERLINK("http://maps.google.com/maps?f=q&amp;hl=en&amp;geocode=&amp;q=39.99601,-75.17253")</f>
        <v>http://maps.google.com/maps?f=q&amp;hl=en&amp;geocode=&amp;q=39.99601,-75.17253</v>
      </c>
    </row>
    <row r="8049" spans="1:7" ht="15" x14ac:dyDescent="0.3">
      <c r="A8049">
        <v>39.996631203699103</v>
      </c>
      <c r="B8049">
        <v>-75.175726795352602</v>
      </c>
      <c r="C8049" t="s">
        <v>41</v>
      </c>
      <c r="D8049" t="s">
        <v>4754</v>
      </c>
      <c r="F8049" s="21"/>
      <c r="G8049" s="16" t="str">
        <f>HYPERLINK("http://maps.google.com/maps?f=q&amp;hl=en&amp;geocode=&amp;q=39.9966312036991,-75.1757267953526")</f>
        <v>http://maps.google.com/maps?f=q&amp;hl=en&amp;geocode=&amp;q=39.9966312036991,-75.1757267953526</v>
      </c>
    </row>
    <row r="8050" spans="1:7" ht="15" x14ac:dyDescent="0.3">
      <c r="A8050">
        <v>36.337464273838897</v>
      </c>
      <c r="B8050">
        <v>-89.161859063854394</v>
      </c>
      <c r="C8050" t="s">
        <v>41</v>
      </c>
      <c r="D8050" t="s">
        <v>1346</v>
      </c>
      <c r="F8050" s="21"/>
      <c r="G8050" s="16" t="str">
        <f>HYPERLINK("http://maps.google.com/maps?f=q&amp;hl=en&amp;geocode=&amp;q=36.3374642738389,-89.1618590638544")</f>
        <v>http://maps.google.com/maps?f=q&amp;hl=en&amp;geocode=&amp;q=36.3374642738389,-89.1618590638544</v>
      </c>
    </row>
    <row r="8051" spans="1:7" ht="15" x14ac:dyDescent="0.3">
      <c r="A8051">
        <v>38.591028169348697</v>
      </c>
      <c r="B8051">
        <v>-90.306103304921507</v>
      </c>
      <c r="C8051" t="s">
        <v>41</v>
      </c>
      <c r="D8051" t="s">
        <v>4755</v>
      </c>
      <c r="F8051" s="21"/>
      <c r="G8051" s="16" t="str">
        <f>HYPERLINK("http://maps.google.com/maps?f=q&amp;hl=en&amp;geocode=&amp;q=38.5910281693487,-90.3061033049215")</f>
        <v>http://maps.google.com/maps?f=q&amp;hl=en&amp;geocode=&amp;q=38.5910281693487,-90.3061033049215</v>
      </c>
    </row>
    <row r="8052" spans="1:7" ht="15" x14ac:dyDescent="0.3">
      <c r="A8052">
        <v>41.511569976806598</v>
      </c>
      <c r="B8052">
        <v>-90.576042175292997</v>
      </c>
      <c r="C8052" t="s">
        <v>43</v>
      </c>
      <c r="D8052" t="s">
        <v>4756</v>
      </c>
      <c r="F8052" s="21"/>
      <c r="G8052" s="16" t="str">
        <f>HYPERLINK("http://maps.google.com/maps?f=q&amp;hl=en&amp;geocode=&amp;q=41.5115699768066,-90.576042175293")</f>
        <v>http://maps.google.com/maps?f=q&amp;hl=en&amp;geocode=&amp;q=41.5115699768066,-90.576042175293</v>
      </c>
    </row>
    <row r="8053" spans="1:7" ht="15" x14ac:dyDescent="0.3">
      <c r="A8053">
        <v>37.0063803937621</v>
      </c>
      <c r="B8053">
        <v>-89.183859742388407</v>
      </c>
      <c r="C8053" t="s">
        <v>41</v>
      </c>
      <c r="D8053" t="s">
        <v>780</v>
      </c>
      <c r="F8053" s="21"/>
      <c r="G8053" s="16" t="str">
        <f>HYPERLINK("http://maps.google.com/maps?f=q&amp;hl=en&amp;geocode=&amp;q=37.0063803937621,-89.1838597423884")</f>
        <v>http://maps.google.com/maps?f=q&amp;hl=en&amp;geocode=&amp;q=37.0063803937621,-89.1838597423884</v>
      </c>
    </row>
    <row r="8054" spans="1:7" ht="15" x14ac:dyDescent="0.3">
      <c r="A8054">
        <v>-33.2726020812988</v>
      </c>
      <c r="B8054">
        <v>117.35905456543</v>
      </c>
      <c r="C8054" t="s">
        <v>41</v>
      </c>
      <c r="D8054" t="s">
        <v>4757</v>
      </c>
      <c r="F8054" s="21"/>
      <c r="G8054" s="16" t="str">
        <f>HYPERLINK("http://maps.google.com/maps?f=q&amp;hl=en&amp;geocode=&amp;q=-33.2726020812988,117.35905456543")</f>
        <v>http://maps.google.com/maps?f=q&amp;hl=en&amp;geocode=&amp;q=-33.2726020812988,117.35905456543</v>
      </c>
    </row>
    <row r="8055" spans="1:7" ht="15" x14ac:dyDescent="0.3">
      <c r="A8055">
        <v>30.013470000000002</v>
      </c>
      <c r="B8055">
        <v>-90.176649999999995</v>
      </c>
      <c r="C8055" t="s">
        <v>41</v>
      </c>
      <c r="D8055" t="s">
        <v>390</v>
      </c>
      <c r="F8055" s="21"/>
      <c r="G8055" s="16" t="str">
        <f>HYPERLINK("http://maps.google.com/maps?f=q&amp;hl=en&amp;geocode=&amp;q=30.01347,-90.17665")</f>
        <v>http://maps.google.com/maps?f=q&amp;hl=en&amp;geocode=&amp;q=30.01347,-90.17665</v>
      </c>
    </row>
    <row r="8056" spans="1:7" ht="15" x14ac:dyDescent="0.3">
      <c r="A8056">
        <v>39.403060000000004</v>
      </c>
      <c r="B8056">
        <v>-83.982119999999995</v>
      </c>
      <c r="C8056" t="s">
        <v>43</v>
      </c>
      <c r="D8056" t="s">
        <v>3129</v>
      </c>
      <c r="F8056" s="21"/>
      <c r="G8056" s="16" t="str">
        <f>HYPERLINK("http://maps.google.com/maps?f=q&amp;hl=en&amp;geocode=&amp;q=39.40306,-83.98212")</f>
        <v>http://maps.google.com/maps?f=q&amp;hl=en&amp;geocode=&amp;q=39.40306,-83.98212</v>
      </c>
    </row>
    <row r="8057" spans="1:7" ht="15" x14ac:dyDescent="0.3">
      <c r="A8057">
        <v>41.291724011874301</v>
      </c>
      <c r="B8057">
        <v>-72.901395031388901</v>
      </c>
      <c r="C8057" t="s">
        <v>41</v>
      </c>
      <c r="D8057" t="s">
        <v>4758</v>
      </c>
      <c r="F8057" s="21"/>
      <c r="G8057" s="16" t="str">
        <f>HYPERLINK("http://maps.google.com/maps?f=q&amp;hl=en&amp;geocode=&amp;q=41.2917240118743,-72.9013950313889")</f>
        <v>http://maps.google.com/maps?f=q&amp;hl=en&amp;geocode=&amp;q=41.2917240118743,-72.9013950313889</v>
      </c>
    </row>
    <row r="8058" spans="1:7" ht="15" x14ac:dyDescent="0.3">
      <c r="A8058">
        <v>33.926909999999999</v>
      </c>
      <c r="B8058">
        <v>-78.242170000000002</v>
      </c>
      <c r="C8058" t="s">
        <v>42</v>
      </c>
      <c r="D8058" t="s">
        <v>4759</v>
      </c>
      <c r="F8058" s="21"/>
      <c r="G8058" s="16" t="str">
        <f>HYPERLINK("http://maps.google.com/maps?f=q&amp;hl=en&amp;geocode=&amp;q=33.92691,-78.24217")</f>
        <v>http://maps.google.com/maps?f=q&amp;hl=en&amp;geocode=&amp;q=33.92691,-78.24217</v>
      </c>
    </row>
    <row r="8059" spans="1:7" ht="15" x14ac:dyDescent="0.3">
      <c r="A8059">
        <v>42.7791938781738</v>
      </c>
      <c r="B8059">
        <v>-73.691421508789105</v>
      </c>
      <c r="C8059" t="s">
        <v>43</v>
      </c>
      <c r="D8059" t="s">
        <v>1559</v>
      </c>
      <c r="F8059" s="21"/>
      <c r="G8059" s="16" t="str">
        <f>HYPERLINK("http://maps.google.com/maps?f=q&amp;hl=en&amp;geocode=&amp;q=42.7791938781738,-73.6914215087891")</f>
        <v>http://maps.google.com/maps?f=q&amp;hl=en&amp;geocode=&amp;q=42.7791938781738,-73.6914215087891</v>
      </c>
    </row>
    <row r="8060" spans="1:7" ht="15" x14ac:dyDescent="0.3">
      <c r="A8060">
        <v>52.487190246582003</v>
      </c>
      <c r="B8060">
        <v>0.679989993572235</v>
      </c>
      <c r="C8060" t="s">
        <v>41</v>
      </c>
      <c r="D8060" t="s">
        <v>4408</v>
      </c>
      <c r="F8060" s="21"/>
      <c r="G8060" s="16" t="str">
        <f>HYPERLINK("http://maps.google.com/maps?f=q&amp;hl=en&amp;geocode=&amp;q=52.487190246582,0.679989993572235")</f>
        <v>http://maps.google.com/maps?f=q&amp;hl=en&amp;geocode=&amp;q=52.487190246582,0.679989993572235</v>
      </c>
    </row>
    <row r="8061" spans="1:7" ht="15" x14ac:dyDescent="0.3">
      <c r="A8061" t="s">
        <v>44</v>
      </c>
      <c r="B8061" t="s">
        <v>44</v>
      </c>
      <c r="C8061" t="s">
        <v>44</v>
      </c>
      <c r="D8061" t="s">
        <v>3361</v>
      </c>
      <c r="F8061" s="21"/>
      <c r="G8061" s="16"/>
    </row>
    <row r="8062" spans="1:7" ht="15" x14ac:dyDescent="0.3">
      <c r="A8062" t="s">
        <v>44</v>
      </c>
      <c r="B8062" t="s">
        <v>44</v>
      </c>
      <c r="C8062" t="s">
        <v>44</v>
      </c>
      <c r="D8062" t="s">
        <v>4532</v>
      </c>
      <c r="F8062" s="21"/>
      <c r="G8062" s="16"/>
    </row>
    <row r="8063" spans="1:7" ht="15" x14ac:dyDescent="0.3">
      <c r="A8063" t="s">
        <v>44</v>
      </c>
      <c r="B8063" t="s">
        <v>44</v>
      </c>
      <c r="C8063" t="s">
        <v>44</v>
      </c>
      <c r="D8063" t="s">
        <v>4760</v>
      </c>
      <c r="F8063" s="21"/>
      <c r="G8063" s="16"/>
    </row>
    <row r="8064" spans="1:7" ht="15" x14ac:dyDescent="0.3">
      <c r="A8064">
        <v>40.051012553491503</v>
      </c>
      <c r="B8064">
        <v>-75.144659490101802</v>
      </c>
      <c r="C8064" t="s">
        <v>41</v>
      </c>
      <c r="D8064" t="s">
        <v>4761</v>
      </c>
      <c r="F8064" s="21"/>
      <c r="G8064" s="16" t="str">
        <f>HYPERLINK("http://maps.google.com/maps?f=q&amp;hl=en&amp;geocode=&amp;q=40.0510125534915,-75.1446594901018")</f>
        <v>http://maps.google.com/maps?f=q&amp;hl=en&amp;geocode=&amp;q=40.0510125534915,-75.1446594901018</v>
      </c>
    </row>
    <row r="8065" spans="1:7" ht="15" x14ac:dyDescent="0.3">
      <c r="A8065">
        <v>43.082389831542997</v>
      </c>
      <c r="B8065">
        <v>-77.673004150390597</v>
      </c>
      <c r="C8065" t="s">
        <v>43</v>
      </c>
      <c r="D8065" t="s">
        <v>4762</v>
      </c>
      <c r="F8065" s="21"/>
      <c r="G8065" s="16" t="str">
        <f>HYPERLINK("http://maps.google.com/maps?f=q&amp;hl=en&amp;geocode=&amp;q=43.082389831543,-77.6730041503906")</f>
        <v>http://maps.google.com/maps?f=q&amp;hl=en&amp;geocode=&amp;q=43.082389831543,-77.6730041503906</v>
      </c>
    </row>
    <row r="8066" spans="1:7" ht="15" x14ac:dyDescent="0.3">
      <c r="A8066">
        <v>38.008740000000003</v>
      </c>
      <c r="B8066">
        <v>-95.170249999999996</v>
      </c>
      <c r="C8066" t="s">
        <v>42</v>
      </c>
      <c r="D8066" t="s">
        <v>4763</v>
      </c>
      <c r="F8066" s="21"/>
      <c r="G8066" s="16" t="str">
        <f>HYPERLINK("http://maps.google.com/maps?f=q&amp;hl=en&amp;geocode=&amp;q=38.00874,-95.17025")</f>
        <v>http://maps.google.com/maps?f=q&amp;hl=en&amp;geocode=&amp;q=38.00874,-95.17025</v>
      </c>
    </row>
    <row r="8067" spans="1:7" ht="15" x14ac:dyDescent="0.3">
      <c r="A8067">
        <v>37.843829999999997</v>
      </c>
      <c r="B8067">
        <v>-122.27504999999999</v>
      </c>
      <c r="C8067" t="s">
        <v>43</v>
      </c>
      <c r="D8067" t="s">
        <v>3475</v>
      </c>
      <c r="F8067" s="21"/>
      <c r="G8067" s="16" t="str">
        <f>HYPERLINK("http://maps.google.com/maps?f=q&amp;hl=en&amp;geocode=&amp;q=37.84383,-122.27505")</f>
        <v>http://maps.google.com/maps?f=q&amp;hl=en&amp;geocode=&amp;q=37.84383,-122.27505</v>
      </c>
    </row>
    <row r="8068" spans="1:7" ht="15" x14ac:dyDescent="0.3">
      <c r="A8068">
        <v>45.311309814453097</v>
      </c>
      <c r="B8068">
        <v>1.19650995731354</v>
      </c>
      <c r="C8068" t="s">
        <v>41</v>
      </c>
      <c r="D8068" t="s">
        <v>4764</v>
      </c>
      <c r="F8068" s="21"/>
      <c r="G8068" s="16" t="str">
        <f>HYPERLINK("http://maps.google.com/maps?f=q&amp;hl=en&amp;geocode=&amp;q=45.3113098144531,1.19650995731354")</f>
        <v>http://maps.google.com/maps?f=q&amp;hl=en&amp;geocode=&amp;q=45.3113098144531,1.19650995731354</v>
      </c>
    </row>
    <row r="8069" spans="1:7" ht="15" x14ac:dyDescent="0.3">
      <c r="A8069">
        <v>50.780136108398402</v>
      </c>
      <c r="B8069">
        <v>4.2288222312927202</v>
      </c>
      <c r="C8069" t="s">
        <v>43</v>
      </c>
      <c r="D8069" t="s">
        <v>2726</v>
      </c>
      <c r="F8069" s="21"/>
      <c r="G8069" s="16" t="str">
        <f>HYPERLINK("http://maps.google.com/maps?f=q&amp;hl=en&amp;geocode=&amp;q=50.7801361083984,4.22882223129272")</f>
        <v>http://maps.google.com/maps?f=q&amp;hl=en&amp;geocode=&amp;q=50.7801361083984,4.22882223129272</v>
      </c>
    </row>
    <row r="8070" spans="1:7" ht="15" x14ac:dyDescent="0.3">
      <c r="A8070">
        <v>32.767061528882401</v>
      </c>
      <c r="B8070">
        <v>-115.366395617064</v>
      </c>
      <c r="C8070" t="s">
        <v>41</v>
      </c>
      <c r="D8070" t="s">
        <v>3747</v>
      </c>
      <c r="F8070" s="21"/>
      <c r="G8070" s="16" t="str">
        <f>HYPERLINK("http://maps.google.com/maps?f=q&amp;hl=en&amp;geocode=&amp;q=32.7670615288824,-115.366395617064")</f>
        <v>http://maps.google.com/maps?f=q&amp;hl=en&amp;geocode=&amp;q=32.7670615288824,-115.366395617064</v>
      </c>
    </row>
    <row r="8071" spans="1:7" ht="15" x14ac:dyDescent="0.3">
      <c r="A8071">
        <v>29.9935434874413</v>
      </c>
      <c r="B8071">
        <v>-90.726040931303501</v>
      </c>
      <c r="C8071" t="s">
        <v>41</v>
      </c>
      <c r="D8071" t="s">
        <v>4765</v>
      </c>
      <c r="F8071" s="21"/>
      <c r="G8071" s="16" t="str">
        <f>HYPERLINK("http://maps.google.com/maps?f=q&amp;hl=en&amp;geocode=&amp;q=29.9935434874413,-90.7260409313035")</f>
        <v>http://maps.google.com/maps?f=q&amp;hl=en&amp;geocode=&amp;q=29.9935434874413,-90.7260409313035</v>
      </c>
    </row>
    <row r="8072" spans="1:7" ht="15" x14ac:dyDescent="0.3">
      <c r="A8072">
        <v>35.321916428819399</v>
      </c>
      <c r="B8072">
        <v>-82.6866264349581</v>
      </c>
      <c r="C8072" t="s">
        <v>41</v>
      </c>
      <c r="D8072" t="s">
        <v>3100</v>
      </c>
      <c r="F8072" s="21"/>
      <c r="G8072" s="16" t="str">
        <f>HYPERLINK("http://maps.google.com/maps?f=q&amp;hl=en&amp;geocode=&amp;q=35.3219164288194,-82.6866264349581")</f>
        <v>http://maps.google.com/maps?f=q&amp;hl=en&amp;geocode=&amp;q=35.3219164288194,-82.6866264349581</v>
      </c>
    </row>
    <row r="8073" spans="1:7" ht="15" x14ac:dyDescent="0.3">
      <c r="A8073">
        <v>35.321916428819399</v>
      </c>
      <c r="B8073">
        <v>-82.6866264349581</v>
      </c>
      <c r="C8073" t="s">
        <v>41</v>
      </c>
      <c r="D8073" t="s">
        <v>3100</v>
      </c>
      <c r="F8073" s="21"/>
      <c r="G8073" s="16" t="str">
        <f>HYPERLINK("http://maps.google.com/maps?f=q&amp;hl=en&amp;geocode=&amp;q=35.3219164288194,-82.6866264349581")</f>
        <v>http://maps.google.com/maps?f=q&amp;hl=en&amp;geocode=&amp;q=35.3219164288194,-82.6866264349581</v>
      </c>
    </row>
    <row r="8074" spans="1:7" ht="15" x14ac:dyDescent="0.3">
      <c r="A8074">
        <v>38.803043365478501</v>
      </c>
      <c r="B8074">
        <v>-9.3371095657348597</v>
      </c>
      <c r="C8074" t="s">
        <v>41</v>
      </c>
      <c r="D8074" t="s">
        <v>4766</v>
      </c>
      <c r="F8074" s="21"/>
      <c r="G8074" s="16" t="str">
        <f>HYPERLINK("http://maps.google.com/maps?f=q&amp;hl=en&amp;geocode=&amp;q=38.8030433654785,-9.33710956573486")</f>
        <v>http://maps.google.com/maps?f=q&amp;hl=en&amp;geocode=&amp;q=38.8030433654785,-9.33710956573486</v>
      </c>
    </row>
    <row r="8075" spans="1:7" ht="15" x14ac:dyDescent="0.3">
      <c r="A8075">
        <v>33.467250823974602</v>
      </c>
      <c r="B8075">
        <v>-96.913932800292997</v>
      </c>
      <c r="C8075" t="s">
        <v>43</v>
      </c>
      <c r="D8075" t="s">
        <v>4767</v>
      </c>
      <c r="F8075" s="21"/>
      <c r="G8075" s="16" t="str">
        <f>HYPERLINK("http://maps.google.com/maps?f=q&amp;hl=en&amp;geocode=&amp;q=33.4672508239746,-96.913932800293")</f>
        <v>http://maps.google.com/maps?f=q&amp;hl=en&amp;geocode=&amp;q=33.4672508239746,-96.913932800293</v>
      </c>
    </row>
    <row r="8076" spans="1:7" ht="15" x14ac:dyDescent="0.3">
      <c r="A8076">
        <v>40.021224486271201</v>
      </c>
      <c r="B8076">
        <v>-75.059785237227103</v>
      </c>
      <c r="C8076" t="s">
        <v>41</v>
      </c>
      <c r="D8076" t="s">
        <v>4207</v>
      </c>
      <c r="F8076" s="21"/>
      <c r="G8076" s="16" t="str">
        <f>HYPERLINK("http://maps.google.com/maps?f=q&amp;hl=en&amp;geocode=&amp;q=40.0212244862712,-75.0597852372271")</f>
        <v>http://maps.google.com/maps?f=q&amp;hl=en&amp;geocode=&amp;q=40.0212244862712,-75.0597852372271</v>
      </c>
    </row>
    <row r="8077" spans="1:7" ht="15" x14ac:dyDescent="0.3">
      <c r="A8077">
        <v>40.021224486271201</v>
      </c>
      <c r="B8077">
        <v>-75.059785237227103</v>
      </c>
      <c r="C8077" t="s">
        <v>41</v>
      </c>
      <c r="D8077" t="s">
        <v>4207</v>
      </c>
      <c r="F8077" s="21"/>
      <c r="G8077" s="16" t="str">
        <f>HYPERLINK("http://maps.google.com/maps?f=q&amp;hl=en&amp;geocode=&amp;q=40.0212244862712,-75.0597852372271")</f>
        <v>http://maps.google.com/maps?f=q&amp;hl=en&amp;geocode=&amp;q=40.0212244862712,-75.0597852372271</v>
      </c>
    </row>
    <row r="8078" spans="1:7" ht="15" x14ac:dyDescent="0.3">
      <c r="A8078">
        <v>40.021224486271201</v>
      </c>
      <c r="B8078">
        <v>-75.059785237227103</v>
      </c>
      <c r="C8078" t="s">
        <v>41</v>
      </c>
      <c r="D8078" t="s">
        <v>4207</v>
      </c>
      <c r="F8078" s="21"/>
      <c r="G8078" s="16" t="str">
        <f>HYPERLINK("http://maps.google.com/maps?f=q&amp;hl=en&amp;geocode=&amp;q=40.0212244862712,-75.0597852372271")</f>
        <v>http://maps.google.com/maps?f=q&amp;hl=en&amp;geocode=&amp;q=40.0212244862712,-75.0597852372271</v>
      </c>
    </row>
    <row r="8079" spans="1:7" ht="15" x14ac:dyDescent="0.3">
      <c r="A8079">
        <v>39.238015035212896</v>
      </c>
      <c r="B8079">
        <v>-94.419972927793907</v>
      </c>
      <c r="C8079" t="s">
        <v>41</v>
      </c>
      <c r="D8079" t="s">
        <v>4768</v>
      </c>
      <c r="F8079" s="21"/>
      <c r="G8079" s="16" t="str">
        <f>HYPERLINK("http://maps.google.com/maps?f=q&amp;hl=en&amp;geocode=&amp;q=39.2380150352129,-94.4199729277939")</f>
        <v>http://maps.google.com/maps?f=q&amp;hl=en&amp;geocode=&amp;q=39.2380150352129,-94.4199729277939</v>
      </c>
    </row>
    <row r="8080" spans="1:7" ht="15" x14ac:dyDescent="0.3">
      <c r="A8080">
        <v>42.028280000000002</v>
      </c>
      <c r="B8080">
        <v>-87.722430000000003</v>
      </c>
      <c r="C8080" t="s">
        <v>41</v>
      </c>
      <c r="D8080" t="s">
        <v>376</v>
      </c>
      <c r="F8080" s="21"/>
      <c r="G8080" s="16" t="str">
        <f>HYPERLINK("http://maps.google.com/maps?f=q&amp;hl=en&amp;geocode=&amp;q=42.02828,-87.72243")</f>
        <v>http://maps.google.com/maps?f=q&amp;hl=en&amp;geocode=&amp;q=42.02828,-87.72243</v>
      </c>
    </row>
    <row r="8081" spans="1:7" ht="15" x14ac:dyDescent="0.3">
      <c r="A8081">
        <v>39.238015035212896</v>
      </c>
      <c r="B8081">
        <v>-94.419972927793907</v>
      </c>
      <c r="C8081" t="s">
        <v>41</v>
      </c>
      <c r="D8081" t="s">
        <v>4768</v>
      </c>
      <c r="F8081" s="21"/>
      <c r="G8081" s="16" t="str">
        <f>HYPERLINK("http://maps.google.com/maps?f=q&amp;hl=en&amp;geocode=&amp;q=39.2380150352129,-94.4199729277939")</f>
        <v>http://maps.google.com/maps?f=q&amp;hl=en&amp;geocode=&amp;q=39.2380150352129,-94.4199729277939</v>
      </c>
    </row>
    <row r="8082" spans="1:7" ht="15" x14ac:dyDescent="0.3">
      <c r="A8082">
        <v>41.292074126967997</v>
      </c>
      <c r="B8082">
        <v>-70.135138889559101</v>
      </c>
      <c r="C8082" t="s">
        <v>43</v>
      </c>
      <c r="D8082" t="s">
        <v>4769</v>
      </c>
      <c r="F8082" s="21"/>
      <c r="G8082" s="16" t="str">
        <f>HYPERLINK("http://maps.google.com/maps?f=q&amp;hl=en&amp;geocode=&amp;q=41.292074126968,-70.1351388895591")</f>
        <v>http://maps.google.com/maps?f=q&amp;hl=en&amp;geocode=&amp;q=41.292074126968,-70.1351388895591</v>
      </c>
    </row>
    <row r="8083" spans="1:7" ht="15" x14ac:dyDescent="0.3">
      <c r="A8083">
        <v>40.038661287693003</v>
      </c>
      <c r="B8083">
        <v>-75.072357650345793</v>
      </c>
      <c r="C8083" t="s">
        <v>41</v>
      </c>
      <c r="D8083" t="s">
        <v>4770</v>
      </c>
      <c r="F8083" s="21"/>
      <c r="G8083" s="16" t="str">
        <f>HYPERLINK("http://maps.google.com/maps?f=q&amp;hl=en&amp;geocode=&amp;q=40.038661287693,-75.0723576503458")</f>
        <v>http://maps.google.com/maps?f=q&amp;hl=en&amp;geocode=&amp;q=40.038661287693,-75.0723576503458</v>
      </c>
    </row>
    <row r="8084" spans="1:7" ht="15" x14ac:dyDescent="0.3">
      <c r="A8084">
        <v>37.6307527593533</v>
      </c>
      <c r="B8084">
        <v>-80.985487552934401</v>
      </c>
      <c r="C8084" t="s">
        <v>41</v>
      </c>
      <c r="D8084" t="s">
        <v>84</v>
      </c>
      <c r="F8084" s="21"/>
      <c r="G8084" s="16" t="str">
        <f>HYPERLINK("http://maps.google.com/maps?f=q&amp;hl=en&amp;geocode=&amp;q=37.6307527593533,-80.9854875529344")</f>
        <v>http://maps.google.com/maps?f=q&amp;hl=en&amp;geocode=&amp;q=37.6307527593533,-80.9854875529344</v>
      </c>
    </row>
    <row r="8085" spans="1:7" ht="15" x14ac:dyDescent="0.3">
      <c r="A8085">
        <v>52.543731689453097</v>
      </c>
      <c r="B8085">
        <v>-8.3495998382568395</v>
      </c>
      <c r="C8085" t="s">
        <v>43</v>
      </c>
      <c r="D8085" t="s">
        <v>4771</v>
      </c>
      <c r="F8085" s="21"/>
      <c r="G8085" s="16" t="str">
        <f>HYPERLINK("http://maps.google.com/maps?f=q&amp;hl=en&amp;geocode=&amp;q=52.5437316894531,-8.34959983825684")</f>
        <v>http://maps.google.com/maps?f=q&amp;hl=en&amp;geocode=&amp;q=52.5437316894531,-8.34959983825684</v>
      </c>
    </row>
    <row r="8086" spans="1:7" ht="15" x14ac:dyDescent="0.3">
      <c r="A8086">
        <v>33.957406680763</v>
      </c>
      <c r="B8086">
        <v>-117.46883591819601</v>
      </c>
      <c r="C8086" t="s">
        <v>41</v>
      </c>
      <c r="D8086" t="s">
        <v>4772</v>
      </c>
      <c r="F8086" s="21"/>
      <c r="G8086" s="16" t="str">
        <f>HYPERLINK("http://maps.google.com/maps?f=q&amp;hl=en&amp;geocode=&amp;q=33.957406680763,-117.468835918196")</f>
        <v>http://maps.google.com/maps?f=q&amp;hl=en&amp;geocode=&amp;q=33.957406680763,-117.468835918196</v>
      </c>
    </row>
    <row r="8087" spans="1:7" ht="15" x14ac:dyDescent="0.3">
      <c r="A8087">
        <v>31.010542659550101</v>
      </c>
      <c r="B8087">
        <v>-86.338398881661206</v>
      </c>
      <c r="C8087" t="s">
        <v>41</v>
      </c>
      <c r="D8087" t="s">
        <v>4773</v>
      </c>
      <c r="F8087" s="21"/>
      <c r="G8087" s="16" t="str">
        <f>HYPERLINK("http://maps.google.com/maps?f=q&amp;hl=en&amp;geocode=&amp;q=31.0105426595501,-86.3383988816612")</f>
        <v>http://maps.google.com/maps?f=q&amp;hl=en&amp;geocode=&amp;q=31.0105426595501,-86.3383988816612</v>
      </c>
    </row>
    <row r="8088" spans="1:7" ht="15" x14ac:dyDescent="0.3">
      <c r="A8088">
        <v>33.459620000000001</v>
      </c>
      <c r="B8088">
        <v>-112.04765999999999</v>
      </c>
      <c r="C8088" t="s">
        <v>43</v>
      </c>
      <c r="D8088" t="s">
        <v>4774</v>
      </c>
      <c r="F8088" s="21"/>
      <c r="G8088" s="16" t="str">
        <f>HYPERLINK("http://maps.google.com/maps?f=q&amp;hl=en&amp;geocode=&amp;q=33.45962,-112.04766")</f>
        <v>http://maps.google.com/maps?f=q&amp;hl=en&amp;geocode=&amp;q=33.45962,-112.04766</v>
      </c>
    </row>
    <row r="8089" spans="1:7" ht="15" x14ac:dyDescent="0.3">
      <c r="A8089">
        <v>40.17013</v>
      </c>
      <c r="B8089">
        <v>-74.019440000000003</v>
      </c>
      <c r="C8089" t="s">
        <v>43</v>
      </c>
      <c r="D8089" t="s">
        <v>4775</v>
      </c>
      <c r="F8089" s="21"/>
      <c r="G8089" s="16" t="str">
        <f>HYPERLINK("http://maps.google.com/maps?f=q&amp;hl=en&amp;geocode=&amp;q=40.17013,-74.01944")</f>
        <v>http://maps.google.com/maps?f=q&amp;hl=en&amp;geocode=&amp;q=40.17013,-74.01944</v>
      </c>
    </row>
    <row r="8090" spans="1:7" ht="15" x14ac:dyDescent="0.3">
      <c r="A8090">
        <v>40.097611999999998</v>
      </c>
      <c r="B8090">
        <v>-85.680100999999993</v>
      </c>
      <c r="C8090" t="s">
        <v>43</v>
      </c>
      <c r="D8090" t="s">
        <v>4776</v>
      </c>
      <c r="F8090" s="21"/>
      <c r="G8090" s="16" t="str">
        <f>HYPERLINK("http://maps.google.com/maps?f=q&amp;hl=en&amp;geocode=&amp;q=40.097612,-85.680101")</f>
        <v>http://maps.google.com/maps?f=q&amp;hl=en&amp;geocode=&amp;q=40.097612,-85.680101</v>
      </c>
    </row>
    <row r="8091" spans="1:7" ht="15" x14ac:dyDescent="0.3">
      <c r="A8091">
        <v>35.780697571294397</v>
      </c>
      <c r="B8091">
        <v>-81.763800742903001</v>
      </c>
      <c r="C8091" t="s">
        <v>41</v>
      </c>
      <c r="D8091" t="s">
        <v>4777</v>
      </c>
      <c r="F8091" s="21"/>
      <c r="G8091" s="16" t="str">
        <f>HYPERLINK("http://maps.google.com/maps?f=q&amp;hl=en&amp;geocode=&amp;q=35.7806975712944,-81.763800742903")</f>
        <v>http://maps.google.com/maps?f=q&amp;hl=en&amp;geocode=&amp;q=35.7806975712944,-81.763800742903</v>
      </c>
    </row>
    <row r="8092" spans="1:7" ht="15" x14ac:dyDescent="0.3">
      <c r="A8092">
        <v>-36.706359900000002</v>
      </c>
      <c r="B8092">
        <v>142.21646000000001</v>
      </c>
      <c r="C8092" t="s">
        <v>41</v>
      </c>
      <c r="D8092" t="s">
        <v>4778</v>
      </c>
      <c r="F8092" s="21"/>
      <c r="G8092" s="16" t="str">
        <f>HYPERLINK("http://maps.google.com/maps?f=q&amp;hl=en&amp;geocode=&amp;q=-36.7063599,142.21646")</f>
        <v>http://maps.google.com/maps?f=q&amp;hl=en&amp;geocode=&amp;q=-36.7063599,142.21646</v>
      </c>
    </row>
    <row r="8093" spans="1:7" ht="15" x14ac:dyDescent="0.3">
      <c r="A8093">
        <v>51.508949279785199</v>
      </c>
      <c r="B8093">
        <v>-1.7500000074505799E-2</v>
      </c>
      <c r="C8093" t="s">
        <v>41</v>
      </c>
      <c r="D8093" t="s">
        <v>4779</v>
      </c>
      <c r="F8093" s="21"/>
      <c r="G8093" s="16" t="str">
        <f>HYPERLINK("http://maps.google.com/maps?f=q&amp;hl=en&amp;geocode=&amp;q=51.5089492797852,-0.0175000000745058")</f>
        <v>http://maps.google.com/maps?f=q&amp;hl=en&amp;geocode=&amp;q=51.5089492797852,-0.0175000000745058</v>
      </c>
    </row>
    <row r="8094" spans="1:7" ht="15" x14ac:dyDescent="0.3">
      <c r="A8094">
        <v>-27.669080000000001</v>
      </c>
      <c r="B8094">
        <v>152.92021</v>
      </c>
      <c r="C8094" t="s">
        <v>41</v>
      </c>
      <c r="D8094" t="s">
        <v>4780</v>
      </c>
      <c r="F8094" s="21"/>
      <c r="G8094" s="16" t="str">
        <f>HYPERLINK("http://maps.google.com/maps?f=q&amp;hl=en&amp;geocode=&amp;q=-27.66908,152.92021")</f>
        <v>http://maps.google.com/maps?f=q&amp;hl=en&amp;geocode=&amp;q=-27.66908,152.92021</v>
      </c>
    </row>
    <row r="8095" spans="1:7" ht="15" x14ac:dyDescent="0.3">
      <c r="A8095">
        <v>35.478633063115602</v>
      </c>
      <c r="B8095">
        <v>-97.590555996958599</v>
      </c>
      <c r="C8095" t="s">
        <v>41</v>
      </c>
      <c r="D8095" t="s">
        <v>3959</v>
      </c>
      <c r="F8095" s="21"/>
      <c r="G8095" s="16" t="str">
        <f>HYPERLINK("http://maps.google.com/maps?f=q&amp;hl=en&amp;geocode=&amp;q=35.4786330631156,-97.5905559969586")</f>
        <v>http://maps.google.com/maps?f=q&amp;hl=en&amp;geocode=&amp;q=35.4786330631156,-97.5905559969586</v>
      </c>
    </row>
    <row r="8096" spans="1:7" ht="15" x14ac:dyDescent="0.3">
      <c r="A8096">
        <v>39.964741807726398</v>
      </c>
      <c r="B8096">
        <v>-75.231684684514804</v>
      </c>
      <c r="C8096" t="s">
        <v>41</v>
      </c>
      <c r="D8096" t="s">
        <v>1742</v>
      </c>
      <c r="F8096" s="21"/>
      <c r="G8096" s="16" t="str">
        <f>HYPERLINK("http://maps.google.com/maps?f=q&amp;hl=en&amp;geocode=&amp;q=39.9647418077264,-75.2316846845148")</f>
        <v>http://maps.google.com/maps?f=q&amp;hl=en&amp;geocode=&amp;q=39.9647418077264,-75.2316846845148</v>
      </c>
    </row>
    <row r="8097" spans="1:7" ht="15" x14ac:dyDescent="0.3">
      <c r="A8097">
        <v>39.927070000000001</v>
      </c>
      <c r="B8097">
        <v>-75.180880000000002</v>
      </c>
      <c r="C8097" t="s">
        <v>43</v>
      </c>
      <c r="D8097" t="s">
        <v>4781</v>
      </c>
      <c r="F8097" s="21"/>
      <c r="G8097" s="16" t="str">
        <f>HYPERLINK("http://maps.google.com/maps?f=q&amp;hl=en&amp;geocode=&amp;q=39.92707,-75.18088")</f>
        <v>http://maps.google.com/maps?f=q&amp;hl=en&amp;geocode=&amp;q=39.92707,-75.18088</v>
      </c>
    </row>
    <row r="8098" spans="1:7" ht="15" x14ac:dyDescent="0.3">
      <c r="A8098">
        <v>40.044629999999998</v>
      </c>
      <c r="B8098">
        <v>-75.080349999999996</v>
      </c>
      <c r="C8098" t="s">
        <v>41</v>
      </c>
      <c r="D8098" t="s">
        <v>4782</v>
      </c>
      <c r="F8098" s="21"/>
      <c r="G8098" s="16" t="str">
        <f>HYPERLINK("http://maps.google.com/maps?f=q&amp;hl=en&amp;geocode=&amp;q=40.04463,-75.08035")</f>
        <v>http://maps.google.com/maps?f=q&amp;hl=en&amp;geocode=&amp;q=40.04463,-75.08035</v>
      </c>
    </row>
    <row r="8099" spans="1:7" ht="15" x14ac:dyDescent="0.3">
      <c r="A8099">
        <v>39.927070000000001</v>
      </c>
      <c r="B8099">
        <v>-75.180880000000002</v>
      </c>
      <c r="C8099" t="s">
        <v>43</v>
      </c>
      <c r="D8099" t="s">
        <v>4781</v>
      </c>
      <c r="F8099" s="21"/>
      <c r="G8099" s="16" t="str">
        <f>HYPERLINK("http://maps.google.com/maps?f=q&amp;hl=en&amp;geocode=&amp;q=39.92707,-75.18088")</f>
        <v>http://maps.google.com/maps?f=q&amp;hl=en&amp;geocode=&amp;q=39.92707,-75.18088</v>
      </c>
    </row>
    <row r="8100" spans="1:7" ht="15" x14ac:dyDescent="0.3">
      <c r="A8100">
        <v>44.148738861083999</v>
      </c>
      <c r="B8100">
        <v>4.0363497734069798</v>
      </c>
      <c r="C8100" t="s">
        <v>43</v>
      </c>
      <c r="D8100" t="s">
        <v>4783</v>
      </c>
      <c r="F8100" s="21"/>
      <c r="G8100" s="16" t="str">
        <f>HYPERLINK("http://maps.google.com/maps?f=q&amp;hl=en&amp;geocode=&amp;q=44.148738861084,4.03634977340698")</f>
        <v>http://maps.google.com/maps?f=q&amp;hl=en&amp;geocode=&amp;q=44.148738861084,4.03634977340698</v>
      </c>
    </row>
    <row r="8101" spans="1:7" ht="15" x14ac:dyDescent="0.3">
      <c r="A8101">
        <v>39.934911833693498</v>
      </c>
      <c r="B8101">
        <v>-75.174656552581794</v>
      </c>
      <c r="C8101" t="s">
        <v>41</v>
      </c>
      <c r="D8101" t="s">
        <v>3213</v>
      </c>
      <c r="F8101" s="21"/>
      <c r="G8101" s="16" t="str">
        <f>HYPERLINK("http://maps.google.com/maps?f=q&amp;hl=en&amp;geocode=&amp;q=39.9349118336935,-75.1746565525818")</f>
        <v>http://maps.google.com/maps?f=q&amp;hl=en&amp;geocode=&amp;q=39.9349118336935,-75.1746565525818</v>
      </c>
    </row>
    <row r="8102" spans="1:7" ht="15" x14ac:dyDescent="0.3">
      <c r="A8102">
        <v>39.8439545413529</v>
      </c>
      <c r="B8102">
        <v>-77.6063966345653</v>
      </c>
      <c r="C8102" t="s">
        <v>41</v>
      </c>
      <c r="D8102" t="s">
        <v>3669</v>
      </c>
      <c r="F8102" s="21"/>
      <c r="G8102" s="16" t="str">
        <f>HYPERLINK("http://maps.google.com/maps?f=q&amp;hl=en&amp;geocode=&amp;q=39.8439545413529,-77.6063966345653")</f>
        <v>http://maps.google.com/maps?f=q&amp;hl=en&amp;geocode=&amp;q=39.8439545413529,-77.6063966345653</v>
      </c>
    </row>
    <row r="8103" spans="1:7" ht="15" x14ac:dyDescent="0.3">
      <c r="A8103">
        <v>42.698020935058601</v>
      </c>
      <c r="B8103">
        <v>23.813207626342798</v>
      </c>
      <c r="C8103" t="s">
        <v>41</v>
      </c>
      <c r="D8103" t="s">
        <v>4784</v>
      </c>
      <c r="F8103" s="21"/>
      <c r="G8103" s="16" t="str">
        <f>HYPERLINK("http://maps.google.com/maps?f=q&amp;hl=en&amp;geocode=&amp;q=42.6980209350586,23.8132076263428")</f>
        <v>http://maps.google.com/maps?f=q&amp;hl=en&amp;geocode=&amp;q=42.6980209350586,23.8132076263428</v>
      </c>
    </row>
    <row r="8104" spans="1:7" ht="15" x14ac:dyDescent="0.3">
      <c r="A8104">
        <v>-33.6612548828125</v>
      </c>
      <c r="B8104">
        <v>151.29017639160199</v>
      </c>
      <c r="C8104" t="s">
        <v>41</v>
      </c>
      <c r="D8104" t="s">
        <v>4785</v>
      </c>
      <c r="F8104" s="21"/>
      <c r="G8104" s="16" t="str">
        <f>HYPERLINK("http://maps.google.com/maps?f=q&amp;hl=en&amp;geocode=&amp;q=-33.6612548828125,151.290176391602")</f>
        <v>http://maps.google.com/maps?f=q&amp;hl=en&amp;geocode=&amp;q=-33.6612548828125,151.290176391602</v>
      </c>
    </row>
    <row r="8105" spans="1:7" ht="15" x14ac:dyDescent="0.3">
      <c r="A8105">
        <v>34.9772053268644</v>
      </c>
      <c r="B8105">
        <v>-89.636921739576195</v>
      </c>
      <c r="C8105" t="s">
        <v>43</v>
      </c>
      <c r="D8105" t="s">
        <v>4786</v>
      </c>
      <c r="F8105" s="21"/>
      <c r="G8105" s="16" t="str">
        <f>HYPERLINK("http://maps.google.com/maps?f=q&amp;hl=en&amp;geocode=&amp;q=34.9772053268644,-89.6369217395762")</f>
        <v>http://maps.google.com/maps?f=q&amp;hl=en&amp;geocode=&amp;q=34.9772053268644,-89.6369217395762</v>
      </c>
    </row>
    <row r="8106" spans="1:7" ht="15" x14ac:dyDescent="0.3">
      <c r="A8106">
        <v>42.447338118718697</v>
      </c>
      <c r="B8106">
        <v>-76.471925692677203</v>
      </c>
      <c r="C8106" t="s">
        <v>42</v>
      </c>
      <c r="D8106" t="s">
        <v>4787</v>
      </c>
      <c r="F8106" s="21"/>
      <c r="G8106" s="16" t="str">
        <f>HYPERLINK("http://maps.google.com/maps?f=q&amp;hl=en&amp;geocode=&amp;q=42.4473381187187,-76.4719256926772")</f>
        <v>http://maps.google.com/maps?f=q&amp;hl=en&amp;geocode=&amp;q=42.4473381187187,-76.4719256926772</v>
      </c>
    </row>
    <row r="8107" spans="1:7" ht="15" x14ac:dyDescent="0.3">
      <c r="A8107">
        <v>42.447338118718697</v>
      </c>
      <c r="B8107">
        <v>-76.471925692677203</v>
      </c>
      <c r="C8107" t="s">
        <v>42</v>
      </c>
      <c r="D8107" t="s">
        <v>4787</v>
      </c>
      <c r="F8107" s="21"/>
      <c r="G8107" s="16" t="str">
        <f>HYPERLINK("http://maps.google.com/maps?f=q&amp;hl=en&amp;geocode=&amp;q=42.4473381187187,-76.4719256926772")</f>
        <v>http://maps.google.com/maps?f=q&amp;hl=en&amp;geocode=&amp;q=42.4473381187187,-76.4719256926772</v>
      </c>
    </row>
    <row r="8108" spans="1:7" ht="15" x14ac:dyDescent="0.3">
      <c r="A8108">
        <v>42.447338118718697</v>
      </c>
      <c r="B8108">
        <v>-76.471925692677203</v>
      </c>
      <c r="C8108" t="s">
        <v>42</v>
      </c>
      <c r="D8108" t="s">
        <v>4787</v>
      </c>
      <c r="F8108" s="21"/>
      <c r="G8108" s="16" t="str">
        <f>HYPERLINK("http://maps.google.com/maps?f=q&amp;hl=en&amp;geocode=&amp;q=42.4473381187187,-76.4719256926772")</f>
        <v>http://maps.google.com/maps?f=q&amp;hl=en&amp;geocode=&amp;q=42.4473381187187,-76.4719256926772</v>
      </c>
    </row>
    <row r="8109" spans="1:7" ht="15" x14ac:dyDescent="0.3">
      <c r="A8109" t="s">
        <v>44</v>
      </c>
      <c r="B8109" t="s">
        <v>44</v>
      </c>
      <c r="C8109" t="s">
        <v>44</v>
      </c>
      <c r="D8109" t="s">
        <v>546</v>
      </c>
      <c r="F8109" s="21"/>
      <c r="G8109" s="16"/>
    </row>
    <row r="8110" spans="1:7" ht="15" x14ac:dyDescent="0.3">
      <c r="A8110">
        <v>39.957909999999998</v>
      </c>
      <c r="B8110">
        <v>-75.208160000000007</v>
      </c>
      <c r="C8110" t="s">
        <v>43</v>
      </c>
      <c r="D8110" t="s">
        <v>4788</v>
      </c>
      <c r="F8110" s="21"/>
      <c r="G8110" s="16" t="str">
        <f>HYPERLINK("http://maps.google.com/maps?f=q&amp;hl=en&amp;geocode=&amp;q=39.95791,-75.20816")</f>
        <v>http://maps.google.com/maps?f=q&amp;hl=en&amp;geocode=&amp;q=39.95791,-75.20816</v>
      </c>
    </row>
    <row r="8111" spans="1:7" ht="15" x14ac:dyDescent="0.3">
      <c r="A8111">
        <v>29.6948247475312</v>
      </c>
      <c r="B8111">
        <v>-95.352270013052305</v>
      </c>
      <c r="C8111" t="s">
        <v>41</v>
      </c>
      <c r="D8111" t="s">
        <v>2995</v>
      </c>
      <c r="F8111" s="21"/>
      <c r="G8111" s="16" t="str">
        <f>HYPERLINK("http://maps.google.com/maps?f=q&amp;hl=en&amp;geocode=&amp;q=29.6948247475312,-95.3522700130523")</f>
        <v>http://maps.google.com/maps?f=q&amp;hl=en&amp;geocode=&amp;q=29.6948247475312,-95.3522700130523</v>
      </c>
    </row>
    <row r="8112" spans="1:7" ht="15" x14ac:dyDescent="0.3">
      <c r="A8112">
        <v>40.027999999999999</v>
      </c>
      <c r="B8112">
        <v>-75.132339999999999</v>
      </c>
      <c r="C8112" t="s">
        <v>42</v>
      </c>
      <c r="D8112" t="s">
        <v>1087</v>
      </c>
      <c r="F8112" s="21"/>
      <c r="G8112" s="16" t="str">
        <f>HYPERLINK("http://maps.google.com/maps?f=q&amp;hl=en&amp;geocode=&amp;q=40.028,-75.13234")</f>
        <v>http://maps.google.com/maps?f=q&amp;hl=en&amp;geocode=&amp;q=40.028,-75.13234</v>
      </c>
    </row>
    <row r="8113" spans="1:7" ht="15" x14ac:dyDescent="0.3">
      <c r="A8113">
        <v>40.572113037109403</v>
      </c>
      <c r="B8113">
        <v>-4.9450531005859402</v>
      </c>
      <c r="C8113" t="s">
        <v>43</v>
      </c>
      <c r="D8113" t="s">
        <v>4789</v>
      </c>
      <c r="F8113" s="21"/>
      <c r="G8113" s="16" t="str">
        <f>HYPERLINK("http://maps.google.com/maps?f=q&amp;hl=en&amp;geocode=&amp;q=40.5721130371094,-4.94505310058594")</f>
        <v>http://maps.google.com/maps?f=q&amp;hl=en&amp;geocode=&amp;q=40.5721130371094,-4.94505310058594</v>
      </c>
    </row>
    <row r="8114" spans="1:7" ht="15" x14ac:dyDescent="0.3">
      <c r="A8114" t="s">
        <v>44</v>
      </c>
      <c r="B8114" t="s">
        <v>44</v>
      </c>
      <c r="C8114" t="s">
        <v>44</v>
      </c>
      <c r="D8114" t="s">
        <v>4438</v>
      </c>
      <c r="F8114" s="21"/>
      <c r="G8114" s="16"/>
    </row>
    <row r="8115" spans="1:7" ht="15" x14ac:dyDescent="0.3">
      <c r="A8115">
        <v>40.193464969506998</v>
      </c>
      <c r="B8115">
        <v>-110.04792045993</v>
      </c>
      <c r="C8115" t="s">
        <v>42</v>
      </c>
      <c r="D8115" t="s">
        <v>2748</v>
      </c>
      <c r="F8115" s="21"/>
      <c r="G8115" s="16" t="str">
        <f>HYPERLINK("http://maps.google.com/maps?f=q&amp;hl=en&amp;geocode=&amp;q=40.193464969507,-110.04792045993")</f>
        <v>http://maps.google.com/maps?f=q&amp;hl=en&amp;geocode=&amp;q=40.193464969507,-110.04792045993</v>
      </c>
    </row>
    <row r="8116" spans="1:7" ht="15" x14ac:dyDescent="0.3">
      <c r="A8116">
        <v>27.708379999999998</v>
      </c>
      <c r="B8116">
        <v>-82.658699999999996</v>
      </c>
      <c r="C8116" t="s">
        <v>43</v>
      </c>
      <c r="D8116" t="s">
        <v>4790</v>
      </c>
      <c r="F8116" s="21"/>
      <c r="G8116" s="16" t="str">
        <f>HYPERLINK("http://maps.google.com/maps?f=q&amp;hl=en&amp;geocode=&amp;q=27.70838,-82.6587")</f>
        <v>http://maps.google.com/maps?f=q&amp;hl=en&amp;geocode=&amp;q=27.70838,-82.6587</v>
      </c>
    </row>
    <row r="8117" spans="1:7" ht="15" x14ac:dyDescent="0.3">
      <c r="A8117">
        <v>39.990749999999998</v>
      </c>
      <c r="B8117">
        <v>-75.13091</v>
      </c>
      <c r="C8117" t="s">
        <v>41</v>
      </c>
      <c r="D8117" t="s">
        <v>4791</v>
      </c>
      <c r="F8117" s="21"/>
      <c r="G8117" s="16" t="str">
        <f>HYPERLINK("http://maps.google.com/maps?f=q&amp;hl=en&amp;geocode=&amp;q=39.99075,-75.13091")</f>
        <v>http://maps.google.com/maps?f=q&amp;hl=en&amp;geocode=&amp;q=39.99075,-75.13091</v>
      </c>
    </row>
    <row r="8118" spans="1:7" ht="15" x14ac:dyDescent="0.3">
      <c r="A8118">
        <v>38.470259810760297</v>
      </c>
      <c r="B8118">
        <v>-81.499467432929293</v>
      </c>
      <c r="C8118" t="s">
        <v>41</v>
      </c>
      <c r="D8118" t="s">
        <v>1175</v>
      </c>
      <c r="F8118" s="21"/>
      <c r="G8118" s="16" t="str">
        <f>HYPERLINK("http://maps.google.com/maps?f=q&amp;hl=en&amp;geocode=&amp;q=38.4702598107603,-81.4994674329293")</f>
        <v>http://maps.google.com/maps?f=q&amp;hl=en&amp;geocode=&amp;q=38.4702598107603,-81.4994674329293</v>
      </c>
    </row>
    <row r="8119" spans="1:7" ht="15" x14ac:dyDescent="0.3">
      <c r="A8119">
        <v>52.487190246582003</v>
      </c>
      <c r="B8119">
        <v>0.679989993572235</v>
      </c>
      <c r="C8119" t="s">
        <v>41</v>
      </c>
      <c r="D8119" t="s">
        <v>2882</v>
      </c>
      <c r="F8119" s="21"/>
      <c r="G8119" s="16" t="str">
        <f>HYPERLINK("http://maps.google.com/maps?f=q&amp;hl=en&amp;geocode=&amp;q=52.487190246582,0.679989993572235")</f>
        <v>http://maps.google.com/maps?f=q&amp;hl=en&amp;geocode=&amp;q=52.487190246582,0.679989993572235</v>
      </c>
    </row>
    <row r="8120" spans="1:7" ht="15" x14ac:dyDescent="0.3">
      <c r="A8120">
        <v>47.202430725097699</v>
      </c>
      <c r="B8120">
        <v>19.835624694824201</v>
      </c>
      <c r="C8120" t="s">
        <v>43</v>
      </c>
      <c r="D8120" t="s">
        <v>3434</v>
      </c>
      <c r="F8120" s="21"/>
      <c r="G8120" s="16" t="str">
        <f>HYPERLINK("http://maps.google.com/maps?f=q&amp;hl=en&amp;geocode=&amp;q=47.2024307250977,19.8356246948242")</f>
        <v>http://maps.google.com/maps?f=q&amp;hl=en&amp;geocode=&amp;q=47.2024307250977,19.8356246948242</v>
      </c>
    </row>
    <row r="8121" spans="1:7" ht="15" x14ac:dyDescent="0.3">
      <c r="A8121">
        <v>47.055850982666001</v>
      </c>
      <c r="B8121">
        <v>6.7508301734924299</v>
      </c>
      <c r="C8121" t="s">
        <v>43</v>
      </c>
      <c r="D8121" t="s">
        <v>2283</v>
      </c>
      <c r="F8121" s="21"/>
      <c r="G8121" s="16" t="str">
        <f>HYPERLINK("http://maps.google.com/maps?f=q&amp;hl=en&amp;geocode=&amp;q=47.055850982666,6.75083017349243")</f>
        <v>http://maps.google.com/maps?f=q&amp;hl=en&amp;geocode=&amp;q=47.055850982666,6.75083017349243</v>
      </c>
    </row>
    <row r="8122" spans="1:7" ht="15" x14ac:dyDescent="0.3">
      <c r="A8122">
        <v>47.202430725097699</v>
      </c>
      <c r="B8122">
        <v>19.835624694824201</v>
      </c>
      <c r="C8122" t="s">
        <v>43</v>
      </c>
      <c r="D8122" t="s">
        <v>3434</v>
      </c>
      <c r="F8122" s="21"/>
      <c r="G8122" s="16" t="str">
        <f>HYPERLINK("http://maps.google.com/maps?f=q&amp;hl=en&amp;geocode=&amp;q=47.2024307250977,19.8356246948242")</f>
        <v>http://maps.google.com/maps?f=q&amp;hl=en&amp;geocode=&amp;q=47.2024307250977,19.8356246948242</v>
      </c>
    </row>
    <row r="8123" spans="1:7" ht="15" x14ac:dyDescent="0.3">
      <c r="A8123">
        <v>29.94772</v>
      </c>
      <c r="B8123">
        <v>-93.937799999999996</v>
      </c>
      <c r="C8123" t="s">
        <v>41</v>
      </c>
      <c r="D8123" t="s">
        <v>772</v>
      </c>
      <c r="F8123" s="21"/>
      <c r="G8123" s="16" t="str">
        <f>HYPERLINK("http://maps.google.com/maps?f=q&amp;hl=en&amp;geocode=&amp;q=29.94772,-93.9378")</f>
        <v>http://maps.google.com/maps?f=q&amp;hl=en&amp;geocode=&amp;q=29.94772,-93.9378</v>
      </c>
    </row>
    <row r="8124" spans="1:7" ht="15" x14ac:dyDescent="0.3">
      <c r="A8124">
        <v>29.94772</v>
      </c>
      <c r="B8124">
        <v>-93.937799999999996</v>
      </c>
      <c r="C8124" t="s">
        <v>41</v>
      </c>
      <c r="D8124" t="s">
        <v>772</v>
      </c>
      <c r="F8124" s="21"/>
      <c r="G8124" s="16" t="str">
        <f>HYPERLINK("http://maps.google.com/maps?f=q&amp;hl=en&amp;geocode=&amp;q=29.94772,-93.9378")</f>
        <v>http://maps.google.com/maps?f=q&amp;hl=en&amp;geocode=&amp;q=29.94772,-93.9378</v>
      </c>
    </row>
    <row r="8125" spans="1:7" ht="15" x14ac:dyDescent="0.3">
      <c r="A8125">
        <v>37.765643670295198</v>
      </c>
      <c r="B8125">
        <v>-113.711334017117</v>
      </c>
      <c r="C8125" t="s">
        <v>43</v>
      </c>
      <c r="D8125" t="s">
        <v>3154</v>
      </c>
      <c r="F8125" s="21"/>
      <c r="G8125" s="16" t="str">
        <f>HYPERLINK("http://maps.google.com/maps?f=q&amp;hl=en&amp;geocode=&amp;q=37.7656436702952,-113.711334017117")</f>
        <v>http://maps.google.com/maps?f=q&amp;hl=en&amp;geocode=&amp;q=37.7656436702952,-113.711334017117</v>
      </c>
    </row>
    <row r="8126" spans="1:7" ht="15" x14ac:dyDescent="0.3">
      <c r="A8126">
        <v>37.765643670295198</v>
      </c>
      <c r="B8126">
        <v>-113.711334017117</v>
      </c>
      <c r="C8126" t="s">
        <v>43</v>
      </c>
      <c r="D8126" t="s">
        <v>3154</v>
      </c>
      <c r="F8126" s="21"/>
      <c r="G8126" s="16" t="str">
        <f>HYPERLINK("http://maps.google.com/maps?f=q&amp;hl=en&amp;geocode=&amp;q=37.7656436702952,-113.711334017117")</f>
        <v>http://maps.google.com/maps?f=q&amp;hl=en&amp;geocode=&amp;q=37.7656436702952,-113.711334017117</v>
      </c>
    </row>
    <row r="8127" spans="1:7" ht="15" x14ac:dyDescent="0.3">
      <c r="A8127">
        <v>37.765643670295198</v>
      </c>
      <c r="B8127">
        <v>-113.711334017117</v>
      </c>
      <c r="C8127" t="s">
        <v>43</v>
      </c>
      <c r="D8127" t="s">
        <v>3154</v>
      </c>
      <c r="F8127" s="21"/>
      <c r="G8127" s="16" t="str">
        <f>HYPERLINK("http://maps.google.com/maps?f=q&amp;hl=en&amp;geocode=&amp;q=37.7656436702952,-113.711334017117")</f>
        <v>http://maps.google.com/maps?f=q&amp;hl=en&amp;geocode=&amp;q=37.7656436702952,-113.711334017117</v>
      </c>
    </row>
    <row r="8128" spans="1:7" ht="15" x14ac:dyDescent="0.3">
      <c r="A8128">
        <v>47.170772552490199</v>
      </c>
      <c r="B8128">
        <v>-94.2586669921875</v>
      </c>
      <c r="C8128" t="s">
        <v>43</v>
      </c>
      <c r="D8128" t="s">
        <v>4792</v>
      </c>
      <c r="F8128" s="21"/>
      <c r="G8128" s="16" t="str">
        <f>HYPERLINK("http://maps.google.com/maps?f=q&amp;hl=en&amp;geocode=&amp;q=47.1707725524902,-94.2586669921875")</f>
        <v>http://maps.google.com/maps?f=q&amp;hl=en&amp;geocode=&amp;q=47.1707725524902,-94.2586669921875</v>
      </c>
    </row>
    <row r="8129" spans="1:7" ht="15" x14ac:dyDescent="0.3">
      <c r="A8129">
        <v>47.170772552490199</v>
      </c>
      <c r="B8129">
        <v>-94.2586669921875</v>
      </c>
      <c r="C8129" t="s">
        <v>43</v>
      </c>
      <c r="D8129" t="s">
        <v>4792</v>
      </c>
      <c r="F8129" s="21"/>
      <c r="G8129" s="16" t="str">
        <f>HYPERLINK("http://maps.google.com/maps?f=q&amp;hl=en&amp;geocode=&amp;q=47.1707725524902,-94.2586669921875")</f>
        <v>http://maps.google.com/maps?f=q&amp;hl=en&amp;geocode=&amp;q=47.1707725524902,-94.2586669921875</v>
      </c>
    </row>
    <row r="8130" spans="1:7" ht="15" x14ac:dyDescent="0.3">
      <c r="A8130">
        <v>45.455448150634801</v>
      </c>
      <c r="B8130">
        <v>9.1678771972656303</v>
      </c>
      <c r="C8130" t="s">
        <v>43</v>
      </c>
      <c r="D8130" t="s">
        <v>899</v>
      </c>
      <c r="F8130" s="21"/>
      <c r="G8130" s="16" t="str">
        <f>HYPERLINK("http://maps.google.com/maps?f=q&amp;hl=en&amp;geocode=&amp;q=45.4554481506348,9.16787719726563")</f>
        <v>http://maps.google.com/maps?f=q&amp;hl=en&amp;geocode=&amp;q=45.4554481506348,9.16787719726563</v>
      </c>
    </row>
    <row r="8131" spans="1:7" ht="15" x14ac:dyDescent="0.3">
      <c r="A8131">
        <v>39.985076403831201</v>
      </c>
      <c r="B8131">
        <v>-75.106754449039101</v>
      </c>
      <c r="C8131" t="s">
        <v>41</v>
      </c>
      <c r="D8131" t="s">
        <v>3814</v>
      </c>
      <c r="F8131" s="21"/>
      <c r="G8131" s="16" t="str">
        <f>HYPERLINK("http://maps.google.com/maps?f=q&amp;hl=en&amp;geocode=&amp;q=39.9850764038312,-75.1067544490391")</f>
        <v>http://maps.google.com/maps?f=q&amp;hl=en&amp;geocode=&amp;q=39.9850764038312,-75.1067544490391</v>
      </c>
    </row>
    <row r="8132" spans="1:7" ht="15" x14ac:dyDescent="0.3">
      <c r="A8132">
        <v>41.568235757094598</v>
      </c>
      <c r="B8132">
        <v>-87.534327040015299</v>
      </c>
      <c r="C8132" t="s">
        <v>41</v>
      </c>
      <c r="D8132" t="s">
        <v>4793</v>
      </c>
      <c r="F8132" s="21"/>
      <c r="G8132" s="16" t="str">
        <f>HYPERLINK("http://maps.google.com/maps?f=q&amp;hl=en&amp;geocode=&amp;q=41.5682357570946,-87.5343270400153")</f>
        <v>http://maps.google.com/maps?f=q&amp;hl=en&amp;geocode=&amp;q=41.5682357570946,-87.5343270400153</v>
      </c>
    </row>
    <row r="8133" spans="1:7" ht="15" x14ac:dyDescent="0.3">
      <c r="A8133">
        <v>45.455448150634801</v>
      </c>
      <c r="B8133">
        <v>9.1678771972656303</v>
      </c>
      <c r="C8133" t="s">
        <v>43</v>
      </c>
      <c r="D8133" t="s">
        <v>899</v>
      </c>
      <c r="F8133" s="21"/>
      <c r="G8133" s="16" t="str">
        <f>HYPERLINK("http://maps.google.com/maps?f=q&amp;hl=en&amp;geocode=&amp;q=45.4554481506348,9.16787719726563")</f>
        <v>http://maps.google.com/maps?f=q&amp;hl=en&amp;geocode=&amp;q=45.4554481506348,9.16787719726563</v>
      </c>
    </row>
    <row r="8134" spans="1:7" ht="15" x14ac:dyDescent="0.3">
      <c r="A8134">
        <v>33.554949999999998</v>
      </c>
      <c r="B8134">
        <v>-86.74127</v>
      </c>
      <c r="C8134" t="s">
        <v>42</v>
      </c>
      <c r="D8134" t="s">
        <v>4794</v>
      </c>
      <c r="F8134" s="21"/>
      <c r="G8134" s="16" t="str">
        <f>HYPERLINK("http://maps.google.com/maps?f=q&amp;hl=en&amp;geocode=&amp;q=33.55495,-86.74127")</f>
        <v>http://maps.google.com/maps?f=q&amp;hl=en&amp;geocode=&amp;q=33.55495,-86.74127</v>
      </c>
    </row>
    <row r="8135" spans="1:7" ht="15" x14ac:dyDescent="0.3">
      <c r="A8135">
        <v>34.000862458721002</v>
      </c>
      <c r="B8135">
        <v>-80.978088250535905</v>
      </c>
      <c r="C8135" t="s">
        <v>41</v>
      </c>
      <c r="D8135" t="s">
        <v>4795</v>
      </c>
      <c r="F8135" s="21"/>
      <c r="G8135" s="16" t="str">
        <f>HYPERLINK("http://maps.google.com/maps?f=q&amp;hl=en&amp;geocode=&amp;q=34.000862458721,-80.9780882505359")</f>
        <v>http://maps.google.com/maps?f=q&amp;hl=en&amp;geocode=&amp;q=34.000862458721,-80.9780882505359</v>
      </c>
    </row>
    <row r="8136" spans="1:7" ht="15" x14ac:dyDescent="0.3">
      <c r="A8136">
        <v>39.981029999999997</v>
      </c>
      <c r="B8136">
        <v>-75.110590000000002</v>
      </c>
      <c r="C8136" t="s">
        <v>41</v>
      </c>
      <c r="D8136" t="s">
        <v>1309</v>
      </c>
      <c r="F8136" s="21"/>
      <c r="G8136" s="16" t="str">
        <f>HYPERLINK("http://maps.google.com/maps?f=q&amp;hl=en&amp;geocode=&amp;q=39.98103,-75.11059")</f>
        <v>http://maps.google.com/maps?f=q&amp;hl=en&amp;geocode=&amp;q=39.98103,-75.11059</v>
      </c>
    </row>
    <row r="8137" spans="1:7" ht="15" x14ac:dyDescent="0.3">
      <c r="A8137">
        <v>32.861830562300398</v>
      </c>
      <c r="B8137">
        <v>-104.44306596614</v>
      </c>
      <c r="C8137" t="s">
        <v>41</v>
      </c>
      <c r="D8137" t="s">
        <v>4796</v>
      </c>
      <c r="F8137" s="21"/>
      <c r="G8137" s="16" t="str">
        <f>HYPERLINK("http://maps.google.com/maps?f=q&amp;hl=en&amp;geocode=&amp;q=32.8618305623004,-104.44306596614")</f>
        <v>http://maps.google.com/maps?f=q&amp;hl=en&amp;geocode=&amp;q=32.8618305623004,-104.44306596614</v>
      </c>
    </row>
    <row r="8138" spans="1:7" ht="15" x14ac:dyDescent="0.3">
      <c r="A8138">
        <v>-26.142440000000001</v>
      </c>
      <c r="B8138">
        <v>27.91825</v>
      </c>
      <c r="C8138" t="s">
        <v>41</v>
      </c>
      <c r="D8138" t="s">
        <v>2558</v>
      </c>
      <c r="F8138" s="21"/>
      <c r="G8138" s="16" t="str">
        <f>HYPERLINK("http://maps.google.com/maps?f=q&amp;hl=en&amp;geocode=&amp;q=-26.14244,27.91825")</f>
        <v>http://maps.google.com/maps?f=q&amp;hl=en&amp;geocode=&amp;q=-26.14244,27.91825</v>
      </c>
    </row>
    <row r="8139" spans="1:7" ht="15" x14ac:dyDescent="0.3">
      <c r="A8139">
        <v>31.511057235342602</v>
      </c>
      <c r="B8139">
        <v>-83.545313658421705</v>
      </c>
      <c r="C8139" t="s">
        <v>41</v>
      </c>
      <c r="D8139" t="s">
        <v>4797</v>
      </c>
      <c r="F8139" s="21"/>
      <c r="G8139" s="16" t="str">
        <f>HYPERLINK("http://maps.google.com/maps?f=q&amp;hl=en&amp;geocode=&amp;q=31.5110572353426,-83.5453136584217")</f>
        <v>http://maps.google.com/maps?f=q&amp;hl=en&amp;geocode=&amp;q=31.5110572353426,-83.5453136584217</v>
      </c>
    </row>
    <row r="8140" spans="1:7" ht="15" x14ac:dyDescent="0.3">
      <c r="A8140">
        <v>46.408790588378899</v>
      </c>
      <c r="B8140">
        <v>12.017880439758301</v>
      </c>
      <c r="C8140" t="s">
        <v>41</v>
      </c>
      <c r="D8140" t="s">
        <v>4798</v>
      </c>
      <c r="F8140" s="21"/>
      <c r="G8140" s="16" t="str">
        <f>HYPERLINK("http://maps.google.com/maps?f=q&amp;hl=en&amp;geocode=&amp;q=46.4087905883789,12.0178804397583")</f>
        <v>http://maps.google.com/maps?f=q&amp;hl=en&amp;geocode=&amp;q=46.4087905883789,12.0178804397583</v>
      </c>
    </row>
    <row r="8141" spans="1:7" ht="15" x14ac:dyDescent="0.3">
      <c r="A8141" t="s">
        <v>44</v>
      </c>
      <c r="B8141" t="s">
        <v>44</v>
      </c>
      <c r="C8141" t="s">
        <v>44</v>
      </c>
      <c r="D8141" t="s">
        <v>4017</v>
      </c>
      <c r="F8141" s="21"/>
      <c r="G8141" s="16"/>
    </row>
    <row r="8142" spans="1:7" ht="15" x14ac:dyDescent="0.3">
      <c r="A8142">
        <v>34.4384645330464</v>
      </c>
      <c r="B8142">
        <v>-83.605652770031895</v>
      </c>
      <c r="C8142" t="s">
        <v>42</v>
      </c>
      <c r="D8142" t="s">
        <v>4799</v>
      </c>
      <c r="F8142" s="21"/>
      <c r="G8142" s="16" t="str">
        <f>HYPERLINK("http://maps.google.com/maps?f=q&amp;hl=en&amp;geocode=&amp;q=34.4384645330464,-83.6056527700319")</f>
        <v>http://maps.google.com/maps?f=q&amp;hl=en&amp;geocode=&amp;q=34.4384645330464,-83.6056527700319</v>
      </c>
    </row>
    <row r="8143" spans="1:7" ht="15" x14ac:dyDescent="0.3">
      <c r="A8143">
        <v>53.553749084472699</v>
      </c>
      <c r="B8143">
        <v>9.9918298721313494</v>
      </c>
      <c r="C8143" t="s">
        <v>43</v>
      </c>
      <c r="D8143" t="s">
        <v>4800</v>
      </c>
      <c r="F8143" s="21"/>
      <c r="G8143" s="16" t="str">
        <f>HYPERLINK("http://maps.google.com/maps?f=q&amp;hl=en&amp;geocode=&amp;q=53.5537490844727,9.99182987213135")</f>
        <v>http://maps.google.com/maps?f=q&amp;hl=en&amp;geocode=&amp;q=53.5537490844727,9.99182987213135</v>
      </c>
    </row>
    <row r="8144" spans="1:7" ht="15" x14ac:dyDescent="0.3">
      <c r="A8144">
        <v>37.825309753417997</v>
      </c>
      <c r="B8144">
        <v>13.569990158081101</v>
      </c>
      <c r="C8144" t="s">
        <v>41</v>
      </c>
      <c r="D8144" t="s">
        <v>4801</v>
      </c>
      <c r="F8144" s="21"/>
      <c r="G8144" s="16" t="str">
        <f>HYPERLINK("http://maps.google.com/maps?f=q&amp;hl=en&amp;geocode=&amp;q=37.825309753418,13.5699901580811")</f>
        <v>http://maps.google.com/maps?f=q&amp;hl=en&amp;geocode=&amp;q=37.825309753418,13.5699901580811</v>
      </c>
    </row>
    <row r="8145" spans="1:7" ht="15" x14ac:dyDescent="0.3">
      <c r="A8145" t="s">
        <v>44</v>
      </c>
      <c r="B8145" t="s">
        <v>44</v>
      </c>
      <c r="C8145" t="s">
        <v>44</v>
      </c>
      <c r="D8145" t="s">
        <v>2890</v>
      </c>
      <c r="F8145" s="21"/>
      <c r="G8145" s="16"/>
    </row>
    <row r="8146" spans="1:7" ht="15" x14ac:dyDescent="0.3">
      <c r="A8146">
        <v>30.081779867035099</v>
      </c>
      <c r="B8146">
        <v>-90.497181027498598</v>
      </c>
      <c r="C8146" t="s">
        <v>41</v>
      </c>
      <c r="D8146" t="s">
        <v>4802</v>
      </c>
      <c r="F8146" s="21"/>
      <c r="G8146" s="16" t="str">
        <f>HYPERLINK("http://maps.google.com/maps?f=q&amp;hl=en&amp;geocode=&amp;q=30.0817798670351,-90.4971810274986")</f>
        <v>http://maps.google.com/maps?f=q&amp;hl=en&amp;geocode=&amp;q=30.0817798670351,-90.4971810274986</v>
      </c>
    </row>
    <row r="8147" spans="1:7" ht="15" x14ac:dyDescent="0.3">
      <c r="A8147" t="s">
        <v>44</v>
      </c>
      <c r="B8147" t="s">
        <v>44</v>
      </c>
      <c r="C8147" t="s">
        <v>44</v>
      </c>
      <c r="D8147" t="s">
        <v>4803</v>
      </c>
      <c r="F8147" s="21"/>
      <c r="G8147" s="16"/>
    </row>
    <row r="8148" spans="1:7" ht="15" x14ac:dyDescent="0.3">
      <c r="A8148">
        <v>39.920034553313897</v>
      </c>
      <c r="B8148">
        <v>-75.230253062950098</v>
      </c>
      <c r="C8148" t="s">
        <v>43</v>
      </c>
      <c r="D8148" t="s">
        <v>1426</v>
      </c>
      <c r="F8148" s="21"/>
      <c r="G8148" s="16" t="str">
        <f>HYPERLINK("http://maps.google.com/maps?f=q&amp;hl=en&amp;geocode=&amp;q=39.9200345533139,-75.2302530629501")</f>
        <v>http://maps.google.com/maps?f=q&amp;hl=en&amp;geocode=&amp;q=39.9200345533139,-75.2302530629501</v>
      </c>
    </row>
    <row r="8149" spans="1:7" ht="15" x14ac:dyDescent="0.3">
      <c r="A8149">
        <v>40.86157</v>
      </c>
      <c r="B8149">
        <v>-111.88437</v>
      </c>
      <c r="C8149" t="s">
        <v>42</v>
      </c>
      <c r="D8149" t="s">
        <v>2478</v>
      </c>
      <c r="F8149" s="21"/>
      <c r="G8149" s="16" t="str">
        <f>HYPERLINK("http://maps.google.com/maps?f=q&amp;hl=en&amp;geocode=&amp;q=40.86157,-111.88437")</f>
        <v>http://maps.google.com/maps?f=q&amp;hl=en&amp;geocode=&amp;q=40.86157,-111.88437</v>
      </c>
    </row>
    <row r="8150" spans="1:7" ht="15" x14ac:dyDescent="0.3">
      <c r="A8150">
        <v>36.902555965944998</v>
      </c>
      <c r="B8150">
        <v>-78.8948882131007</v>
      </c>
      <c r="C8150" t="s">
        <v>43</v>
      </c>
      <c r="D8150" t="s">
        <v>3748</v>
      </c>
      <c r="F8150" s="21"/>
      <c r="G8150" s="16" t="str">
        <f>HYPERLINK("http://maps.google.com/maps?f=q&amp;hl=en&amp;geocode=&amp;q=36.902555965945,-78.8948882131007")</f>
        <v>http://maps.google.com/maps?f=q&amp;hl=en&amp;geocode=&amp;q=36.902555965945,-78.8948882131007</v>
      </c>
    </row>
    <row r="8151" spans="1:7" ht="15" x14ac:dyDescent="0.3">
      <c r="A8151">
        <v>36.902555965944998</v>
      </c>
      <c r="B8151">
        <v>-78.8948882131007</v>
      </c>
      <c r="C8151" t="s">
        <v>43</v>
      </c>
      <c r="D8151" t="s">
        <v>3748</v>
      </c>
      <c r="F8151" s="21"/>
      <c r="G8151" s="16" t="str">
        <f>HYPERLINK("http://maps.google.com/maps?f=q&amp;hl=en&amp;geocode=&amp;q=36.902555965945,-78.8948882131007")</f>
        <v>http://maps.google.com/maps?f=q&amp;hl=en&amp;geocode=&amp;q=36.902555965945,-78.8948882131007</v>
      </c>
    </row>
    <row r="8152" spans="1:7" ht="15" x14ac:dyDescent="0.3">
      <c r="A8152">
        <v>36.902555965944998</v>
      </c>
      <c r="B8152">
        <v>-78.8948882131007</v>
      </c>
      <c r="C8152" t="s">
        <v>43</v>
      </c>
      <c r="D8152" t="s">
        <v>3748</v>
      </c>
      <c r="F8152" s="21"/>
      <c r="G8152" s="16" t="str">
        <f>HYPERLINK("http://maps.google.com/maps?f=q&amp;hl=en&amp;geocode=&amp;q=36.902555965945,-78.8948882131007")</f>
        <v>http://maps.google.com/maps?f=q&amp;hl=en&amp;geocode=&amp;q=36.902555965945,-78.8948882131007</v>
      </c>
    </row>
    <row r="8153" spans="1:7" ht="15" x14ac:dyDescent="0.3">
      <c r="A8153">
        <v>37.6297531631499</v>
      </c>
      <c r="B8153">
        <v>-80.986444823658204</v>
      </c>
      <c r="C8153" t="s">
        <v>41</v>
      </c>
      <c r="D8153" t="s">
        <v>4804</v>
      </c>
      <c r="F8153" s="21"/>
      <c r="G8153" s="16" t="str">
        <f>HYPERLINK("http://maps.google.com/maps?f=q&amp;hl=en&amp;geocode=&amp;q=37.6297531631499,-80.9864448236582")</f>
        <v>http://maps.google.com/maps?f=q&amp;hl=en&amp;geocode=&amp;q=37.6297531631499,-80.9864448236582</v>
      </c>
    </row>
    <row r="8154" spans="1:7" ht="15" x14ac:dyDescent="0.3">
      <c r="A8154">
        <v>45.268642425537102</v>
      </c>
      <c r="B8154">
        <v>-110.023239135742</v>
      </c>
      <c r="C8154" t="s">
        <v>41</v>
      </c>
      <c r="D8154" t="s">
        <v>4805</v>
      </c>
      <c r="F8154" s="21"/>
      <c r="G8154" s="16" t="str">
        <f>HYPERLINK("http://maps.google.com/maps?f=q&amp;hl=en&amp;geocode=&amp;q=45.2686424255371,-110.023239135742")</f>
        <v>http://maps.google.com/maps?f=q&amp;hl=en&amp;geocode=&amp;q=45.2686424255371,-110.023239135742</v>
      </c>
    </row>
    <row r="8155" spans="1:7" ht="15" x14ac:dyDescent="0.3">
      <c r="A8155">
        <v>37.8541726124188</v>
      </c>
      <c r="B8155">
        <v>-87.099713990542497</v>
      </c>
      <c r="C8155" t="s">
        <v>41</v>
      </c>
      <c r="D8155" t="s">
        <v>4806</v>
      </c>
      <c r="F8155" s="21"/>
      <c r="G8155" s="16" t="str">
        <f>HYPERLINK("http://maps.google.com/maps?f=q&amp;hl=en&amp;geocode=&amp;q=37.8541726124188,-87.0997139905425")</f>
        <v>http://maps.google.com/maps?f=q&amp;hl=en&amp;geocode=&amp;q=37.8541726124188,-87.0997139905425</v>
      </c>
    </row>
    <row r="8156" spans="1:7" ht="15" x14ac:dyDescent="0.3">
      <c r="A8156">
        <v>42.512891528079997</v>
      </c>
      <c r="B8156">
        <v>-83.121216842934103</v>
      </c>
      <c r="C8156" t="s">
        <v>41</v>
      </c>
      <c r="D8156" t="s">
        <v>4807</v>
      </c>
      <c r="F8156" s="21"/>
      <c r="G8156" s="16" t="str">
        <f>HYPERLINK("http://maps.google.com/maps?f=q&amp;hl=en&amp;geocode=&amp;q=42.51289152808,-83.1212168429341")</f>
        <v>http://maps.google.com/maps?f=q&amp;hl=en&amp;geocode=&amp;q=42.51289152808,-83.1212168429341</v>
      </c>
    </row>
    <row r="8157" spans="1:7" ht="15" x14ac:dyDescent="0.3">
      <c r="A8157">
        <v>-40.001163482666001</v>
      </c>
      <c r="B8157">
        <v>176.55967712402301</v>
      </c>
      <c r="C8157" t="s">
        <v>43</v>
      </c>
      <c r="D8157" t="s">
        <v>3949</v>
      </c>
      <c r="F8157" s="21"/>
      <c r="G8157" s="16" t="str">
        <f>HYPERLINK("http://maps.google.com/maps?f=q&amp;hl=en&amp;geocode=&amp;q=-40.001163482666,176.559677124023")</f>
        <v>http://maps.google.com/maps?f=q&amp;hl=en&amp;geocode=&amp;q=-40.001163482666,176.559677124023</v>
      </c>
    </row>
    <row r="8158" spans="1:7" ht="15" x14ac:dyDescent="0.3">
      <c r="A8158">
        <v>39.964326626316897</v>
      </c>
      <c r="B8158">
        <v>-77.075346913627797</v>
      </c>
      <c r="C8158" t="s">
        <v>41</v>
      </c>
      <c r="D8158" t="s">
        <v>4808</v>
      </c>
      <c r="F8158" s="21"/>
      <c r="G8158" s="16" t="str">
        <f>HYPERLINK("http://maps.google.com/maps?f=q&amp;hl=en&amp;geocode=&amp;q=39.9643266263169,-77.0753469136278")</f>
        <v>http://maps.google.com/maps?f=q&amp;hl=en&amp;geocode=&amp;q=39.9643266263169,-77.0753469136278</v>
      </c>
    </row>
    <row r="8159" spans="1:7" ht="15" x14ac:dyDescent="0.3">
      <c r="A8159">
        <v>-33.527938842773402</v>
      </c>
      <c r="B8159">
        <v>117.39003753662099</v>
      </c>
      <c r="C8159" t="s">
        <v>43</v>
      </c>
      <c r="D8159" t="s">
        <v>4809</v>
      </c>
      <c r="F8159" s="21"/>
      <c r="G8159" s="16" t="str">
        <f>HYPERLINK("http://maps.google.com/maps?f=q&amp;hl=en&amp;geocode=&amp;q=-33.5279388427734,117.390037536621")</f>
        <v>http://maps.google.com/maps?f=q&amp;hl=en&amp;geocode=&amp;q=-33.5279388427734,117.390037536621</v>
      </c>
    </row>
    <row r="8160" spans="1:7" ht="15" x14ac:dyDescent="0.3">
      <c r="A8160">
        <v>39.956510000000002</v>
      </c>
      <c r="B8160">
        <v>-75.24718</v>
      </c>
      <c r="C8160" t="s">
        <v>43</v>
      </c>
      <c r="D8160" t="s">
        <v>2595</v>
      </c>
      <c r="F8160" s="21"/>
      <c r="G8160" s="16" t="str">
        <f>HYPERLINK("http://maps.google.com/maps?f=q&amp;hl=en&amp;geocode=&amp;q=39.95651,-75.24718")</f>
        <v>http://maps.google.com/maps?f=q&amp;hl=en&amp;geocode=&amp;q=39.95651,-75.24718</v>
      </c>
    </row>
    <row r="8161" spans="1:7" ht="15" x14ac:dyDescent="0.3">
      <c r="A8161" t="s">
        <v>44</v>
      </c>
      <c r="B8161" t="s">
        <v>44</v>
      </c>
      <c r="C8161" t="s">
        <v>44</v>
      </c>
      <c r="D8161" t="s">
        <v>2267</v>
      </c>
      <c r="F8161" s="21"/>
      <c r="G8161" s="16"/>
    </row>
    <row r="8162" spans="1:7" ht="15" x14ac:dyDescent="0.3">
      <c r="A8162">
        <v>51.403961181640597</v>
      </c>
      <c r="B8162">
        <v>-0.26282832026481601</v>
      </c>
      <c r="C8162" t="s">
        <v>41</v>
      </c>
      <c r="D8162" t="s">
        <v>4810</v>
      </c>
      <c r="F8162" s="21"/>
      <c r="G8162" s="16" t="str">
        <f>HYPERLINK("http://maps.google.com/maps?f=q&amp;hl=en&amp;geocode=&amp;q=51.4039611816406,-0.262828320264816")</f>
        <v>http://maps.google.com/maps?f=q&amp;hl=en&amp;geocode=&amp;q=51.4039611816406,-0.262828320264816</v>
      </c>
    </row>
    <row r="8163" spans="1:7" ht="15" x14ac:dyDescent="0.3">
      <c r="A8163" t="s">
        <v>44</v>
      </c>
      <c r="B8163" t="s">
        <v>44</v>
      </c>
      <c r="C8163" t="s">
        <v>44</v>
      </c>
      <c r="D8163" t="s">
        <v>2267</v>
      </c>
      <c r="F8163" s="21"/>
      <c r="G8163" s="16"/>
    </row>
    <row r="8164" spans="1:7" ht="15" x14ac:dyDescent="0.3">
      <c r="A8164">
        <v>39.572145814473899</v>
      </c>
      <c r="B8164">
        <v>-75.474590132257106</v>
      </c>
      <c r="C8164" t="s">
        <v>43</v>
      </c>
      <c r="D8164" t="s">
        <v>4811</v>
      </c>
      <c r="F8164" s="21"/>
      <c r="G8164" s="16" t="str">
        <f>HYPERLINK("http://maps.google.com/maps?f=q&amp;hl=en&amp;geocode=&amp;q=39.5721458144739,-75.4745901322571")</f>
        <v>http://maps.google.com/maps?f=q&amp;hl=en&amp;geocode=&amp;q=39.5721458144739,-75.4745901322571</v>
      </c>
    </row>
    <row r="8165" spans="1:7" ht="15" x14ac:dyDescent="0.3">
      <c r="A8165">
        <v>42.512891528079997</v>
      </c>
      <c r="B8165">
        <v>-83.121216842934103</v>
      </c>
      <c r="C8165" t="s">
        <v>41</v>
      </c>
      <c r="D8165" t="s">
        <v>4807</v>
      </c>
      <c r="F8165" s="21"/>
      <c r="G8165" s="16" t="str">
        <f>HYPERLINK("http://maps.google.com/maps?f=q&amp;hl=en&amp;geocode=&amp;q=42.51289152808,-83.1212168429341")</f>
        <v>http://maps.google.com/maps?f=q&amp;hl=en&amp;geocode=&amp;q=42.51289152808,-83.1212168429341</v>
      </c>
    </row>
    <row r="8166" spans="1:7" ht="15" x14ac:dyDescent="0.3">
      <c r="A8166">
        <v>42.512891528079997</v>
      </c>
      <c r="B8166">
        <v>-83.121216842934103</v>
      </c>
      <c r="C8166" t="s">
        <v>41</v>
      </c>
      <c r="D8166" t="s">
        <v>4807</v>
      </c>
      <c r="F8166" s="21"/>
      <c r="G8166" s="16" t="str">
        <f>HYPERLINK("http://maps.google.com/maps?f=q&amp;hl=en&amp;geocode=&amp;q=42.51289152808,-83.1212168429341")</f>
        <v>http://maps.google.com/maps?f=q&amp;hl=en&amp;geocode=&amp;q=42.51289152808,-83.1212168429341</v>
      </c>
    </row>
    <row r="8167" spans="1:7" ht="15" x14ac:dyDescent="0.3">
      <c r="A8167">
        <v>34.983866151401401</v>
      </c>
      <c r="B8167">
        <v>-84.368039824286299</v>
      </c>
      <c r="C8167" t="s">
        <v>41</v>
      </c>
      <c r="D8167" t="s">
        <v>4812</v>
      </c>
      <c r="F8167" s="21"/>
      <c r="G8167" s="16" t="str">
        <f>HYPERLINK("http://maps.google.com/maps?f=q&amp;hl=en&amp;geocode=&amp;q=34.9838661514014,-84.3680398242863")</f>
        <v>http://maps.google.com/maps?f=q&amp;hl=en&amp;geocode=&amp;q=34.9838661514014,-84.3680398242863</v>
      </c>
    </row>
    <row r="8168" spans="1:7" ht="15" x14ac:dyDescent="0.3">
      <c r="A8168">
        <v>45.887260437011697</v>
      </c>
      <c r="B8168">
        <v>23.654890060424801</v>
      </c>
      <c r="C8168" t="s">
        <v>43</v>
      </c>
      <c r="D8168" t="s">
        <v>4813</v>
      </c>
      <c r="F8168" s="21"/>
      <c r="G8168" s="16" t="str">
        <f>HYPERLINK("http://maps.google.com/maps?f=q&amp;hl=en&amp;geocode=&amp;q=45.8872604370117,23.6548900604248")</f>
        <v>http://maps.google.com/maps?f=q&amp;hl=en&amp;geocode=&amp;q=45.8872604370117,23.6548900604248</v>
      </c>
    </row>
    <row r="8169" spans="1:7" ht="15" x14ac:dyDescent="0.3">
      <c r="A8169">
        <v>35.1095728938881</v>
      </c>
      <c r="B8169">
        <v>-89.992107428271694</v>
      </c>
      <c r="C8169" t="s">
        <v>41</v>
      </c>
      <c r="D8169" t="s">
        <v>4814</v>
      </c>
      <c r="F8169" s="21"/>
      <c r="G8169" s="16" t="str">
        <f>HYPERLINK("http://maps.google.com/maps?f=q&amp;hl=en&amp;geocode=&amp;q=35.1095728938881,-89.9921074282717")</f>
        <v>http://maps.google.com/maps?f=q&amp;hl=en&amp;geocode=&amp;q=35.1095728938881,-89.9921074282717</v>
      </c>
    </row>
    <row r="8170" spans="1:7" ht="15" x14ac:dyDescent="0.3">
      <c r="A8170">
        <v>39.951320000000003</v>
      </c>
      <c r="B8170">
        <v>-75.239440000000002</v>
      </c>
      <c r="C8170" t="s">
        <v>41</v>
      </c>
      <c r="D8170" t="s">
        <v>4815</v>
      </c>
      <c r="F8170" s="21"/>
      <c r="G8170" s="16" t="str">
        <f>HYPERLINK("http://maps.google.com/maps?f=q&amp;hl=en&amp;geocode=&amp;q=39.95132,-75.23944")</f>
        <v>http://maps.google.com/maps?f=q&amp;hl=en&amp;geocode=&amp;q=39.95132,-75.23944</v>
      </c>
    </row>
    <row r="8171" spans="1:7" ht="15" x14ac:dyDescent="0.3">
      <c r="A8171">
        <v>49.610649108886697</v>
      </c>
      <c r="B8171">
        <v>6.1477727890014604</v>
      </c>
      <c r="C8171" t="s">
        <v>41</v>
      </c>
      <c r="D8171" t="s">
        <v>4816</v>
      </c>
      <c r="F8171" s="21"/>
      <c r="G8171" s="16" t="str">
        <f>HYPERLINK("http://maps.google.com/maps?f=q&amp;hl=en&amp;geocode=&amp;q=49.6106491088867,6.14777278900146")</f>
        <v>http://maps.google.com/maps?f=q&amp;hl=en&amp;geocode=&amp;q=49.6106491088867,6.14777278900146</v>
      </c>
    </row>
    <row r="8172" spans="1:7" ht="15" x14ac:dyDescent="0.3">
      <c r="A8172">
        <v>31.028232608806299</v>
      </c>
      <c r="B8172">
        <v>-87.524015854744405</v>
      </c>
      <c r="C8172" t="s">
        <v>41</v>
      </c>
      <c r="D8172" t="s">
        <v>4210</v>
      </c>
      <c r="F8172" s="21"/>
      <c r="G8172" s="16" t="str">
        <f>HYPERLINK("http://maps.google.com/maps?f=q&amp;hl=en&amp;geocode=&amp;q=31.0282326088063,-87.5240158547444")</f>
        <v>http://maps.google.com/maps?f=q&amp;hl=en&amp;geocode=&amp;q=31.0282326088063,-87.5240158547444</v>
      </c>
    </row>
    <row r="8173" spans="1:7" ht="15" x14ac:dyDescent="0.3">
      <c r="A8173">
        <v>40.632786351994397</v>
      </c>
      <c r="B8173">
        <v>-81.466818570641195</v>
      </c>
      <c r="C8173" t="s">
        <v>43</v>
      </c>
      <c r="D8173" t="s">
        <v>4817</v>
      </c>
      <c r="F8173" s="21"/>
      <c r="G8173" s="16" t="str">
        <f>HYPERLINK("http://maps.google.com/maps?f=q&amp;hl=en&amp;geocode=&amp;q=40.6327863519944,-81.4668185706412")</f>
        <v>http://maps.google.com/maps?f=q&amp;hl=en&amp;geocode=&amp;q=40.6327863519944,-81.4668185706412</v>
      </c>
    </row>
    <row r="8174" spans="1:7" ht="15" x14ac:dyDescent="0.3">
      <c r="A8174">
        <v>-26.188575744628899</v>
      </c>
      <c r="B8174">
        <v>27.929327011108398</v>
      </c>
      <c r="C8174" t="s">
        <v>43</v>
      </c>
      <c r="D8174" t="s">
        <v>3207</v>
      </c>
      <c r="F8174" s="21"/>
      <c r="G8174" s="16" t="str">
        <f>HYPERLINK("http://maps.google.com/maps?f=q&amp;hl=en&amp;geocode=&amp;q=-26.1885757446289,27.9293270111084")</f>
        <v>http://maps.google.com/maps?f=q&amp;hl=en&amp;geocode=&amp;q=-26.1885757446289,27.9293270111084</v>
      </c>
    </row>
    <row r="8175" spans="1:7" ht="15" x14ac:dyDescent="0.3">
      <c r="A8175">
        <v>-26.034427642822301</v>
      </c>
      <c r="B8175">
        <v>28.5431098937988</v>
      </c>
      <c r="C8175" t="s">
        <v>43</v>
      </c>
      <c r="D8175" t="s">
        <v>3755</v>
      </c>
      <c r="F8175" s="21"/>
      <c r="G8175" s="16" t="str">
        <f>HYPERLINK("http://maps.google.com/maps?f=q&amp;hl=en&amp;geocode=&amp;q=-26.0344276428223,28.5431098937988")</f>
        <v>http://maps.google.com/maps?f=q&amp;hl=en&amp;geocode=&amp;q=-26.0344276428223,28.5431098937988</v>
      </c>
    </row>
    <row r="8176" spans="1:7" ht="15" x14ac:dyDescent="0.3">
      <c r="A8176">
        <v>47.116134643554702</v>
      </c>
      <c r="B8176">
        <v>6.8440089225768999</v>
      </c>
      <c r="C8176" t="s">
        <v>43</v>
      </c>
      <c r="D8176" t="s">
        <v>3751</v>
      </c>
      <c r="F8176" s="21"/>
      <c r="G8176" s="16" t="str">
        <f>HYPERLINK("http://maps.google.com/maps?f=q&amp;hl=en&amp;geocode=&amp;q=47.1161346435547,6.8440089225769")</f>
        <v>http://maps.google.com/maps?f=q&amp;hl=en&amp;geocode=&amp;q=47.1161346435547,6.8440089225769</v>
      </c>
    </row>
    <row r="8177" spans="1:7" ht="15" x14ac:dyDescent="0.3">
      <c r="A8177">
        <v>-26.034427642822301</v>
      </c>
      <c r="B8177">
        <v>28.5431098937988</v>
      </c>
      <c r="C8177" t="s">
        <v>43</v>
      </c>
      <c r="D8177" t="s">
        <v>3755</v>
      </c>
      <c r="F8177" s="21"/>
      <c r="G8177" s="16" t="str">
        <f>HYPERLINK("http://maps.google.com/maps?f=q&amp;hl=en&amp;geocode=&amp;q=-26.0344276428223,28.5431098937988")</f>
        <v>http://maps.google.com/maps?f=q&amp;hl=en&amp;geocode=&amp;q=-26.0344276428223,28.5431098937988</v>
      </c>
    </row>
    <row r="8178" spans="1:7" ht="15" x14ac:dyDescent="0.3">
      <c r="A8178" t="s">
        <v>44</v>
      </c>
      <c r="B8178" t="s">
        <v>44</v>
      </c>
      <c r="C8178" t="s">
        <v>44</v>
      </c>
      <c r="D8178" t="s">
        <v>2136</v>
      </c>
      <c r="F8178" s="21"/>
      <c r="G8178" s="16"/>
    </row>
    <row r="8179" spans="1:7" ht="15" x14ac:dyDescent="0.3">
      <c r="A8179">
        <v>39.937825811329503</v>
      </c>
      <c r="B8179">
        <v>-75.175135575467394</v>
      </c>
      <c r="C8179" t="s">
        <v>41</v>
      </c>
      <c r="D8179" t="s">
        <v>4818</v>
      </c>
      <c r="F8179" s="21"/>
      <c r="G8179" s="16" t="str">
        <f>HYPERLINK("http://maps.google.com/maps?f=q&amp;hl=en&amp;geocode=&amp;q=39.9378258113295,-75.1751355754674")</f>
        <v>http://maps.google.com/maps?f=q&amp;hl=en&amp;geocode=&amp;q=39.9378258113295,-75.1751355754674</v>
      </c>
    </row>
    <row r="8180" spans="1:7" ht="15" x14ac:dyDescent="0.3">
      <c r="A8180">
        <v>50.587699890136697</v>
      </c>
      <c r="B8180">
        <v>4.32674217224121</v>
      </c>
      <c r="C8180" t="s">
        <v>43</v>
      </c>
      <c r="D8180" t="s">
        <v>3369</v>
      </c>
      <c r="F8180" s="21"/>
      <c r="G8180" s="16" t="str">
        <f>HYPERLINK("http://maps.google.com/maps?f=q&amp;hl=en&amp;geocode=&amp;q=50.5876998901367,4.32674217224121")</f>
        <v>http://maps.google.com/maps?f=q&amp;hl=en&amp;geocode=&amp;q=50.5876998901367,4.32674217224121</v>
      </c>
    </row>
    <row r="8181" spans="1:7" ht="15" x14ac:dyDescent="0.3">
      <c r="A8181">
        <v>42.4435</v>
      </c>
      <c r="B8181">
        <v>-85.700490000000002</v>
      </c>
      <c r="C8181" t="s">
        <v>42</v>
      </c>
      <c r="D8181" t="s">
        <v>2397</v>
      </c>
      <c r="F8181" s="21"/>
      <c r="G8181" s="16" t="str">
        <f>HYPERLINK("http://maps.google.com/maps?f=q&amp;hl=en&amp;geocode=&amp;q=42.4435,-85.70049")</f>
        <v>http://maps.google.com/maps?f=q&amp;hl=en&amp;geocode=&amp;q=42.4435,-85.70049</v>
      </c>
    </row>
    <row r="8182" spans="1:7" ht="15" x14ac:dyDescent="0.3">
      <c r="A8182">
        <v>34.859409999999997</v>
      </c>
      <c r="B8182">
        <v>-82.386250000000004</v>
      </c>
      <c r="C8182" t="s">
        <v>42</v>
      </c>
      <c r="D8182" t="s">
        <v>4715</v>
      </c>
      <c r="F8182" s="21"/>
      <c r="G8182" s="16" t="str">
        <f>HYPERLINK("http://maps.google.com/maps?f=q&amp;hl=en&amp;geocode=&amp;q=34.85941,-82.38625")</f>
        <v>http://maps.google.com/maps?f=q&amp;hl=en&amp;geocode=&amp;q=34.85941,-82.38625</v>
      </c>
    </row>
    <row r="8183" spans="1:7" ht="15" x14ac:dyDescent="0.3">
      <c r="A8183">
        <v>59.234821319580099</v>
      </c>
      <c r="B8183">
        <v>-135.44305419921901</v>
      </c>
      <c r="C8183" t="s">
        <v>43</v>
      </c>
      <c r="D8183" t="s">
        <v>4366</v>
      </c>
      <c r="F8183" s="21"/>
      <c r="G8183" s="16" t="str">
        <f>HYPERLINK("http://maps.google.com/maps?f=q&amp;hl=en&amp;geocode=&amp;q=59.2348213195801,-135.443054199219")</f>
        <v>http://maps.google.com/maps?f=q&amp;hl=en&amp;geocode=&amp;q=59.2348213195801,-135.443054199219</v>
      </c>
    </row>
    <row r="8184" spans="1:7" ht="15" x14ac:dyDescent="0.3">
      <c r="A8184">
        <v>40.280343137265596</v>
      </c>
      <c r="B8184">
        <v>-111.639331025869</v>
      </c>
      <c r="C8184" t="s">
        <v>41</v>
      </c>
      <c r="D8184" t="s">
        <v>2085</v>
      </c>
      <c r="F8184" s="21"/>
      <c r="G8184" s="16" t="str">
        <f>HYPERLINK("http://maps.google.com/maps?f=q&amp;hl=en&amp;geocode=&amp;q=40.2803431372656,-111.639331025869")</f>
        <v>http://maps.google.com/maps?f=q&amp;hl=en&amp;geocode=&amp;q=40.2803431372656,-111.639331025869</v>
      </c>
    </row>
    <row r="8185" spans="1:7" ht="15" x14ac:dyDescent="0.3">
      <c r="A8185">
        <v>50.780136108398402</v>
      </c>
      <c r="B8185">
        <v>4.2288222312927202</v>
      </c>
      <c r="C8185" t="s">
        <v>43</v>
      </c>
      <c r="D8185" t="s">
        <v>2776</v>
      </c>
      <c r="F8185" s="21"/>
      <c r="G8185" s="16" t="str">
        <f>HYPERLINK("http://maps.google.com/maps?f=q&amp;hl=en&amp;geocode=&amp;q=50.7801361083984,4.22882223129272")</f>
        <v>http://maps.google.com/maps?f=q&amp;hl=en&amp;geocode=&amp;q=50.7801361083984,4.22882223129272</v>
      </c>
    </row>
    <row r="8186" spans="1:7" ht="15" x14ac:dyDescent="0.3">
      <c r="A8186">
        <v>42.4211838777669</v>
      </c>
      <c r="B8186">
        <v>-76.492153618799193</v>
      </c>
      <c r="C8186" t="s">
        <v>41</v>
      </c>
      <c r="D8186" t="s">
        <v>146</v>
      </c>
      <c r="F8186" s="21"/>
      <c r="G8186" s="16" t="str">
        <f>HYPERLINK("http://maps.google.com/maps?f=q&amp;hl=en&amp;geocode=&amp;q=42.4211838777669,-76.4921536187992")</f>
        <v>http://maps.google.com/maps?f=q&amp;hl=en&amp;geocode=&amp;q=42.4211838777669,-76.4921536187992</v>
      </c>
    </row>
    <row r="8187" spans="1:7" ht="15" x14ac:dyDescent="0.3">
      <c r="A8187">
        <v>42.4211838777669</v>
      </c>
      <c r="B8187">
        <v>-76.492153618799193</v>
      </c>
      <c r="C8187" t="s">
        <v>41</v>
      </c>
      <c r="D8187" t="s">
        <v>146</v>
      </c>
      <c r="F8187" s="21"/>
      <c r="G8187" s="16" t="str">
        <f>HYPERLINK("http://maps.google.com/maps?f=q&amp;hl=en&amp;geocode=&amp;q=42.4211838777669,-76.4921536187992")</f>
        <v>http://maps.google.com/maps?f=q&amp;hl=en&amp;geocode=&amp;q=42.4211838777669,-76.4921536187992</v>
      </c>
    </row>
    <row r="8188" spans="1:7" ht="15" x14ac:dyDescent="0.3">
      <c r="F8188" s="21"/>
      <c r="G8188" s="16"/>
    </row>
    <row r="8189" spans="1:7" ht="15" x14ac:dyDescent="0.3">
      <c r="A8189">
        <v>35.158396757966997</v>
      </c>
      <c r="B8189">
        <v>-90.045376222310097</v>
      </c>
      <c r="C8189" t="s">
        <v>41</v>
      </c>
      <c r="D8189" t="s">
        <v>154</v>
      </c>
      <c r="F8189" s="21"/>
      <c r="G8189" s="16" t="str">
        <f>HYPERLINK("http://maps.google.com/maps?f=q&amp;hl=en&amp;geocode=&amp;q=35.158396757967,-90.0453762223101")</f>
        <v>http://maps.google.com/maps?f=q&amp;hl=en&amp;geocode=&amp;q=35.158396757967,-90.0453762223101</v>
      </c>
    </row>
    <row r="8190" spans="1:7" ht="15" x14ac:dyDescent="0.3">
      <c r="A8190">
        <v>39.554729999999999</v>
      </c>
      <c r="B8190">
        <v>-74.859539999999996</v>
      </c>
      <c r="C8190" t="s">
        <v>41</v>
      </c>
      <c r="D8190" t="s">
        <v>4370</v>
      </c>
      <c r="F8190" s="21"/>
      <c r="G8190" s="16" t="str">
        <f>HYPERLINK("http://maps.google.com/maps?f=q&amp;hl=en&amp;geocode=&amp;q=39.55473,-74.85954")</f>
        <v>http://maps.google.com/maps?f=q&amp;hl=en&amp;geocode=&amp;q=39.55473,-74.85954</v>
      </c>
    </row>
    <row r="8191" spans="1:7" ht="15" x14ac:dyDescent="0.3">
      <c r="A8191">
        <v>31.028404141084099</v>
      </c>
      <c r="B8191">
        <v>-87.5244504042914</v>
      </c>
      <c r="C8191" t="s">
        <v>41</v>
      </c>
      <c r="D8191" t="s">
        <v>3690</v>
      </c>
      <c r="F8191" s="21"/>
      <c r="G8191" s="16" t="str">
        <f>HYPERLINK("http://maps.google.com/maps?f=q&amp;hl=en&amp;geocode=&amp;q=31.0284041410841,-87.5244504042914")</f>
        <v>http://maps.google.com/maps?f=q&amp;hl=en&amp;geocode=&amp;q=31.0284041410841,-87.5244504042914</v>
      </c>
    </row>
    <row r="8192" spans="1:7" ht="15" x14ac:dyDescent="0.3">
      <c r="A8192">
        <v>42.343519999999998</v>
      </c>
      <c r="B8192">
        <v>-85.184920000000005</v>
      </c>
      <c r="C8192" t="s">
        <v>42</v>
      </c>
      <c r="D8192" t="s">
        <v>4819</v>
      </c>
      <c r="F8192" s="21"/>
      <c r="G8192" s="16" t="str">
        <f>HYPERLINK("http://maps.google.com/maps?f=q&amp;hl=en&amp;geocode=&amp;q=42.34352,-85.18492")</f>
        <v>http://maps.google.com/maps?f=q&amp;hl=en&amp;geocode=&amp;q=42.34352,-85.18492</v>
      </c>
    </row>
    <row r="8193" spans="1:7" ht="15" x14ac:dyDescent="0.3">
      <c r="A8193">
        <v>35.780697571294397</v>
      </c>
      <c r="B8193">
        <v>-81.763800742903001</v>
      </c>
      <c r="C8193" t="s">
        <v>41</v>
      </c>
      <c r="D8193" t="s">
        <v>4777</v>
      </c>
      <c r="F8193" s="21"/>
      <c r="G8193" s="16" t="str">
        <f>HYPERLINK("http://maps.google.com/maps?f=q&amp;hl=en&amp;geocode=&amp;q=35.7806975712944,-81.763800742903")</f>
        <v>http://maps.google.com/maps?f=q&amp;hl=en&amp;geocode=&amp;q=35.7806975712944,-81.763800742903</v>
      </c>
    </row>
    <row r="8194" spans="1:7" ht="15" x14ac:dyDescent="0.3">
      <c r="A8194">
        <v>49.533977508544901</v>
      </c>
      <c r="B8194">
        <v>6.0161638259887704</v>
      </c>
      <c r="C8194" t="s">
        <v>41</v>
      </c>
      <c r="D8194" t="s">
        <v>262</v>
      </c>
      <c r="F8194" s="21"/>
      <c r="G8194" s="16" t="str">
        <f>HYPERLINK("http://maps.google.com/maps?f=q&amp;hl=en&amp;geocode=&amp;q=49.5339775085449,6.01616382598877")</f>
        <v>http://maps.google.com/maps?f=q&amp;hl=en&amp;geocode=&amp;q=49.5339775085449,6.01616382598877</v>
      </c>
    </row>
    <row r="8195" spans="1:7" ht="15" x14ac:dyDescent="0.3">
      <c r="A8195">
        <v>34.272004742409102</v>
      </c>
      <c r="B8195">
        <v>-116.935170361676</v>
      </c>
      <c r="C8195" t="s">
        <v>43</v>
      </c>
      <c r="D8195" t="s">
        <v>4820</v>
      </c>
      <c r="F8195" s="21"/>
      <c r="G8195" s="16" t="str">
        <f>HYPERLINK("http://maps.google.com/maps?f=q&amp;hl=en&amp;geocode=&amp;q=34.2720047424091,-116.935170361676")</f>
        <v>http://maps.google.com/maps?f=q&amp;hl=en&amp;geocode=&amp;q=34.2720047424091,-116.935170361676</v>
      </c>
    </row>
    <row r="8196" spans="1:7" ht="15" x14ac:dyDescent="0.3">
      <c r="A8196">
        <v>-31.3971767425537</v>
      </c>
      <c r="B8196">
        <v>28.3104362487793</v>
      </c>
      <c r="C8196" t="s">
        <v>43</v>
      </c>
      <c r="D8196" t="s">
        <v>4821</v>
      </c>
      <c r="F8196" s="21"/>
      <c r="G8196" s="16" t="str">
        <f>HYPERLINK("http://maps.google.com/maps?f=q&amp;hl=en&amp;geocode=&amp;q=-31.3971767425537,28.3104362487793")</f>
        <v>http://maps.google.com/maps?f=q&amp;hl=en&amp;geocode=&amp;q=-31.3971767425537,28.3104362487793</v>
      </c>
    </row>
    <row r="8197" spans="1:7" ht="15" x14ac:dyDescent="0.3">
      <c r="A8197">
        <v>-37.068550109863303</v>
      </c>
      <c r="B8197">
        <v>142.741134643555</v>
      </c>
      <c r="C8197" t="s">
        <v>41</v>
      </c>
      <c r="D8197" t="s">
        <v>4822</v>
      </c>
      <c r="F8197" s="21"/>
      <c r="G8197" s="16" t="str">
        <f>HYPERLINK("http://maps.google.com/maps?f=q&amp;hl=en&amp;geocode=&amp;q=-37.0685501098633,142.741134643555")</f>
        <v>http://maps.google.com/maps?f=q&amp;hl=en&amp;geocode=&amp;q=-37.0685501098633,142.741134643555</v>
      </c>
    </row>
    <row r="8198" spans="1:7" ht="15" x14ac:dyDescent="0.3">
      <c r="A8198" t="s">
        <v>44</v>
      </c>
      <c r="B8198" t="s">
        <v>44</v>
      </c>
      <c r="C8198" t="s">
        <v>44</v>
      </c>
      <c r="D8198" t="s">
        <v>1004</v>
      </c>
      <c r="F8198" s="21"/>
      <c r="G8198" s="16"/>
    </row>
    <row r="8199" spans="1:7" ht="15" x14ac:dyDescent="0.3">
      <c r="A8199" t="s">
        <v>44</v>
      </c>
      <c r="B8199" t="s">
        <v>44</v>
      </c>
      <c r="C8199" t="s">
        <v>44</v>
      </c>
      <c r="D8199" t="s">
        <v>1004</v>
      </c>
      <c r="F8199" s="21"/>
      <c r="G8199" s="16"/>
    </row>
    <row r="8200" spans="1:7" ht="15" x14ac:dyDescent="0.3">
      <c r="A8200" t="s">
        <v>44</v>
      </c>
      <c r="B8200" t="s">
        <v>44</v>
      </c>
      <c r="C8200" t="s">
        <v>44</v>
      </c>
      <c r="D8200" t="s">
        <v>4823</v>
      </c>
      <c r="F8200" s="21"/>
      <c r="G8200" s="16"/>
    </row>
    <row r="8201" spans="1:7" ht="15" x14ac:dyDescent="0.3">
      <c r="A8201">
        <v>40.693442146863198</v>
      </c>
      <c r="B8201">
        <v>-73.904679368957105</v>
      </c>
      <c r="C8201" t="s">
        <v>41</v>
      </c>
      <c r="D8201" t="s">
        <v>4824</v>
      </c>
      <c r="F8201" s="21"/>
      <c r="G8201" s="16" t="str">
        <f>HYPERLINK("http://maps.google.com/maps?f=q&amp;hl=en&amp;geocode=&amp;q=40.6934421468632,-73.9046793689571")</f>
        <v>http://maps.google.com/maps?f=q&amp;hl=en&amp;geocode=&amp;q=40.6934421468632,-73.9046793689571</v>
      </c>
    </row>
    <row r="8202" spans="1:7" ht="15" x14ac:dyDescent="0.3">
      <c r="A8202">
        <v>39.572143046610201</v>
      </c>
      <c r="B8202">
        <v>-75.474580721524603</v>
      </c>
      <c r="C8202" t="s">
        <v>43</v>
      </c>
      <c r="D8202" t="s">
        <v>4825</v>
      </c>
      <c r="F8202" s="21"/>
      <c r="G8202" s="16" t="str">
        <f>HYPERLINK("http://maps.google.com/maps?f=q&amp;hl=en&amp;geocode=&amp;q=39.5721430466102,-75.4745807215246")</f>
        <v>http://maps.google.com/maps?f=q&amp;hl=en&amp;geocode=&amp;q=39.5721430466102,-75.4745807215246</v>
      </c>
    </row>
    <row r="8203" spans="1:7" ht="15" x14ac:dyDescent="0.3">
      <c r="A8203">
        <v>39.917674935427101</v>
      </c>
      <c r="B8203">
        <v>-75.161898675689798</v>
      </c>
      <c r="C8203" t="s">
        <v>41</v>
      </c>
      <c r="D8203" t="s">
        <v>4826</v>
      </c>
      <c r="F8203" s="21"/>
      <c r="G8203" s="16" t="str">
        <f>HYPERLINK("http://maps.google.com/maps?f=q&amp;hl=en&amp;geocode=&amp;q=39.9176749354271,-75.1618986756898")</f>
        <v>http://maps.google.com/maps?f=q&amp;hl=en&amp;geocode=&amp;q=39.9176749354271,-75.1618986756898</v>
      </c>
    </row>
    <row r="8204" spans="1:7" ht="15" x14ac:dyDescent="0.3">
      <c r="A8204" t="s">
        <v>44</v>
      </c>
      <c r="B8204" t="s">
        <v>44</v>
      </c>
      <c r="C8204" t="s">
        <v>44</v>
      </c>
      <c r="D8204" t="s">
        <v>4827</v>
      </c>
      <c r="F8204" s="21"/>
      <c r="G8204" s="16"/>
    </row>
    <row r="8205" spans="1:7" ht="15" x14ac:dyDescent="0.3">
      <c r="A8205">
        <v>40.001530000000002</v>
      </c>
      <c r="B8205">
        <v>-75.065880000000007</v>
      </c>
      <c r="C8205" t="s">
        <v>41</v>
      </c>
      <c r="D8205" t="s">
        <v>4828</v>
      </c>
      <c r="F8205" s="21"/>
      <c r="G8205" s="16" t="str">
        <f>HYPERLINK("http://maps.google.com/maps?f=q&amp;hl=en&amp;geocode=&amp;q=40.00153,-75.06588")</f>
        <v>http://maps.google.com/maps?f=q&amp;hl=en&amp;geocode=&amp;q=40.00153,-75.06588</v>
      </c>
    </row>
    <row r="8206" spans="1:7" ht="15" x14ac:dyDescent="0.3">
      <c r="A8206">
        <v>36.016034969727002</v>
      </c>
      <c r="B8206">
        <v>-115.11023840697</v>
      </c>
      <c r="C8206" t="s">
        <v>41</v>
      </c>
      <c r="D8206" t="s">
        <v>4829</v>
      </c>
      <c r="F8206" s="21"/>
      <c r="G8206" s="16" t="str">
        <f>HYPERLINK("http://maps.google.com/maps?f=q&amp;hl=en&amp;geocode=&amp;q=36.016034969727,-115.11023840697")</f>
        <v>http://maps.google.com/maps?f=q&amp;hl=en&amp;geocode=&amp;q=36.016034969727,-115.11023840697</v>
      </c>
    </row>
    <row r="8207" spans="1:7" ht="15" x14ac:dyDescent="0.3">
      <c r="A8207">
        <v>40.027079999999998</v>
      </c>
      <c r="B8207">
        <v>-75.042580000000001</v>
      </c>
      <c r="C8207" t="s">
        <v>42</v>
      </c>
      <c r="D8207" t="s">
        <v>4830</v>
      </c>
      <c r="F8207" s="21"/>
      <c r="G8207" s="16" t="str">
        <f>HYPERLINK("http://maps.google.com/maps?f=q&amp;hl=en&amp;geocode=&amp;q=40.02708,-75.04258")</f>
        <v>http://maps.google.com/maps?f=q&amp;hl=en&amp;geocode=&amp;q=40.02708,-75.04258</v>
      </c>
    </row>
    <row r="8208" spans="1:7" ht="15" x14ac:dyDescent="0.3">
      <c r="A8208">
        <v>30.704170000000001</v>
      </c>
      <c r="B8208">
        <v>-88.087890000000002</v>
      </c>
      <c r="C8208" t="s">
        <v>41</v>
      </c>
      <c r="D8208" t="s">
        <v>4831</v>
      </c>
      <c r="F8208" s="21"/>
      <c r="G8208" s="16" t="str">
        <f>HYPERLINK("http://maps.google.com/maps?f=q&amp;hl=en&amp;geocode=&amp;q=30.70417,-88.08789")</f>
        <v>http://maps.google.com/maps?f=q&amp;hl=en&amp;geocode=&amp;q=30.70417,-88.08789</v>
      </c>
    </row>
    <row r="8209" spans="1:7" ht="15" x14ac:dyDescent="0.3">
      <c r="A8209">
        <v>40.040390000000002</v>
      </c>
      <c r="B8209">
        <v>-75.109629999999996</v>
      </c>
      <c r="C8209" t="s">
        <v>43</v>
      </c>
      <c r="D8209" t="s">
        <v>777</v>
      </c>
      <c r="F8209" s="21"/>
      <c r="G8209" s="16" t="str">
        <f>HYPERLINK("http://maps.google.com/maps?f=q&amp;hl=en&amp;geocode=&amp;q=40.04039,-75.10963")</f>
        <v>http://maps.google.com/maps?f=q&amp;hl=en&amp;geocode=&amp;q=40.04039,-75.10963</v>
      </c>
    </row>
    <row r="8210" spans="1:7" ht="15" x14ac:dyDescent="0.3">
      <c r="A8210">
        <v>50.068752288818402</v>
      </c>
      <c r="B8210">
        <v>-85.828125</v>
      </c>
      <c r="C8210" t="s">
        <v>41</v>
      </c>
      <c r="D8210" t="s">
        <v>4832</v>
      </c>
      <c r="F8210" s="21"/>
      <c r="G8210" s="16" t="str">
        <f>HYPERLINK("http://maps.google.com/maps?f=q&amp;hl=en&amp;geocode=&amp;q=50.0687522888184,-85.828125")</f>
        <v>http://maps.google.com/maps?f=q&amp;hl=en&amp;geocode=&amp;q=50.0687522888184,-85.828125</v>
      </c>
    </row>
    <row r="8211" spans="1:7" ht="15" x14ac:dyDescent="0.3">
      <c r="A8211">
        <v>43.624290000000002</v>
      </c>
      <c r="B8211">
        <v>-85.913049999999998</v>
      </c>
      <c r="C8211" t="s">
        <v>43</v>
      </c>
      <c r="D8211" t="s">
        <v>4833</v>
      </c>
      <c r="F8211" s="21"/>
      <c r="G8211" s="16" t="str">
        <f>HYPERLINK("http://maps.google.com/maps?f=q&amp;hl=en&amp;geocode=&amp;q=43.62429,-85.91305")</f>
        <v>http://maps.google.com/maps?f=q&amp;hl=en&amp;geocode=&amp;q=43.62429,-85.91305</v>
      </c>
    </row>
    <row r="8212" spans="1:7" ht="15" x14ac:dyDescent="0.3">
      <c r="A8212">
        <v>46.850330352783203</v>
      </c>
      <c r="B8212">
        <v>9.5312995910644496</v>
      </c>
      <c r="C8212" t="s">
        <v>41</v>
      </c>
      <c r="D8212" t="s">
        <v>4834</v>
      </c>
      <c r="F8212" s="21"/>
      <c r="G8212" s="16" t="str">
        <f>HYPERLINK("http://maps.google.com/maps?f=q&amp;hl=en&amp;geocode=&amp;q=46.8503303527832,9.53129959106445")</f>
        <v>http://maps.google.com/maps?f=q&amp;hl=en&amp;geocode=&amp;q=46.8503303527832,9.53129959106445</v>
      </c>
    </row>
    <row r="8213" spans="1:7" ht="15" x14ac:dyDescent="0.3">
      <c r="A8213">
        <v>40.024738311767599</v>
      </c>
      <c r="B8213">
        <v>-75.213882446289105</v>
      </c>
      <c r="C8213" t="s">
        <v>43</v>
      </c>
      <c r="D8213" t="s">
        <v>141</v>
      </c>
      <c r="F8213" s="21"/>
      <c r="G8213" s="16" t="str">
        <f>HYPERLINK("http://maps.google.com/maps?f=q&amp;hl=en&amp;geocode=&amp;q=40.0247383117676,-75.2138824462891")</f>
        <v>http://maps.google.com/maps?f=q&amp;hl=en&amp;geocode=&amp;q=40.0247383117676,-75.2138824462891</v>
      </c>
    </row>
    <row r="8214" spans="1:7" ht="15" x14ac:dyDescent="0.3">
      <c r="A8214">
        <v>47.1358394860221</v>
      </c>
      <c r="B8214">
        <v>-92.417678243473205</v>
      </c>
      <c r="C8214" t="s">
        <v>41</v>
      </c>
      <c r="D8214" t="s">
        <v>4835</v>
      </c>
      <c r="F8214" s="21"/>
      <c r="G8214" s="16" t="str">
        <f>HYPERLINK("http://maps.google.com/maps?f=q&amp;hl=en&amp;geocode=&amp;q=47.1358394860221,-92.4176782434732")</f>
        <v>http://maps.google.com/maps?f=q&amp;hl=en&amp;geocode=&amp;q=47.1358394860221,-92.4176782434732</v>
      </c>
    </row>
    <row r="8215" spans="1:7" ht="15" x14ac:dyDescent="0.3">
      <c r="A8215">
        <v>52.487190246582003</v>
      </c>
      <c r="B8215">
        <v>0.679989993572235</v>
      </c>
      <c r="C8215" t="s">
        <v>41</v>
      </c>
      <c r="D8215" t="s">
        <v>2882</v>
      </c>
      <c r="F8215" s="21"/>
      <c r="G8215" s="16" t="str">
        <f>HYPERLINK("http://maps.google.com/maps?f=q&amp;hl=en&amp;geocode=&amp;q=52.487190246582,0.679989993572235")</f>
        <v>http://maps.google.com/maps?f=q&amp;hl=en&amp;geocode=&amp;q=52.487190246582,0.679989993572235</v>
      </c>
    </row>
    <row r="8216" spans="1:7" ht="15" x14ac:dyDescent="0.3">
      <c r="A8216">
        <v>30.563130000000001</v>
      </c>
      <c r="B8216">
        <v>-96.297319999999999</v>
      </c>
      <c r="C8216" t="s">
        <v>42</v>
      </c>
      <c r="D8216" t="s">
        <v>4836</v>
      </c>
      <c r="F8216" s="21"/>
      <c r="G8216" s="16" t="str">
        <f>HYPERLINK("http://maps.google.com/maps?f=q&amp;hl=en&amp;geocode=&amp;q=30.56313,-96.29732")</f>
        <v>http://maps.google.com/maps?f=q&amp;hl=en&amp;geocode=&amp;q=30.56313,-96.29732</v>
      </c>
    </row>
    <row r="8217" spans="1:7" ht="15" x14ac:dyDescent="0.3">
      <c r="A8217" t="s">
        <v>44</v>
      </c>
      <c r="B8217" t="s">
        <v>44</v>
      </c>
      <c r="C8217" t="s">
        <v>44</v>
      </c>
      <c r="D8217" t="s">
        <v>4837</v>
      </c>
      <c r="F8217" s="21"/>
      <c r="G8217" s="16"/>
    </row>
    <row r="8218" spans="1:7" ht="15" x14ac:dyDescent="0.3">
      <c r="A8218">
        <v>43.4287624627868</v>
      </c>
      <c r="B8218">
        <v>-92.553659748944</v>
      </c>
      <c r="C8218" t="s">
        <v>41</v>
      </c>
      <c r="D8218" t="s">
        <v>4838</v>
      </c>
      <c r="F8218" s="21"/>
      <c r="G8218" s="16" t="str">
        <f>HYPERLINK("http://maps.google.com/maps?f=q&amp;hl=en&amp;geocode=&amp;q=43.4287624627868,-92.553659748944")</f>
        <v>http://maps.google.com/maps?f=q&amp;hl=en&amp;geocode=&amp;q=43.4287624627868,-92.553659748944</v>
      </c>
    </row>
    <row r="8219" spans="1:7" ht="15" x14ac:dyDescent="0.3">
      <c r="A8219">
        <v>49.591770172119098</v>
      </c>
      <c r="B8219">
        <v>6.1191611289978001</v>
      </c>
      <c r="C8219" t="s">
        <v>41</v>
      </c>
      <c r="D8219" t="s">
        <v>4839</v>
      </c>
      <c r="F8219" s="21"/>
      <c r="G8219" s="16" t="str">
        <f>HYPERLINK("http://maps.google.com/maps?f=q&amp;hl=en&amp;geocode=&amp;q=49.5917701721191,6.1191611289978")</f>
        <v>http://maps.google.com/maps?f=q&amp;hl=en&amp;geocode=&amp;q=49.5917701721191,6.1191611289978</v>
      </c>
    </row>
    <row r="8220" spans="1:7" ht="15" x14ac:dyDescent="0.3">
      <c r="A8220">
        <v>39.964060000000003</v>
      </c>
      <c r="B8220">
        <v>-75.191590000000005</v>
      </c>
      <c r="C8220" t="s">
        <v>43</v>
      </c>
      <c r="D8220" t="s">
        <v>4840</v>
      </c>
      <c r="F8220" s="21"/>
      <c r="G8220" s="16" t="str">
        <f>HYPERLINK("http://maps.google.com/maps?f=q&amp;hl=en&amp;geocode=&amp;q=39.96406,-75.19159")</f>
        <v>http://maps.google.com/maps?f=q&amp;hl=en&amp;geocode=&amp;q=39.96406,-75.19159</v>
      </c>
    </row>
    <row r="8221" spans="1:7" ht="15" x14ac:dyDescent="0.3">
      <c r="A8221" t="s">
        <v>44</v>
      </c>
      <c r="B8221" t="s">
        <v>44</v>
      </c>
      <c r="C8221" t="s">
        <v>44</v>
      </c>
      <c r="D8221" t="s">
        <v>4532</v>
      </c>
      <c r="F8221" s="21"/>
      <c r="G8221" s="16"/>
    </row>
    <row r="8222" spans="1:7" ht="15" x14ac:dyDescent="0.3">
      <c r="A8222">
        <v>40.030999999999999</v>
      </c>
      <c r="B8222">
        <v>-75.044889999999995</v>
      </c>
      <c r="C8222" t="s">
        <v>41</v>
      </c>
      <c r="D8222" t="s">
        <v>4841</v>
      </c>
      <c r="F8222" s="21"/>
      <c r="G8222" s="16" t="str">
        <f>HYPERLINK("http://maps.google.com/maps?f=q&amp;hl=en&amp;geocode=&amp;q=40.031,-75.04489")</f>
        <v>http://maps.google.com/maps?f=q&amp;hl=en&amp;geocode=&amp;q=40.031,-75.04489</v>
      </c>
    </row>
    <row r="8223" spans="1:7" ht="15" x14ac:dyDescent="0.3">
      <c r="A8223">
        <v>40.030993699932402</v>
      </c>
      <c r="B8223">
        <v>-75.228703371134998</v>
      </c>
      <c r="C8223" t="s">
        <v>41</v>
      </c>
      <c r="D8223" t="s">
        <v>303</v>
      </c>
      <c r="F8223" s="21"/>
      <c r="G8223" s="16" t="str">
        <f>HYPERLINK("http://maps.google.com/maps?f=q&amp;hl=en&amp;geocode=&amp;q=40.0309936999324,-75.228703371135")</f>
        <v>http://maps.google.com/maps?f=q&amp;hl=en&amp;geocode=&amp;q=40.0309936999324,-75.228703371135</v>
      </c>
    </row>
    <row r="8224" spans="1:7" ht="15" x14ac:dyDescent="0.3">
      <c r="A8224">
        <v>39.975920000000002</v>
      </c>
      <c r="B8224">
        <v>-75.126099999999994</v>
      </c>
      <c r="C8224" t="s">
        <v>41</v>
      </c>
      <c r="D8224" t="s">
        <v>4842</v>
      </c>
      <c r="F8224" s="21"/>
      <c r="G8224" s="16" t="str">
        <f>HYPERLINK("http://maps.google.com/maps?f=q&amp;hl=en&amp;geocode=&amp;q=39.97592,-75.1261")</f>
        <v>http://maps.google.com/maps?f=q&amp;hl=en&amp;geocode=&amp;q=39.97592,-75.1261</v>
      </c>
    </row>
    <row r="8225" spans="1:7" ht="15" x14ac:dyDescent="0.3">
      <c r="A8225">
        <v>39.403060000000004</v>
      </c>
      <c r="B8225">
        <v>-83.982119999999995</v>
      </c>
      <c r="C8225" t="s">
        <v>43</v>
      </c>
      <c r="D8225" t="s">
        <v>3129</v>
      </c>
      <c r="F8225" s="21"/>
      <c r="G8225" s="16" t="str">
        <f>HYPERLINK("http://maps.google.com/maps?f=q&amp;hl=en&amp;geocode=&amp;q=39.40306,-83.98212")</f>
        <v>http://maps.google.com/maps?f=q&amp;hl=en&amp;geocode=&amp;q=39.40306,-83.98212</v>
      </c>
    </row>
    <row r="8226" spans="1:7" ht="15" x14ac:dyDescent="0.3">
      <c r="A8226">
        <v>33.593214532162101</v>
      </c>
      <c r="B8226">
        <v>-79.849364788115807</v>
      </c>
      <c r="C8226" t="s">
        <v>43</v>
      </c>
      <c r="D8226" t="s">
        <v>4843</v>
      </c>
      <c r="F8226" s="21"/>
      <c r="G8226" s="16" t="str">
        <f>HYPERLINK("http://maps.google.com/maps?f=q&amp;hl=en&amp;geocode=&amp;q=33.5932145321621,-79.8493647881158")</f>
        <v>http://maps.google.com/maps?f=q&amp;hl=en&amp;geocode=&amp;q=33.5932145321621,-79.8493647881158</v>
      </c>
    </row>
    <row r="8227" spans="1:7" ht="15" x14ac:dyDescent="0.3">
      <c r="A8227">
        <v>28.394202738862599</v>
      </c>
      <c r="B8227">
        <v>-80.744106405051198</v>
      </c>
      <c r="C8227" t="s">
        <v>42</v>
      </c>
      <c r="D8227" t="s">
        <v>4844</v>
      </c>
      <c r="F8227" s="21"/>
      <c r="G8227" s="16" t="str">
        <f>HYPERLINK("http://maps.google.com/maps?f=q&amp;hl=en&amp;geocode=&amp;q=28.3942027388626,-80.7441064050512")</f>
        <v>http://maps.google.com/maps?f=q&amp;hl=en&amp;geocode=&amp;q=28.3942027388626,-80.7441064050512</v>
      </c>
    </row>
    <row r="8228" spans="1:7" ht="15" x14ac:dyDescent="0.3">
      <c r="A8228">
        <v>28.394202738862599</v>
      </c>
      <c r="B8228">
        <v>-80.744106405051198</v>
      </c>
      <c r="C8228" t="s">
        <v>42</v>
      </c>
      <c r="D8228" t="s">
        <v>4844</v>
      </c>
      <c r="F8228" s="21"/>
      <c r="G8228" s="16" t="str">
        <f>HYPERLINK("http://maps.google.com/maps?f=q&amp;hl=en&amp;geocode=&amp;q=28.3942027388626,-80.7441064050512")</f>
        <v>http://maps.google.com/maps?f=q&amp;hl=en&amp;geocode=&amp;q=28.3942027388626,-80.7441064050512</v>
      </c>
    </row>
    <row r="8229" spans="1:7" ht="15" x14ac:dyDescent="0.3">
      <c r="A8229">
        <v>-37.815635681152301</v>
      </c>
      <c r="B8229">
        <v>144.96734619140599</v>
      </c>
      <c r="C8229" t="s">
        <v>43</v>
      </c>
      <c r="D8229" t="s">
        <v>4845</v>
      </c>
      <c r="F8229" s="21"/>
      <c r="G8229" s="16" t="str">
        <f>HYPERLINK("http://maps.google.com/maps?f=q&amp;hl=en&amp;geocode=&amp;q=-37.8156356811523,144.967346191406")</f>
        <v>http://maps.google.com/maps?f=q&amp;hl=en&amp;geocode=&amp;q=-37.8156356811523,144.967346191406</v>
      </c>
    </row>
    <row r="8230" spans="1:7" ht="15" x14ac:dyDescent="0.3">
      <c r="A8230">
        <v>40.309345611728098</v>
      </c>
      <c r="B8230">
        <v>-78.3180015519536</v>
      </c>
      <c r="C8230" t="s">
        <v>41</v>
      </c>
      <c r="D8230" t="s">
        <v>844</v>
      </c>
      <c r="F8230" s="21"/>
      <c r="G8230" s="16" t="str">
        <f>HYPERLINK("http://maps.google.com/maps?f=q&amp;hl=en&amp;geocode=&amp;q=40.3093456117281,-78.3180015519536")</f>
        <v>http://maps.google.com/maps?f=q&amp;hl=en&amp;geocode=&amp;q=40.3093456117281,-78.3180015519536</v>
      </c>
    </row>
    <row r="8231" spans="1:7" ht="15" x14ac:dyDescent="0.3">
      <c r="A8231">
        <v>39.330739999999999</v>
      </c>
      <c r="B8231">
        <v>-76.707470000000001</v>
      </c>
      <c r="C8231" t="s">
        <v>41</v>
      </c>
      <c r="D8231" t="s">
        <v>2331</v>
      </c>
      <c r="F8231" s="21"/>
      <c r="G8231" s="16" t="str">
        <f>HYPERLINK("http://maps.google.com/maps?f=q&amp;hl=en&amp;geocode=&amp;q=39.33074,-76.70747")</f>
        <v>http://maps.google.com/maps?f=q&amp;hl=en&amp;geocode=&amp;q=39.33074,-76.70747</v>
      </c>
    </row>
    <row r="8232" spans="1:7" ht="15" x14ac:dyDescent="0.3">
      <c r="A8232">
        <v>48.552315679874503</v>
      </c>
      <c r="B8232">
        <v>-117.907338543379</v>
      </c>
      <c r="C8232" t="s">
        <v>43</v>
      </c>
      <c r="D8232" t="s">
        <v>4846</v>
      </c>
      <c r="F8232" s="21"/>
      <c r="G8232" s="16" t="str">
        <f>HYPERLINK("http://maps.google.com/maps?f=q&amp;hl=en&amp;geocode=&amp;q=48.5523156798745,-117.907338543379")</f>
        <v>http://maps.google.com/maps?f=q&amp;hl=en&amp;geocode=&amp;q=48.5523156798745,-117.907338543379</v>
      </c>
    </row>
    <row r="8233" spans="1:7" ht="15" x14ac:dyDescent="0.3">
      <c r="A8233">
        <v>36.383634418760103</v>
      </c>
      <c r="B8233">
        <v>-78.635280298519305</v>
      </c>
      <c r="C8233" t="s">
        <v>41</v>
      </c>
      <c r="D8233" t="s">
        <v>51</v>
      </c>
      <c r="F8233" s="21"/>
      <c r="G8233" s="16" t="str">
        <f>HYPERLINK("http://maps.google.com/maps?f=q&amp;hl=en&amp;geocode=&amp;q=36.3836344187601,-78.6352802985193")</f>
        <v>http://maps.google.com/maps?f=q&amp;hl=en&amp;geocode=&amp;q=36.3836344187601,-78.6352802985193</v>
      </c>
    </row>
    <row r="8234" spans="1:7" ht="15" x14ac:dyDescent="0.3">
      <c r="A8234">
        <v>50.780136108398402</v>
      </c>
      <c r="B8234">
        <v>4.2288222312927202</v>
      </c>
      <c r="C8234" t="s">
        <v>43</v>
      </c>
      <c r="D8234" t="s">
        <v>2776</v>
      </c>
      <c r="F8234" s="21"/>
      <c r="G8234" s="16" t="str">
        <f>HYPERLINK("http://maps.google.com/maps?f=q&amp;hl=en&amp;geocode=&amp;q=50.7801361083984,4.22882223129272")</f>
        <v>http://maps.google.com/maps?f=q&amp;hl=en&amp;geocode=&amp;q=50.7801361083984,4.22882223129272</v>
      </c>
    </row>
    <row r="8235" spans="1:7" ht="15" x14ac:dyDescent="0.3">
      <c r="A8235">
        <v>39.6156750879329</v>
      </c>
      <c r="B8235">
        <v>-119.68109336055601</v>
      </c>
      <c r="C8235" t="s">
        <v>41</v>
      </c>
      <c r="D8235" t="s">
        <v>4847</v>
      </c>
      <c r="F8235" s="21"/>
      <c r="G8235" s="16" t="str">
        <f>HYPERLINK("http://maps.google.com/maps?f=q&amp;hl=en&amp;geocode=&amp;q=39.6156750879329,-119.681093360556")</f>
        <v>http://maps.google.com/maps?f=q&amp;hl=en&amp;geocode=&amp;q=39.6156750879329,-119.681093360556</v>
      </c>
    </row>
    <row r="8236" spans="1:7" ht="15" x14ac:dyDescent="0.3">
      <c r="A8236">
        <v>50.4301147460938</v>
      </c>
      <c r="B8236">
        <v>3.7866749763488801</v>
      </c>
      <c r="C8236" t="s">
        <v>43</v>
      </c>
      <c r="D8236" t="s">
        <v>4848</v>
      </c>
      <c r="F8236" s="21"/>
      <c r="G8236" s="16" t="str">
        <f>HYPERLINK("http://maps.google.com/maps?f=q&amp;hl=en&amp;geocode=&amp;q=50.4301147460938,3.78667497634888")</f>
        <v>http://maps.google.com/maps?f=q&amp;hl=en&amp;geocode=&amp;q=50.4301147460938,3.78667497634888</v>
      </c>
    </row>
    <row r="8237" spans="1:7" ht="15" x14ac:dyDescent="0.3">
      <c r="A8237">
        <v>35.954746458453499</v>
      </c>
      <c r="B8237">
        <v>-77.474282131778594</v>
      </c>
      <c r="C8237" t="s">
        <v>41</v>
      </c>
      <c r="D8237" t="s">
        <v>4849</v>
      </c>
      <c r="F8237" s="21"/>
      <c r="G8237" s="16" t="str">
        <f>HYPERLINK("http://maps.google.com/maps?f=q&amp;hl=en&amp;geocode=&amp;q=35.9547464584535,-77.4742821317786")</f>
        <v>http://maps.google.com/maps?f=q&amp;hl=en&amp;geocode=&amp;q=35.9547464584535,-77.4742821317786</v>
      </c>
    </row>
    <row r="8238" spans="1:7" ht="15" x14ac:dyDescent="0.3">
      <c r="A8238">
        <v>39.95655</v>
      </c>
      <c r="B8238">
        <v>-75.241889999999998</v>
      </c>
      <c r="C8238" t="s">
        <v>43</v>
      </c>
      <c r="D8238" t="s">
        <v>2770</v>
      </c>
      <c r="F8238" s="21"/>
      <c r="G8238" s="16" t="str">
        <f>HYPERLINK("http://maps.google.com/maps?f=q&amp;hl=en&amp;geocode=&amp;q=39.95655,-75.24189")</f>
        <v>http://maps.google.com/maps?f=q&amp;hl=en&amp;geocode=&amp;q=39.95655,-75.24189</v>
      </c>
    </row>
    <row r="8239" spans="1:7" ht="15" x14ac:dyDescent="0.3">
      <c r="A8239">
        <v>55.582870483398402</v>
      </c>
      <c r="B8239">
        <v>10.2827501296997</v>
      </c>
      <c r="C8239" t="s">
        <v>41</v>
      </c>
      <c r="D8239" t="s">
        <v>82</v>
      </c>
      <c r="F8239" s="21"/>
      <c r="G8239" s="16" t="str">
        <f>HYPERLINK("http://maps.google.com/maps?f=q&amp;hl=en&amp;geocode=&amp;q=55.5828704833984,10.2827501296997")</f>
        <v>http://maps.google.com/maps?f=q&amp;hl=en&amp;geocode=&amp;q=55.5828704833984,10.2827501296997</v>
      </c>
    </row>
    <row r="8240" spans="1:7" ht="15" x14ac:dyDescent="0.3">
      <c r="A8240">
        <v>53.489730834960902</v>
      </c>
      <c r="B8240">
        <v>-2.2843000888824498</v>
      </c>
      <c r="C8240" t="s">
        <v>43</v>
      </c>
      <c r="D8240" t="s">
        <v>4850</v>
      </c>
      <c r="F8240" s="21"/>
      <c r="G8240" s="16" t="str">
        <f>HYPERLINK("http://maps.google.com/maps?f=q&amp;hl=en&amp;geocode=&amp;q=53.4897308349609,-2.28430008888245")</f>
        <v>http://maps.google.com/maps?f=q&amp;hl=en&amp;geocode=&amp;q=53.4897308349609,-2.28430008888245</v>
      </c>
    </row>
    <row r="8241" spans="1:7" ht="15" x14ac:dyDescent="0.3">
      <c r="A8241">
        <v>40.049819999999997</v>
      </c>
      <c r="B8241">
        <v>-75.095699999999994</v>
      </c>
      <c r="C8241" t="s">
        <v>43</v>
      </c>
      <c r="D8241" t="s">
        <v>2496</v>
      </c>
      <c r="F8241" s="21"/>
      <c r="G8241" s="16" t="str">
        <f>HYPERLINK("http://maps.google.com/maps?f=q&amp;hl=en&amp;geocode=&amp;q=40.04982,-75.0957")</f>
        <v>http://maps.google.com/maps?f=q&amp;hl=en&amp;geocode=&amp;q=40.04982,-75.0957</v>
      </c>
    </row>
    <row r="8242" spans="1:7" ht="15" x14ac:dyDescent="0.3">
      <c r="A8242">
        <v>-5.0306301116943404</v>
      </c>
      <c r="B8242">
        <v>32.819759368896499</v>
      </c>
      <c r="C8242" t="s">
        <v>41</v>
      </c>
      <c r="D8242" t="s">
        <v>3418</v>
      </c>
      <c r="F8242" s="21"/>
      <c r="G8242" s="16" t="str">
        <f>HYPERLINK("http://maps.google.com/maps?f=q&amp;hl=en&amp;geocode=&amp;q=-5.03063011169434,32.8197593688965")</f>
        <v>http://maps.google.com/maps?f=q&amp;hl=en&amp;geocode=&amp;q=-5.03063011169434,32.8197593688965</v>
      </c>
    </row>
    <row r="8243" spans="1:7" ht="15" x14ac:dyDescent="0.3">
      <c r="A8243">
        <v>26.00189</v>
      </c>
      <c r="B8243">
        <v>-80.209339999999997</v>
      </c>
      <c r="C8243" t="s">
        <v>43</v>
      </c>
      <c r="D8243" t="s">
        <v>4851</v>
      </c>
      <c r="F8243" s="21"/>
      <c r="G8243" s="16" t="str">
        <f>HYPERLINK("http://maps.google.com/maps?f=q&amp;hl=en&amp;geocode=&amp;q=26.00189,-80.20934")</f>
        <v>http://maps.google.com/maps?f=q&amp;hl=en&amp;geocode=&amp;q=26.00189,-80.20934</v>
      </c>
    </row>
    <row r="8244" spans="1:7" ht="15" x14ac:dyDescent="0.3">
      <c r="A8244">
        <v>38.588470000000001</v>
      </c>
      <c r="B8244">
        <v>-122.58041</v>
      </c>
      <c r="C8244" t="s">
        <v>42</v>
      </c>
      <c r="D8244" t="s">
        <v>4852</v>
      </c>
      <c r="F8244" s="21"/>
      <c r="G8244" s="16" t="str">
        <f>HYPERLINK("http://maps.google.com/maps?f=q&amp;hl=en&amp;geocode=&amp;q=38.58847,-122.58041")</f>
        <v>http://maps.google.com/maps?f=q&amp;hl=en&amp;geocode=&amp;q=38.58847,-122.58041</v>
      </c>
    </row>
    <row r="8245" spans="1:7" ht="15" x14ac:dyDescent="0.3">
      <c r="A8245">
        <v>-40.001163482666001</v>
      </c>
      <c r="B8245">
        <v>176.55967712402301</v>
      </c>
      <c r="C8245" t="s">
        <v>43</v>
      </c>
      <c r="D8245" t="s">
        <v>4853</v>
      </c>
      <c r="F8245" s="21"/>
      <c r="G8245" s="16" t="str">
        <f>HYPERLINK("http://maps.google.com/maps?f=q&amp;hl=en&amp;geocode=&amp;q=-40.001163482666,176.559677124023")</f>
        <v>http://maps.google.com/maps?f=q&amp;hl=en&amp;geocode=&amp;q=-40.001163482666,176.559677124023</v>
      </c>
    </row>
    <row r="8246" spans="1:7" ht="15" x14ac:dyDescent="0.3">
      <c r="A8246">
        <v>-43.576999664306598</v>
      </c>
      <c r="B8246">
        <v>172.75999450683599</v>
      </c>
      <c r="C8246" t="s">
        <v>41</v>
      </c>
      <c r="D8246" t="s">
        <v>3753</v>
      </c>
      <c r="F8246" s="21"/>
      <c r="G8246" s="16" t="str">
        <f>HYPERLINK("http://maps.google.com/maps?f=q&amp;hl=en&amp;geocode=&amp;q=-43.5769996643066,172.759994506836")</f>
        <v>http://maps.google.com/maps?f=q&amp;hl=en&amp;geocode=&amp;q=-43.5769996643066,172.759994506836</v>
      </c>
    </row>
    <row r="8247" spans="1:7" ht="15" x14ac:dyDescent="0.3">
      <c r="F8247" s="21"/>
      <c r="G8247" s="16"/>
    </row>
    <row r="8248" spans="1:7" ht="15" x14ac:dyDescent="0.3">
      <c r="A8248">
        <v>36.04242</v>
      </c>
      <c r="B8248">
        <v>-83.82199</v>
      </c>
      <c r="C8248" t="s">
        <v>41</v>
      </c>
      <c r="D8248" t="s">
        <v>3715</v>
      </c>
      <c r="F8248" s="21"/>
      <c r="G8248" s="16" t="str">
        <f>HYPERLINK("http://maps.google.com/maps?f=q&amp;hl=en&amp;geocode=&amp;q=36.04242,-83.82199")</f>
        <v>http://maps.google.com/maps?f=q&amp;hl=en&amp;geocode=&amp;q=36.04242,-83.82199</v>
      </c>
    </row>
    <row r="8249" spans="1:7" ht="15" x14ac:dyDescent="0.3">
      <c r="A8249">
        <v>40.015514875334901</v>
      </c>
      <c r="B8249">
        <v>-75.1389955746548</v>
      </c>
      <c r="C8249" t="s">
        <v>43</v>
      </c>
      <c r="D8249" t="s">
        <v>4854</v>
      </c>
      <c r="F8249" s="21"/>
      <c r="G8249" s="16" t="str">
        <f>HYPERLINK("http://maps.google.com/maps?f=q&amp;hl=en&amp;geocode=&amp;q=40.0155148753349,-75.1389955746548")</f>
        <v>http://maps.google.com/maps?f=q&amp;hl=en&amp;geocode=&amp;q=40.0155148753349,-75.1389955746548</v>
      </c>
    </row>
    <row r="8250" spans="1:7" ht="15" x14ac:dyDescent="0.3">
      <c r="A8250">
        <v>45.388575617768197</v>
      </c>
      <c r="B8250">
        <v>-122.74742970424499</v>
      </c>
      <c r="C8250" t="s">
        <v>41</v>
      </c>
      <c r="D8250" t="s">
        <v>4855</v>
      </c>
      <c r="F8250" s="21"/>
      <c r="G8250" s="16" t="str">
        <f>HYPERLINK("http://maps.google.com/maps?f=q&amp;hl=en&amp;geocode=&amp;q=45.3885756177682,-122.747429704245")</f>
        <v>http://maps.google.com/maps?f=q&amp;hl=en&amp;geocode=&amp;q=45.3885756177682,-122.747429704245</v>
      </c>
    </row>
    <row r="8251" spans="1:7" ht="15" x14ac:dyDescent="0.3">
      <c r="A8251">
        <v>40.075859999999999</v>
      </c>
      <c r="B8251">
        <v>-75.169160000000005</v>
      </c>
      <c r="C8251" t="s">
        <v>41</v>
      </c>
      <c r="D8251" t="s">
        <v>4856</v>
      </c>
      <c r="F8251" s="21"/>
      <c r="G8251" s="16" t="str">
        <f>HYPERLINK("http://maps.google.com/maps?f=q&amp;hl=en&amp;geocode=&amp;q=40.07586,-75.16916")</f>
        <v>http://maps.google.com/maps?f=q&amp;hl=en&amp;geocode=&amp;q=40.07586,-75.16916</v>
      </c>
    </row>
    <row r="8252" spans="1:7" ht="15" x14ac:dyDescent="0.3">
      <c r="A8252">
        <v>40.075859999999999</v>
      </c>
      <c r="B8252">
        <v>-75.169160000000005</v>
      </c>
      <c r="C8252" t="s">
        <v>41</v>
      </c>
      <c r="D8252" t="s">
        <v>4856</v>
      </c>
      <c r="F8252" s="21"/>
      <c r="G8252" s="16" t="str">
        <f>HYPERLINK("http://maps.google.com/maps?f=q&amp;hl=en&amp;geocode=&amp;q=40.07586,-75.16916")</f>
        <v>http://maps.google.com/maps?f=q&amp;hl=en&amp;geocode=&amp;q=40.07586,-75.16916</v>
      </c>
    </row>
    <row r="8253" spans="1:7" ht="15" x14ac:dyDescent="0.3">
      <c r="A8253">
        <v>29.691155747923201</v>
      </c>
      <c r="B8253">
        <v>-95.353791519055804</v>
      </c>
      <c r="C8253" t="s">
        <v>41</v>
      </c>
      <c r="D8253" t="s">
        <v>4857</v>
      </c>
      <c r="F8253" s="21"/>
      <c r="G8253" s="16" t="str">
        <f>HYPERLINK("http://maps.google.com/maps?f=q&amp;hl=en&amp;geocode=&amp;q=29.6911557479232,-95.3537915190558")</f>
        <v>http://maps.google.com/maps?f=q&amp;hl=en&amp;geocode=&amp;q=29.6911557479232,-95.3537915190558</v>
      </c>
    </row>
    <row r="8254" spans="1:7" ht="15" x14ac:dyDescent="0.3">
      <c r="F8254" s="21"/>
      <c r="G8254" s="16"/>
    </row>
    <row r="8255" spans="1:7" ht="15" x14ac:dyDescent="0.3">
      <c r="A8255">
        <v>40.015603904082397</v>
      </c>
      <c r="B8255">
        <v>-75.138978973303296</v>
      </c>
      <c r="C8255" t="s">
        <v>43</v>
      </c>
      <c r="D8255" t="s">
        <v>2903</v>
      </c>
      <c r="F8255" s="21"/>
      <c r="G8255" s="16" t="str">
        <f>HYPERLINK("http://maps.google.com/maps?f=q&amp;hl=en&amp;geocode=&amp;q=40.0156039040824,-75.1389789733033")</f>
        <v>http://maps.google.com/maps?f=q&amp;hl=en&amp;geocode=&amp;q=40.0156039040824,-75.1389789733033</v>
      </c>
    </row>
    <row r="8256" spans="1:7" ht="15" x14ac:dyDescent="0.3">
      <c r="A8256">
        <v>39.951729999999998</v>
      </c>
      <c r="B8256">
        <v>-75.238969999999995</v>
      </c>
      <c r="C8256" t="s">
        <v>41</v>
      </c>
      <c r="D8256" t="s">
        <v>4858</v>
      </c>
      <c r="F8256" s="21"/>
      <c r="G8256" s="16" t="str">
        <f>HYPERLINK("http://maps.google.com/maps?f=q&amp;hl=en&amp;geocode=&amp;q=39.95173,-75.23897")</f>
        <v>http://maps.google.com/maps?f=q&amp;hl=en&amp;geocode=&amp;q=39.95173,-75.23897</v>
      </c>
    </row>
    <row r="8257" spans="1:7" ht="15" x14ac:dyDescent="0.3">
      <c r="A8257">
        <v>39.894179999999999</v>
      </c>
      <c r="B8257">
        <v>-88.965879999999999</v>
      </c>
      <c r="C8257" t="s">
        <v>42</v>
      </c>
      <c r="D8257" t="s">
        <v>4859</v>
      </c>
      <c r="F8257" s="21"/>
      <c r="G8257" s="16" t="str">
        <f>HYPERLINK("http://maps.google.com/maps?f=q&amp;hl=en&amp;geocode=&amp;q=39.89418,-88.96588")</f>
        <v>http://maps.google.com/maps?f=q&amp;hl=en&amp;geocode=&amp;q=39.89418,-88.96588</v>
      </c>
    </row>
    <row r="8258" spans="1:7" ht="15" x14ac:dyDescent="0.3">
      <c r="A8258">
        <v>-31.946370000000002</v>
      </c>
      <c r="B8258">
        <v>115.86225</v>
      </c>
      <c r="C8258" t="s">
        <v>41</v>
      </c>
      <c r="D8258" t="s">
        <v>4860</v>
      </c>
      <c r="F8258" s="21"/>
      <c r="G8258" s="16" t="str">
        <f>HYPERLINK("http://maps.google.com/maps?f=q&amp;hl=en&amp;geocode=&amp;q=-31.94637,115.86225")</f>
        <v>http://maps.google.com/maps?f=q&amp;hl=en&amp;geocode=&amp;q=-31.94637,115.86225</v>
      </c>
    </row>
    <row r="8259" spans="1:7" ht="15" x14ac:dyDescent="0.3">
      <c r="A8259">
        <v>40.015514875334901</v>
      </c>
      <c r="B8259">
        <v>-75.1389955746548</v>
      </c>
      <c r="C8259" t="s">
        <v>43</v>
      </c>
      <c r="D8259" t="s">
        <v>4854</v>
      </c>
      <c r="F8259" s="21"/>
      <c r="G8259" s="16" t="str">
        <f>HYPERLINK("http://maps.google.com/maps?f=q&amp;hl=en&amp;geocode=&amp;q=40.0155148753349,-75.1389955746548")</f>
        <v>http://maps.google.com/maps?f=q&amp;hl=en&amp;geocode=&amp;q=40.0155148753349,-75.1389955746548</v>
      </c>
    </row>
    <row r="8260" spans="1:7" ht="15" x14ac:dyDescent="0.3">
      <c r="A8260">
        <v>41.078463062635898</v>
      </c>
      <c r="B8260">
        <v>-90.221819115984104</v>
      </c>
      <c r="C8260" t="s">
        <v>41</v>
      </c>
      <c r="D8260" t="s">
        <v>4861</v>
      </c>
      <c r="F8260" s="21"/>
      <c r="G8260" s="16" t="str">
        <f>HYPERLINK("http://maps.google.com/maps?f=q&amp;hl=en&amp;geocode=&amp;q=41.0784630626359,-90.2218191159841")</f>
        <v>http://maps.google.com/maps?f=q&amp;hl=en&amp;geocode=&amp;q=41.0784630626359,-90.2218191159841</v>
      </c>
    </row>
    <row r="8261" spans="1:7" ht="15" x14ac:dyDescent="0.3">
      <c r="A8261">
        <v>41.842132568359403</v>
      </c>
      <c r="B8261">
        <v>25.132890701293899</v>
      </c>
      <c r="C8261" t="s">
        <v>43</v>
      </c>
      <c r="D8261" t="s">
        <v>4862</v>
      </c>
      <c r="F8261" s="21"/>
      <c r="G8261" s="16" t="str">
        <f>HYPERLINK("http://maps.google.com/maps?f=q&amp;hl=en&amp;geocode=&amp;q=41.8421325683594,25.1328907012939")</f>
        <v>http://maps.google.com/maps?f=q&amp;hl=en&amp;geocode=&amp;q=41.8421325683594,25.1328907012939</v>
      </c>
    </row>
    <row r="8262" spans="1:7" ht="15" x14ac:dyDescent="0.3">
      <c r="A8262">
        <v>47.942550659179702</v>
      </c>
      <c r="B8262">
        <v>1.81772005558014</v>
      </c>
      <c r="C8262" t="s">
        <v>43</v>
      </c>
      <c r="D8262" t="s">
        <v>4863</v>
      </c>
      <c r="F8262" s="21"/>
      <c r="G8262" s="16" t="str">
        <f>HYPERLINK("http://maps.google.com/maps?f=q&amp;hl=en&amp;geocode=&amp;q=47.9425506591797,1.81772005558014")</f>
        <v>http://maps.google.com/maps?f=q&amp;hl=en&amp;geocode=&amp;q=47.9425506591797,1.81772005558014</v>
      </c>
    </row>
    <row r="8263" spans="1:7" ht="15" x14ac:dyDescent="0.3">
      <c r="A8263">
        <v>39.9536720964674</v>
      </c>
      <c r="B8263">
        <v>-75.241227235137202</v>
      </c>
      <c r="C8263" t="s">
        <v>41</v>
      </c>
      <c r="D8263" t="s">
        <v>195</v>
      </c>
      <c r="F8263" s="21"/>
      <c r="G8263" s="16" t="str">
        <f>HYPERLINK("http://maps.google.com/maps?f=q&amp;hl=en&amp;geocode=&amp;q=39.9536720964674,-75.2412272351372")</f>
        <v>http://maps.google.com/maps?f=q&amp;hl=en&amp;geocode=&amp;q=39.9536720964674,-75.2412272351372</v>
      </c>
    </row>
    <row r="8264" spans="1:7" ht="15" x14ac:dyDescent="0.3">
      <c r="A8264">
        <v>50.413559900000003</v>
      </c>
      <c r="B8264">
        <v>4.4393700000000003</v>
      </c>
      <c r="C8264" t="s">
        <v>41</v>
      </c>
      <c r="D8264" t="s">
        <v>4864</v>
      </c>
      <c r="F8264" s="21"/>
      <c r="G8264" s="16" t="str">
        <f>HYPERLINK("http://maps.google.com/maps?f=q&amp;hl=en&amp;geocode=&amp;q=50.4135599,4.43937")</f>
        <v>http://maps.google.com/maps?f=q&amp;hl=en&amp;geocode=&amp;q=50.4135599,4.43937</v>
      </c>
    </row>
    <row r="8265" spans="1:7" ht="15" x14ac:dyDescent="0.3">
      <c r="A8265">
        <v>39.954061587299101</v>
      </c>
      <c r="B8265">
        <v>-75.226529072407999</v>
      </c>
      <c r="C8265" t="s">
        <v>43</v>
      </c>
      <c r="D8265" t="s">
        <v>4865</v>
      </c>
      <c r="F8265" s="21"/>
      <c r="G8265" s="16" t="str">
        <f>HYPERLINK("http://maps.google.com/maps?f=q&amp;hl=en&amp;geocode=&amp;q=39.9540615872991,-75.226529072408")</f>
        <v>http://maps.google.com/maps?f=q&amp;hl=en&amp;geocode=&amp;q=39.9540615872991,-75.226529072408</v>
      </c>
    </row>
    <row r="8266" spans="1:7" ht="15" x14ac:dyDescent="0.3">
      <c r="A8266">
        <v>35.850891542742701</v>
      </c>
      <c r="B8266">
        <v>-92.651597086791995</v>
      </c>
      <c r="C8266" t="s">
        <v>42</v>
      </c>
      <c r="D8266" t="s">
        <v>4866</v>
      </c>
      <c r="F8266" s="21"/>
      <c r="G8266" s="16" t="str">
        <f>HYPERLINK("http://maps.google.com/maps?f=q&amp;hl=en&amp;geocode=&amp;q=35.8508915427427,-92.651597086792")</f>
        <v>http://maps.google.com/maps?f=q&amp;hl=en&amp;geocode=&amp;q=35.8508915427427,-92.651597086792</v>
      </c>
    </row>
    <row r="8267" spans="1:7" ht="15" x14ac:dyDescent="0.3">
      <c r="A8267">
        <v>32.794418472756</v>
      </c>
      <c r="B8267">
        <v>-88.398324988614206</v>
      </c>
      <c r="C8267" t="s">
        <v>41</v>
      </c>
      <c r="D8267" t="s">
        <v>4867</v>
      </c>
      <c r="F8267" s="21"/>
      <c r="G8267" s="16" t="str">
        <f>HYPERLINK("http://maps.google.com/maps?f=q&amp;hl=en&amp;geocode=&amp;q=32.794418472756,-88.3983249886142")</f>
        <v>http://maps.google.com/maps?f=q&amp;hl=en&amp;geocode=&amp;q=32.794418472756,-88.3983249886142</v>
      </c>
    </row>
    <row r="8268" spans="1:7" ht="15" x14ac:dyDescent="0.3">
      <c r="A8268">
        <v>38.996013050562503</v>
      </c>
      <c r="B8268">
        <v>-121.70030353970201</v>
      </c>
      <c r="C8268" t="s">
        <v>41</v>
      </c>
      <c r="D8268" t="s">
        <v>4868</v>
      </c>
      <c r="F8268" s="21"/>
      <c r="G8268" s="16" t="str">
        <f>HYPERLINK("http://maps.google.com/maps?f=q&amp;hl=en&amp;geocode=&amp;q=38.9960130505625,-121.700303539702")</f>
        <v>http://maps.google.com/maps?f=q&amp;hl=en&amp;geocode=&amp;q=38.9960130505625,-121.700303539702</v>
      </c>
    </row>
    <row r="8269" spans="1:7" ht="15" x14ac:dyDescent="0.3">
      <c r="A8269">
        <v>39.995759999999997</v>
      </c>
      <c r="B8269">
        <v>-75.072460000000007</v>
      </c>
      <c r="C8269" t="s">
        <v>41</v>
      </c>
      <c r="D8269" t="s">
        <v>4869</v>
      </c>
      <c r="F8269" s="21"/>
      <c r="G8269" s="16" t="str">
        <f>HYPERLINK("http://maps.google.com/maps?f=q&amp;hl=en&amp;geocode=&amp;q=39.99576,-75.07246")</f>
        <v>http://maps.google.com/maps?f=q&amp;hl=en&amp;geocode=&amp;q=39.99576,-75.07246</v>
      </c>
    </row>
    <row r="8270" spans="1:7" ht="15" x14ac:dyDescent="0.3">
      <c r="A8270">
        <v>34.754854999999999</v>
      </c>
      <c r="B8270">
        <v>-106.755593</v>
      </c>
      <c r="C8270" t="s">
        <v>41</v>
      </c>
      <c r="D8270" t="s">
        <v>4870</v>
      </c>
      <c r="F8270" s="21"/>
      <c r="G8270" s="16" t="str">
        <f>HYPERLINK("http://maps.google.com/maps?f=q&amp;hl=en&amp;geocode=&amp;q=34.754855,-106.755593")</f>
        <v>http://maps.google.com/maps?f=q&amp;hl=en&amp;geocode=&amp;q=34.754855,-106.755593</v>
      </c>
    </row>
    <row r="8271" spans="1:7" ht="15" x14ac:dyDescent="0.3">
      <c r="A8271">
        <v>39.949779999999997</v>
      </c>
      <c r="B8271">
        <v>-75.216710000000006</v>
      </c>
      <c r="C8271" t="s">
        <v>41</v>
      </c>
      <c r="D8271" t="s">
        <v>4871</v>
      </c>
      <c r="F8271" s="21"/>
      <c r="G8271" s="16" t="str">
        <f>HYPERLINK("http://maps.google.com/maps?f=q&amp;hl=en&amp;geocode=&amp;q=39.94978,-75.21671")</f>
        <v>http://maps.google.com/maps?f=q&amp;hl=en&amp;geocode=&amp;q=39.94978,-75.21671</v>
      </c>
    </row>
    <row r="8272" spans="1:7" ht="15" x14ac:dyDescent="0.3">
      <c r="A8272" t="s">
        <v>44</v>
      </c>
      <c r="B8272" t="s">
        <v>44</v>
      </c>
      <c r="C8272" t="s">
        <v>44</v>
      </c>
      <c r="D8272" t="s">
        <v>1004</v>
      </c>
      <c r="F8272" s="21"/>
      <c r="G8272" s="16"/>
    </row>
    <row r="8273" spans="1:7" ht="15" x14ac:dyDescent="0.3">
      <c r="A8273">
        <v>-31.946370000000002</v>
      </c>
      <c r="B8273">
        <v>115.86225</v>
      </c>
      <c r="C8273" t="s">
        <v>41</v>
      </c>
      <c r="D8273" t="s">
        <v>4860</v>
      </c>
      <c r="F8273" s="21"/>
      <c r="G8273" s="16" t="str">
        <f>HYPERLINK("http://maps.google.com/maps?f=q&amp;hl=en&amp;geocode=&amp;q=-31.94637,115.86225")</f>
        <v>http://maps.google.com/maps?f=q&amp;hl=en&amp;geocode=&amp;q=-31.94637,115.86225</v>
      </c>
    </row>
    <row r="8274" spans="1:7" ht="15" x14ac:dyDescent="0.3">
      <c r="A8274">
        <v>32.833927231188603</v>
      </c>
      <c r="B8274">
        <v>-96.765505943894894</v>
      </c>
      <c r="C8274" t="s">
        <v>41</v>
      </c>
      <c r="D8274" t="s">
        <v>1073</v>
      </c>
      <c r="F8274" s="21"/>
      <c r="G8274" s="16" t="str">
        <f>HYPERLINK("http://maps.google.com/maps?f=q&amp;hl=en&amp;geocode=&amp;q=32.8339272311886,-96.7655059438949")</f>
        <v>http://maps.google.com/maps?f=q&amp;hl=en&amp;geocode=&amp;q=32.8339272311886,-96.7655059438949</v>
      </c>
    </row>
    <row r="8275" spans="1:7" ht="15" x14ac:dyDescent="0.3">
      <c r="A8275">
        <v>38.62068</v>
      </c>
      <c r="B8275">
        <v>-90.190629999999999</v>
      </c>
      <c r="C8275" t="s">
        <v>43</v>
      </c>
      <c r="D8275" t="s">
        <v>4872</v>
      </c>
      <c r="F8275" s="21"/>
      <c r="G8275" s="16" t="str">
        <f>HYPERLINK("http://maps.google.com/maps?f=q&amp;hl=en&amp;geocode=&amp;q=38.62068,-90.19063")</f>
        <v>http://maps.google.com/maps?f=q&amp;hl=en&amp;geocode=&amp;q=38.62068,-90.19063</v>
      </c>
    </row>
    <row r="8276" spans="1:7" ht="15" x14ac:dyDescent="0.3">
      <c r="A8276">
        <v>39.925220000000003</v>
      </c>
      <c r="B8276">
        <v>-75.177310000000006</v>
      </c>
      <c r="C8276" t="s">
        <v>41</v>
      </c>
      <c r="D8276" t="s">
        <v>4873</v>
      </c>
      <c r="F8276" s="21"/>
      <c r="G8276" s="16" t="str">
        <f>HYPERLINK("http://maps.google.com/maps?f=q&amp;hl=en&amp;geocode=&amp;q=39.92522,-75.17731")</f>
        <v>http://maps.google.com/maps?f=q&amp;hl=en&amp;geocode=&amp;q=39.92522,-75.17731</v>
      </c>
    </row>
    <row r="8277" spans="1:7" ht="15" x14ac:dyDescent="0.3">
      <c r="A8277">
        <v>40.499920000000003</v>
      </c>
      <c r="B8277">
        <v>-78.017510000000001</v>
      </c>
      <c r="C8277" t="s">
        <v>43</v>
      </c>
      <c r="D8277" t="s">
        <v>4874</v>
      </c>
      <c r="F8277" s="21"/>
      <c r="G8277" s="16" t="str">
        <f>HYPERLINK("http://maps.google.com/maps?f=q&amp;hl=en&amp;geocode=&amp;q=40.49992,-78.01751")</f>
        <v>http://maps.google.com/maps?f=q&amp;hl=en&amp;geocode=&amp;q=40.49992,-78.01751</v>
      </c>
    </row>
    <row r="8278" spans="1:7" ht="15" x14ac:dyDescent="0.3">
      <c r="A8278">
        <v>43.301578521728501</v>
      </c>
      <c r="B8278">
        <v>-103.825149536133</v>
      </c>
      <c r="C8278" t="s">
        <v>41</v>
      </c>
      <c r="D8278" t="s">
        <v>4875</v>
      </c>
      <c r="F8278" s="21"/>
      <c r="G8278" s="16" t="str">
        <f>HYPERLINK("http://maps.google.com/maps?f=q&amp;hl=en&amp;geocode=&amp;q=43.3015785217285,-103.825149536133")</f>
        <v>http://maps.google.com/maps?f=q&amp;hl=en&amp;geocode=&amp;q=43.3015785217285,-103.825149536133</v>
      </c>
    </row>
    <row r="8279" spans="1:7" ht="15" x14ac:dyDescent="0.3">
      <c r="A8279">
        <v>34.9670347011606</v>
      </c>
      <c r="B8279">
        <v>-92.8131478365421</v>
      </c>
      <c r="C8279" t="s">
        <v>41</v>
      </c>
      <c r="D8279" t="s">
        <v>4876</v>
      </c>
      <c r="F8279" s="21"/>
      <c r="G8279" s="16" t="str">
        <f>HYPERLINK("http://maps.google.com/maps?f=q&amp;hl=en&amp;geocode=&amp;q=34.9670347011606,-92.8131478365421")</f>
        <v>http://maps.google.com/maps?f=q&amp;hl=en&amp;geocode=&amp;q=34.9670347011606,-92.8131478365421</v>
      </c>
    </row>
    <row r="8280" spans="1:7" ht="15" x14ac:dyDescent="0.3">
      <c r="A8280">
        <v>36.189330162582998</v>
      </c>
      <c r="B8280">
        <v>-115.041936565649</v>
      </c>
      <c r="C8280" t="s">
        <v>43</v>
      </c>
      <c r="D8280" t="s">
        <v>4877</v>
      </c>
      <c r="F8280" s="21"/>
      <c r="G8280" s="16" t="str">
        <f>HYPERLINK("http://maps.google.com/maps?f=q&amp;hl=en&amp;geocode=&amp;q=36.189330162583,-115.041936565649")</f>
        <v>http://maps.google.com/maps?f=q&amp;hl=en&amp;geocode=&amp;q=36.189330162583,-115.041936565649</v>
      </c>
    </row>
    <row r="8281" spans="1:7" ht="15" x14ac:dyDescent="0.3">
      <c r="A8281">
        <v>40.360759735107401</v>
      </c>
      <c r="B8281">
        <v>-74.664459228515597</v>
      </c>
      <c r="C8281" t="s">
        <v>41</v>
      </c>
      <c r="D8281" t="s">
        <v>4878</v>
      </c>
      <c r="F8281" s="21"/>
      <c r="G8281" s="16" t="str">
        <f>HYPERLINK("http://maps.google.com/maps?f=q&amp;hl=en&amp;geocode=&amp;q=40.3607597351074,-74.6644592285156")</f>
        <v>http://maps.google.com/maps?f=q&amp;hl=en&amp;geocode=&amp;q=40.3607597351074,-74.6644592285156</v>
      </c>
    </row>
    <row r="8282" spans="1:7" ht="15" x14ac:dyDescent="0.3">
      <c r="A8282">
        <v>39.954729999999998</v>
      </c>
      <c r="B8282">
        <v>-75.24024</v>
      </c>
      <c r="C8282" t="s">
        <v>43</v>
      </c>
      <c r="D8282" t="s">
        <v>4879</v>
      </c>
      <c r="F8282" s="21"/>
      <c r="G8282" s="16" t="str">
        <f>HYPERLINK("http://maps.google.com/maps?f=q&amp;hl=en&amp;geocode=&amp;q=39.95473,-75.24024")</f>
        <v>http://maps.google.com/maps?f=q&amp;hl=en&amp;geocode=&amp;q=39.95473,-75.24024</v>
      </c>
    </row>
    <row r="8283" spans="1:7" ht="15" x14ac:dyDescent="0.3">
      <c r="A8283">
        <v>39.954270000000001</v>
      </c>
      <c r="B8283">
        <v>-75.24033</v>
      </c>
      <c r="C8283" t="s">
        <v>43</v>
      </c>
      <c r="D8283" t="s">
        <v>4880</v>
      </c>
      <c r="F8283" s="21"/>
      <c r="G8283" s="16" t="str">
        <f>HYPERLINK("http://maps.google.com/maps?f=q&amp;hl=en&amp;geocode=&amp;q=39.95427,-75.24033")</f>
        <v>http://maps.google.com/maps?f=q&amp;hl=en&amp;geocode=&amp;q=39.95427,-75.24033</v>
      </c>
    </row>
    <row r="8284" spans="1:7" ht="15" x14ac:dyDescent="0.3">
      <c r="A8284">
        <v>39.950429999999997</v>
      </c>
      <c r="B8284">
        <v>-75.245199999999997</v>
      </c>
      <c r="C8284" t="s">
        <v>43</v>
      </c>
      <c r="D8284" t="s">
        <v>198</v>
      </c>
      <c r="F8284" s="21"/>
      <c r="G8284" s="16" t="str">
        <f>HYPERLINK("http://maps.google.com/maps?f=q&amp;hl=en&amp;geocode=&amp;q=39.95043,-75.2452")</f>
        <v>http://maps.google.com/maps?f=q&amp;hl=en&amp;geocode=&amp;q=39.95043,-75.2452</v>
      </c>
    </row>
    <row r="8285" spans="1:7" ht="15" x14ac:dyDescent="0.3">
      <c r="A8285">
        <v>31.369479999999999</v>
      </c>
      <c r="B8285">
        <v>-84.94605</v>
      </c>
      <c r="C8285" t="s">
        <v>41</v>
      </c>
      <c r="D8285" t="s">
        <v>4881</v>
      </c>
      <c r="F8285" s="21"/>
      <c r="G8285" s="16" t="str">
        <f>HYPERLINK("http://maps.google.com/maps?f=q&amp;hl=en&amp;geocode=&amp;q=31.36948,-84.94605")</f>
        <v>http://maps.google.com/maps?f=q&amp;hl=en&amp;geocode=&amp;q=31.36948,-84.94605</v>
      </c>
    </row>
    <row r="8286" spans="1:7" ht="15" x14ac:dyDescent="0.3">
      <c r="A8286" t="s">
        <v>44</v>
      </c>
      <c r="B8286" t="s">
        <v>44</v>
      </c>
      <c r="C8286" t="s">
        <v>44</v>
      </c>
      <c r="D8286" t="s">
        <v>3255</v>
      </c>
      <c r="F8286" s="21"/>
      <c r="G8286" s="16"/>
    </row>
    <row r="8287" spans="1:7" ht="15" x14ac:dyDescent="0.3">
      <c r="A8287">
        <v>40.193464969506998</v>
      </c>
      <c r="B8287">
        <v>-110.04792045993</v>
      </c>
      <c r="C8287" t="s">
        <v>42</v>
      </c>
      <c r="D8287" t="s">
        <v>2748</v>
      </c>
      <c r="F8287" s="21"/>
      <c r="G8287" s="16" t="str">
        <f>HYPERLINK("http://maps.google.com/maps?f=q&amp;hl=en&amp;geocode=&amp;q=40.193464969507,-110.04792045993")</f>
        <v>http://maps.google.com/maps?f=q&amp;hl=en&amp;geocode=&amp;q=40.193464969507,-110.04792045993</v>
      </c>
    </row>
    <row r="8288" spans="1:7" ht="15" x14ac:dyDescent="0.3">
      <c r="A8288">
        <v>38.232700000000001</v>
      </c>
      <c r="B8288">
        <v>-85.717929999999996</v>
      </c>
      <c r="C8288" t="s">
        <v>41</v>
      </c>
      <c r="D8288" t="s">
        <v>3208</v>
      </c>
      <c r="F8288" s="21"/>
      <c r="G8288" s="16" t="str">
        <f>HYPERLINK("http://maps.google.com/maps?f=q&amp;hl=en&amp;geocode=&amp;q=38.2327,-85.71793")</f>
        <v>http://maps.google.com/maps?f=q&amp;hl=en&amp;geocode=&amp;q=38.2327,-85.71793</v>
      </c>
    </row>
    <row r="8289" spans="1:7" ht="15" x14ac:dyDescent="0.3">
      <c r="A8289">
        <v>42.822775595264297</v>
      </c>
      <c r="B8289">
        <v>-74.475350031150896</v>
      </c>
      <c r="C8289" t="s">
        <v>41</v>
      </c>
      <c r="D8289" t="s">
        <v>3136</v>
      </c>
      <c r="F8289" s="21"/>
      <c r="G8289" s="16" t="str">
        <f>HYPERLINK("http://maps.google.com/maps?f=q&amp;hl=en&amp;geocode=&amp;q=42.8227755952643,-74.4753500311509")</f>
        <v>http://maps.google.com/maps?f=q&amp;hl=en&amp;geocode=&amp;q=42.8227755952643,-74.4753500311509</v>
      </c>
    </row>
    <row r="8290" spans="1:7" ht="15" x14ac:dyDescent="0.3">
      <c r="F8290" s="21"/>
      <c r="G8290" s="16"/>
    </row>
    <row r="8291" spans="1:7" ht="15" x14ac:dyDescent="0.3">
      <c r="A8291">
        <v>39.936279999999996</v>
      </c>
      <c r="B8291">
        <v>-75.173680000000004</v>
      </c>
      <c r="C8291" t="s">
        <v>43</v>
      </c>
      <c r="D8291" t="s">
        <v>4882</v>
      </c>
      <c r="F8291" s="21"/>
      <c r="G8291" s="16" t="str">
        <f>HYPERLINK("http://maps.google.com/maps?f=q&amp;hl=en&amp;geocode=&amp;q=39.93628,-75.17368")</f>
        <v>http://maps.google.com/maps?f=q&amp;hl=en&amp;geocode=&amp;q=39.93628,-75.17368</v>
      </c>
    </row>
    <row r="8292" spans="1:7" ht="15" x14ac:dyDescent="0.3">
      <c r="A8292" t="s">
        <v>44</v>
      </c>
      <c r="B8292" t="s">
        <v>44</v>
      </c>
      <c r="C8292" t="s">
        <v>44</v>
      </c>
      <c r="D8292" t="s">
        <v>4883</v>
      </c>
      <c r="F8292" s="21"/>
      <c r="G8292" s="16"/>
    </row>
    <row r="8293" spans="1:7" ht="15" x14ac:dyDescent="0.3">
      <c r="A8293">
        <v>39.209769738448998</v>
      </c>
      <c r="B8293">
        <v>-76.772342314781696</v>
      </c>
      <c r="C8293" t="s">
        <v>41</v>
      </c>
      <c r="D8293" t="s">
        <v>4884</v>
      </c>
      <c r="F8293" s="21"/>
      <c r="G8293" s="16" t="str">
        <f>HYPERLINK("http://maps.google.com/maps?f=q&amp;hl=en&amp;geocode=&amp;q=39.209769738449,-76.7723423147817")</f>
        <v>http://maps.google.com/maps?f=q&amp;hl=en&amp;geocode=&amp;q=39.209769738449,-76.7723423147817</v>
      </c>
    </row>
    <row r="8294" spans="1:7" ht="15" x14ac:dyDescent="0.3">
      <c r="A8294">
        <v>39.402610000000003</v>
      </c>
      <c r="B8294">
        <v>-76.611109999999996</v>
      </c>
      <c r="C8294" t="s">
        <v>41</v>
      </c>
      <c r="D8294" t="s">
        <v>4885</v>
      </c>
      <c r="F8294" s="21"/>
      <c r="G8294" s="16" t="str">
        <f>HYPERLINK("http://maps.google.com/maps?f=q&amp;hl=en&amp;geocode=&amp;q=39.40261,-76.61111")</f>
        <v>http://maps.google.com/maps?f=q&amp;hl=en&amp;geocode=&amp;q=39.40261,-76.61111</v>
      </c>
    </row>
    <row r="8295" spans="1:7" ht="15" x14ac:dyDescent="0.3">
      <c r="A8295">
        <v>41.073617878881599</v>
      </c>
      <c r="B8295">
        <v>-81.248220167043002</v>
      </c>
      <c r="C8295" t="s">
        <v>41</v>
      </c>
      <c r="D8295" t="s">
        <v>404</v>
      </c>
      <c r="F8295" s="21"/>
      <c r="G8295" s="16" t="str">
        <f>HYPERLINK("http://maps.google.com/maps?f=q&amp;hl=en&amp;geocode=&amp;q=41.0736178788816,-81.248220167043")</f>
        <v>http://maps.google.com/maps?f=q&amp;hl=en&amp;geocode=&amp;q=41.0736178788816,-81.248220167043</v>
      </c>
    </row>
    <row r="8296" spans="1:7" ht="15" x14ac:dyDescent="0.3">
      <c r="A8296">
        <v>55.669834136962898</v>
      </c>
      <c r="B8296">
        <v>12.5595083236694</v>
      </c>
      <c r="C8296" t="s">
        <v>41</v>
      </c>
      <c r="D8296" t="s">
        <v>3098</v>
      </c>
      <c r="F8296" s="21"/>
      <c r="G8296" s="16" t="str">
        <f>HYPERLINK("http://maps.google.com/maps?f=q&amp;hl=en&amp;geocode=&amp;q=55.6698341369629,12.5595083236694")</f>
        <v>http://maps.google.com/maps?f=q&amp;hl=en&amp;geocode=&amp;q=55.6698341369629,12.5595083236694</v>
      </c>
    </row>
    <row r="8297" spans="1:7" ht="15" x14ac:dyDescent="0.3">
      <c r="A8297">
        <v>39.957380000000001</v>
      </c>
      <c r="B8297">
        <v>-75.241709999999998</v>
      </c>
      <c r="C8297" t="s">
        <v>43</v>
      </c>
      <c r="D8297" t="s">
        <v>2104</v>
      </c>
      <c r="F8297" s="21"/>
      <c r="G8297" s="16" t="str">
        <f>HYPERLINK("http://maps.google.com/maps?f=q&amp;hl=en&amp;geocode=&amp;q=39.95738,-75.24171")</f>
        <v>http://maps.google.com/maps?f=q&amp;hl=en&amp;geocode=&amp;q=39.95738,-75.24171</v>
      </c>
    </row>
    <row r="8298" spans="1:7" ht="15" x14ac:dyDescent="0.3">
      <c r="A8298">
        <v>33.489031236303198</v>
      </c>
      <c r="B8298">
        <v>-88.093818683180601</v>
      </c>
      <c r="C8298" t="s">
        <v>41</v>
      </c>
      <c r="D8298" t="s">
        <v>4274</v>
      </c>
      <c r="F8298" s="21"/>
      <c r="G8298" s="16" t="str">
        <f>HYPERLINK("http://maps.google.com/maps?f=q&amp;hl=en&amp;geocode=&amp;q=33.4890312363032,-88.0938186831806")</f>
        <v>http://maps.google.com/maps?f=q&amp;hl=en&amp;geocode=&amp;q=33.4890312363032,-88.0938186831806</v>
      </c>
    </row>
    <row r="8299" spans="1:7" ht="15" x14ac:dyDescent="0.3">
      <c r="A8299" t="s">
        <v>44</v>
      </c>
      <c r="B8299" t="s">
        <v>44</v>
      </c>
      <c r="C8299" t="s">
        <v>44</v>
      </c>
      <c r="D8299" t="s">
        <v>4886</v>
      </c>
      <c r="F8299" s="21"/>
      <c r="G8299" s="16"/>
    </row>
    <row r="8300" spans="1:7" ht="15" x14ac:dyDescent="0.3">
      <c r="A8300" t="s">
        <v>44</v>
      </c>
      <c r="B8300" t="s">
        <v>44</v>
      </c>
      <c r="C8300" t="s">
        <v>44</v>
      </c>
      <c r="D8300" t="s">
        <v>1855</v>
      </c>
      <c r="F8300" s="21"/>
      <c r="G8300" s="16"/>
    </row>
    <row r="8301" spans="1:7" ht="15" x14ac:dyDescent="0.3">
      <c r="A8301">
        <v>29.751570766128001</v>
      </c>
      <c r="B8301">
        <v>-95.391962657526406</v>
      </c>
      <c r="C8301" t="s">
        <v>41</v>
      </c>
      <c r="D8301" t="s">
        <v>4887</v>
      </c>
      <c r="F8301" s="21"/>
      <c r="G8301" s="16" t="str">
        <f>HYPERLINK("http://maps.google.com/maps?f=q&amp;hl=en&amp;geocode=&amp;q=29.751570766128,-95.3919626575264")</f>
        <v>http://maps.google.com/maps?f=q&amp;hl=en&amp;geocode=&amp;q=29.751570766128,-95.3919626575264</v>
      </c>
    </row>
    <row r="8302" spans="1:7" ht="15" x14ac:dyDescent="0.3">
      <c r="A8302">
        <v>40.061929999999997</v>
      </c>
      <c r="B8302">
        <v>-75.189679999999996</v>
      </c>
      <c r="C8302" t="s">
        <v>41</v>
      </c>
      <c r="D8302" t="s">
        <v>4888</v>
      </c>
      <c r="F8302" s="21"/>
      <c r="G8302" s="16" t="str">
        <f>HYPERLINK("http://maps.google.com/maps?f=q&amp;hl=en&amp;geocode=&amp;q=40.06193,-75.18968")</f>
        <v>http://maps.google.com/maps?f=q&amp;hl=en&amp;geocode=&amp;q=40.06193,-75.18968</v>
      </c>
    </row>
    <row r="8303" spans="1:7" ht="15" x14ac:dyDescent="0.3">
      <c r="A8303">
        <v>39.971473972150299</v>
      </c>
      <c r="B8303">
        <v>-75.159605242826203</v>
      </c>
      <c r="C8303" t="s">
        <v>41</v>
      </c>
      <c r="D8303" t="s">
        <v>3736</v>
      </c>
      <c r="F8303" s="21"/>
      <c r="G8303" s="16" t="str">
        <f>HYPERLINK("http://maps.google.com/maps?f=q&amp;hl=en&amp;geocode=&amp;q=39.9714739721503,-75.1596052428262")</f>
        <v>http://maps.google.com/maps?f=q&amp;hl=en&amp;geocode=&amp;q=39.9714739721503,-75.1596052428262</v>
      </c>
    </row>
    <row r="8304" spans="1:7" ht="15" x14ac:dyDescent="0.3">
      <c r="A8304">
        <v>39.016150000000003</v>
      </c>
      <c r="B8304">
        <v>-84.655820000000006</v>
      </c>
      <c r="C8304" t="s">
        <v>41</v>
      </c>
      <c r="D8304" t="s">
        <v>4889</v>
      </c>
      <c r="F8304" s="21"/>
      <c r="G8304" s="16" t="str">
        <f>HYPERLINK("http://maps.google.com/maps?f=q&amp;hl=en&amp;geocode=&amp;q=39.01615,-84.65582")</f>
        <v>http://maps.google.com/maps?f=q&amp;hl=en&amp;geocode=&amp;q=39.01615,-84.65582</v>
      </c>
    </row>
    <row r="8305" spans="1:7" ht="15" x14ac:dyDescent="0.3">
      <c r="A8305">
        <v>33.1972846984863</v>
      </c>
      <c r="B8305">
        <v>-87.584518432617202</v>
      </c>
      <c r="C8305" t="s">
        <v>41</v>
      </c>
      <c r="D8305" t="s">
        <v>4890</v>
      </c>
      <c r="F8305" s="21"/>
      <c r="G8305" s="16" t="str">
        <f>HYPERLINK("http://maps.google.com/maps?f=q&amp;hl=en&amp;geocode=&amp;q=33.1972846984863,-87.5845184326172")</f>
        <v>http://maps.google.com/maps?f=q&amp;hl=en&amp;geocode=&amp;q=33.1972846984863,-87.5845184326172</v>
      </c>
    </row>
    <row r="8306" spans="1:7" ht="15" x14ac:dyDescent="0.3">
      <c r="A8306">
        <v>-33.420433044433601</v>
      </c>
      <c r="B8306">
        <v>150.05009460449199</v>
      </c>
      <c r="C8306" t="s">
        <v>43</v>
      </c>
      <c r="D8306" t="s">
        <v>4891</v>
      </c>
      <c r="F8306" s="21"/>
      <c r="G8306" s="16" t="str">
        <f>HYPERLINK("http://maps.google.com/maps?f=q&amp;hl=en&amp;geocode=&amp;q=-33.4204330444336,150.050094604492")</f>
        <v>http://maps.google.com/maps?f=q&amp;hl=en&amp;geocode=&amp;q=-33.4204330444336,150.050094604492</v>
      </c>
    </row>
    <row r="8307" spans="1:7" ht="15" x14ac:dyDescent="0.3">
      <c r="A8307" t="s">
        <v>44</v>
      </c>
      <c r="B8307" t="s">
        <v>44</v>
      </c>
      <c r="C8307" t="s">
        <v>44</v>
      </c>
      <c r="D8307" t="s">
        <v>4532</v>
      </c>
      <c r="F8307" s="21"/>
      <c r="G8307" s="16"/>
    </row>
    <row r="8308" spans="1:7" ht="15" x14ac:dyDescent="0.3">
      <c r="A8308" t="s">
        <v>44</v>
      </c>
      <c r="B8308" t="s">
        <v>44</v>
      </c>
      <c r="C8308" t="s">
        <v>44</v>
      </c>
      <c r="D8308" t="s">
        <v>4532</v>
      </c>
      <c r="F8308" s="21"/>
      <c r="G8308" s="16"/>
    </row>
    <row r="8309" spans="1:7" ht="15" x14ac:dyDescent="0.3">
      <c r="A8309">
        <v>60.300830841064503</v>
      </c>
      <c r="B8309">
        <v>19.131389617919901</v>
      </c>
      <c r="C8309" t="s">
        <v>43</v>
      </c>
      <c r="D8309" t="s">
        <v>4892</v>
      </c>
      <c r="F8309" s="21"/>
      <c r="G8309" s="16" t="str">
        <f>HYPERLINK("http://maps.google.com/maps?f=q&amp;hl=en&amp;geocode=&amp;q=60.3008308410645,19.1313896179199")</f>
        <v>http://maps.google.com/maps?f=q&amp;hl=en&amp;geocode=&amp;q=60.3008308410645,19.1313896179199</v>
      </c>
    </row>
    <row r="8310" spans="1:7" ht="15" x14ac:dyDescent="0.3">
      <c r="F8310" s="21"/>
      <c r="G8310" s="16"/>
    </row>
    <row r="8311" spans="1:7" ht="15" x14ac:dyDescent="0.3">
      <c r="A8311">
        <v>40.716128853177302</v>
      </c>
      <c r="B8311">
        <v>-73.484360517624793</v>
      </c>
      <c r="C8311" t="s">
        <v>41</v>
      </c>
      <c r="D8311" t="s">
        <v>4893</v>
      </c>
      <c r="F8311" s="21"/>
      <c r="G8311" s="16" t="str">
        <f>HYPERLINK("http://maps.google.com/maps?f=q&amp;hl=en&amp;geocode=&amp;q=40.7161288531773,-73.4843605176248")</f>
        <v>http://maps.google.com/maps?f=q&amp;hl=en&amp;geocode=&amp;q=40.7161288531773,-73.4843605176248</v>
      </c>
    </row>
    <row r="8312" spans="1:7" ht="15" x14ac:dyDescent="0.3">
      <c r="A8312">
        <v>32.920580000000001</v>
      </c>
      <c r="B8312">
        <v>-107.56554</v>
      </c>
      <c r="C8312" t="s">
        <v>42</v>
      </c>
      <c r="D8312" t="s">
        <v>4894</v>
      </c>
      <c r="F8312" s="21"/>
      <c r="G8312" s="16" t="str">
        <f>HYPERLINK("http://maps.google.com/maps?f=q&amp;hl=en&amp;geocode=&amp;q=32.92058,-107.56554")</f>
        <v>http://maps.google.com/maps?f=q&amp;hl=en&amp;geocode=&amp;q=32.92058,-107.56554</v>
      </c>
    </row>
    <row r="8313" spans="1:7" ht="15" x14ac:dyDescent="0.3">
      <c r="A8313">
        <v>40.042687335929102</v>
      </c>
      <c r="B8313">
        <v>-75.099992024888195</v>
      </c>
      <c r="C8313" t="s">
        <v>41</v>
      </c>
      <c r="D8313" t="s">
        <v>3709</v>
      </c>
      <c r="F8313" s="21"/>
      <c r="G8313" s="16" t="str">
        <f>HYPERLINK("http://maps.google.com/maps?f=q&amp;hl=en&amp;geocode=&amp;q=40.0426873359291,-75.0999920248882")</f>
        <v>http://maps.google.com/maps?f=q&amp;hl=en&amp;geocode=&amp;q=40.0426873359291,-75.0999920248882</v>
      </c>
    </row>
    <row r="8314" spans="1:7" ht="15" x14ac:dyDescent="0.3">
      <c r="A8314">
        <v>39.945500000000003</v>
      </c>
      <c r="B8314">
        <v>-75.227530000000002</v>
      </c>
      <c r="C8314" t="s">
        <v>41</v>
      </c>
      <c r="D8314" t="s">
        <v>4895</v>
      </c>
      <c r="F8314" s="21"/>
      <c r="G8314" s="16" t="str">
        <f>HYPERLINK("http://maps.google.com/maps?f=q&amp;hl=en&amp;geocode=&amp;q=39.9455,-75.22753")</f>
        <v>http://maps.google.com/maps?f=q&amp;hl=en&amp;geocode=&amp;q=39.9455,-75.22753</v>
      </c>
    </row>
    <row r="8315" spans="1:7" ht="15" x14ac:dyDescent="0.3">
      <c r="A8315">
        <v>33.672056381324801</v>
      </c>
      <c r="B8315">
        <v>-102.561453241688</v>
      </c>
      <c r="C8315" t="s">
        <v>41</v>
      </c>
      <c r="D8315" t="s">
        <v>951</v>
      </c>
      <c r="F8315" s="21"/>
      <c r="G8315" s="16" t="str">
        <f>HYPERLINK("http://maps.google.com/maps?f=q&amp;hl=en&amp;geocode=&amp;q=33.6720563813248,-102.561453241688")</f>
        <v>http://maps.google.com/maps?f=q&amp;hl=en&amp;geocode=&amp;q=33.6720563813248,-102.561453241688</v>
      </c>
    </row>
    <row r="8316" spans="1:7" ht="15" x14ac:dyDescent="0.3">
      <c r="A8316">
        <v>34.053489685058601</v>
      </c>
      <c r="B8316">
        <v>-118.245323181152</v>
      </c>
      <c r="C8316" t="s">
        <v>43</v>
      </c>
      <c r="D8316" t="s">
        <v>4896</v>
      </c>
      <c r="F8316" s="21"/>
      <c r="G8316" s="16" t="str">
        <f>HYPERLINK("http://maps.google.com/maps?f=q&amp;hl=en&amp;geocode=&amp;q=34.0534896850586,-118.245323181152")</f>
        <v>http://maps.google.com/maps?f=q&amp;hl=en&amp;geocode=&amp;q=34.0534896850586,-118.245323181152</v>
      </c>
    </row>
    <row r="8317" spans="1:7" ht="15" x14ac:dyDescent="0.3">
      <c r="A8317">
        <v>39.701007742724698</v>
      </c>
      <c r="B8317">
        <v>-86.0207929702608</v>
      </c>
      <c r="C8317" t="s">
        <v>41</v>
      </c>
      <c r="D8317" t="s">
        <v>4897</v>
      </c>
      <c r="F8317" s="21"/>
      <c r="G8317" s="16" t="str">
        <f>HYPERLINK("http://maps.google.com/maps?f=q&amp;hl=en&amp;geocode=&amp;q=39.7010077427247,-86.0207929702608")</f>
        <v>http://maps.google.com/maps?f=q&amp;hl=en&amp;geocode=&amp;q=39.7010077427247,-86.0207929702608</v>
      </c>
    </row>
    <row r="8318" spans="1:7" ht="15" x14ac:dyDescent="0.3">
      <c r="A8318">
        <v>39.701007742724698</v>
      </c>
      <c r="B8318">
        <v>-86.0207929702608</v>
      </c>
      <c r="C8318" t="s">
        <v>41</v>
      </c>
      <c r="D8318" t="s">
        <v>4897</v>
      </c>
      <c r="F8318" s="21"/>
      <c r="G8318" s="16" t="str">
        <f>HYPERLINK("http://maps.google.com/maps?f=q&amp;hl=en&amp;geocode=&amp;q=39.7010077427247,-86.0207929702608")</f>
        <v>http://maps.google.com/maps?f=q&amp;hl=en&amp;geocode=&amp;q=39.7010077427247,-86.0207929702608</v>
      </c>
    </row>
    <row r="8319" spans="1:7" ht="15" x14ac:dyDescent="0.3">
      <c r="A8319">
        <v>43.007796305606</v>
      </c>
      <c r="B8319">
        <v>-83.698621917332602</v>
      </c>
      <c r="C8319" t="s">
        <v>41</v>
      </c>
      <c r="D8319" t="s">
        <v>4898</v>
      </c>
      <c r="F8319" s="21"/>
      <c r="G8319" s="16" t="str">
        <f>HYPERLINK("http://maps.google.com/maps?f=q&amp;hl=en&amp;geocode=&amp;q=43.007796305606,-83.6986219173326")</f>
        <v>http://maps.google.com/maps?f=q&amp;hl=en&amp;geocode=&amp;q=43.007796305606,-83.6986219173326</v>
      </c>
    </row>
    <row r="8320" spans="1:7" ht="15" x14ac:dyDescent="0.3">
      <c r="A8320">
        <v>43.007796305606</v>
      </c>
      <c r="B8320">
        <v>-83.698621917332602</v>
      </c>
      <c r="C8320" t="s">
        <v>41</v>
      </c>
      <c r="D8320" t="s">
        <v>4898</v>
      </c>
      <c r="F8320" s="21"/>
      <c r="G8320" s="16" t="str">
        <f>HYPERLINK("http://maps.google.com/maps?f=q&amp;hl=en&amp;geocode=&amp;q=43.007796305606,-83.6986219173326")</f>
        <v>http://maps.google.com/maps?f=q&amp;hl=en&amp;geocode=&amp;q=43.007796305606,-83.6986219173326</v>
      </c>
    </row>
    <row r="8321" spans="1:7" ht="15" x14ac:dyDescent="0.3">
      <c r="A8321">
        <v>38.168160733188799</v>
      </c>
      <c r="B8321">
        <v>-90.170908792259993</v>
      </c>
      <c r="C8321" t="s">
        <v>41</v>
      </c>
      <c r="D8321" t="s">
        <v>4899</v>
      </c>
      <c r="F8321" s="21"/>
      <c r="G8321" s="16" t="str">
        <f>HYPERLINK("http://maps.google.com/maps?f=q&amp;hl=en&amp;geocode=&amp;q=38.1681607331888,-90.17090879226")</f>
        <v>http://maps.google.com/maps?f=q&amp;hl=en&amp;geocode=&amp;q=38.1681607331888,-90.17090879226</v>
      </c>
    </row>
    <row r="8322" spans="1:7" ht="15" x14ac:dyDescent="0.3">
      <c r="A8322">
        <v>40.020421123198801</v>
      </c>
      <c r="B8322">
        <v>-75.063549505905897</v>
      </c>
      <c r="C8322" t="s">
        <v>41</v>
      </c>
      <c r="D8322" t="s">
        <v>1899</v>
      </c>
      <c r="F8322" s="21"/>
      <c r="G8322" s="16" t="str">
        <f>HYPERLINK("http://maps.google.com/maps?f=q&amp;hl=en&amp;geocode=&amp;q=40.0204211231988,-75.0635495059059")</f>
        <v>http://maps.google.com/maps?f=q&amp;hl=en&amp;geocode=&amp;q=40.0204211231988,-75.0635495059059</v>
      </c>
    </row>
    <row r="8323" spans="1:7" ht="15" x14ac:dyDescent="0.3">
      <c r="A8323">
        <v>40.527913992627902</v>
      </c>
      <c r="B8323">
        <v>-74.176124469018006</v>
      </c>
      <c r="C8323" t="s">
        <v>43</v>
      </c>
      <c r="D8323" t="s">
        <v>4900</v>
      </c>
      <c r="F8323" s="21"/>
      <c r="G8323" s="16" t="str">
        <f>HYPERLINK("http://maps.google.com/maps?f=q&amp;hl=en&amp;geocode=&amp;q=40.5279139926279,-74.176124469018")</f>
        <v>http://maps.google.com/maps?f=q&amp;hl=en&amp;geocode=&amp;q=40.5279139926279,-74.176124469018</v>
      </c>
    </row>
    <row r="8324" spans="1:7" ht="15" x14ac:dyDescent="0.3">
      <c r="A8324" t="s">
        <v>44</v>
      </c>
      <c r="B8324" t="s">
        <v>44</v>
      </c>
      <c r="C8324" t="s">
        <v>44</v>
      </c>
      <c r="D8324" t="s">
        <v>4901</v>
      </c>
      <c r="F8324" s="21"/>
      <c r="G8324" s="16"/>
    </row>
    <row r="8325" spans="1:7" ht="15" x14ac:dyDescent="0.3">
      <c r="A8325">
        <v>32.8131353758627</v>
      </c>
      <c r="B8325">
        <v>-80.0003995453946</v>
      </c>
      <c r="C8325" t="s">
        <v>41</v>
      </c>
      <c r="D8325" t="s">
        <v>4902</v>
      </c>
      <c r="F8325" s="21"/>
      <c r="G8325" s="16" t="str">
        <f>HYPERLINK("http://maps.google.com/maps?f=q&amp;hl=en&amp;geocode=&amp;q=32.8131353758627,-80.0003995453946")</f>
        <v>http://maps.google.com/maps?f=q&amp;hl=en&amp;geocode=&amp;q=32.8131353758627,-80.0003995453946</v>
      </c>
    </row>
    <row r="8326" spans="1:7" ht="15" x14ac:dyDescent="0.3">
      <c r="A8326">
        <v>39.996672007849803</v>
      </c>
      <c r="B8326">
        <v>-75.078254784618693</v>
      </c>
      <c r="C8326" t="s">
        <v>41</v>
      </c>
      <c r="D8326" t="s">
        <v>4903</v>
      </c>
      <c r="F8326" s="21"/>
      <c r="G8326" s="16" t="str">
        <f>HYPERLINK("http://maps.google.com/maps?f=q&amp;hl=en&amp;geocode=&amp;q=39.9966720078498,-75.0782547846187")</f>
        <v>http://maps.google.com/maps?f=q&amp;hl=en&amp;geocode=&amp;q=39.9966720078498,-75.0782547846187</v>
      </c>
    </row>
    <row r="8327" spans="1:7" ht="15" x14ac:dyDescent="0.3">
      <c r="A8327">
        <v>32.794418472756</v>
      </c>
      <c r="B8327">
        <v>-88.398324988614206</v>
      </c>
      <c r="C8327" t="s">
        <v>41</v>
      </c>
      <c r="D8327" t="s">
        <v>4867</v>
      </c>
      <c r="F8327" s="21"/>
      <c r="G8327" s="16" t="str">
        <f>HYPERLINK("http://maps.google.com/maps?f=q&amp;hl=en&amp;geocode=&amp;q=32.794418472756,-88.3983249886142")</f>
        <v>http://maps.google.com/maps?f=q&amp;hl=en&amp;geocode=&amp;q=32.794418472756,-88.3983249886142</v>
      </c>
    </row>
    <row r="8328" spans="1:7" ht="15" x14ac:dyDescent="0.3">
      <c r="A8328">
        <v>41.406639678847299</v>
      </c>
      <c r="B8328">
        <v>-81.788901933267894</v>
      </c>
      <c r="C8328" t="s">
        <v>41</v>
      </c>
      <c r="D8328" t="s">
        <v>4904</v>
      </c>
      <c r="F8328" s="21"/>
      <c r="G8328" s="16" t="str">
        <f>HYPERLINK("http://maps.google.com/maps?f=q&amp;hl=en&amp;geocode=&amp;q=41.4066396788473,-81.7889019332679")</f>
        <v>http://maps.google.com/maps?f=q&amp;hl=en&amp;geocode=&amp;q=41.4066396788473,-81.7889019332679</v>
      </c>
    </row>
    <row r="8329" spans="1:7" ht="15" x14ac:dyDescent="0.3">
      <c r="A8329" t="s">
        <v>44</v>
      </c>
      <c r="B8329" t="s">
        <v>44</v>
      </c>
      <c r="C8329" t="s">
        <v>44</v>
      </c>
      <c r="D8329" t="s">
        <v>4905</v>
      </c>
      <c r="F8329" s="21"/>
      <c r="G8329" s="16"/>
    </row>
    <row r="8330" spans="1:7" ht="15" x14ac:dyDescent="0.3">
      <c r="A8330">
        <v>41.38879</v>
      </c>
      <c r="B8330">
        <v>-70.521209999999996</v>
      </c>
      <c r="C8330" t="s">
        <v>41</v>
      </c>
      <c r="D8330" t="s">
        <v>395</v>
      </c>
      <c r="F8330" s="21"/>
      <c r="G8330" s="16" t="str">
        <f>HYPERLINK("http://maps.google.com/maps?f=q&amp;hl=en&amp;geocode=&amp;q=41.38879,-70.52121")</f>
        <v>http://maps.google.com/maps?f=q&amp;hl=en&amp;geocode=&amp;q=41.38879,-70.52121</v>
      </c>
    </row>
    <row r="8331" spans="1:7" ht="15" x14ac:dyDescent="0.3">
      <c r="A8331">
        <v>45.4068275727535</v>
      </c>
      <c r="B8331">
        <v>-107.072041139346</v>
      </c>
      <c r="C8331" t="s">
        <v>41</v>
      </c>
      <c r="D8331" t="s">
        <v>4906</v>
      </c>
      <c r="F8331" s="21"/>
      <c r="G8331" s="16" t="str">
        <f>HYPERLINK("http://maps.google.com/maps?f=q&amp;hl=en&amp;geocode=&amp;q=45.4068275727535,-107.072041139346")</f>
        <v>http://maps.google.com/maps?f=q&amp;hl=en&amp;geocode=&amp;q=45.4068275727535,-107.072041139346</v>
      </c>
    </row>
    <row r="8332" spans="1:7" ht="15" x14ac:dyDescent="0.3">
      <c r="A8332">
        <v>41.706020819140903</v>
      </c>
      <c r="B8332">
        <v>-83.493960246031705</v>
      </c>
      <c r="C8332" t="s">
        <v>41</v>
      </c>
      <c r="D8332" t="s">
        <v>4907</v>
      </c>
      <c r="F8332" s="21"/>
      <c r="G8332" s="16" t="str">
        <f>HYPERLINK("http://maps.google.com/maps?f=q&amp;hl=en&amp;geocode=&amp;q=41.7060208191409,-83.4939602460317")</f>
        <v>http://maps.google.com/maps?f=q&amp;hl=en&amp;geocode=&amp;q=41.7060208191409,-83.4939602460317</v>
      </c>
    </row>
    <row r="8333" spans="1:7" ht="15" x14ac:dyDescent="0.3">
      <c r="A8333">
        <v>51.381919860839801</v>
      </c>
      <c r="B8333">
        <v>0.52250999212265004</v>
      </c>
      <c r="C8333" t="s">
        <v>41</v>
      </c>
      <c r="D8333" t="s">
        <v>4908</v>
      </c>
      <c r="F8333" s="21"/>
      <c r="G8333" s="16" t="str">
        <f>HYPERLINK("http://maps.google.com/maps?f=q&amp;hl=en&amp;geocode=&amp;q=51.3819198608398,0.52250999212265")</f>
        <v>http://maps.google.com/maps?f=q&amp;hl=en&amp;geocode=&amp;q=51.3819198608398,0.52250999212265</v>
      </c>
    </row>
    <row r="8334" spans="1:7" ht="15" x14ac:dyDescent="0.3">
      <c r="A8334">
        <v>34.235118865966797</v>
      </c>
      <c r="B8334">
        <v>-84.738777160644503</v>
      </c>
      <c r="C8334" t="s">
        <v>41</v>
      </c>
      <c r="D8334" t="s">
        <v>4909</v>
      </c>
      <c r="F8334" s="21"/>
      <c r="G8334" s="16" t="str">
        <f>HYPERLINK("http://maps.google.com/maps?f=q&amp;hl=en&amp;geocode=&amp;q=34.2351188659668,-84.7387771606445")</f>
        <v>http://maps.google.com/maps?f=q&amp;hl=en&amp;geocode=&amp;q=34.2351188659668,-84.7387771606445</v>
      </c>
    </row>
    <row r="8335" spans="1:7" ht="15" x14ac:dyDescent="0.3">
      <c r="A8335">
        <v>26.925350000000002</v>
      </c>
      <c r="B8335">
        <v>-82.278289999999998</v>
      </c>
      <c r="C8335" t="s">
        <v>41</v>
      </c>
      <c r="D8335" t="s">
        <v>3031</v>
      </c>
      <c r="F8335" s="21"/>
      <c r="G8335" s="16" t="str">
        <f>HYPERLINK("http://maps.google.com/maps?f=q&amp;hl=en&amp;geocode=&amp;q=26.92535,-82.27829")</f>
        <v>http://maps.google.com/maps?f=q&amp;hl=en&amp;geocode=&amp;q=26.92535,-82.27829</v>
      </c>
    </row>
    <row r="8336" spans="1:7" ht="15" x14ac:dyDescent="0.3">
      <c r="A8336">
        <v>40.743331357612803</v>
      </c>
      <c r="B8336">
        <v>-111.83393064589499</v>
      </c>
      <c r="C8336" t="s">
        <v>41</v>
      </c>
      <c r="D8336" t="s">
        <v>3470</v>
      </c>
      <c r="F8336" s="21"/>
      <c r="G8336" s="16" t="str">
        <f>HYPERLINK("http://maps.google.com/maps?f=q&amp;hl=en&amp;geocode=&amp;q=40.7433313576128,-111.833930645895")</f>
        <v>http://maps.google.com/maps?f=q&amp;hl=en&amp;geocode=&amp;q=40.7433313576128,-111.833930645895</v>
      </c>
    </row>
    <row r="8337" spans="1:7" ht="15" x14ac:dyDescent="0.3">
      <c r="A8337">
        <v>41.403591156005902</v>
      </c>
      <c r="B8337">
        <v>-94.888656616210895</v>
      </c>
      <c r="C8337" t="s">
        <v>41</v>
      </c>
      <c r="D8337" t="s">
        <v>4910</v>
      </c>
      <c r="F8337" s="21"/>
      <c r="G8337" s="16" t="str">
        <f>HYPERLINK("http://maps.google.com/maps?f=q&amp;hl=en&amp;geocode=&amp;q=41.4035911560059,-94.8886566162109")</f>
        <v>http://maps.google.com/maps?f=q&amp;hl=en&amp;geocode=&amp;q=41.4035911560059,-94.8886566162109</v>
      </c>
    </row>
    <row r="8338" spans="1:7" ht="15" x14ac:dyDescent="0.3">
      <c r="A8338">
        <v>40.630710000000001</v>
      </c>
      <c r="B8338">
        <v>-111.94831000000001</v>
      </c>
      <c r="C8338" t="s">
        <v>42</v>
      </c>
      <c r="D8338" t="s">
        <v>4911</v>
      </c>
      <c r="F8338" s="21"/>
      <c r="G8338" s="16" t="str">
        <f>HYPERLINK("http://maps.google.com/maps?f=q&amp;hl=en&amp;geocode=&amp;q=40.63071,-111.94831")</f>
        <v>http://maps.google.com/maps?f=q&amp;hl=en&amp;geocode=&amp;q=40.63071,-111.94831</v>
      </c>
    </row>
    <row r="8339" spans="1:7" ht="15" x14ac:dyDescent="0.3">
      <c r="A8339">
        <v>40.049819999999997</v>
      </c>
      <c r="B8339">
        <v>-75.095699999999994</v>
      </c>
      <c r="C8339" t="s">
        <v>43</v>
      </c>
      <c r="D8339" t="s">
        <v>2496</v>
      </c>
      <c r="F8339" s="21"/>
      <c r="G8339" s="16" t="str">
        <f>HYPERLINK("http://maps.google.com/maps?f=q&amp;hl=en&amp;geocode=&amp;q=40.04982,-75.0957")</f>
        <v>http://maps.google.com/maps?f=q&amp;hl=en&amp;geocode=&amp;q=40.04982,-75.0957</v>
      </c>
    </row>
    <row r="8340" spans="1:7" ht="15" x14ac:dyDescent="0.3">
      <c r="A8340">
        <v>53.259929656982401</v>
      </c>
      <c r="B8340">
        <v>9.1107206344604492</v>
      </c>
      <c r="C8340" t="s">
        <v>41</v>
      </c>
      <c r="D8340" t="s">
        <v>4912</v>
      </c>
      <c r="F8340" s="21"/>
      <c r="G8340" s="16" t="str">
        <f>HYPERLINK("http://maps.google.com/maps?f=q&amp;hl=en&amp;geocode=&amp;q=53.2599296569824,9.11072063446045")</f>
        <v>http://maps.google.com/maps?f=q&amp;hl=en&amp;geocode=&amp;q=53.2599296569824,9.11072063446045</v>
      </c>
    </row>
    <row r="8341" spans="1:7" ht="15" x14ac:dyDescent="0.3">
      <c r="A8341">
        <v>44.142272187639897</v>
      </c>
      <c r="B8341">
        <v>-85.915447516414801</v>
      </c>
      <c r="C8341" t="s">
        <v>41</v>
      </c>
      <c r="D8341" t="s">
        <v>4913</v>
      </c>
      <c r="F8341" s="21"/>
      <c r="G8341" s="16" t="str">
        <f>HYPERLINK("http://maps.google.com/maps?f=q&amp;hl=en&amp;geocode=&amp;q=44.1422721876399,-85.9154475164148")</f>
        <v>http://maps.google.com/maps?f=q&amp;hl=en&amp;geocode=&amp;q=44.1422721876399,-85.9154475164148</v>
      </c>
    </row>
    <row r="8342" spans="1:7" ht="15" x14ac:dyDescent="0.3">
      <c r="A8342">
        <v>43.301578521728501</v>
      </c>
      <c r="B8342">
        <v>-103.825149536133</v>
      </c>
      <c r="C8342" t="s">
        <v>41</v>
      </c>
      <c r="D8342" t="s">
        <v>4914</v>
      </c>
      <c r="F8342" s="21"/>
      <c r="G8342" s="16" t="str">
        <f>HYPERLINK("http://maps.google.com/maps?f=q&amp;hl=en&amp;geocode=&amp;q=43.3015785217285,-103.825149536133")</f>
        <v>http://maps.google.com/maps?f=q&amp;hl=en&amp;geocode=&amp;q=43.3015785217285,-103.825149536133</v>
      </c>
    </row>
    <row r="8343" spans="1:7" ht="15" x14ac:dyDescent="0.3">
      <c r="A8343">
        <v>37.559108552145602</v>
      </c>
      <c r="B8343">
        <v>-85.267713536677306</v>
      </c>
      <c r="C8343" t="s">
        <v>41</v>
      </c>
      <c r="D8343" t="s">
        <v>4915</v>
      </c>
      <c r="F8343" s="21"/>
      <c r="G8343" s="16" t="str">
        <f>HYPERLINK("http://maps.google.com/maps?f=q&amp;hl=en&amp;geocode=&amp;q=37.5591085521456,-85.2677135366773")</f>
        <v>http://maps.google.com/maps?f=q&amp;hl=en&amp;geocode=&amp;q=37.5591085521456,-85.2677135366773</v>
      </c>
    </row>
    <row r="8344" spans="1:7" ht="15" x14ac:dyDescent="0.3">
      <c r="A8344">
        <v>40.017841830604503</v>
      </c>
      <c r="B8344">
        <v>-75.0824682513162</v>
      </c>
      <c r="C8344" t="s">
        <v>41</v>
      </c>
      <c r="D8344" t="s">
        <v>4916</v>
      </c>
      <c r="F8344" s="21"/>
      <c r="G8344" s="16" t="str">
        <f>HYPERLINK("http://maps.google.com/maps?f=q&amp;hl=en&amp;geocode=&amp;q=40.0178418306045,-75.0824682513162")</f>
        <v>http://maps.google.com/maps?f=q&amp;hl=en&amp;geocode=&amp;q=40.0178418306045,-75.0824682513162</v>
      </c>
    </row>
    <row r="8345" spans="1:7" ht="15" x14ac:dyDescent="0.3">
      <c r="A8345">
        <v>-34.873579900000003</v>
      </c>
      <c r="B8345">
        <v>138.51150000000001</v>
      </c>
      <c r="C8345" t="s">
        <v>43</v>
      </c>
      <c r="D8345" t="s">
        <v>4917</v>
      </c>
      <c r="F8345" s="21"/>
      <c r="G8345" s="16" t="str">
        <f>HYPERLINK("http://maps.google.com/maps?f=q&amp;hl=en&amp;geocode=&amp;q=-34.8735799,138.5115")</f>
        <v>http://maps.google.com/maps?f=q&amp;hl=en&amp;geocode=&amp;q=-34.8735799,138.5115</v>
      </c>
    </row>
    <row r="8346" spans="1:7" ht="15" x14ac:dyDescent="0.3">
      <c r="A8346">
        <v>39.920610000000003</v>
      </c>
      <c r="B8346">
        <v>-75.180289999999999</v>
      </c>
      <c r="C8346" t="s">
        <v>42</v>
      </c>
      <c r="D8346" t="s">
        <v>3891</v>
      </c>
      <c r="F8346" s="21"/>
      <c r="G8346" s="16" t="str">
        <f>HYPERLINK("http://maps.google.com/maps?f=q&amp;hl=en&amp;geocode=&amp;q=39.92061,-75.18029")</f>
        <v>http://maps.google.com/maps?f=q&amp;hl=en&amp;geocode=&amp;q=39.92061,-75.18029</v>
      </c>
    </row>
    <row r="8347" spans="1:7" ht="15" x14ac:dyDescent="0.3">
      <c r="A8347">
        <v>39.586316107547503</v>
      </c>
      <c r="B8347">
        <v>-87.462804150076906</v>
      </c>
      <c r="C8347" t="s">
        <v>41</v>
      </c>
      <c r="D8347" t="s">
        <v>4918</v>
      </c>
      <c r="F8347" s="21"/>
      <c r="G8347" s="16" t="str">
        <f>HYPERLINK("http://maps.google.com/maps?f=q&amp;hl=en&amp;geocode=&amp;q=39.5863161075475,-87.4628041500769")</f>
        <v>http://maps.google.com/maps?f=q&amp;hl=en&amp;geocode=&amp;q=39.5863161075475,-87.4628041500769</v>
      </c>
    </row>
    <row r="8348" spans="1:7" ht="15" x14ac:dyDescent="0.3">
      <c r="A8348">
        <v>51.309604644775398</v>
      </c>
      <c r="B8348">
        <v>4.5141911506652797</v>
      </c>
      <c r="C8348" t="s">
        <v>43</v>
      </c>
      <c r="D8348" t="s">
        <v>4731</v>
      </c>
      <c r="F8348" s="21"/>
      <c r="G8348" s="16" t="str">
        <f>HYPERLINK("http://maps.google.com/maps?f=q&amp;hl=en&amp;geocode=&amp;q=51.3096046447754,4.51419115066528")</f>
        <v>http://maps.google.com/maps?f=q&amp;hl=en&amp;geocode=&amp;q=51.3096046447754,4.51419115066528</v>
      </c>
    </row>
    <row r="8349" spans="1:7" ht="15" x14ac:dyDescent="0.3">
      <c r="A8349">
        <v>40.731639999999999</v>
      </c>
      <c r="B8349">
        <v>-74.155670000000001</v>
      </c>
      <c r="C8349" t="s">
        <v>41</v>
      </c>
      <c r="D8349" t="s">
        <v>3936</v>
      </c>
      <c r="F8349" s="21"/>
      <c r="G8349" s="16" t="str">
        <f>HYPERLINK("http://maps.google.com/maps?f=q&amp;hl=en&amp;geocode=&amp;q=40.73164,-74.15567")</f>
        <v>http://maps.google.com/maps?f=q&amp;hl=en&amp;geocode=&amp;q=40.73164,-74.15567</v>
      </c>
    </row>
    <row r="8350" spans="1:7" ht="15" x14ac:dyDescent="0.3">
      <c r="A8350" t="s">
        <v>44</v>
      </c>
      <c r="B8350" t="s">
        <v>44</v>
      </c>
      <c r="C8350" t="s">
        <v>44</v>
      </c>
      <c r="D8350" t="s">
        <v>4438</v>
      </c>
      <c r="F8350" s="21"/>
      <c r="G8350" s="16"/>
    </row>
    <row r="8351" spans="1:7" ht="15" x14ac:dyDescent="0.3">
      <c r="A8351">
        <v>22.0663356781006</v>
      </c>
      <c r="B8351">
        <v>-79.453147888183594</v>
      </c>
      <c r="C8351" t="s">
        <v>41</v>
      </c>
      <c r="D8351" t="s">
        <v>4919</v>
      </c>
      <c r="F8351" s="21"/>
      <c r="G8351" s="16" t="str">
        <f>HYPERLINK("http://maps.google.com/maps?f=q&amp;hl=en&amp;geocode=&amp;q=22.0663356781006,-79.4531478881836")</f>
        <v>http://maps.google.com/maps?f=q&amp;hl=en&amp;geocode=&amp;q=22.0663356781006,-79.4531478881836</v>
      </c>
    </row>
    <row r="8352" spans="1:7" ht="15" x14ac:dyDescent="0.3">
      <c r="A8352">
        <v>38.866889953613303</v>
      </c>
      <c r="B8352">
        <v>-84.611846923828097</v>
      </c>
      <c r="C8352" t="s">
        <v>43</v>
      </c>
      <c r="D8352" t="s">
        <v>852</v>
      </c>
      <c r="F8352" s="21"/>
      <c r="G8352" s="16" t="str">
        <f>HYPERLINK("http://maps.google.com/maps?f=q&amp;hl=en&amp;geocode=&amp;q=38.8668899536133,-84.6118469238281")</f>
        <v>http://maps.google.com/maps?f=q&amp;hl=en&amp;geocode=&amp;q=38.8668899536133,-84.6118469238281</v>
      </c>
    </row>
    <row r="8353" spans="1:7" ht="15" x14ac:dyDescent="0.3">
      <c r="A8353">
        <v>39.213344573974602</v>
      </c>
      <c r="B8353">
        <v>-8.9115905761718803</v>
      </c>
      <c r="C8353" t="s">
        <v>41</v>
      </c>
      <c r="D8353" t="s">
        <v>4920</v>
      </c>
      <c r="F8353" s="21"/>
      <c r="G8353" s="16" t="str">
        <f>HYPERLINK("http://maps.google.com/maps?f=q&amp;hl=en&amp;geocode=&amp;q=39.2133445739746,-8.91159057617188")</f>
        <v>http://maps.google.com/maps?f=q&amp;hl=en&amp;geocode=&amp;q=39.2133445739746,-8.91159057617188</v>
      </c>
    </row>
    <row r="8354" spans="1:7" ht="15" x14ac:dyDescent="0.3">
      <c r="A8354">
        <v>35.924320000000002</v>
      </c>
      <c r="B8354">
        <v>-86.925910000000002</v>
      </c>
      <c r="C8354" t="s">
        <v>41</v>
      </c>
      <c r="D8354" t="s">
        <v>4921</v>
      </c>
      <c r="F8354" s="21"/>
      <c r="G8354" s="16" t="str">
        <f>HYPERLINK("http://maps.google.com/maps?f=q&amp;hl=en&amp;geocode=&amp;q=35.92432,-86.92591")</f>
        <v>http://maps.google.com/maps?f=q&amp;hl=en&amp;geocode=&amp;q=35.92432,-86.92591</v>
      </c>
    </row>
    <row r="8355" spans="1:7" ht="15" x14ac:dyDescent="0.3">
      <c r="A8355">
        <v>35.924320000000002</v>
      </c>
      <c r="B8355">
        <v>-86.925910000000002</v>
      </c>
      <c r="C8355" t="s">
        <v>41</v>
      </c>
      <c r="D8355" t="s">
        <v>4921</v>
      </c>
      <c r="F8355" s="21"/>
      <c r="G8355" s="16" t="str">
        <f>HYPERLINK("http://maps.google.com/maps?f=q&amp;hl=en&amp;geocode=&amp;q=35.92432,-86.92591")</f>
        <v>http://maps.google.com/maps?f=q&amp;hl=en&amp;geocode=&amp;q=35.92432,-86.92591</v>
      </c>
    </row>
    <row r="8356" spans="1:7" ht="15" x14ac:dyDescent="0.3">
      <c r="A8356">
        <v>38.947154998779297</v>
      </c>
      <c r="B8356">
        <v>-8.9184045791625994</v>
      </c>
      <c r="C8356" t="s">
        <v>41</v>
      </c>
      <c r="D8356" t="s">
        <v>4922</v>
      </c>
      <c r="F8356" s="21"/>
      <c r="G8356" s="16" t="str">
        <f>HYPERLINK("http://maps.google.com/maps?f=q&amp;hl=en&amp;geocode=&amp;q=38.9471549987793,-8.9184045791626")</f>
        <v>http://maps.google.com/maps?f=q&amp;hl=en&amp;geocode=&amp;q=38.9471549987793,-8.9184045791626</v>
      </c>
    </row>
    <row r="8357" spans="1:7" ht="15" x14ac:dyDescent="0.3">
      <c r="A8357">
        <v>39.912030000000001</v>
      </c>
      <c r="B8357">
        <v>-75.174030000000002</v>
      </c>
      <c r="C8357" t="s">
        <v>43</v>
      </c>
      <c r="D8357" t="s">
        <v>3956</v>
      </c>
      <c r="F8357" s="21"/>
      <c r="G8357" s="16" t="str">
        <f>HYPERLINK("http://maps.google.com/maps?f=q&amp;hl=en&amp;geocode=&amp;q=39.91203,-75.17403")</f>
        <v>http://maps.google.com/maps?f=q&amp;hl=en&amp;geocode=&amp;q=39.91203,-75.17403</v>
      </c>
    </row>
    <row r="8358" spans="1:7" ht="15" x14ac:dyDescent="0.3">
      <c r="A8358">
        <v>59.922351837158203</v>
      </c>
      <c r="B8358">
        <v>11.178321838378899</v>
      </c>
      <c r="C8358" t="s">
        <v>43</v>
      </c>
      <c r="D8358" t="s">
        <v>4923</v>
      </c>
      <c r="F8358" s="21"/>
      <c r="G8358" s="16" t="str">
        <f>HYPERLINK("http://maps.google.com/maps?f=q&amp;hl=en&amp;geocode=&amp;q=59.9223518371582,11.1783218383789")</f>
        <v>http://maps.google.com/maps?f=q&amp;hl=en&amp;geocode=&amp;q=59.9223518371582,11.1783218383789</v>
      </c>
    </row>
    <row r="8359" spans="1:7" ht="15" x14ac:dyDescent="0.3">
      <c r="A8359">
        <v>38.861078686805101</v>
      </c>
      <c r="B8359">
        <v>-77.227832302305998</v>
      </c>
      <c r="C8359" t="s">
        <v>41</v>
      </c>
      <c r="D8359" t="s">
        <v>4924</v>
      </c>
      <c r="F8359" s="21"/>
      <c r="G8359" s="16" t="str">
        <f>HYPERLINK("http://maps.google.com/maps?f=q&amp;hl=en&amp;geocode=&amp;q=38.8610786868051,-77.227832302306")</f>
        <v>http://maps.google.com/maps?f=q&amp;hl=en&amp;geocode=&amp;q=38.8610786868051,-77.227832302306</v>
      </c>
    </row>
    <row r="8360" spans="1:7" ht="15" x14ac:dyDescent="0.3">
      <c r="A8360">
        <v>33.3486030752712</v>
      </c>
      <c r="B8360">
        <v>-98.606133829529398</v>
      </c>
      <c r="C8360" t="s">
        <v>41</v>
      </c>
      <c r="D8360" t="s">
        <v>1478</v>
      </c>
      <c r="F8360" s="21"/>
      <c r="G8360" s="16" t="str">
        <f>HYPERLINK("http://maps.google.com/maps?f=q&amp;hl=en&amp;geocode=&amp;q=33.3486030752712,-98.6061338295294")</f>
        <v>http://maps.google.com/maps?f=q&amp;hl=en&amp;geocode=&amp;q=33.3486030752712,-98.6061338295294</v>
      </c>
    </row>
    <row r="8361" spans="1:7" ht="15" x14ac:dyDescent="0.3">
      <c r="A8361">
        <v>36.495655410207597</v>
      </c>
      <c r="B8361">
        <v>-94.333418169911297</v>
      </c>
      <c r="C8361" t="s">
        <v>41</v>
      </c>
      <c r="D8361" t="s">
        <v>4925</v>
      </c>
      <c r="F8361" s="21"/>
      <c r="G8361" s="16" t="str">
        <f>HYPERLINK("http://maps.google.com/maps?f=q&amp;hl=en&amp;geocode=&amp;q=36.4956554102076,-94.3334181699113")</f>
        <v>http://maps.google.com/maps?f=q&amp;hl=en&amp;geocode=&amp;q=36.4956554102076,-94.3334181699113</v>
      </c>
    </row>
    <row r="8362" spans="1:7" ht="15" x14ac:dyDescent="0.3">
      <c r="A8362">
        <v>40.040819999999997</v>
      </c>
      <c r="B8362">
        <v>-75.065640000000002</v>
      </c>
      <c r="C8362" t="s">
        <v>41</v>
      </c>
      <c r="D8362" t="s">
        <v>4623</v>
      </c>
      <c r="F8362" s="21"/>
      <c r="G8362" s="16" t="str">
        <f>HYPERLINK("http://maps.google.com/maps?f=q&amp;hl=en&amp;geocode=&amp;q=40.04082,-75.06564")</f>
        <v>http://maps.google.com/maps?f=q&amp;hl=en&amp;geocode=&amp;q=40.04082,-75.06564</v>
      </c>
    </row>
    <row r="8363" spans="1:7" ht="15" x14ac:dyDescent="0.3">
      <c r="A8363">
        <v>40.040819999999997</v>
      </c>
      <c r="B8363">
        <v>-75.065640000000002</v>
      </c>
      <c r="C8363" t="s">
        <v>41</v>
      </c>
      <c r="D8363" t="s">
        <v>4623</v>
      </c>
      <c r="F8363" s="21"/>
      <c r="G8363" s="16" t="str">
        <f>HYPERLINK("http://maps.google.com/maps?f=q&amp;hl=en&amp;geocode=&amp;q=40.04082,-75.06564")</f>
        <v>http://maps.google.com/maps?f=q&amp;hl=en&amp;geocode=&amp;q=40.04082,-75.06564</v>
      </c>
    </row>
    <row r="8364" spans="1:7" ht="15" x14ac:dyDescent="0.3">
      <c r="A8364">
        <v>51.403045654296903</v>
      </c>
      <c r="B8364">
        <v>-0.262797862291336</v>
      </c>
      <c r="C8364" t="s">
        <v>41</v>
      </c>
      <c r="D8364" t="s">
        <v>2815</v>
      </c>
      <c r="F8364" s="21"/>
      <c r="G8364" s="16" t="str">
        <f>HYPERLINK("http://maps.google.com/maps?f=q&amp;hl=en&amp;geocode=&amp;q=51.4030456542969,-0.262797862291336")</f>
        <v>http://maps.google.com/maps?f=q&amp;hl=en&amp;geocode=&amp;q=51.4030456542969,-0.262797862291336</v>
      </c>
    </row>
    <row r="8365" spans="1:7" ht="15" x14ac:dyDescent="0.3">
      <c r="A8365">
        <v>39.985076403831201</v>
      </c>
      <c r="B8365">
        <v>-75.106754449039101</v>
      </c>
      <c r="C8365" t="s">
        <v>41</v>
      </c>
      <c r="D8365" t="s">
        <v>3814</v>
      </c>
      <c r="F8365" s="21"/>
      <c r="G8365" s="16" t="str">
        <f>HYPERLINK("http://maps.google.com/maps?f=q&amp;hl=en&amp;geocode=&amp;q=39.9850764038312,-75.1067544490391")</f>
        <v>http://maps.google.com/maps?f=q&amp;hl=en&amp;geocode=&amp;q=39.9850764038312,-75.1067544490391</v>
      </c>
    </row>
    <row r="8366" spans="1:7" ht="15" x14ac:dyDescent="0.3">
      <c r="A8366">
        <v>39.9861</v>
      </c>
      <c r="B8366">
        <v>-75.111379999999997</v>
      </c>
      <c r="C8366" t="s">
        <v>41</v>
      </c>
      <c r="D8366" t="s">
        <v>1933</v>
      </c>
      <c r="F8366" s="21"/>
      <c r="G8366" s="16" t="str">
        <f>HYPERLINK("http://maps.google.com/maps?f=q&amp;hl=en&amp;geocode=&amp;q=39.9861,-75.11138")</f>
        <v>http://maps.google.com/maps?f=q&amp;hl=en&amp;geocode=&amp;q=39.9861,-75.11138</v>
      </c>
    </row>
    <row r="8367" spans="1:7" ht="15" x14ac:dyDescent="0.3">
      <c r="A8367" t="s">
        <v>44</v>
      </c>
      <c r="B8367" t="s">
        <v>44</v>
      </c>
      <c r="C8367" t="s">
        <v>44</v>
      </c>
      <c r="D8367" t="s">
        <v>4926</v>
      </c>
      <c r="F8367" s="21"/>
      <c r="G8367" s="16"/>
    </row>
    <row r="8368" spans="1:7" ht="15" x14ac:dyDescent="0.3">
      <c r="A8368">
        <v>54.562068939208999</v>
      </c>
      <c r="B8368">
        <v>-125.10440063476599</v>
      </c>
      <c r="C8368" t="s">
        <v>41</v>
      </c>
      <c r="D8368" t="s">
        <v>4472</v>
      </c>
      <c r="F8368" s="21"/>
      <c r="G8368" s="16" t="str">
        <f>HYPERLINK("http://maps.google.com/maps?f=q&amp;hl=en&amp;geocode=&amp;q=54.562068939209,-125.104400634766")</f>
        <v>http://maps.google.com/maps?f=q&amp;hl=en&amp;geocode=&amp;q=54.562068939209,-125.104400634766</v>
      </c>
    </row>
    <row r="8369" spans="1:7" ht="15" x14ac:dyDescent="0.3">
      <c r="A8369">
        <v>40.039380000000001</v>
      </c>
      <c r="B8369">
        <v>-75.128820000000005</v>
      </c>
      <c r="C8369" t="s">
        <v>41</v>
      </c>
      <c r="D8369" t="s">
        <v>2791</v>
      </c>
      <c r="F8369" s="21"/>
      <c r="G8369" s="16" t="str">
        <f>HYPERLINK("http://maps.google.com/maps?f=q&amp;hl=en&amp;geocode=&amp;q=40.03938,-75.12882")</f>
        <v>http://maps.google.com/maps?f=q&amp;hl=en&amp;geocode=&amp;q=40.03938,-75.12882</v>
      </c>
    </row>
    <row r="8370" spans="1:7" ht="15" x14ac:dyDescent="0.3">
      <c r="A8370">
        <v>40.039520000000003</v>
      </c>
      <c r="B8370">
        <v>-75.129829999999998</v>
      </c>
      <c r="C8370" t="s">
        <v>42</v>
      </c>
      <c r="D8370" t="s">
        <v>554</v>
      </c>
      <c r="F8370" s="21"/>
      <c r="G8370" s="16" t="str">
        <f>HYPERLINK("http://maps.google.com/maps?f=q&amp;hl=en&amp;geocode=&amp;q=40.03952,-75.12983")</f>
        <v>http://maps.google.com/maps?f=q&amp;hl=en&amp;geocode=&amp;q=40.03952,-75.12983</v>
      </c>
    </row>
    <row r="8371" spans="1:7" ht="15" x14ac:dyDescent="0.3">
      <c r="A8371">
        <v>40.064926594785497</v>
      </c>
      <c r="B8371">
        <v>-75.089409090773003</v>
      </c>
      <c r="C8371" t="s">
        <v>41</v>
      </c>
      <c r="D8371" t="s">
        <v>4927</v>
      </c>
      <c r="F8371" s="21"/>
      <c r="G8371" s="16" t="str">
        <f>HYPERLINK("http://maps.google.com/maps?f=q&amp;hl=en&amp;geocode=&amp;q=40.0649265947855,-75.089409090773")</f>
        <v>http://maps.google.com/maps?f=q&amp;hl=en&amp;geocode=&amp;q=40.0649265947855,-75.089409090773</v>
      </c>
    </row>
    <row r="8372" spans="1:7" ht="15" x14ac:dyDescent="0.3">
      <c r="A8372">
        <v>56.414676666259801</v>
      </c>
      <c r="B8372">
        <v>10.0106086730957</v>
      </c>
      <c r="C8372" t="s">
        <v>43</v>
      </c>
      <c r="D8372" t="s">
        <v>4928</v>
      </c>
      <c r="F8372" s="21"/>
      <c r="G8372" s="16" t="str">
        <f>HYPERLINK("http://maps.google.com/maps?f=q&amp;hl=en&amp;geocode=&amp;q=56.4146766662598,10.0106086730957")</f>
        <v>http://maps.google.com/maps?f=q&amp;hl=en&amp;geocode=&amp;q=56.4146766662598,10.0106086730957</v>
      </c>
    </row>
    <row r="8373" spans="1:7" ht="15" x14ac:dyDescent="0.3">
      <c r="A8373">
        <v>31.151590694269601</v>
      </c>
      <c r="B8373">
        <v>-92.164835741367497</v>
      </c>
      <c r="C8373" t="s">
        <v>42</v>
      </c>
      <c r="D8373" t="s">
        <v>4929</v>
      </c>
      <c r="F8373" s="21"/>
      <c r="G8373" s="16" t="str">
        <f>HYPERLINK("http://maps.google.com/maps?f=q&amp;hl=en&amp;geocode=&amp;q=31.1515906942696,-92.1648357413675")</f>
        <v>http://maps.google.com/maps?f=q&amp;hl=en&amp;geocode=&amp;q=31.1515906942696,-92.1648357413675</v>
      </c>
    </row>
    <row r="8374" spans="1:7" ht="15" x14ac:dyDescent="0.3">
      <c r="A8374">
        <v>46.522079638671499</v>
      </c>
      <c r="B8374">
        <v>-94.546551328629604</v>
      </c>
      <c r="C8374" t="s">
        <v>41</v>
      </c>
      <c r="D8374" t="s">
        <v>4930</v>
      </c>
      <c r="F8374" s="21"/>
      <c r="G8374" s="16" t="str">
        <f>HYPERLINK("http://maps.google.com/maps?f=q&amp;hl=en&amp;geocode=&amp;q=46.5220796386715,-94.5465513286296")</f>
        <v>http://maps.google.com/maps?f=q&amp;hl=en&amp;geocode=&amp;q=46.5220796386715,-94.5465513286296</v>
      </c>
    </row>
    <row r="8375" spans="1:7" ht="15" x14ac:dyDescent="0.3">
      <c r="A8375">
        <v>34.053489685058601</v>
      </c>
      <c r="B8375">
        <v>-118.245323181152</v>
      </c>
      <c r="C8375" t="s">
        <v>43</v>
      </c>
      <c r="D8375" t="s">
        <v>4896</v>
      </c>
      <c r="F8375" s="21"/>
      <c r="G8375" s="16" t="str">
        <f>HYPERLINK("http://maps.google.com/maps?f=q&amp;hl=en&amp;geocode=&amp;q=34.0534896850586,-118.245323181152")</f>
        <v>http://maps.google.com/maps?f=q&amp;hl=en&amp;geocode=&amp;q=34.0534896850586,-118.245323181152</v>
      </c>
    </row>
    <row r="8376" spans="1:7" ht="15" x14ac:dyDescent="0.3">
      <c r="A8376">
        <v>41.512739022350701</v>
      </c>
      <c r="B8376">
        <v>-78.231405185736804</v>
      </c>
      <c r="C8376" t="s">
        <v>41</v>
      </c>
      <c r="D8376" t="s">
        <v>783</v>
      </c>
      <c r="F8376" s="21"/>
      <c r="G8376" s="16" t="str">
        <f>HYPERLINK("http://maps.google.com/maps?f=q&amp;hl=en&amp;geocode=&amp;q=41.5127390223507,-78.2314051857368")</f>
        <v>http://maps.google.com/maps?f=q&amp;hl=en&amp;geocode=&amp;q=41.5127390223507,-78.2314051857368</v>
      </c>
    </row>
    <row r="8377" spans="1:7" ht="15" x14ac:dyDescent="0.3">
      <c r="A8377">
        <v>35.5703557132749</v>
      </c>
      <c r="B8377">
        <v>-112.242703367583</v>
      </c>
      <c r="C8377" t="s">
        <v>41</v>
      </c>
      <c r="D8377" t="s">
        <v>2043</v>
      </c>
      <c r="F8377" s="21"/>
      <c r="G8377" s="16" t="str">
        <f>HYPERLINK("http://maps.google.com/maps?f=q&amp;hl=en&amp;geocode=&amp;q=35.5703557132749,-112.242703367583")</f>
        <v>http://maps.google.com/maps?f=q&amp;hl=en&amp;geocode=&amp;q=35.5703557132749,-112.242703367583</v>
      </c>
    </row>
    <row r="8378" spans="1:7" ht="15" x14ac:dyDescent="0.3">
      <c r="A8378">
        <v>-35.7065299</v>
      </c>
      <c r="B8378">
        <v>147.32990269999999</v>
      </c>
      <c r="C8378" t="s">
        <v>41</v>
      </c>
      <c r="D8378" t="s">
        <v>4931</v>
      </c>
      <c r="F8378" s="21"/>
      <c r="G8378" s="16" t="str">
        <f>HYPERLINK("http://maps.google.com/maps?f=q&amp;hl=en&amp;geocode=&amp;q=-35.7065299,147.3299027")</f>
        <v>http://maps.google.com/maps?f=q&amp;hl=en&amp;geocode=&amp;q=-35.7065299,147.3299027</v>
      </c>
    </row>
    <row r="8379" spans="1:7" ht="15" x14ac:dyDescent="0.3">
      <c r="A8379">
        <v>37.774958499122299</v>
      </c>
      <c r="B8379">
        <v>-122.24992905844</v>
      </c>
      <c r="C8379" t="s">
        <v>41</v>
      </c>
      <c r="D8379" t="s">
        <v>4932</v>
      </c>
      <c r="F8379" s="21"/>
      <c r="G8379" s="16" t="str">
        <f>HYPERLINK("http://maps.google.com/maps?f=q&amp;hl=en&amp;geocode=&amp;q=37.7749584991223,-122.24992905844")</f>
        <v>http://maps.google.com/maps?f=q&amp;hl=en&amp;geocode=&amp;q=37.7749584991223,-122.24992905844</v>
      </c>
    </row>
    <row r="8380" spans="1:7" ht="15" x14ac:dyDescent="0.3">
      <c r="A8380">
        <v>36.248629999999999</v>
      </c>
      <c r="B8380">
        <v>-119.31603</v>
      </c>
      <c r="C8380" t="s">
        <v>41</v>
      </c>
      <c r="D8380" t="s">
        <v>469</v>
      </c>
      <c r="F8380" s="21"/>
      <c r="G8380" s="16" t="str">
        <f>HYPERLINK("http://maps.google.com/maps?f=q&amp;hl=en&amp;geocode=&amp;q=36.24863,-119.31603")</f>
        <v>http://maps.google.com/maps?f=q&amp;hl=en&amp;geocode=&amp;q=36.24863,-119.31603</v>
      </c>
    </row>
    <row r="8381" spans="1:7" ht="15" x14ac:dyDescent="0.3">
      <c r="A8381">
        <v>36.248629999999999</v>
      </c>
      <c r="B8381">
        <v>-119.31603</v>
      </c>
      <c r="C8381" t="s">
        <v>41</v>
      </c>
      <c r="D8381" t="s">
        <v>469</v>
      </c>
      <c r="F8381" s="21"/>
      <c r="G8381" s="16" t="str">
        <f>HYPERLINK("http://maps.google.com/maps?f=q&amp;hl=en&amp;geocode=&amp;q=36.24863,-119.31603")</f>
        <v>http://maps.google.com/maps?f=q&amp;hl=en&amp;geocode=&amp;q=36.24863,-119.31603</v>
      </c>
    </row>
    <row r="8382" spans="1:7" ht="15" x14ac:dyDescent="0.3">
      <c r="A8382">
        <v>36.248629999999999</v>
      </c>
      <c r="B8382">
        <v>-119.31603</v>
      </c>
      <c r="C8382" t="s">
        <v>41</v>
      </c>
      <c r="D8382" t="s">
        <v>469</v>
      </c>
      <c r="F8382" s="21"/>
      <c r="G8382" s="16" t="str">
        <f>HYPERLINK("http://maps.google.com/maps?f=q&amp;hl=en&amp;geocode=&amp;q=36.24863,-119.31603")</f>
        <v>http://maps.google.com/maps?f=q&amp;hl=en&amp;geocode=&amp;q=36.24863,-119.31603</v>
      </c>
    </row>
    <row r="8383" spans="1:7" ht="15" x14ac:dyDescent="0.3">
      <c r="A8383">
        <v>-43.390037536621101</v>
      </c>
      <c r="B8383">
        <v>172.02110290527301</v>
      </c>
      <c r="C8383" t="s">
        <v>43</v>
      </c>
      <c r="D8383" t="s">
        <v>4933</v>
      </c>
      <c r="F8383" s="21"/>
      <c r="G8383" s="16" t="str">
        <f>HYPERLINK("http://maps.google.com/maps?f=q&amp;hl=en&amp;geocode=&amp;q=-43.3900375366211,172.021102905273")</f>
        <v>http://maps.google.com/maps?f=q&amp;hl=en&amp;geocode=&amp;q=-43.3900375366211,172.021102905273</v>
      </c>
    </row>
    <row r="8384" spans="1:7" ht="15" x14ac:dyDescent="0.3">
      <c r="A8384" t="s">
        <v>44</v>
      </c>
      <c r="B8384" t="s">
        <v>44</v>
      </c>
      <c r="C8384" t="s">
        <v>44</v>
      </c>
      <c r="D8384" t="s">
        <v>1004</v>
      </c>
      <c r="F8384" s="21"/>
      <c r="G8384" s="16"/>
    </row>
    <row r="8385" spans="1:7" ht="15" x14ac:dyDescent="0.3">
      <c r="A8385">
        <v>40.248370000000001</v>
      </c>
      <c r="B8385">
        <v>-74.862530000000007</v>
      </c>
      <c r="C8385" t="s">
        <v>41</v>
      </c>
      <c r="D8385" t="s">
        <v>1534</v>
      </c>
      <c r="F8385" s="21"/>
      <c r="G8385" s="16" t="str">
        <f>HYPERLINK("http://maps.google.com/maps?f=q&amp;hl=en&amp;geocode=&amp;q=40.24837,-74.86253")</f>
        <v>http://maps.google.com/maps?f=q&amp;hl=en&amp;geocode=&amp;q=40.24837,-74.86253</v>
      </c>
    </row>
    <row r="8386" spans="1:7" ht="15" x14ac:dyDescent="0.3">
      <c r="A8386">
        <v>42.528381090845997</v>
      </c>
      <c r="B8386">
        <v>-89.056465631365398</v>
      </c>
      <c r="C8386" t="s">
        <v>41</v>
      </c>
      <c r="D8386" t="s">
        <v>4934</v>
      </c>
      <c r="F8386" s="21"/>
      <c r="G8386" s="16" t="str">
        <f>HYPERLINK("http://maps.google.com/maps?f=q&amp;hl=en&amp;geocode=&amp;q=42.528381090846,-89.0564656313654")</f>
        <v>http://maps.google.com/maps?f=q&amp;hl=en&amp;geocode=&amp;q=42.528381090846,-89.0564656313654</v>
      </c>
    </row>
    <row r="8387" spans="1:7" ht="15" x14ac:dyDescent="0.3">
      <c r="A8387">
        <v>40.056820000000002</v>
      </c>
      <c r="B8387">
        <v>-75.053579999999997</v>
      </c>
      <c r="C8387" t="s">
        <v>41</v>
      </c>
      <c r="D8387" t="s">
        <v>3346</v>
      </c>
      <c r="F8387" s="21"/>
      <c r="G8387" s="16" t="str">
        <f>HYPERLINK("http://maps.google.com/maps?f=q&amp;hl=en&amp;geocode=&amp;q=40.05682,-75.05358")</f>
        <v>http://maps.google.com/maps?f=q&amp;hl=en&amp;geocode=&amp;q=40.05682,-75.05358</v>
      </c>
    </row>
    <row r="8388" spans="1:7" ht="15" x14ac:dyDescent="0.3">
      <c r="A8388">
        <v>36.102604727957797</v>
      </c>
      <c r="B8388">
        <v>-115.049242067328</v>
      </c>
      <c r="C8388" t="s">
        <v>41</v>
      </c>
      <c r="D8388" t="s">
        <v>4935</v>
      </c>
      <c r="F8388" s="21"/>
      <c r="G8388" s="16" t="str">
        <f>HYPERLINK("http://maps.google.com/maps?f=q&amp;hl=en&amp;geocode=&amp;q=36.1026047279578,-115.049242067328")</f>
        <v>http://maps.google.com/maps?f=q&amp;hl=en&amp;geocode=&amp;q=36.1026047279578,-115.049242067328</v>
      </c>
    </row>
    <row r="8389" spans="1:7" ht="15" x14ac:dyDescent="0.3">
      <c r="A8389">
        <v>40.255798159812898</v>
      </c>
      <c r="B8389">
        <v>-74.737254956354803</v>
      </c>
      <c r="C8389" t="s">
        <v>41</v>
      </c>
      <c r="D8389" t="s">
        <v>2521</v>
      </c>
      <c r="F8389" s="21"/>
      <c r="G8389" s="16" t="str">
        <f>HYPERLINK("http://maps.google.com/maps?f=q&amp;hl=en&amp;geocode=&amp;q=40.2557981598129,-74.7372549563548")</f>
        <v>http://maps.google.com/maps?f=q&amp;hl=en&amp;geocode=&amp;q=40.2557981598129,-74.7372549563548</v>
      </c>
    </row>
    <row r="8390" spans="1:7" ht="15" x14ac:dyDescent="0.3">
      <c r="A8390">
        <v>39.995800000000003</v>
      </c>
      <c r="B8390">
        <v>-75.170929999999998</v>
      </c>
      <c r="C8390" t="s">
        <v>41</v>
      </c>
      <c r="D8390" t="s">
        <v>3739</v>
      </c>
      <c r="F8390" s="21"/>
      <c r="G8390" s="16" t="str">
        <f>HYPERLINK("http://maps.google.com/maps?f=q&amp;hl=en&amp;geocode=&amp;q=39.9958,-75.17093")</f>
        <v>http://maps.google.com/maps?f=q&amp;hl=en&amp;geocode=&amp;q=39.9958,-75.17093</v>
      </c>
    </row>
    <row r="8391" spans="1:7" ht="15" x14ac:dyDescent="0.3">
      <c r="A8391">
        <v>32.794418472756</v>
      </c>
      <c r="B8391">
        <v>-88.398324988614206</v>
      </c>
      <c r="C8391" t="s">
        <v>41</v>
      </c>
      <c r="D8391" t="s">
        <v>4867</v>
      </c>
      <c r="F8391" s="21"/>
      <c r="G8391" s="16" t="str">
        <f>HYPERLINK("http://maps.google.com/maps?f=q&amp;hl=en&amp;geocode=&amp;q=32.794418472756,-88.3983249886142")</f>
        <v>http://maps.google.com/maps?f=q&amp;hl=en&amp;geocode=&amp;q=32.794418472756,-88.3983249886142</v>
      </c>
    </row>
    <row r="8392" spans="1:7" ht="15" x14ac:dyDescent="0.3">
      <c r="A8392">
        <v>32.794418472756</v>
      </c>
      <c r="B8392">
        <v>-88.398324988614206</v>
      </c>
      <c r="C8392" t="s">
        <v>41</v>
      </c>
      <c r="D8392" t="s">
        <v>4867</v>
      </c>
      <c r="F8392" s="21"/>
      <c r="G8392" s="16" t="str">
        <f>HYPERLINK("http://maps.google.com/maps?f=q&amp;hl=en&amp;geocode=&amp;q=32.794418472756,-88.3983249886142")</f>
        <v>http://maps.google.com/maps?f=q&amp;hl=en&amp;geocode=&amp;q=32.794418472756,-88.3983249886142</v>
      </c>
    </row>
    <row r="8393" spans="1:7" ht="15" x14ac:dyDescent="0.3">
      <c r="A8393">
        <v>39.951320000000003</v>
      </c>
      <c r="B8393">
        <v>-75.239440000000002</v>
      </c>
      <c r="C8393" t="s">
        <v>41</v>
      </c>
      <c r="D8393" t="s">
        <v>4815</v>
      </c>
      <c r="F8393" s="21"/>
      <c r="G8393" s="16" t="str">
        <f>HYPERLINK("http://maps.google.com/maps?f=q&amp;hl=en&amp;geocode=&amp;q=39.95132,-75.23944")</f>
        <v>http://maps.google.com/maps?f=q&amp;hl=en&amp;geocode=&amp;q=39.95132,-75.23944</v>
      </c>
    </row>
    <row r="8394" spans="1:7" ht="15" x14ac:dyDescent="0.3">
      <c r="A8394">
        <v>31.008949999999999</v>
      </c>
      <c r="B8394">
        <v>-86.337400000000002</v>
      </c>
      <c r="C8394" t="s">
        <v>42</v>
      </c>
      <c r="D8394" t="s">
        <v>4649</v>
      </c>
      <c r="F8394" s="21"/>
      <c r="G8394" s="16" t="str">
        <f>HYPERLINK("http://maps.google.com/maps?f=q&amp;hl=en&amp;geocode=&amp;q=31.00895,-86.3374")</f>
        <v>http://maps.google.com/maps?f=q&amp;hl=en&amp;geocode=&amp;q=31.00895,-86.3374</v>
      </c>
    </row>
    <row r="8395" spans="1:7" ht="15" x14ac:dyDescent="0.3">
      <c r="A8395">
        <v>31.008949999999999</v>
      </c>
      <c r="B8395">
        <v>-86.337400000000002</v>
      </c>
      <c r="C8395" t="s">
        <v>42</v>
      </c>
      <c r="D8395" t="s">
        <v>4650</v>
      </c>
      <c r="F8395" s="21"/>
      <c r="G8395" s="16" t="str">
        <f>HYPERLINK("http://maps.google.com/maps?f=q&amp;hl=en&amp;geocode=&amp;q=31.00895,-86.3374")</f>
        <v>http://maps.google.com/maps?f=q&amp;hl=en&amp;geocode=&amp;q=31.00895,-86.3374</v>
      </c>
    </row>
    <row r="8396" spans="1:7" ht="15" x14ac:dyDescent="0.3">
      <c r="A8396">
        <v>32.834006268736502</v>
      </c>
      <c r="B8396">
        <v>-96.767791798700799</v>
      </c>
      <c r="C8396" t="s">
        <v>41</v>
      </c>
      <c r="D8396" t="s">
        <v>4936</v>
      </c>
      <c r="F8396" s="21"/>
      <c r="G8396" s="16" t="str">
        <f>HYPERLINK("http://maps.google.com/maps?f=q&amp;hl=en&amp;geocode=&amp;q=32.8340062687365,-96.7677917987008")</f>
        <v>http://maps.google.com/maps?f=q&amp;hl=en&amp;geocode=&amp;q=32.8340062687365,-96.7677917987008</v>
      </c>
    </row>
    <row r="8397" spans="1:7" ht="15" x14ac:dyDescent="0.3">
      <c r="A8397">
        <v>40.113320000000002</v>
      </c>
      <c r="B8397">
        <v>-75.02561</v>
      </c>
      <c r="C8397" t="s">
        <v>41</v>
      </c>
      <c r="D8397" t="s">
        <v>3998</v>
      </c>
      <c r="F8397" s="21"/>
      <c r="G8397" s="16" t="str">
        <f>HYPERLINK("http://maps.google.com/maps?f=q&amp;hl=en&amp;geocode=&amp;q=40.11332,-75.02561")</f>
        <v>http://maps.google.com/maps?f=q&amp;hl=en&amp;geocode=&amp;q=40.11332,-75.02561</v>
      </c>
    </row>
    <row r="8398" spans="1:7" ht="15" x14ac:dyDescent="0.3">
      <c r="A8398">
        <v>39.920610000000003</v>
      </c>
      <c r="B8398">
        <v>-75.180289999999999</v>
      </c>
      <c r="C8398" t="s">
        <v>42</v>
      </c>
      <c r="D8398" t="s">
        <v>3891</v>
      </c>
      <c r="F8398" s="21"/>
      <c r="G8398" s="16" t="str">
        <f>HYPERLINK("http://maps.google.com/maps?f=q&amp;hl=en&amp;geocode=&amp;q=39.92061,-75.18029")</f>
        <v>http://maps.google.com/maps?f=q&amp;hl=en&amp;geocode=&amp;q=39.92061,-75.18029</v>
      </c>
    </row>
    <row r="8399" spans="1:7" ht="15" x14ac:dyDescent="0.3">
      <c r="A8399">
        <v>39.919159999999998</v>
      </c>
      <c r="B8399">
        <v>-75.179010000000005</v>
      </c>
      <c r="C8399" t="s">
        <v>43</v>
      </c>
      <c r="D8399" t="s">
        <v>4937</v>
      </c>
      <c r="F8399" s="21"/>
      <c r="G8399" s="16" t="str">
        <f>HYPERLINK("http://maps.google.com/maps?f=q&amp;hl=en&amp;geocode=&amp;q=39.91916,-75.17901")</f>
        <v>http://maps.google.com/maps?f=q&amp;hl=en&amp;geocode=&amp;q=39.91916,-75.17901</v>
      </c>
    </row>
    <row r="8400" spans="1:7" ht="15" x14ac:dyDescent="0.3">
      <c r="A8400">
        <v>35.2854135395459</v>
      </c>
      <c r="B8400">
        <v>-113.905468978804</v>
      </c>
      <c r="C8400" t="s">
        <v>41</v>
      </c>
      <c r="D8400" t="s">
        <v>4938</v>
      </c>
      <c r="F8400" s="21"/>
      <c r="G8400" s="16" t="str">
        <f>HYPERLINK("http://maps.google.com/maps?f=q&amp;hl=en&amp;geocode=&amp;q=35.2854135395459,-113.905468978804")</f>
        <v>http://maps.google.com/maps?f=q&amp;hl=en&amp;geocode=&amp;q=35.2854135395459,-113.905468978804</v>
      </c>
    </row>
    <row r="8401" spans="1:7" ht="15" x14ac:dyDescent="0.3">
      <c r="A8401">
        <v>34.274926077825597</v>
      </c>
      <c r="B8401">
        <v>-85.182046376414505</v>
      </c>
      <c r="C8401" t="s">
        <v>43</v>
      </c>
      <c r="D8401" t="s">
        <v>1584</v>
      </c>
      <c r="F8401" s="21"/>
      <c r="G8401" s="16" t="str">
        <f>HYPERLINK("http://maps.google.com/maps?f=q&amp;hl=en&amp;geocode=&amp;q=34.2749260778256,-85.1820463764145")</f>
        <v>http://maps.google.com/maps?f=q&amp;hl=en&amp;geocode=&amp;q=34.2749260778256,-85.1820463764145</v>
      </c>
    </row>
    <row r="8402" spans="1:7" ht="15" x14ac:dyDescent="0.3">
      <c r="A8402">
        <v>45.268642425537102</v>
      </c>
      <c r="B8402">
        <v>-110.023239135742</v>
      </c>
      <c r="C8402" t="s">
        <v>41</v>
      </c>
      <c r="D8402" t="s">
        <v>4939</v>
      </c>
      <c r="F8402" s="21"/>
      <c r="G8402" s="16" t="str">
        <f>HYPERLINK("http://maps.google.com/maps?f=q&amp;hl=en&amp;geocode=&amp;q=45.2686424255371,-110.023239135742")</f>
        <v>http://maps.google.com/maps?f=q&amp;hl=en&amp;geocode=&amp;q=45.2686424255371,-110.023239135742</v>
      </c>
    </row>
    <row r="8403" spans="1:7" ht="15" x14ac:dyDescent="0.3">
      <c r="A8403">
        <v>-40.001163482666001</v>
      </c>
      <c r="B8403">
        <v>176.55967712402301</v>
      </c>
      <c r="C8403" t="s">
        <v>43</v>
      </c>
      <c r="D8403" t="s">
        <v>3949</v>
      </c>
      <c r="F8403" s="21"/>
      <c r="G8403" s="16" t="str">
        <f>HYPERLINK("http://maps.google.com/maps?f=q&amp;hl=en&amp;geocode=&amp;q=-40.001163482666,176.559677124023")</f>
        <v>http://maps.google.com/maps?f=q&amp;hl=en&amp;geocode=&amp;q=-40.001163482666,176.559677124023</v>
      </c>
    </row>
    <row r="8404" spans="1:7" ht="15" x14ac:dyDescent="0.3">
      <c r="A8404">
        <v>45.268642425537102</v>
      </c>
      <c r="B8404">
        <v>-110.023239135742</v>
      </c>
      <c r="C8404" t="s">
        <v>41</v>
      </c>
      <c r="D8404" t="s">
        <v>4940</v>
      </c>
      <c r="F8404" s="21"/>
      <c r="G8404" s="16" t="str">
        <f>HYPERLINK("http://maps.google.com/maps?f=q&amp;hl=en&amp;geocode=&amp;q=45.2686424255371,-110.023239135742")</f>
        <v>http://maps.google.com/maps?f=q&amp;hl=en&amp;geocode=&amp;q=45.2686424255371,-110.023239135742</v>
      </c>
    </row>
    <row r="8405" spans="1:7" ht="15" x14ac:dyDescent="0.3">
      <c r="A8405">
        <v>35.954746458453499</v>
      </c>
      <c r="B8405">
        <v>-77.474282131778594</v>
      </c>
      <c r="C8405" t="s">
        <v>41</v>
      </c>
      <c r="D8405" t="s">
        <v>4849</v>
      </c>
      <c r="F8405" s="21"/>
      <c r="G8405" s="16" t="str">
        <f>HYPERLINK("http://maps.google.com/maps?f=q&amp;hl=en&amp;geocode=&amp;q=35.9547464584535,-77.4742821317786")</f>
        <v>http://maps.google.com/maps?f=q&amp;hl=en&amp;geocode=&amp;q=35.9547464584535,-77.4742821317786</v>
      </c>
    </row>
    <row r="8406" spans="1:7" ht="15" x14ac:dyDescent="0.3">
      <c r="A8406">
        <v>45.268642425537102</v>
      </c>
      <c r="B8406">
        <v>-110.023239135742</v>
      </c>
      <c r="C8406" t="s">
        <v>41</v>
      </c>
      <c r="D8406" t="s">
        <v>4940</v>
      </c>
      <c r="F8406" s="21"/>
      <c r="G8406" s="16" t="str">
        <f>HYPERLINK("http://maps.google.com/maps?f=q&amp;hl=en&amp;geocode=&amp;q=45.2686424255371,-110.023239135742")</f>
        <v>http://maps.google.com/maps?f=q&amp;hl=en&amp;geocode=&amp;q=45.2686424255371,-110.023239135742</v>
      </c>
    </row>
    <row r="8407" spans="1:7" ht="15" x14ac:dyDescent="0.3">
      <c r="A8407" t="s">
        <v>44</v>
      </c>
      <c r="B8407" t="s">
        <v>44</v>
      </c>
      <c r="C8407" t="s">
        <v>44</v>
      </c>
      <c r="D8407" t="s">
        <v>4941</v>
      </c>
      <c r="F8407" s="21"/>
      <c r="G8407" s="16"/>
    </row>
    <row r="8408" spans="1:7" ht="15" x14ac:dyDescent="0.3">
      <c r="A8408">
        <v>33.612119999999997</v>
      </c>
      <c r="B8408">
        <v>-111.98233999999999</v>
      </c>
      <c r="C8408" t="s">
        <v>42</v>
      </c>
      <c r="D8408" t="s">
        <v>4942</v>
      </c>
      <c r="F8408" s="21"/>
      <c r="G8408" s="16" t="str">
        <f>HYPERLINK("http://maps.google.com/maps?f=q&amp;hl=en&amp;geocode=&amp;q=33.61212,-111.98234")</f>
        <v>http://maps.google.com/maps?f=q&amp;hl=en&amp;geocode=&amp;q=33.61212,-111.98234</v>
      </c>
    </row>
    <row r="8409" spans="1:7" ht="15" x14ac:dyDescent="0.3">
      <c r="A8409">
        <v>50.711711883544901</v>
      </c>
      <c r="B8409">
        <v>3.8327798843383798</v>
      </c>
      <c r="C8409" t="s">
        <v>43</v>
      </c>
      <c r="D8409" t="s">
        <v>4943</v>
      </c>
      <c r="F8409" s="21"/>
      <c r="G8409" s="16" t="str">
        <f>HYPERLINK("http://maps.google.com/maps?f=q&amp;hl=en&amp;geocode=&amp;q=50.7117118835449,3.83277988433838")</f>
        <v>http://maps.google.com/maps?f=q&amp;hl=en&amp;geocode=&amp;q=50.7117118835449,3.83277988433838</v>
      </c>
    </row>
    <row r="8410" spans="1:7" ht="15" x14ac:dyDescent="0.3">
      <c r="A8410">
        <v>40.574356567620903</v>
      </c>
      <c r="B8410">
        <v>-116.914728790667</v>
      </c>
      <c r="C8410" t="s">
        <v>41</v>
      </c>
      <c r="D8410" t="s">
        <v>4944</v>
      </c>
      <c r="F8410" s="21"/>
      <c r="G8410" s="16" t="str">
        <f>HYPERLINK("http://maps.google.com/maps?f=q&amp;hl=en&amp;geocode=&amp;q=40.5743565676209,-116.914728790667")</f>
        <v>http://maps.google.com/maps?f=q&amp;hl=en&amp;geocode=&amp;q=40.5743565676209,-116.914728790667</v>
      </c>
    </row>
    <row r="8411" spans="1:7" ht="15" x14ac:dyDescent="0.3">
      <c r="A8411">
        <v>42.056800842285199</v>
      </c>
      <c r="B8411">
        <v>-3.80324006080627</v>
      </c>
      <c r="C8411" t="s">
        <v>43</v>
      </c>
      <c r="D8411" t="s">
        <v>4945</v>
      </c>
      <c r="F8411" s="21"/>
      <c r="G8411" s="16" t="str">
        <f>HYPERLINK("http://maps.google.com/maps?f=q&amp;hl=en&amp;geocode=&amp;q=42.0568008422852,-3.80324006080627")</f>
        <v>http://maps.google.com/maps?f=q&amp;hl=en&amp;geocode=&amp;q=42.0568008422852,-3.80324006080627</v>
      </c>
    </row>
    <row r="8412" spans="1:7" ht="15" x14ac:dyDescent="0.3">
      <c r="A8412">
        <v>42.470289999999999</v>
      </c>
      <c r="B8412">
        <v>-83.077780000000004</v>
      </c>
      <c r="C8412" t="s">
        <v>42</v>
      </c>
      <c r="D8412" t="s">
        <v>4946</v>
      </c>
      <c r="F8412" s="21"/>
      <c r="G8412" s="16" t="str">
        <f>HYPERLINK("http://maps.google.com/maps?f=q&amp;hl=en&amp;geocode=&amp;q=42.47029,-83.07778")</f>
        <v>http://maps.google.com/maps?f=q&amp;hl=en&amp;geocode=&amp;q=42.47029,-83.07778</v>
      </c>
    </row>
    <row r="8413" spans="1:7" ht="15" x14ac:dyDescent="0.3">
      <c r="A8413">
        <v>39.239715576171903</v>
      </c>
      <c r="B8413">
        <v>-9.06079006195068</v>
      </c>
      <c r="C8413" t="s">
        <v>41</v>
      </c>
      <c r="D8413" t="s">
        <v>3615</v>
      </c>
      <c r="F8413" s="21"/>
      <c r="G8413" s="16" t="str">
        <f>HYPERLINK("http://maps.google.com/maps?f=q&amp;hl=en&amp;geocode=&amp;q=39.2397155761719,-9.06079006195068")</f>
        <v>http://maps.google.com/maps?f=q&amp;hl=en&amp;geocode=&amp;q=39.2397155761719,-9.06079006195068</v>
      </c>
    </row>
    <row r="8414" spans="1:7" ht="15" x14ac:dyDescent="0.3">
      <c r="A8414">
        <v>27.589342892899701</v>
      </c>
      <c r="B8414">
        <v>-82.051996660270504</v>
      </c>
      <c r="C8414" t="s">
        <v>42</v>
      </c>
      <c r="D8414" t="s">
        <v>3038</v>
      </c>
      <c r="F8414" s="21"/>
      <c r="G8414" s="16" t="str">
        <f>HYPERLINK("http://maps.google.com/maps?f=q&amp;hl=en&amp;geocode=&amp;q=27.5893428928997,-82.0519966602705")</f>
        <v>http://maps.google.com/maps?f=q&amp;hl=en&amp;geocode=&amp;q=27.5893428928997,-82.0519966602705</v>
      </c>
    </row>
    <row r="8415" spans="1:7" ht="15" x14ac:dyDescent="0.3">
      <c r="A8415" t="s">
        <v>44</v>
      </c>
      <c r="B8415" t="s">
        <v>44</v>
      </c>
      <c r="C8415" t="s">
        <v>44</v>
      </c>
      <c r="D8415" t="s">
        <v>1004</v>
      </c>
      <c r="F8415" s="21"/>
      <c r="G8415" s="16"/>
    </row>
    <row r="8416" spans="1:7" ht="15" x14ac:dyDescent="0.3">
      <c r="A8416">
        <v>42.3626708984375</v>
      </c>
      <c r="B8416">
        <v>23.415111541748001</v>
      </c>
      <c r="C8416" t="s">
        <v>41</v>
      </c>
      <c r="D8416" t="s">
        <v>4947</v>
      </c>
      <c r="F8416" s="21"/>
      <c r="G8416" s="16" t="str">
        <f>HYPERLINK("http://maps.google.com/maps?f=q&amp;hl=en&amp;geocode=&amp;q=42.3626708984375,23.415111541748")</f>
        <v>http://maps.google.com/maps?f=q&amp;hl=en&amp;geocode=&amp;q=42.3626708984375,23.415111541748</v>
      </c>
    </row>
    <row r="8417" spans="1:7" ht="15" x14ac:dyDescent="0.3">
      <c r="A8417">
        <v>39.666542</v>
      </c>
      <c r="B8417">
        <v>-87.523998000000006</v>
      </c>
      <c r="C8417" t="s">
        <v>41</v>
      </c>
      <c r="D8417" t="s">
        <v>4948</v>
      </c>
      <c r="F8417" s="21"/>
      <c r="G8417" s="16" t="str">
        <f>HYPERLINK("http://maps.google.com/maps?f=q&amp;hl=en&amp;geocode=&amp;q=39.666542,-87.523998")</f>
        <v>http://maps.google.com/maps?f=q&amp;hl=en&amp;geocode=&amp;q=39.666542,-87.523998</v>
      </c>
    </row>
    <row r="8418" spans="1:7" ht="15" x14ac:dyDescent="0.3">
      <c r="A8418">
        <v>33.116292002605903</v>
      </c>
      <c r="B8418">
        <v>-96.843060819743201</v>
      </c>
      <c r="C8418" t="s">
        <v>41</v>
      </c>
      <c r="D8418" t="s">
        <v>4949</v>
      </c>
      <c r="F8418" s="21"/>
      <c r="G8418" s="16" t="str">
        <f>HYPERLINK("http://maps.google.com/maps?f=q&amp;hl=en&amp;geocode=&amp;q=33.1162920026059,-96.8430608197432")</f>
        <v>http://maps.google.com/maps?f=q&amp;hl=en&amp;geocode=&amp;q=33.1162920026059,-96.8430608197432</v>
      </c>
    </row>
    <row r="8419" spans="1:7" ht="15" x14ac:dyDescent="0.3">
      <c r="A8419">
        <v>-37.815635681152301</v>
      </c>
      <c r="B8419">
        <v>144.96734619140599</v>
      </c>
      <c r="C8419" t="s">
        <v>43</v>
      </c>
      <c r="D8419" t="s">
        <v>4950</v>
      </c>
      <c r="F8419" s="21"/>
      <c r="G8419" s="16" t="str">
        <f>HYPERLINK("http://maps.google.com/maps?f=q&amp;hl=en&amp;geocode=&amp;q=-37.8156356811523,144.967346191406")</f>
        <v>http://maps.google.com/maps?f=q&amp;hl=en&amp;geocode=&amp;q=-37.8156356811523,144.967346191406</v>
      </c>
    </row>
    <row r="8420" spans="1:7" ht="15" x14ac:dyDescent="0.3">
      <c r="A8420">
        <v>58.072189331054702</v>
      </c>
      <c r="B8420">
        <v>12.583259582519499</v>
      </c>
      <c r="C8420" t="s">
        <v>43</v>
      </c>
      <c r="D8420" t="s">
        <v>4951</v>
      </c>
      <c r="F8420" s="21"/>
      <c r="G8420" s="16" t="str">
        <f>HYPERLINK("http://maps.google.com/maps?f=q&amp;hl=en&amp;geocode=&amp;q=58.0721893310547,12.5832595825195")</f>
        <v>http://maps.google.com/maps?f=q&amp;hl=en&amp;geocode=&amp;q=58.0721893310547,12.5832595825195</v>
      </c>
    </row>
    <row r="8421" spans="1:7" ht="15" x14ac:dyDescent="0.3">
      <c r="A8421">
        <v>-37.815635681152301</v>
      </c>
      <c r="B8421">
        <v>144.96734619140599</v>
      </c>
      <c r="C8421" t="s">
        <v>43</v>
      </c>
      <c r="D8421" t="s">
        <v>4950</v>
      </c>
      <c r="F8421" s="21"/>
      <c r="G8421" s="16" t="str">
        <f>HYPERLINK("http://maps.google.com/maps?f=q&amp;hl=en&amp;geocode=&amp;q=-37.8156356811523,144.967346191406")</f>
        <v>http://maps.google.com/maps?f=q&amp;hl=en&amp;geocode=&amp;q=-37.8156356811523,144.967346191406</v>
      </c>
    </row>
    <row r="8422" spans="1:7" ht="15" x14ac:dyDescent="0.3">
      <c r="A8422">
        <v>-37.815635681152301</v>
      </c>
      <c r="B8422">
        <v>144.96734619140599</v>
      </c>
      <c r="C8422" t="s">
        <v>43</v>
      </c>
      <c r="D8422" t="s">
        <v>4950</v>
      </c>
      <c r="F8422" s="21"/>
      <c r="G8422" s="16" t="str">
        <f>HYPERLINK("http://maps.google.com/maps?f=q&amp;hl=en&amp;geocode=&amp;q=-37.8156356811523,144.967346191406")</f>
        <v>http://maps.google.com/maps?f=q&amp;hl=en&amp;geocode=&amp;q=-37.8156356811523,144.967346191406</v>
      </c>
    </row>
    <row r="8423" spans="1:7" ht="15" x14ac:dyDescent="0.3">
      <c r="A8423">
        <v>39.793239999999997</v>
      </c>
      <c r="B8423">
        <v>-94.850210000000004</v>
      </c>
      <c r="C8423" t="s">
        <v>41</v>
      </c>
      <c r="D8423" t="s">
        <v>4952</v>
      </c>
      <c r="F8423" s="21"/>
      <c r="G8423" s="16" t="str">
        <f>HYPERLINK("http://maps.google.com/maps?f=q&amp;hl=en&amp;geocode=&amp;q=39.79324,-94.85021")</f>
        <v>http://maps.google.com/maps?f=q&amp;hl=en&amp;geocode=&amp;q=39.79324,-94.85021</v>
      </c>
    </row>
    <row r="8424" spans="1:7" ht="15" x14ac:dyDescent="0.3">
      <c r="A8424">
        <v>-37.815635681152301</v>
      </c>
      <c r="B8424">
        <v>144.96734619140599</v>
      </c>
      <c r="C8424" t="s">
        <v>43</v>
      </c>
      <c r="D8424" t="s">
        <v>4950</v>
      </c>
      <c r="F8424" s="21"/>
      <c r="G8424" s="16" t="str">
        <f>HYPERLINK("http://maps.google.com/maps?f=q&amp;hl=en&amp;geocode=&amp;q=-37.8156356811523,144.967346191406")</f>
        <v>http://maps.google.com/maps?f=q&amp;hl=en&amp;geocode=&amp;q=-37.8156356811523,144.967346191406</v>
      </c>
    </row>
    <row r="8425" spans="1:7" ht="15" x14ac:dyDescent="0.3">
      <c r="A8425" t="s">
        <v>44</v>
      </c>
      <c r="B8425" t="s">
        <v>44</v>
      </c>
      <c r="C8425" t="s">
        <v>44</v>
      </c>
      <c r="D8425" t="s">
        <v>4953</v>
      </c>
      <c r="F8425" s="21"/>
      <c r="G8425" s="16"/>
    </row>
    <row r="8426" spans="1:7" ht="15" x14ac:dyDescent="0.3">
      <c r="A8426" t="s">
        <v>44</v>
      </c>
      <c r="B8426" t="s">
        <v>44</v>
      </c>
      <c r="C8426" t="s">
        <v>44</v>
      </c>
      <c r="D8426" t="s">
        <v>4953</v>
      </c>
      <c r="F8426" s="21"/>
      <c r="G8426" s="16"/>
    </row>
    <row r="8427" spans="1:7" ht="15" x14ac:dyDescent="0.3">
      <c r="A8427">
        <v>40.027900000000002</v>
      </c>
      <c r="B8427">
        <v>-75.172809999999998</v>
      </c>
      <c r="C8427" t="s">
        <v>41</v>
      </c>
      <c r="D8427" t="s">
        <v>4619</v>
      </c>
      <c r="F8427" s="21"/>
      <c r="G8427" s="16" t="str">
        <f>HYPERLINK("http://maps.google.com/maps?f=q&amp;hl=en&amp;geocode=&amp;q=40.0279,-75.17281")</f>
        <v>http://maps.google.com/maps?f=q&amp;hl=en&amp;geocode=&amp;q=40.0279,-75.17281</v>
      </c>
    </row>
    <row r="8428" spans="1:7" ht="15" x14ac:dyDescent="0.3">
      <c r="A8428">
        <v>39.993279999999999</v>
      </c>
      <c r="B8428">
        <v>-75.098560000000006</v>
      </c>
      <c r="C8428" t="s">
        <v>41</v>
      </c>
      <c r="D8428" t="s">
        <v>1697</v>
      </c>
      <c r="F8428" s="21"/>
      <c r="G8428" s="16" t="str">
        <f>HYPERLINK("http://maps.google.com/maps?f=q&amp;hl=en&amp;geocode=&amp;q=39.99328,-75.09856")</f>
        <v>http://maps.google.com/maps?f=q&amp;hl=en&amp;geocode=&amp;q=39.99328,-75.09856</v>
      </c>
    </row>
    <row r="8429" spans="1:7" ht="15" x14ac:dyDescent="0.3">
      <c r="A8429">
        <v>39.992789999999999</v>
      </c>
      <c r="B8429">
        <v>-75.153175000000005</v>
      </c>
      <c r="C8429" t="s">
        <v>41</v>
      </c>
      <c r="D8429" t="s">
        <v>4954</v>
      </c>
      <c r="F8429" s="21"/>
      <c r="G8429" s="16" t="str">
        <f>HYPERLINK("http://maps.google.com/maps?f=q&amp;hl=en&amp;geocode=&amp;q=39.99279,-75.153175")</f>
        <v>http://maps.google.com/maps?f=q&amp;hl=en&amp;geocode=&amp;q=39.99279,-75.153175</v>
      </c>
    </row>
    <row r="8430" spans="1:7" ht="15" x14ac:dyDescent="0.3">
      <c r="A8430">
        <v>51.470329284667997</v>
      </c>
      <c r="B8430">
        <v>5.4539737701415998</v>
      </c>
      <c r="C8430" t="s">
        <v>43</v>
      </c>
      <c r="D8430" t="s">
        <v>4955</v>
      </c>
      <c r="F8430" s="21"/>
      <c r="G8430" s="16" t="str">
        <f>HYPERLINK("http://maps.google.com/maps?f=q&amp;hl=en&amp;geocode=&amp;q=51.470329284668,5.4539737701416")</f>
        <v>http://maps.google.com/maps?f=q&amp;hl=en&amp;geocode=&amp;q=51.470329284668,5.4539737701416</v>
      </c>
    </row>
    <row r="8431" spans="1:7" ht="15" x14ac:dyDescent="0.3">
      <c r="A8431">
        <v>40.031840000000003</v>
      </c>
      <c r="B8431">
        <v>-75.055750000000003</v>
      </c>
      <c r="C8431" t="s">
        <v>41</v>
      </c>
      <c r="D8431" t="s">
        <v>2872</v>
      </c>
      <c r="F8431" s="21"/>
      <c r="G8431" s="16" t="str">
        <f>HYPERLINK("http://maps.google.com/maps?f=q&amp;hl=en&amp;geocode=&amp;q=40.03184,-75.05575")</f>
        <v>http://maps.google.com/maps?f=q&amp;hl=en&amp;geocode=&amp;q=40.03184,-75.05575</v>
      </c>
    </row>
    <row r="8432" spans="1:7" ht="15" x14ac:dyDescent="0.3">
      <c r="A8432">
        <v>29.140590667724599</v>
      </c>
      <c r="B8432">
        <v>-8.9533882141113299</v>
      </c>
      <c r="C8432" t="s">
        <v>41</v>
      </c>
      <c r="D8432" t="s">
        <v>353</v>
      </c>
      <c r="F8432" s="21"/>
      <c r="G8432" s="16" t="str">
        <f>HYPERLINK("http://maps.google.com/maps?f=q&amp;hl=en&amp;geocode=&amp;q=29.1405906677246,-8.95338821411133")</f>
        <v>http://maps.google.com/maps?f=q&amp;hl=en&amp;geocode=&amp;q=29.1405906677246,-8.95338821411133</v>
      </c>
    </row>
    <row r="8433" spans="1:7" ht="15" x14ac:dyDescent="0.3">
      <c r="A8433">
        <v>37.193010000000001</v>
      </c>
      <c r="B8433">
        <v>-79.925550000000001</v>
      </c>
      <c r="C8433" t="s">
        <v>43</v>
      </c>
      <c r="D8433" t="s">
        <v>4956</v>
      </c>
      <c r="F8433" s="21"/>
      <c r="G8433" s="16" t="str">
        <f>HYPERLINK("http://maps.google.com/maps?f=q&amp;hl=en&amp;geocode=&amp;q=37.19301,-79.92555")</f>
        <v>http://maps.google.com/maps?f=q&amp;hl=en&amp;geocode=&amp;q=37.19301,-79.92555</v>
      </c>
    </row>
    <row r="8434" spans="1:7" ht="15" x14ac:dyDescent="0.3">
      <c r="A8434">
        <v>39.985076403831201</v>
      </c>
      <c r="B8434">
        <v>-75.106754449039101</v>
      </c>
      <c r="C8434" t="s">
        <v>41</v>
      </c>
      <c r="D8434" t="s">
        <v>3814</v>
      </c>
      <c r="F8434" s="21"/>
      <c r="G8434" s="16" t="str">
        <f>HYPERLINK("http://maps.google.com/maps?f=q&amp;hl=en&amp;geocode=&amp;q=39.9850764038312,-75.1067544490391")</f>
        <v>http://maps.google.com/maps?f=q&amp;hl=en&amp;geocode=&amp;q=39.9850764038312,-75.1067544490391</v>
      </c>
    </row>
    <row r="8435" spans="1:7" ht="15" x14ac:dyDescent="0.3">
      <c r="A8435">
        <v>39.990549999999999</v>
      </c>
      <c r="B8435">
        <v>-75.100309999999993</v>
      </c>
      <c r="C8435" t="s">
        <v>41</v>
      </c>
      <c r="D8435" t="s">
        <v>1630</v>
      </c>
      <c r="F8435" s="21"/>
      <c r="G8435" s="16" t="str">
        <f>HYPERLINK("http://maps.google.com/maps?f=q&amp;hl=en&amp;geocode=&amp;q=39.99055,-75.10031")</f>
        <v>http://maps.google.com/maps?f=q&amp;hl=en&amp;geocode=&amp;q=39.99055,-75.10031</v>
      </c>
    </row>
    <row r="8436" spans="1:7" ht="15" x14ac:dyDescent="0.3">
      <c r="A8436">
        <v>37.765643670295198</v>
      </c>
      <c r="B8436">
        <v>-113.711334017117</v>
      </c>
      <c r="C8436" t="s">
        <v>43</v>
      </c>
      <c r="D8436" t="s">
        <v>3154</v>
      </c>
      <c r="F8436" s="21"/>
      <c r="G8436" s="16" t="str">
        <f>HYPERLINK("http://maps.google.com/maps?f=q&amp;hl=en&amp;geocode=&amp;q=37.7656436702952,-113.711334017117")</f>
        <v>http://maps.google.com/maps?f=q&amp;hl=en&amp;geocode=&amp;q=37.7656436702952,-113.711334017117</v>
      </c>
    </row>
    <row r="8437" spans="1:7" ht="15" x14ac:dyDescent="0.3">
      <c r="A8437" t="s">
        <v>44</v>
      </c>
      <c r="B8437" t="s">
        <v>44</v>
      </c>
      <c r="C8437" t="s">
        <v>44</v>
      </c>
      <c r="D8437" t="s">
        <v>4957</v>
      </c>
      <c r="F8437" s="21"/>
      <c r="G8437" s="16"/>
    </row>
    <row r="8438" spans="1:7" ht="15" x14ac:dyDescent="0.3">
      <c r="A8438">
        <v>41.758830000000003</v>
      </c>
      <c r="B8438">
        <v>-74.076319999999996</v>
      </c>
      <c r="C8438" t="s">
        <v>42</v>
      </c>
      <c r="D8438" t="s">
        <v>4958</v>
      </c>
      <c r="F8438" s="21"/>
      <c r="G8438" s="16" t="str">
        <f>HYPERLINK("http://maps.google.com/maps?f=q&amp;hl=en&amp;geocode=&amp;q=41.75883,-74.07632")</f>
        <v>http://maps.google.com/maps?f=q&amp;hl=en&amp;geocode=&amp;q=41.75883,-74.07632</v>
      </c>
    </row>
    <row r="8439" spans="1:7" ht="15" x14ac:dyDescent="0.3">
      <c r="A8439">
        <v>40.193464969506998</v>
      </c>
      <c r="B8439">
        <v>-110.04792045993</v>
      </c>
      <c r="C8439" t="s">
        <v>42</v>
      </c>
      <c r="D8439" t="s">
        <v>2748</v>
      </c>
      <c r="F8439" s="21"/>
      <c r="G8439" s="16" t="str">
        <f>HYPERLINK("http://maps.google.com/maps?f=q&amp;hl=en&amp;geocode=&amp;q=40.193464969507,-110.04792045993")</f>
        <v>http://maps.google.com/maps?f=q&amp;hl=en&amp;geocode=&amp;q=40.193464969507,-110.04792045993</v>
      </c>
    </row>
    <row r="8440" spans="1:7" ht="15" x14ac:dyDescent="0.3">
      <c r="A8440">
        <v>39.996279999999999</v>
      </c>
      <c r="B8440">
        <v>-75.171049999999994</v>
      </c>
      <c r="C8440" t="s">
        <v>41</v>
      </c>
      <c r="D8440" t="s">
        <v>4959</v>
      </c>
      <c r="F8440" s="21"/>
      <c r="G8440" s="16" t="str">
        <f>HYPERLINK("http://maps.google.com/maps?f=q&amp;hl=en&amp;geocode=&amp;q=39.99628,-75.17105")</f>
        <v>http://maps.google.com/maps?f=q&amp;hl=en&amp;geocode=&amp;q=39.99628,-75.17105</v>
      </c>
    </row>
    <row r="8441" spans="1:7" ht="15" x14ac:dyDescent="0.3">
      <c r="A8441">
        <v>43.236539999999998</v>
      </c>
      <c r="B8441">
        <v>-79.840440000000001</v>
      </c>
      <c r="C8441" t="s">
        <v>41</v>
      </c>
      <c r="D8441" t="s">
        <v>4960</v>
      </c>
      <c r="F8441" s="21"/>
      <c r="G8441" s="16" t="str">
        <f>HYPERLINK("http://maps.google.com/maps?f=q&amp;hl=en&amp;geocode=&amp;q=43.23654,-79.84044")</f>
        <v>http://maps.google.com/maps?f=q&amp;hl=en&amp;geocode=&amp;q=43.23654,-79.84044</v>
      </c>
    </row>
    <row r="8442" spans="1:7" ht="15" x14ac:dyDescent="0.3">
      <c r="A8442">
        <v>39.996631203699103</v>
      </c>
      <c r="B8442">
        <v>-75.175726795352602</v>
      </c>
      <c r="C8442" t="s">
        <v>41</v>
      </c>
      <c r="D8442" t="s">
        <v>4754</v>
      </c>
      <c r="F8442" s="21"/>
      <c r="G8442" s="16" t="str">
        <f>HYPERLINK("http://maps.google.com/maps?f=q&amp;hl=en&amp;geocode=&amp;q=39.9966312036991,-75.1757267953526")</f>
        <v>http://maps.google.com/maps?f=q&amp;hl=en&amp;geocode=&amp;q=39.9966312036991,-75.1757267953526</v>
      </c>
    </row>
    <row r="8443" spans="1:7" ht="15" x14ac:dyDescent="0.3">
      <c r="A8443">
        <v>39.61253</v>
      </c>
      <c r="B8443">
        <v>-74.808109999999999</v>
      </c>
      <c r="C8443" t="s">
        <v>43</v>
      </c>
      <c r="D8443" t="s">
        <v>4961</v>
      </c>
      <c r="F8443" s="21"/>
      <c r="G8443" s="16" t="str">
        <f>HYPERLINK("http://maps.google.com/maps?f=q&amp;hl=en&amp;geocode=&amp;q=39.61253,-74.80811")</f>
        <v>http://maps.google.com/maps?f=q&amp;hl=en&amp;geocode=&amp;q=39.61253,-74.80811</v>
      </c>
    </row>
    <row r="8444" spans="1:7" ht="15" x14ac:dyDescent="0.3">
      <c r="A8444">
        <v>38.783990000000003</v>
      </c>
      <c r="B8444">
        <v>-77.096450000000004</v>
      </c>
      <c r="C8444" t="s">
        <v>42</v>
      </c>
      <c r="D8444" t="s">
        <v>4962</v>
      </c>
      <c r="F8444" s="21"/>
      <c r="G8444" s="16" t="str">
        <f>HYPERLINK("http://maps.google.com/maps?f=q&amp;hl=en&amp;geocode=&amp;q=38.78399,-77.09645")</f>
        <v>http://maps.google.com/maps?f=q&amp;hl=en&amp;geocode=&amp;q=38.78399,-77.09645</v>
      </c>
    </row>
    <row r="8445" spans="1:7" ht="15" x14ac:dyDescent="0.3">
      <c r="A8445">
        <v>34.995820000000002</v>
      </c>
      <c r="B8445">
        <v>-81.136610000000005</v>
      </c>
      <c r="C8445" t="s">
        <v>42</v>
      </c>
      <c r="D8445" t="s">
        <v>3198</v>
      </c>
      <c r="F8445" s="21"/>
      <c r="G8445" s="16" t="str">
        <f>HYPERLINK("http://maps.google.com/maps?f=q&amp;hl=en&amp;geocode=&amp;q=34.99582,-81.13661")</f>
        <v>http://maps.google.com/maps?f=q&amp;hl=en&amp;geocode=&amp;q=34.99582,-81.13661</v>
      </c>
    </row>
    <row r="8446" spans="1:7" ht="15" x14ac:dyDescent="0.3">
      <c r="A8446">
        <v>34.570199570606803</v>
      </c>
      <c r="B8446">
        <v>-93.5066741394254</v>
      </c>
      <c r="C8446" t="s">
        <v>41</v>
      </c>
      <c r="D8446" t="s">
        <v>4963</v>
      </c>
      <c r="F8446" s="21"/>
      <c r="G8446" s="16" t="str">
        <f>HYPERLINK("http://maps.google.com/maps?f=q&amp;hl=en&amp;geocode=&amp;q=34.5701995706068,-93.5066741394254")</f>
        <v>http://maps.google.com/maps?f=q&amp;hl=en&amp;geocode=&amp;q=34.5701995706068,-93.5066741394254</v>
      </c>
    </row>
    <row r="8447" spans="1:7" ht="15" x14ac:dyDescent="0.3">
      <c r="A8447">
        <v>31.008949999999999</v>
      </c>
      <c r="B8447">
        <v>-86.337400000000002</v>
      </c>
      <c r="C8447" t="s">
        <v>42</v>
      </c>
      <c r="D8447" t="s">
        <v>4964</v>
      </c>
      <c r="F8447" s="21"/>
      <c r="G8447" s="16" t="str">
        <f>HYPERLINK("http://maps.google.com/maps?f=q&amp;hl=en&amp;geocode=&amp;q=31.00895,-86.3374")</f>
        <v>http://maps.google.com/maps?f=q&amp;hl=en&amp;geocode=&amp;q=31.00895,-86.3374</v>
      </c>
    </row>
    <row r="8448" spans="1:7" ht="15" x14ac:dyDescent="0.3">
      <c r="A8448">
        <v>27.589342892899701</v>
      </c>
      <c r="B8448">
        <v>-82.051996660270504</v>
      </c>
      <c r="C8448" t="s">
        <v>42</v>
      </c>
      <c r="D8448" t="s">
        <v>3038</v>
      </c>
      <c r="F8448" s="21"/>
      <c r="G8448" s="16" t="str">
        <f>HYPERLINK("http://maps.google.com/maps?f=q&amp;hl=en&amp;geocode=&amp;q=27.5893428928997,-82.0519966602705")</f>
        <v>http://maps.google.com/maps?f=q&amp;hl=en&amp;geocode=&amp;q=27.5893428928997,-82.0519966602705</v>
      </c>
    </row>
    <row r="8449" spans="1:7" ht="15" x14ac:dyDescent="0.3">
      <c r="A8449">
        <v>35.192210054878103</v>
      </c>
      <c r="B8449">
        <v>-111.617847944587</v>
      </c>
      <c r="C8449" t="s">
        <v>41</v>
      </c>
      <c r="D8449" t="s">
        <v>4432</v>
      </c>
      <c r="F8449" s="21"/>
      <c r="G8449" s="16" t="str">
        <f>HYPERLINK("http://maps.google.com/maps?f=q&amp;hl=en&amp;geocode=&amp;q=35.1922100548781,-111.617847944587")</f>
        <v>http://maps.google.com/maps?f=q&amp;hl=en&amp;geocode=&amp;q=35.1922100548781,-111.617847944587</v>
      </c>
    </row>
    <row r="8450" spans="1:7" ht="15" x14ac:dyDescent="0.3">
      <c r="A8450">
        <v>35.192210054878103</v>
      </c>
      <c r="B8450">
        <v>-111.617847944587</v>
      </c>
      <c r="C8450" t="s">
        <v>41</v>
      </c>
      <c r="D8450" t="s">
        <v>4432</v>
      </c>
      <c r="F8450" s="21"/>
      <c r="G8450" s="16" t="str">
        <f>HYPERLINK("http://maps.google.com/maps?f=q&amp;hl=en&amp;geocode=&amp;q=35.1922100548781,-111.617847944587")</f>
        <v>http://maps.google.com/maps?f=q&amp;hl=en&amp;geocode=&amp;q=35.1922100548781,-111.617847944587</v>
      </c>
    </row>
    <row r="8451" spans="1:7" ht="15" x14ac:dyDescent="0.3">
      <c r="A8451">
        <v>40.039250000000003</v>
      </c>
      <c r="B8451">
        <v>-75.064580000000007</v>
      </c>
      <c r="C8451" t="s">
        <v>41</v>
      </c>
      <c r="D8451" t="s">
        <v>4965</v>
      </c>
      <c r="F8451" s="21"/>
      <c r="G8451" s="16" t="str">
        <f>HYPERLINK("http://maps.google.com/maps?f=q&amp;hl=en&amp;geocode=&amp;q=40.03925,-75.06458")</f>
        <v>http://maps.google.com/maps?f=q&amp;hl=en&amp;geocode=&amp;q=40.03925,-75.06458</v>
      </c>
    </row>
    <row r="8452" spans="1:7" ht="15" x14ac:dyDescent="0.3">
      <c r="A8452">
        <v>40.117944148219102</v>
      </c>
      <c r="B8452">
        <v>-74.045099775136606</v>
      </c>
      <c r="C8452" t="s">
        <v>41</v>
      </c>
      <c r="D8452" t="s">
        <v>4966</v>
      </c>
      <c r="F8452" s="21"/>
      <c r="G8452" s="16" t="str">
        <f>HYPERLINK("http://maps.google.com/maps?f=q&amp;hl=en&amp;geocode=&amp;q=40.1179441482191,-74.0450997751366")</f>
        <v>http://maps.google.com/maps?f=q&amp;hl=en&amp;geocode=&amp;q=40.1179441482191,-74.0450997751366</v>
      </c>
    </row>
    <row r="8453" spans="1:7" ht="15" x14ac:dyDescent="0.3">
      <c r="A8453">
        <v>38.691730999999997</v>
      </c>
      <c r="B8453">
        <v>-90.284177</v>
      </c>
      <c r="C8453" t="s">
        <v>41</v>
      </c>
      <c r="D8453" t="s">
        <v>4967</v>
      </c>
      <c r="F8453" s="21"/>
      <c r="G8453" s="16" t="str">
        <f>HYPERLINK("http://maps.google.com/maps?f=q&amp;hl=en&amp;geocode=&amp;q=38.691731,-90.284177")</f>
        <v>http://maps.google.com/maps?f=q&amp;hl=en&amp;geocode=&amp;q=38.691731,-90.284177</v>
      </c>
    </row>
    <row r="8454" spans="1:7" ht="15" x14ac:dyDescent="0.3">
      <c r="A8454">
        <v>35.655630000000002</v>
      </c>
      <c r="B8454">
        <v>-78.503450000000001</v>
      </c>
      <c r="C8454" t="s">
        <v>41</v>
      </c>
      <c r="D8454" t="s">
        <v>4968</v>
      </c>
      <c r="F8454" s="21"/>
      <c r="G8454" s="16" t="str">
        <f>HYPERLINK("http://maps.google.com/maps?f=q&amp;hl=en&amp;geocode=&amp;q=35.65563,-78.50345")</f>
        <v>http://maps.google.com/maps?f=q&amp;hl=en&amp;geocode=&amp;q=35.65563,-78.50345</v>
      </c>
    </row>
    <row r="8455" spans="1:7" ht="15" x14ac:dyDescent="0.3">
      <c r="A8455">
        <v>43.050577264096503</v>
      </c>
      <c r="B8455">
        <v>-83.719408959556304</v>
      </c>
      <c r="C8455" t="s">
        <v>41</v>
      </c>
      <c r="D8455" t="s">
        <v>327</v>
      </c>
      <c r="F8455" s="21"/>
      <c r="G8455" s="16" t="str">
        <f>HYPERLINK("http://maps.google.com/maps?f=q&amp;hl=en&amp;geocode=&amp;q=43.0505772640965,-83.7194089595563")</f>
        <v>http://maps.google.com/maps?f=q&amp;hl=en&amp;geocode=&amp;q=43.0505772640965,-83.7194089595563</v>
      </c>
    </row>
    <row r="8456" spans="1:7" ht="15" x14ac:dyDescent="0.3">
      <c r="A8456">
        <v>36.248629999999999</v>
      </c>
      <c r="B8456">
        <v>-119.31603</v>
      </c>
      <c r="C8456" t="s">
        <v>41</v>
      </c>
      <c r="D8456" t="s">
        <v>469</v>
      </c>
      <c r="F8456" s="21"/>
      <c r="G8456" s="16" t="str">
        <f>HYPERLINK("http://maps.google.com/maps?f=q&amp;hl=en&amp;geocode=&amp;q=36.24863,-119.31603")</f>
        <v>http://maps.google.com/maps?f=q&amp;hl=en&amp;geocode=&amp;q=36.24863,-119.31603</v>
      </c>
    </row>
    <row r="8457" spans="1:7" ht="15" x14ac:dyDescent="0.3">
      <c r="A8457">
        <v>38.367965698242202</v>
      </c>
      <c r="B8457">
        <v>-92.477882385253906</v>
      </c>
      <c r="C8457" t="s">
        <v>41</v>
      </c>
      <c r="D8457" t="s">
        <v>4969</v>
      </c>
      <c r="F8457" s="21"/>
      <c r="G8457" s="16" t="str">
        <f>HYPERLINK("http://maps.google.com/maps?f=q&amp;hl=en&amp;geocode=&amp;q=38.3679656982422,-92.4778823852539")</f>
        <v>http://maps.google.com/maps?f=q&amp;hl=en&amp;geocode=&amp;q=38.3679656982422,-92.4778823852539</v>
      </c>
    </row>
    <row r="8458" spans="1:7" ht="15" x14ac:dyDescent="0.3">
      <c r="A8458">
        <v>55.709686279296903</v>
      </c>
      <c r="B8458">
        <v>11.7013349533081</v>
      </c>
      <c r="C8458" t="s">
        <v>41</v>
      </c>
      <c r="D8458" t="s">
        <v>322</v>
      </c>
      <c r="F8458" s="21"/>
      <c r="G8458" s="16" t="str">
        <f>HYPERLINK("http://maps.google.com/maps?f=q&amp;hl=en&amp;geocode=&amp;q=55.7096862792969,11.7013349533081")</f>
        <v>http://maps.google.com/maps?f=q&amp;hl=en&amp;geocode=&amp;q=55.7096862792969,11.7013349533081</v>
      </c>
    </row>
    <row r="8459" spans="1:7" ht="15" x14ac:dyDescent="0.3">
      <c r="A8459">
        <v>55.402949999999997</v>
      </c>
      <c r="B8459">
        <v>10.4236</v>
      </c>
      <c r="C8459" t="s">
        <v>41</v>
      </c>
      <c r="D8459" t="s">
        <v>3688</v>
      </c>
      <c r="F8459" s="21"/>
      <c r="G8459" s="16" t="str">
        <f>HYPERLINK("http://maps.google.com/maps?f=q&amp;hl=en&amp;geocode=&amp;q=55.40295,10.4236")</f>
        <v>http://maps.google.com/maps?f=q&amp;hl=en&amp;geocode=&amp;q=55.40295,10.4236</v>
      </c>
    </row>
    <row r="8460" spans="1:7" ht="15" x14ac:dyDescent="0.3">
      <c r="A8460">
        <v>39.117323738197499</v>
      </c>
      <c r="B8460">
        <v>-122.814233174672</v>
      </c>
      <c r="C8460" t="s">
        <v>41</v>
      </c>
      <c r="D8460" t="s">
        <v>4970</v>
      </c>
      <c r="F8460" s="21"/>
      <c r="G8460" s="16" t="str">
        <f>HYPERLINK("http://maps.google.com/maps?f=q&amp;hl=en&amp;geocode=&amp;q=39.1173237381975,-122.814233174672")</f>
        <v>http://maps.google.com/maps?f=q&amp;hl=en&amp;geocode=&amp;q=39.1173237381975,-122.814233174672</v>
      </c>
    </row>
    <row r="8461" spans="1:7" ht="15" x14ac:dyDescent="0.3">
      <c r="A8461">
        <v>39.117323738197499</v>
      </c>
      <c r="B8461">
        <v>-122.814233174672</v>
      </c>
      <c r="C8461" t="s">
        <v>41</v>
      </c>
      <c r="D8461" t="s">
        <v>4970</v>
      </c>
      <c r="F8461" s="21"/>
      <c r="G8461" s="16" t="str">
        <f>HYPERLINK("http://maps.google.com/maps?f=q&amp;hl=en&amp;geocode=&amp;q=39.1173237381975,-122.814233174672")</f>
        <v>http://maps.google.com/maps?f=q&amp;hl=en&amp;geocode=&amp;q=39.1173237381975,-122.814233174672</v>
      </c>
    </row>
    <row r="8462" spans="1:7" ht="15" x14ac:dyDescent="0.3">
      <c r="A8462">
        <v>40.041989999999998</v>
      </c>
      <c r="B8462">
        <v>-75.167249999999996</v>
      </c>
      <c r="C8462" t="s">
        <v>41</v>
      </c>
      <c r="D8462" t="s">
        <v>4971</v>
      </c>
      <c r="F8462" s="21"/>
      <c r="G8462" s="16" t="str">
        <f>HYPERLINK("http://maps.google.com/maps?f=q&amp;hl=en&amp;geocode=&amp;q=40.04199,-75.16725")</f>
        <v>http://maps.google.com/maps?f=q&amp;hl=en&amp;geocode=&amp;q=40.04199,-75.16725</v>
      </c>
    </row>
    <row r="8463" spans="1:7" ht="15" x14ac:dyDescent="0.3">
      <c r="A8463">
        <v>55.316757202148402</v>
      </c>
      <c r="B8463">
        <v>10.7729501724243</v>
      </c>
      <c r="C8463" t="s">
        <v>43</v>
      </c>
      <c r="D8463" t="s">
        <v>4972</v>
      </c>
      <c r="F8463" s="21"/>
      <c r="G8463" s="16" t="str">
        <f>HYPERLINK("http://maps.google.com/maps?f=q&amp;hl=en&amp;geocode=&amp;q=55.3167572021484,10.7729501724243")</f>
        <v>http://maps.google.com/maps?f=q&amp;hl=en&amp;geocode=&amp;q=55.3167572021484,10.7729501724243</v>
      </c>
    </row>
    <row r="8464" spans="1:7" ht="15" x14ac:dyDescent="0.3">
      <c r="A8464">
        <v>39.834661409111</v>
      </c>
      <c r="B8464">
        <v>-83.045486662193397</v>
      </c>
      <c r="C8464" t="s">
        <v>41</v>
      </c>
      <c r="D8464" t="s">
        <v>4973</v>
      </c>
      <c r="F8464" s="21"/>
      <c r="G8464" s="16" t="str">
        <f>HYPERLINK("http://maps.google.com/maps?f=q&amp;hl=en&amp;geocode=&amp;q=39.834661409111,-83.0454866621934")</f>
        <v>http://maps.google.com/maps?f=q&amp;hl=en&amp;geocode=&amp;q=39.834661409111,-83.0454866621934</v>
      </c>
    </row>
    <row r="8465" spans="1:7" ht="15" x14ac:dyDescent="0.3">
      <c r="A8465">
        <v>33.687506495244101</v>
      </c>
      <c r="B8465">
        <v>-102.56117362833299</v>
      </c>
      <c r="C8465" t="s">
        <v>41</v>
      </c>
      <c r="D8465" t="s">
        <v>3359</v>
      </c>
      <c r="F8465" s="21"/>
      <c r="G8465" s="16" t="str">
        <f>HYPERLINK("http://maps.google.com/maps?f=q&amp;hl=en&amp;geocode=&amp;q=33.6875064952441,-102.561173628333")</f>
        <v>http://maps.google.com/maps?f=q&amp;hl=en&amp;geocode=&amp;q=33.6875064952441,-102.561173628333</v>
      </c>
    </row>
    <row r="8466" spans="1:7" ht="15" x14ac:dyDescent="0.3">
      <c r="A8466">
        <v>47.202430725097699</v>
      </c>
      <c r="B8466">
        <v>19.835624694824201</v>
      </c>
      <c r="C8466" t="s">
        <v>43</v>
      </c>
      <c r="D8466" t="s">
        <v>4974</v>
      </c>
      <c r="F8466" s="21"/>
      <c r="G8466" s="16" t="str">
        <f>HYPERLINK("http://maps.google.com/maps?f=q&amp;hl=en&amp;geocode=&amp;q=47.2024307250977,19.8356246948242")</f>
        <v>http://maps.google.com/maps?f=q&amp;hl=en&amp;geocode=&amp;q=47.2024307250977,19.8356246948242</v>
      </c>
    </row>
    <row r="8467" spans="1:7" ht="15" x14ac:dyDescent="0.3">
      <c r="A8467">
        <v>47.423530578613303</v>
      </c>
      <c r="B8467">
        <v>8.3030548095703107</v>
      </c>
      <c r="C8467" t="s">
        <v>43</v>
      </c>
      <c r="D8467" t="s">
        <v>4975</v>
      </c>
      <c r="F8467" s="21"/>
      <c r="G8467" s="16" t="str">
        <f>HYPERLINK("http://maps.google.com/maps?f=q&amp;hl=en&amp;geocode=&amp;q=47.4235305786133,8.30305480957031")</f>
        <v>http://maps.google.com/maps?f=q&amp;hl=en&amp;geocode=&amp;q=47.4235305786133,8.30305480957031</v>
      </c>
    </row>
    <row r="8468" spans="1:7" ht="15" x14ac:dyDescent="0.3">
      <c r="A8468">
        <v>40.164729999999999</v>
      </c>
      <c r="B8468">
        <v>-95.949370000000002</v>
      </c>
      <c r="C8468" t="s">
        <v>42</v>
      </c>
      <c r="D8468" t="s">
        <v>4976</v>
      </c>
      <c r="F8468" s="21"/>
      <c r="G8468" s="16" t="str">
        <f>HYPERLINK("http://maps.google.com/maps?f=q&amp;hl=en&amp;geocode=&amp;q=40.16473,-95.94937")</f>
        <v>http://maps.google.com/maps?f=q&amp;hl=en&amp;geocode=&amp;q=40.16473,-95.94937</v>
      </c>
    </row>
    <row r="8469" spans="1:7" ht="15" x14ac:dyDescent="0.3">
      <c r="A8469">
        <v>41.605719999999998</v>
      </c>
      <c r="B8469">
        <v>-83.673850000000002</v>
      </c>
      <c r="C8469" t="s">
        <v>41</v>
      </c>
      <c r="D8469" t="s">
        <v>4977</v>
      </c>
      <c r="F8469" s="21"/>
      <c r="G8469" s="16" t="str">
        <f>HYPERLINK("http://maps.google.com/maps?f=q&amp;hl=en&amp;geocode=&amp;q=41.60572,-83.67385")</f>
        <v>http://maps.google.com/maps?f=q&amp;hl=en&amp;geocode=&amp;q=41.60572,-83.67385</v>
      </c>
    </row>
    <row r="8470" spans="1:7" ht="15" x14ac:dyDescent="0.3">
      <c r="A8470">
        <v>33.110443983454097</v>
      </c>
      <c r="B8470">
        <v>-96.639503004148906</v>
      </c>
      <c r="C8470" t="s">
        <v>41</v>
      </c>
      <c r="D8470" t="s">
        <v>1480</v>
      </c>
      <c r="F8470" s="21"/>
      <c r="G8470" s="16" t="str">
        <f>HYPERLINK("http://maps.google.com/maps?f=q&amp;hl=en&amp;geocode=&amp;q=33.1104439834541,-96.6395030041489")</f>
        <v>http://maps.google.com/maps?f=q&amp;hl=en&amp;geocode=&amp;q=33.1104439834541,-96.6395030041489</v>
      </c>
    </row>
    <row r="8471" spans="1:7" ht="15" x14ac:dyDescent="0.3">
      <c r="A8471">
        <v>39.995420000000003</v>
      </c>
      <c r="B8471">
        <v>-75.167749999999998</v>
      </c>
      <c r="C8471" t="s">
        <v>41</v>
      </c>
      <c r="D8471" t="s">
        <v>2442</v>
      </c>
      <c r="F8471" s="21"/>
      <c r="G8471" s="16" t="str">
        <f>HYPERLINK("http://maps.google.com/maps?f=q&amp;hl=en&amp;geocode=&amp;q=39.99542,-75.16775")</f>
        <v>http://maps.google.com/maps?f=q&amp;hl=en&amp;geocode=&amp;q=39.99542,-75.16775</v>
      </c>
    </row>
    <row r="8472" spans="1:7" ht="15" x14ac:dyDescent="0.3">
      <c r="A8472">
        <v>39.997729999999997</v>
      </c>
      <c r="B8472">
        <v>-75.11985</v>
      </c>
      <c r="C8472" t="s">
        <v>41</v>
      </c>
      <c r="D8472" t="s">
        <v>1328</v>
      </c>
      <c r="F8472" s="21"/>
      <c r="G8472" s="16" t="str">
        <f>HYPERLINK("http://maps.google.com/maps?f=q&amp;hl=en&amp;geocode=&amp;q=39.99773,-75.11985")</f>
        <v>http://maps.google.com/maps?f=q&amp;hl=en&amp;geocode=&amp;q=39.99773,-75.11985</v>
      </c>
    </row>
    <row r="8473" spans="1:7" ht="15" x14ac:dyDescent="0.3">
      <c r="A8473" t="s">
        <v>44</v>
      </c>
      <c r="B8473" t="s">
        <v>44</v>
      </c>
      <c r="C8473" t="s">
        <v>44</v>
      </c>
      <c r="D8473" t="s">
        <v>4978</v>
      </c>
      <c r="F8473" s="21"/>
      <c r="G8473" s="16"/>
    </row>
    <row r="8474" spans="1:7" ht="15" x14ac:dyDescent="0.3">
      <c r="A8474">
        <v>39.99915</v>
      </c>
      <c r="B8474">
        <v>-75.119550000000004</v>
      </c>
      <c r="C8474" t="s">
        <v>41</v>
      </c>
      <c r="D8474" t="s">
        <v>2582</v>
      </c>
      <c r="F8474" s="21"/>
      <c r="G8474" s="16" t="str">
        <f>HYPERLINK("http://maps.google.com/maps?f=q&amp;hl=en&amp;geocode=&amp;q=39.99915,-75.11955")</f>
        <v>http://maps.google.com/maps?f=q&amp;hl=en&amp;geocode=&amp;q=39.99915,-75.11955</v>
      </c>
    </row>
    <row r="8475" spans="1:7" ht="15" x14ac:dyDescent="0.3">
      <c r="A8475">
        <v>-38.054340000000003</v>
      </c>
      <c r="B8475">
        <v>145.33036989999999</v>
      </c>
      <c r="C8475" t="s">
        <v>41</v>
      </c>
      <c r="D8475" t="s">
        <v>3210</v>
      </c>
      <c r="F8475" s="21"/>
      <c r="G8475" s="16" t="str">
        <f>HYPERLINK("http://maps.google.com/maps?f=q&amp;hl=en&amp;geocode=&amp;q=-38.05434,145.3303699")</f>
        <v>http://maps.google.com/maps?f=q&amp;hl=en&amp;geocode=&amp;q=-38.05434,145.3303699</v>
      </c>
    </row>
    <row r="8476" spans="1:7" ht="15" x14ac:dyDescent="0.3">
      <c r="A8476">
        <v>40.446689605712898</v>
      </c>
      <c r="B8476">
        <v>-76.231819152832003</v>
      </c>
      <c r="C8476" t="s">
        <v>41</v>
      </c>
      <c r="D8476" t="s">
        <v>4979</v>
      </c>
      <c r="F8476" s="21"/>
      <c r="G8476" s="16" t="str">
        <f>HYPERLINK("http://maps.google.com/maps?f=q&amp;hl=en&amp;geocode=&amp;q=40.4466896057129,-76.231819152832")</f>
        <v>http://maps.google.com/maps?f=q&amp;hl=en&amp;geocode=&amp;q=40.4466896057129,-76.231819152832</v>
      </c>
    </row>
    <row r="8477" spans="1:7" ht="15" x14ac:dyDescent="0.3">
      <c r="A8477">
        <v>51.898040771484403</v>
      </c>
      <c r="B8477">
        <v>-2.0784399509429901</v>
      </c>
      <c r="C8477" t="s">
        <v>43</v>
      </c>
      <c r="D8477" t="s">
        <v>4980</v>
      </c>
      <c r="F8477" s="21"/>
      <c r="G8477" s="16" t="str">
        <f>HYPERLINK("http://maps.google.com/maps?f=q&amp;hl=en&amp;geocode=&amp;q=51.8980407714844,-2.07843995094299")</f>
        <v>http://maps.google.com/maps?f=q&amp;hl=en&amp;geocode=&amp;q=51.8980407714844,-2.07843995094299</v>
      </c>
    </row>
    <row r="8478" spans="1:7" ht="15" x14ac:dyDescent="0.3">
      <c r="A8478">
        <v>38.998542785644503</v>
      </c>
      <c r="B8478">
        <v>-105.547813415527</v>
      </c>
      <c r="C8478" t="s">
        <v>41</v>
      </c>
      <c r="D8478" t="s">
        <v>4981</v>
      </c>
      <c r="F8478" s="21"/>
      <c r="G8478" s="16" t="str">
        <f>HYPERLINK("http://maps.google.com/maps?f=q&amp;hl=en&amp;geocode=&amp;q=38.9985427856445,-105.547813415527")</f>
        <v>http://maps.google.com/maps?f=q&amp;hl=en&amp;geocode=&amp;q=38.9985427856445,-105.547813415527</v>
      </c>
    </row>
    <row r="8479" spans="1:7" ht="15" x14ac:dyDescent="0.3">
      <c r="A8479">
        <v>40.121519999999997</v>
      </c>
      <c r="B8479">
        <v>-75.035120000000006</v>
      </c>
      <c r="C8479" t="s">
        <v>41</v>
      </c>
      <c r="D8479" t="s">
        <v>1876</v>
      </c>
      <c r="F8479" s="21"/>
      <c r="G8479" s="16" t="str">
        <f>HYPERLINK("http://maps.google.com/maps?f=q&amp;hl=en&amp;geocode=&amp;q=40.12152,-75.03512")</f>
        <v>http://maps.google.com/maps?f=q&amp;hl=en&amp;geocode=&amp;q=40.12152,-75.03512</v>
      </c>
    </row>
    <row r="8480" spans="1:7" ht="15" x14ac:dyDescent="0.3">
      <c r="A8480">
        <v>40.121519999999997</v>
      </c>
      <c r="B8480">
        <v>-75.035120000000006</v>
      </c>
      <c r="C8480" t="s">
        <v>41</v>
      </c>
      <c r="D8480" t="s">
        <v>1876</v>
      </c>
      <c r="F8480" s="21"/>
      <c r="G8480" s="16" t="str">
        <f>HYPERLINK("http://maps.google.com/maps?f=q&amp;hl=en&amp;geocode=&amp;q=40.12152,-75.03512")</f>
        <v>http://maps.google.com/maps?f=q&amp;hl=en&amp;geocode=&amp;q=40.12152,-75.03512</v>
      </c>
    </row>
    <row r="8481" spans="1:7" ht="15" x14ac:dyDescent="0.3">
      <c r="A8481">
        <v>40.121519999999997</v>
      </c>
      <c r="B8481">
        <v>-75.035120000000006</v>
      </c>
      <c r="C8481" t="s">
        <v>41</v>
      </c>
      <c r="D8481" t="s">
        <v>1876</v>
      </c>
      <c r="F8481" s="21"/>
      <c r="G8481" s="16" t="str">
        <f>HYPERLINK("http://maps.google.com/maps?f=q&amp;hl=en&amp;geocode=&amp;q=40.12152,-75.03512")</f>
        <v>http://maps.google.com/maps?f=q&amp;hl=en&amp;geocode=&amp;q=40.12152,-75.03512</v>
      </c>
    </row>
    <row r="8482" spans="1:7" ht="15" x14ac:dyDescent="0.3">
      <c r="A8482">
        <v>39.916652363339701</v>
      </c>
      <c r="B8482">
        <v>-75.159726769393203</v>
      </c>
      <c r="C8482" t="s">
        <v>43</v>
      </c>
      <c r="D8482" t="s">
        <v>4982</v>
      </c>
      <c r="F8482" s="21"/>
      <c r="G8482" s="16" t="str">
        <f>HYPERLINK("http://maps.google.com/maps?f=q&amp;hl=en&amp;geocode=&amp;q=39.9166523633397,-75.1597267693932")</f>
        <v>http://maps.google.com/maps?f=q&amp;hl=en&amp;geocode=&amp;q=39.9166523633397,-75.1597267693932</v>
      </c>
    </row>
    <row r="8483" spans="1:7" ht="15" x14ac:dyDescent="0.3">
      <c r="A8483">
        <v>40.121519999999997</v>
      </c>
      <c r="B8483">
        <v>-75.035120000000006</v>
      </c>
      <c r="C8483" t="s">
        <v>41</v>
      </c>
      <c r="D8483" t="s">
        <v>1876</v>
      </c>
      <c r="F8483" s="21"/>
      <c r="G8483" s="16" t="str">
        <f>HYPERLINK("http://maps.google.com/maps?f=q&amp;hl=en&amp;geocode=&amp;q=40.12152,-75.03512")</f>
        <v>http://maps.google.com/maps?f=q&amp;hl=en&amp;geocode=&amp;q=40.12152,-75.03512</v>
      </c>
    </row>
    <row r="8484" spans="1:7" ht="15" x14ac:dyDescent="0.3">
      <c r="A8484">
        <v>34.528968811035199</v>
      </c>
      <c r="B8484">
        <v>-112.24179077148401</v>
      </c>
      <c r="C8484" t="s">
        <v>43</v>
      </c>
      <c r="D8484" t="s">
        <v>4983</v>
      </c>
      <c r="F8484" s="21"/>
      <c r="G8484" s="16" t="str">
        <f>HYPERLINK("http://maps.google.com/maps?f=q&amp;hl=en&amp;geocode=&amp;q=34.5289688110352,-112.241790771484")</f>
        <v>http://maps.google.com/maps?f=q&amp;hl=en&amp;geocode=&amp;q=34.5289688110352,-112.241790771484</v>
      </c>
    </row>
    <row r="8485" spans="1:7" ht="15" x14ac:dyDescent="0.3">
      <c r="A8485">
        <v>35.260944978971096</v>
      </c>
      <c r="B8485">
        <v>-114.012870210853</v>
      </c>
      <c r="C8485" t="s">
        <v>41</v>
      </c>
      <c r="D8485" t="s">
        <v>1213</v>
      </c>
      <c r="F8485" s="21"/>
      <c r="G8485" s="16" t="str">
        <f>HYPERLINK("http://maps.google.com/maps?f=q&amp;hl=en&amp;geocode=&amp;q=35.2609449789711,-114.012870210853")</f>
        <v>http://maps.google.com/maps?f=q&amp;hl=en&amp;geocode=&amp;q=35.2609449789711,-114.012870210853</v>
      </c>
    </row>
    <row r="8486" spans="1:7" ht="15" x14ac:dyDescent="0.3">
      <c r="A8486">
        <v>39.932949999999998</v>
      </c>
      <c r="B8486">
        <v>-75.187600000000003</v>
      </c>
      <c r="C8486" t="s">
        <v>42</v>
      </c>
      <c r="D8486" t="s">
        <v>4984</v>
      </c>
      <c r="F8486" s="21"/>
      <c r="G8486" s="16" t="str">
        <f>HYPERLINK("http://maps.google.com/maps?f=q&amp;hl=en&amp;geocode=&amp;q=39.93295,-75.1876")</f>
        <v>http://maps.google.com/maps?f=q&amp;hl=en&amp;geocode=&amp;q=39.93295,-75.1876</v>
      </c>
    </row>
    <row r="8487" spans="1:7" ht="15" x14ac:dyDescent="0.3">
      <c r="A8487">
        <v>38.707741855237799</v>
      </c>
      <c r="B8487">
        <v>-90.271877813569702</v>
      </c>
      <c r="C8487" t="s">
        <v>41</v>
      </c>
      <c r="D8487" t="s">
        <v>785</v>
      </c>
      <c r="F8487" s="21"/>
      <c r="G8487" s="16" t="str">
        <f>HYPERLINK("http://maps.google.com/maps?f=q&amp;hl=en&amp;geocode=&amp;q=38.7077418552378,-90.2718778135697")</f>
        <v>http://maps.google.com/maps?f=q&amp;hl=en&amp;geocode=&amp;q=38.7077418552378,-90.2718778135697</v>
      </c>
    </row>
    <row r="8488" spans="1:7" ht="15" x14ac:dyDescent="0.3">
      <c r="A8488">
        <v>38.707741855237799</v>
      </c>
      <c r="B8488">
        <v>-90.271877813569702</v>
      </c>
      <c r="C8488" t="s">
        <v>41</v>
      </c>
      <c r="D8488" t="s">
        <v>785</v>
      </c>
      <c r="F8488" s="21"/>
      <c r="G8488" s="16" t="str">
        <f>HYPERLINK("http://maps.google.com/maps?f=q&amp;hl=en&amp;geocode=&amp;q=38.7077418552378,-90.2718778135697")</f>
        <v>http://maps.google.com/maps?f=q&amp;hl=en&amp;geocode=&amp;q=38.7077418552378,-90.2718778135697</v>
      </c>
    </row>
    <row r="8489" spans="1:7" ht="15" x14ac:dyDescent="0.3">
      <c r="A8489">
        <v>39.950800000000001</v>
      </c>
      <c r="B8489">
        <v>-75.224919999999997</v>
      </c>
      <c r="C8489" t="s">
        <v>41</v>
      </c>
      <c r="D8489" t="s">
        <v>213</v>
      </c>
      <c r="F8489" s="21"/>
      <c r="G8489" s="16" t="str">
        <f>HYPERLINK("http://maps.google.com/maps?f=q&amp;hl=en&amp;geocode=&amp;q=39.9508,-75.22492")</f>
        <v>http://maps.google.com/maps?f=q&amp;hl=en&amp;geocode=&amp;q=39.9508,-75.22492</v>
      </c>
    </row>
    <row r="8490" spans="1:7" ht="15" x14ac:dyDescent="0.3">
      <c r="A8490">
        <v>39.950969999999998</v>
      </c>
      <c r="B8490">
        <v>-75.222560000000001</v>
      </c>
      <c r="C8490" t="s">
        <v>41</v>
      </c>
      <c r="D8490" t="s">
        <v>665</v>
      </c>
      <c r="F8490" s="21"/>
      <c r="G8490" s="16" t="str">
        <f>HYPERLINK("http://maps.google.com/maps?f=q&amp;hl=en&amp;geocode=&amp;q=39.95097,-75.22256")</f>
        <v>http://maps.google.com/maps?f=q&amp;hl=en&amp;geocode=&amp;q=39.95097,-75.22256</v>
      </c>
    </row>
    <row r="8491" spans="1:7" ht="15" x14ac:dyDescent="0.3">
      <c r="A8491">
        <v>40.090143336672199</v>
      </c>
      <c r="B8491">
        <v>-88.162334169822998</v>
      </c>
      <c r="C8491" t="s">
        <v>41</v>
      </c>
      <c r="D8491" t="s">
        <v>4553</v>
      </c>
      <c r="F8491" s="21"/>
      <c r="G8491" s="16" t="str">
        <f>HYPERLINK("http://maps.google.com/maps?f=q&amp;hl=en&amp;geocode=&amp;q=40.0901433366722,-88.162334169823")</f>
        <v>http://maps.google.com/maps?f=q&amp;hl=en&amp;geocode=&amp;q=40.0901433366722,-88.162334169823</v>
      </c>
    </row>
    <row r="8492" spans="1:7" ht="15" x14ac:dyDescent="0.3">
      <c r="A8492">
        <v>40.135045034198903</v>
      </c>
      <c r="B8492">
        <v>-85.708614635141899</v>
      </c>
      <c r="C8492" t="s">
        <v>41</v>
      </c>
      <c r="D8492" t="s">
        <v>4554</v>
      </c>
      <c r="F8492" s="21"/>
      <c r="G8492" s="16" t="str">
        <f>HYPERLINK("http://maps.google.com/maps?f=q&amp;hl=en&amp;geocode=&amp;q=40.1350450341989,-85.7086146351419")</f>
        <v>http://maps.google.com/maps?f=q&amp;hl=en&amp;geocode=&amp;q=40.1350450341989,-85.7086146351419</v>
      </c>
    </row>
    <row r="8493" spans="1:7" ht="15" x14ac:dyDescent="0.3">
      <c r="A8493" t="s">
        <v>44</v>
      </c>
      <c r="B8493" t="s">
        <v>44</v>
      </c>
      <c r="C8493" t="s">
        <v>44</v>
      </c>
      <c r="D8493" t="s">
        <v>4985</v>
      </c>
      <c r="F8493" s="21"/>
      <c r="G8493" s="16"/>
    </row>
    <row r="8494" spans="1:7" ht="15" x14ac:dyDescent="0.3">
      <c r="A8494">
        <v>43.210891723632798</v>
      </c>
      <c r="B8494">
        <v>-123.343231201172</v>
      </c>
      <c r="C8494" t="s">
        <v>43</v>
      </c>
      <c r="D8494" t="s">
        <v>4422</v>
      </c>
      <c r="F8494" s="21"/>
      <c r="G8494" s="16" t="str">
        <f>HYPERLINK("http://maps.google.com/maps?f=q&amp;hl=en&amp;geocode=&amp;q=43.2108917236328,-123.343231201172")</f>
        <v>http://maps.google.com/maps?f=q&amp;hl=en&amp;geocode=&amp;q=43.2108917236328,-123.343231201172</v>
      </c>
    </row>
    <row r="8495" spans="1:7" ht="15" x14ac:dyDescent="0.3">
      <c r="A8495">
        <v>43.210891723632798</v>
      </c>
      <c r="B8495">
        <v>-123.343231201172</v>
      </c>
      <c r="C8495" t="s">
        <v>43</v>
      </c>
      <c r="D8495" t="s">
        <v>4422</v>
      </c>
      <c r="F8495" s="21"/>
      <c r="G8495" s="16" t="str">
        <f>HYPERLINK("http://maps.google.com/maps?f=q&amp;hl=en&amp;geocode=&amp;q=43.2108917236328,-123.343231201172")</f>
        <v>http://maps.google.com/maps?f=q&amp;hl=en&amp;geocode=&amp;q=43.2108917236328,-123.343231201172</v>
      </c>
    </row>
    <row r="8496" spans="1:7" ht="15" x14ac:dyDescent="0.3">
      <c r="A8496">
        <v>42.365837658942802</v>
      </c>
      <c r="B8496">
        <v>-83.016726125799096</v>
      </c>
      <c r="C8496" t="s">
        <v>41</v>
      </c>
      <c r="D8496" t="s">
        <v>4986</v>
      </c>
      <c r="F8496" s="21"/>
      <c r="G8496" s="16" t="str">
        <f>HYPERLINK("http://maps.google.com/maps?f=q&amp;hl=en&amp;geocode=&amp;q=42.3658376589428,-83.0167261257991")</f>
        <v>http://maps.google.com/maps?f=q&amp;hl=en&amp;geocode=&amp;q=42.3658376589428,-83.0167261257991</v>
      </c>
    </row>
    <row r="8497" spans="1:7" ht="15" x14ac:dyDescent="0.3">
      <c r="A8497">
        <v>42.219778825420804</v>
      </c>
      <c r="B8497">
        <v>-84.078541291524502</v>
      </c>
      <c r="C8497" t="s">
        <v>41</v>
      </c>
      <c r="D8497" t="s">
        <v>4987</v>
      </c>
      <c r="F8497" s="21"/>
      <c r="G8497" s="16" t="str">
        <f>HYPERLINK("http://maps.google.com/maps?f=q&amp;hl=en&amp;geocode=&amp;q=42.2197788254208,-84.0785412915245")</f>
        <v>http://maps.google.com/maps?f=q&amp;hl=en&amp;geocode=&amp;q=42.2197788254208,-84.0785412915245</v>
      </c>
    </row>
    <row r="8498" spans="1:7" ht="15" x14ac:dyDescent="0.3">
      <c r="A8498" t="s">
        <v>44</v>
      </c>
      <c r="B8498" t="s">
        <v>44</v>
      </c>
      <c r="C8498" t="s">
        <v>44</v>
      </c>
      <c r="D8498" t="s">
        <v>4988</v>
      </c>
      <c r="F8498" s="21"/>
      <c r="G8498" s="16"/>
    </row>
    <row r="8499" spans="1:7" ht="15" x14ac:dyDescent="0.3">
      <c r="A8499">
        <v>41.022918701171903</v>
      </c>
      <c r="B8499">
        <v>-78.438087463378906</v>
      </c>
      <c r="C8499" t="s">
        <v>41</v>
      </c>
      <c r="D8499" t="s">
        <v>426</v>
      </c>
      <c r="F8499" s="21"/>
      <c r="G8499" s="16" t="str">
        <f>HYPERLINK("http://maps.google.com/maps?f=q&amp;hl=en&amp;geocode=&amp;q=41.0229187011719,-78.4380874633789")</f>
        <v>http://maps.google.com/maps?f=q&amp;hl=en&amp;geocode=&amp;q=41.0229187011719,-78.4380874633789</v>
      </c>
    </row>
    <row r="8500" spans="1:7" ht="15" x14ac:dyDescent="0.3">
      <c r="A8500">
        <v>38.298940899130201</v>
      </c>
      <c r="B8500">
        <v>-122.288456409414</v>
      </c>
      <c r="C8500" t="s">
        <v>41</v>
      </c>
      <c r="D8500" t="s">
        <v>4989</v>
      </c>
      <c r="F8500" s="21"/>
      <c r="G8500" s="16" t="str">
        <f>HYPERLINK("http://maps.google.com/maps?f=q&amp;hl=en&amp;geocode=&amp;q=38.2989408991302,-122.288456409414")</f>
        <v>http://maps.google.com/maps?f=q&amp;hl=en&amp;geocode=&amp;q=38.2989408991302,-122.288456409414</v>
      </c>
    </row>
    <row r="8501" spans="1:7" ht="15" x14ac:dyDescent="0.3">
      <c r="A8501">
        <v>29.649577316354701</v>
      </c>
      <c r="B8501">
        <v>-90.754878068885006</v>
      </c>
      <c r="C8501" t="s">
        <v>41</v>
      </c>
      <c r="D8501" t="s">
        <v>4990</v>
      </c>
      <c r="F8501" s="21"/>
      <c r="G8501" s="16" t="str">
        <f>HYPERLINK("http://maps.google.com/maps?f=q&amp;hl=en&amp;geocode=&amp;q=29.6495773163547,-90.754878068885")</f>
        <v>http://maps.google.com/maps?f=q&amp;hl=en&amp;geocode=&amp;q=29.6495773163547,-90.754878068885</v>
      </c>
    </row>
    <row r="8502" spans="1:7" ht="15" x14ac:dyDescent="0.3">
      <c r="A8502" t="s">
        <v>44</v>
      </c>
      <c r="B8502" t="s">
        <v>44</v>
      </c>
      <c r="C8502" t="s">
        <v>44</v>
      </c>
      <c r="D8502" t="s">
        <v>4436</v>
      </c>
      <c r="F8502" s="21"/>
      <c r="G8502" s="16"/>
    </row>
    <row r="8503" spans="1:7" ht="15" x14ac:dyDescent="0.3">
      <c r="A8503">
        <v>48.137419999999999</v>
      </c>
      <c r="B8503">
        <v>-122.78393</v>
      </c>
      <c r="C8503" t="s">
        <v>42</v>
      </c>
      <c r="D8503" t="s">
        <v>4991</v>
      </c>
      <c r="F8503" s="21"/>
      <c r="G8503" s="16" t="str">
        <f>HYPERLINK("http://maps.google.com/maps?f=q&amp;hl=en&amp;geocode=&amp;q=48.13742,-122.78393")</f>
        <v>http://maps.google.com/maps?f=q&amp;hl=en&amp;geocode=&amp;q=48.13742,-122.78393</v>
      </c>
    </row>
    <row r="8504" spans="1:7" ht="15" x14ac:dyDescent="0.3">
      <c r="A8504">
        <v>33.110443983454097</v>
      </c>
      <c r="B8504">
        <v>-96.639503004148906</v>
      </c>
      <c r="C8504" t="s">
        <v>41</v>
      </c>
      <c r="D8504" t="s">
        <v>1480</v>
      </c>
      <c r="F8504" s="21"/>
      <c r="G8504" s="16" t="str">
        <f>HYPERLINK("http://maps.google.com/maps?f=q&amp;hl=en&amp;geocode=&amp;q=33.1104439834541,-96.6395030041489")</f>
        <v>http://maps.google.com/maps?f=q&amp;hl=en&amp;geocode=&amp;q=33.1104439834541,-96.6395030041489</v>
      </c>
    </row>
    <row r="8505" spans="1:7" ht="15" x14ac:dyDescent="0.3">
      <c r="A8505">
        <v>33.110443983454097</v>
      </c>
      <c r="B8505">
        <v>-96.639503004148906</v>
      </c>
      <c r="C8505" t="s">
        <v>41</v>
      </c>
      <c r="D8505" t="s">
        <v>1480</v>
      </c>
      <c r="F8505" s="21"/>
      <c r="G8505" s="16" t="str">
        <f>HYPERLINK("http://maps.google.com/maps?f=q&amp;hl=en&amp;geocode=&amp;q=33.1104439834541,-96.6395030041489")</f>
        <v>http://maps.google.com/maps?f=q&amp;hl=en&amp;geocode=&amp;q=33.1104439834541,-96.6395030041489</v>
      </c>
    </row>
    <row r="8506" spans="1:7" ht="15" x14ac:dyDescent="0.3">
      <c r="A8506">
        <v>34.901809692382798</v>
      </c>
      <c r="B8506">
        <v>-110.16008758544901</v>
      </c>
      <c r="C8506" t="s">
        <v>41</v>
      </c>
      <c r="D8506" t="s">
        <v>1308</v>
      </c>
      <c r="F8506" s="21"/>
      <c r="G8506" s="16" t="str">
        <f>HYPERLINK("http://maps.google.com/maps?f=q&amp;hl=en&amp;geocode=&amp;q=34.9018096923828,-110.160087585449")</f>
        <v>http://maps.google.com/maps?f=q&amp;hl=en&amp;geocode=&amp;q=34.9018096923828,-110.160087585449</v>
      </c>
    </row>
    <row r="8507" spans="1:7" ht="15" x14ac:dyDescent="0.3">
      <c r="A8507">
        <v>39.943453919693603</v>
      </c>
      <c r="B8507">
        <v>-75.230131626987401</v>
      </c>
      <c r="C8507" t="s">
        <v>41</v>
      </c>
      <c r="D8507" t="s">
        <v>58</v>
      </c>
      <c r="F8507" s="21"/>
      <c r="G8507" s="16" t="str">
        <f>HYPERLINK("http://maps.google.com/maps?f=q&amp;hl=en&amp;geocode=&amp;q=39.9434539196936,-75.2301316269874")</f>
        <v>http://maps.google.com/maps?f=q&amp;hl=en&amp;geocode=&amp;q=39.9434539196936,-75.2301316269874</v>
      </c>
    </row>
    <row r="8508" spans="1:7" ht="15" x14ac:dyDescent="0.3">
      <c r="A8508">
        <v>39.993279999999999</v>
      </c>
      <c r="B8508">
        <v>-75.098560000000006</v>
      </c>
      <c r="C8508" t="s">
        <v>41</v>
      </c>
      <c r="D8508" t="s">
        <v>1697</v>
      </c>
      <c r="F8508" s="21"/>
      <c r="G8508" s="16" t="str">
        <f>HYPERLINK("http://maps.google.com/maps?f=q&amp;hl=en&amp;geocode=&amp;q=39.99328,-75.09856")</f>
        <v>http://maps.google.com/maps?f=q&amp;hl=en&amp;geocode=&amp;q=39.99328,-75.09856</v>
      </c>
    </row>
    <row r="8509" spans="1:7" ht="15" x14ac:dyDescent="0.3">
      <c r="A8509">
        <v>39.9861</v>
      </c>
      <c r="B8509">
        <v>-75.111379999999997</v>
      </c>
      <c r="C8509" t="s">
        <v>41</v>
      </c>
      <c r="D8509" t="s">
        <v>1933</v>
      </c>
      <c r="F8509" s="21"/>
      <c r="G8509" s="16" t="str">
        <f>HYPERLINK("http://maps.google.com/maps?f=q&amp;hl=en&amp;geocode=&amp;q=39.9861,-75.11138")</f>
        <v>http://maps.google.com/maps?f=q&amp;hl=en&amp;geocode=&amp;q=39.9861,-75.11138</v>
      </c>
    </row>
    <row r="8510" spans="1:7" ht="15" x14ac:dyDescent="0.3">
      <c r="A8510">
        <v>32.4994295013407</v>
      </c>
      <c r="B8510">
        <v>-88.283453020318106</v>
      </c>
      <c r="C8510" t="s">
        <v>41</v>
      </c>
      <c r="D8510" t="s">
        <v>4992</v>
      </c>
      <c r="F8510" s="21"/>
      <c r="G8510" s="16" t="str">
        <f>HYPERLINK("http://maps.google.com/maps?f=q&amp;hl=en&amp;geocode=&amp;q=32.4994295013407,-88.2834530203181")</f>
        <v>http://maps.google.com/maps?f=q&amp;hl=en&amp;geocode=&amp;q=32.4994295013407,-88.2834530203181</v>
      </c>
    </row>
    <row r="8511" spans="1:7" ht="15" x14ac:dyDescent="0.3">
      <c r="A8511">
        <v>45.782908524613298</v>
      </c>
      <c r="B8511">
        <v>-89.103689747069694</v>
      </c>
      <c r="C8511" t="s">
        <v>41</v>
      </c>
      <c r="D8511" t="s">
        <v>736</v>
      </c>
      <c r="F8511" s="21"/>
      <c r="G8511" s="16" t="str">
        <f>HYPERLINK("http://maps.google.com/maps?f=q&amp;hl=en&amp;geocode=&amp;q=45.7829085246133,-89.1036897470697")</f>
        <v>http://maps.google.com/maps?f=q&amp;hl=en&amp;geocode=&amp;q=45.7829085246133,-89.1036897470697</v>
      </c>
    </row>
    <row r="8512" spans="1:7" ht="15" x14ac:dyDescent="0.3">
      <c r="A8512">
        <v>14.537208557128899</v>
      </c>
      <c r="B8512">
        <v>120.986824035645</v>
      </c>
      <c r="C8512" t="s">
        <v>43</v>
      </c>
      <c r="D8512" t="s">
        <v>4993</v>
      </c>
      <c r="F8512" s="21"/>
      <c r="G8512" s="16" t="str">
        <f>HYPERLINK("http://maps.google.com/maps?f=q&amp;hl=en&amp;geocode=&amp;q=14.5372085571289,120.986824035645")</f>
        <v>http://maps.google.com/maps?f=q&amp;hl=en&amp;geocode=&amp;q=14.5372085571289,120.986824035645</v>
      </c>
    </row>
    <row r="8513" spans="1:7" ht="15" x14ac:dyDescent="0.3">
      <c r="A8513">
        <v>23.7733478546143</v>
      </c>
      <c r="B8513">
        <v>87.994697570800795</v>
      </c>
      <c r="C8513" t="s">
        <v>41</v>
      </c>
      <c r="D8513" t="s">
        <v>4994</v>
      </c>
      <c r="F8513" s="21"/>
      <c r="G8513" s="16" t="str">
        <f>HYPERLINK("http://maps.google.com/maps?f=q&amp;hl=en&amp;geocode=&amp;q=23.7733478546143,87.9946975708008")</f>
        <v>http://maps.google.com/maps?f=q&amp;hl=en&amp;geocode=&amp;q=23.7733478546143,87.9946975708008</v>
      </c>
    </row>
    <row r="8514" spans="1:7" ht="15" x14ac:dyDescent="0.3">
      <c r="A8514">
        <v>39.815641372346299</v>
      </c>
      <c r="B8514">
        <v>-91.232851458770099</v>
      </c>
      <c r="C8514" t="s">
        <v>41</v>
      </c>
      <c r="D8514" t="s">
        <v>4995</v>
      </c>
      <c r="F8514" s="21"/>
      <c r="G8514" s="16" t="str">
        <f>HYPERLINK("http://maps.google.com/maps?f=q&amp;hl=en&amp;geocode=&amp;q=39.8156413723463,-91.2328514587701")</f>
        <v>http://maps.google.com/maps?f=q&amp;hl=en&amp;geocode=&amp;q=39.8156413723463,-91.2328514587701</v>
      </c>
    </row>
    <row r="8515" spans="1:7" ht="15" x14ac:dyDescent="0.3">
      <c r="A8515" t="s">
        <v>44</v>
      </c>
      <c r="B8515" t="s">
        <v>44</v>
      </c>
      <c r="C8515" t="s">
        <v>44</v>
      </c>
      <c r="D8515" t="s">
        <v>4996</v>
      </c>
      <c r="F8515" s="21"/>
      <c r="G8515" s="16"/>
    </row>
    <row r="8516" spans="1:7" ht="15" x14ac:dyDescent="0.3">
      <c r="A8516">
        <v>40.055959999999999</v>
      </c>
      <c r="B8516">
        <v>-75.155540000000002</v>
      </c>
      <c r="C8516" t="s">
        <v>41</v>
      </c>
      <c r="D8516" t="s">
        <v>4997</v>
      </c>
      <c r="F8516" s="21"/>
      <c r="G8516" s="16" t="str">
        <f>HYPERLINK("http://maps.google.com/maps?f=q&amp;hl=en&amp;geocode=&amp;q=40.05596,-75.15554")</f>
        <v>http://maps.google.com/maps?f=q&amp;hl=en&amp;geocode=&amp;q=40.05596,-75.15554</v>
      </c>
    </row>
    <row r="8517" spans="1:7" ht="15" x14ac:dyDescent="0.3">
      <c r="A8517">
        <v>34.009819999999998</v>
      </c>
      <c r="B8517">
        <v>-84.162930000000003</v>
      </c>
      <c r="C8517" t="s">
        <v>41</v>
      </c>
      <c r="D8517" t="s">
        <v>4998</v>
      </c>
      <c r="F8517" s="21"/>
      <c r="G8517" s="16" t="str">
        <f>HYPERLINK("http://maps.google.com/maps?f=q&amp;hl=en&amp;geocode=&amp;q=34.00982,-84.16293")</f>
        <v>http://maps.google.com/maps?f=q&amp;hl=en&amp;geocode=&amp;q=34.00982,-84.16293</v>
      </c>
    </row>
    <row r="8518" spans="1:7" ht="15" x14ac:dyDescent="0.3">
      <c r="A8518">
        <v>34.009819999999998</v>
      </c>
      <c r="B8518">
        <v>-84.162930000000003</v>
      </c>
      <c r="C8518" t="s">
        <v>41</v>
      </c>
      <c r="D8518" t="s">
        <v>4998</v>
      </c>
      <c r="F8518" s="21"/>
      <c r="G8518" s="16" t="str">
        <f>HYPERLINK("http://maps.google.com/maps?f=q&amp;hl=en&amp;geocode=&amp;q=34.00982,-84.16293")</f>
        <v>http://maps.google.com/maps?f=q&amp;hl=en&amp;geocode=&amp;q=34.00982,-84.16293</v>
      </c>
    </row>
    <row r="8519" spans="1:7" ht="15" x14ac:dyDescent="0.3">
      <c r="A8519">
        <v>-35.009979999999999</v>
      </c>
      <c r="B8519">
        <v>138.62051</v>
      </c>
      <c r="C8519" t="s">
        <v>41</v>
      </c>
      <c r="D8519" t="s">
        <v>4999</v>
      </c>
      <c r="F8519" s="21"/>
      <c r="G8519" s="16" t="str">
        <f>HYPERLINK("http://maps.google.com/maps?f=q&amp;hl=en&amp;geocode=&amp;q=-35.00998,138.62051")</f>
        <v>http://maps.google.com/maps?f=q&amp;hl=en&amp;geocode=&amp;q=-35.00998,138.62051</v>
      </c>
    </row>
    <row r="8520" spans="1:7" ht="15" x14ac:dyDescent="0.3">
      <c r="A8520">
        <v>39.968696363011396</v>
      </c>
      <c r="B8520">
        <v>-75.210109029102099</v>
      </c>
      <c r="C8520" t="s">
        <v>41</v>
      </c>
      <c r="D8520" t="s">
        <v>5000</v>
      </c>
      <c r="F8520" s="21"/>
      <c r="G8520" s="16" t="str">
        <f>HYPERLINK("http://maps.google.com/maps?f=q&amp;hl=en&amp;geocode=&amp;q=39.9686963630114,-75.2101090291021")</f>
        <v>http://maps.google.com/maps?f=q&amp;hl=en&amp;geocode=&amp;q=39.9686963630114,-75.2101090291021</v>
      </c>
    </row>
    <row r="8521" spans="1:7" ht="15" x14ac:dyDescent="0.3">
      <c r="A8521">
        <v>47.179057397963099</v>
      </c>
      <c r="B8521">
        <v>-122.44410751170599</v>
      </c>
      <c r="C8521" t="s">
        <v>41</v>
      </c>
      <c r="D8521" t="s">
        <v>5001</v>
      </c>
      <c r="F8521" s="21"/>
      <c r="G8521" s="16" t="str">
        <f>HYPERLINK("http://maps.google.com/maps?f=q&amp;hl=en&amp;geocode=&amp;q=47.1790573979631,-122.444107511706")</f>
        <v>http://maps.google.com/maps?f=q&amp;hl=en&amp;geocode=&amp;q=47.1790573979631,-122.444107511706</v>
      </c>
    </row>
    <row r="8522" spans="1:7" ht="15" x14ac:dyDescent="0.3">
      <c r="A8522">
        <v>43.1954812886556</v>
      </c>
      <c r="B8522">
        <v>-75.438987896808001</v>
      </c>
      <c r="C8522" t="s">
        <v>41</v>
      </c>
      <c r="D8522" t="s">
        <v>5002</v>
      </c>
      <c r="F8522" s="21"/>
      <c r="G8522" s="16" t="str">
        <f>HYPERLINK("http://maps.google.com/maps?f=q&amp;hl=en&amp;geocode=&amp;q=43.1954812886556,-75.438987896808")</f>
        <v>http://maps.google.com/maps?f=q&amp;hl=en&amp;geocode=&amp;q=43.1954812886556,-75.438987896808</v>
      </c>
    </row>
    <row r="8523" spans="1:7" ht="15" x14ac:dyDescent="0.3">
      <c r="A8523">
        <v>-45.5118598937988</v>
      </c>
      <c r="B8523">
        <v>169.00109863281301</v>
      </c>
      <c r="C8523" t="s">
        <v>41</v>
      </c>
      <c r="D8523" t="s">
        <v>5003</v>
      </c>
      <c r="F8523" s="21"/>
      <c r="G8523" s="16" t="str">
        <f>HYPERLINK("http://maps.google.com/maps?f=q&amp;hl=en&amp;geocode=&amp;q=-45.5118598937988,169.001098632813")</f>
        <v>http://maps.google.com/maps?f=q&amp;hl=en&amp;geocode=&amp;q=-45.5118598937988,169.001098632813</v>
      </c>
    </row>
    <row r="8524" spans="1:7" ht="15" x14ac:dyDescent="0.3">
      <c r="A8524">
        <v>39.834661409111</v>
      </c>
      <c r="B8524">
        <v>-83.045486662193397</v>
      </c>
      <c r="C8524" t="s">
        <v>41</v>
      </c>
      <c r="D8524" t="s">
        <v>4973</v>
      </c>
      <c r="F8524" s="21"/>
      <c r="G8524" s="16" t="str">
        <f>HYPERLINK("http://maps.google.com/maps?f=q&amp;hl=en&amp;geocode=&amp;q=39.834661409111,-83.0454866621934")</f>
        <v>http://maps.google.com/maps?f=q&amp;hl=en&amp;geocode=&amp;q=39.834661409111,-83.0454866621934</v>
      </c>
    </row>
    <row r="8525" spans="1:7" ht="15" x14ac:dyDescent="0.3">
      <c r="A8525">
        <v>39.039180000000002</v>
      </c>
      <c r="B8525">
        <v>-76.645259999999993</v>
      </c>
      <c r="C8525" t="s">
        <v>42</v>
      </c>
      <c r="D8525" t="s">
        <v>5004</v>
      </c>
      <c r="F8525" s="21"/>
      <c r="G8525" s="16" t="str">
        <f>HYPERLINK("http://maps.google.com/maps?f=q&amp;hl=en&amp;geocode=&amp;q=39.03918,-76.64526")</f>
        <v>http://maps.google.com/maps?f=q&amp;hl=en&amp;geocode=&amp;q=39.03918,-76.64526</v>
      </c>
    </row>
    <row r="8526" spans="1:7" ht="15" x14ac:dyDescent="0.3">
      <c r="A8526">
        <v>39.972679999999997</v>
      </c>
      <c r="B8526">
        <v>-75.156570000000002</v>
      </c>
      <c r="C8526" t="s">
        <v>41</v>
      </c>
      <c r="D8526" t="s">
        <v>5005</v>
      </c>
      <c r="F8526" s="21"/>
      <c r="G8526" s="16" t="str">
        <f>HYPERLINK("http://maps.google.com/maps?f=q&amp;hl=en&amp;geocode=&amp;q=39.97268,-75.15657")</f>
        <v>http://maps.google.com/maps?f=q&amp;hl=en&amp;geocode=&amp;q=39.97268,-75.15657</v>
      </c>
    </row>
    <row r="8527" spans="1:7" ht="15" x14ac:dyDescent="0.3">
      <c r="A8527">
        <v>40.041989999999998</v>
      </c>
      <c r="B8527">
        <v>-75.167249999999996</v>
      </c>
      <c r="C8527" t="s">
        <v>41</v>
      </c>
      <c r="D8527" t="s">
        <v>4971</v>
      </c>
      <c r="F8527" s="21"/>
      <c r="G8527" s="16" t="str">
        <f>HYPERLINK("http://maps.google.com/maps?f=q&amp;hl=en&amp;geocode=&amp;q=40.04199,-75.16725")</f>
        <v>http://maps.google.com/maps?f=q&amp;hl=en&amp;geocode=&amp;q=40.04199,-75.16725</v>
      </c>
    </row>
    <row r="8528" spans="1:7" ht="15" x14ac:dyDescent="0.3">
      <c r="A8528">
        <v>40.040390000000002</v>
      </c>
      <c r="B8528">
        <v>-75.109629999999996</v>
      </c>
      <c r="C8528" t="s">
        <v>43</v>
      </c>
      <c r="D8528" t="s">
        <v>777</v>
      </c>
      <c r="F8528" s="21"/>
      <c r="G8528" s="16" t="str">
        <f>HYPERLINK("http://maps.google.com/maps?f=q&amp;hl=en&amp;geocode=&amp;q=40.04039,-75.10963")</f>
        <v>http://maps.google.com/maps?f=q&amp;hl=en&amp;geocode=&amp;q=40.04039,-75.10963</v>
      </c>
    </row>
    <row r="8529" spans="1:7" ht="15" x14ac:dyDescent="0.3">
      <c r="A8529">
        <v>38.725276947021499</v>
      </c>
      <c r="B8529">
        <v>-77.047775268554702</v>
      </c>
      <c r="C8529" t="s">
        <v>41</v>
      </c>
      <c r="D8529" t="s">
        <v>2298</v>
      </c>
      <c r="F8529" s="21"/>
      <c r="G8529" s="16" t="str">
        <f>HYPERLINK("http://maps.google.com/maps?f=q&amp;hl=en&amp;geocode=&amp;q=38.7252769470215,-77.0477752685547")</f>
        <v>http://maps.google.com/maps?f=q&amp;hl=en&amp;geocode=&amp;q=38.7252769470215,-77.0477752685547</v>
      </c>
    </row>
    <row r="8530" spans="1:7" ht="15" x14ac:dyDescent="0.3">
      <c r="A8530">
        <v>52.6822319030762</v>
      </c>
      <c r="B8530">
        <v>0.13165999948978399</v>
      </c>
      <c r="C8530" t="s">
        <v>41</v>
      </c>
      <c r="D8530" t="s">
        <v>1331</v>
      </c>
      <c r="F8530" s="21"/>
      <c r="G8530" s="16" t="str">
        <f>HYPERLINK("http://maps.google.com/maps?f=q&amp;hl=en&amp;geocode=&amp;q=52.6822319030762,0.131659999489784")</f>
        <v>http://maps.google.com/maps?f=q&amp;hl=en&amp;geocode=&amp;q=52.6822319030762,0.131659999489784</v>
      </c>
    </row>
    <row r="8531" spans="1:7" ht="15" x14ac:dyDescent="0.3">
      <c r="A8531" t="s">
        <v>44</v>
      </c>
      <c r="B8531" t="s">
        <v>44</v>
      </c>
      <c r="C8531" t="s">
        <v>44</v>
      </c>
      <c r="D8531" t="s">
        <v>1485</v>
      </c>
      <c r="F8531" s="21"/>
      <c r="G8531" s="16"/>
    </row>
    <row r="8532" spans="1:7" ht="15" x14ac:dyDescent="0.3">
      <c r="A8532">
        <v>7.2021198272705096</v>
      </c>
      <c r="B8532">
        <v>126.53334808349599</v>
      </c>
      <c r="C8532" t="s">
        <v>41</v>
      </c>
      <c r="D8532" t="s">
        <v>1453</v>
      </c>
      <c r="F8532" s="21"/>
      <c r="G8532" s="16" t="str">
        <f>HYPERLINK("http://maps.google.com/maps?f=q&amp;hl=en&amp;geocode=&amp;q=7.20211982727051,126.533348083496")</f>
        <v>http://maps.google.com/maps?f=q&amp;hl=en&amp;geocode=&amp;q=7.20211982727051,126.533348083496</v>
      </c>
    </row>
    <row r="8533" spans="1:7" ht="15" x14ac:dyDescent="0.3">
      <c r="A8533">
        <v>30.951314634443602</v>
      </c>
      <c r="B8533">
        <v>-83.365722528855798</v>
      </c>
      <c r="C8533" t="s">
        <v>41</v>
      </c>
      <c r="D8533" t="s">
        <v>3982</v>
      </c>
      <c r="F8533" s="21"/>
      <c r="G8533" s="16" t="str">
        <f>HYPERLINK("http://maps.google.com/maps?f=q&amp;hl=en&amp;geocode=&amp;q=30.9513146344436,-83.3657225288558")</f>
        <v>http://maps.google.com/maps?f=q&amp;hl=en&amp;geocode=&amp;q=30.9513146344436,-83.3657225288558</v>
      </c>
    </row>
    <row r="8534" spans="1:7" ht="15" x14ac:dyDescent="0.3">
      <c r="A8534">
        <v>40.016159999999999</v>
      </c>
      <c r="B8534">
        <v>-75.088620000000006</v>
      </c>
      <c r="C8534" t="s">
        <v>41</v>
      </c>
      <c r="D8534" t="s">
        <v>5006</v>
      </c>
      <c r="F8534" s="21"/>
      <c r="G8534" s="16" t="str">
        <f>HYPERLINK("http://maps.google.com/maps?f=q&amp;hl=en&amp;geocode=&amp;q=40.01616,-75.08862")</f>
        <v>http://maps.google.com/maps?f=q&amp;hl=en&amp;geocode=&amp;q=40.01616,-75.08862</v>
      </c>
    </row>
    <row r="8535" spans="1:7" ht="15" x14ac:dyDescent="0.3">
      <c r="A8535">
        <v>39.980200000000004</v>
      </c>
      <c r="B8535">
        <v>-75.156549999999996</v>
      </c>
      <c r="C8535" t="s">
        <v>43</v>
      </c>
      <c r="D8535" t="s">
        <v>4195</v>
      </c>
      <c r="F8535" s="21"/>
      <c r="G8535" s="16" t="str">
        <f>HYPERLINK("http://maps.google.com/maps?f=q&amp;hl=en&amp;geocode=&amp;q=39.9802,-75.15655")</f>
        <v>http://maps.google.com/maps?f=q&amp;hl=en&amp;geocode=&amp;q=39.9802,-75.15655</v>
      </c>
    </row>
    <row r="8536" spans="1:7" ht="15" x14ac:dyDescent="0.3">
      <c r="A8536">
        <v>39.980200000000004</v>
      </c>
      <c r="B8536">
        <v>-75.156549999999996</v>
      </c>
      <c r="C8536" t="s">
        <v>43</v>
      </c>
      <c r="D8536" t="s">
        <v>4195</v>
      </c>
      <c r="F8536" s="21"/>
      <c r="G8536" s="16" t="str">
        <f>HYPERLINK("http://maps.google.com/maps?f=q&amp;hl=en&amp;geocode=&amp;q=39.9802,-75.15655")</f>
        <v>http://maps.google.com/maps?f=q&amp;hl=en&amp;geocode=&amp;q=39.9802,-75.15655</v>
      </c>
    </row>
    <row r="8537" spans="1:7" ht="15" x14ac:dyDescent="0.3">
      <c r="A8537">
        <v>53.268131256103501</v>
      </c>
      <c r="B8537">
        <v>-1.6359000205993699</v>
      </c>
      <c r="C8537" t="s">
        <v>41</v>
      </c>
      <c r="D8537" t="s">
        <v>5007</v>
      </c>
      <c r="F8537" s="21"/>
      <c r="G8537" s="16" t="str">
        <f>HYPERLINK("http://maps.google.com/maps?f=q&amp;hl=en&amp;geocode=&amp;q=53.2681312561035,-1.63590002059937")</f>
        <v>http://maps.google.com/maps?f=q&amp;hl=en&amp;geocode=&amp;q=53.2681312561035,-1.63590002059937</v>
      </c>
    </row>
    <row r="8538" spans="1:7" ht="15" x14ac:dyDescent="0.3">
      <c r="A8538">
        <v>51.508678436279297</v>
      </c>
      <c r="B8538">
        <v>-0.14388999342918399</v>
      </c>
      <c r="C8538" t="s">
        <v>41</v>
      </c>
      <c r="D8538" t="s">
        <v>1348</v>
      </c>
      <c r="F8538" s="21"/>
      <c r="G8538" s="16" t="str">
        <f>HYPERLINK("http://maps.google.com/maps?f=q&amp;hl=en&amp;geocode=&amp;q=51.5086784362793,-0.143889993429184")</f>
        <v>http://maps.google.com/maps?f=q&amp;hl=en&amp;geocode=&amp;q=51.5086784362793,-0.143889993429184</v>
      </c>
    </row>
    <row r="8539" spans="1:7" ht="15" x14ac:dyDescent="0.3">
      <c r="A8539" t="s">
        <v>44</v>
      </c>
      <c r="B8539" t="s">
        <v>44</v>
      </c>
      <c r="C8539" t="s">
        <v>44</v>
      </c>
      <c r="D8539" t="s">
        <v>5008</v>
      </c>
      <c r="F8539" s="21"/>
      <c r="G8539" s="16"/>
    </row>
    <row r="8540" spans="1:7" ht="15" x14ac:dyDescent="0.3">
      <c r="A8540">
        <v>-34.466663360595703</v>
      </c>
      <c r="B8540">
        <v>138.39080810546901</v>
      </c>
      <c r="C8540" t="s">
        <v>41</v>
      </c>
      <c r="D8540" t="s">
        <v>5009</v>
      </c>
      <c r="F8540" s="21"/>
      <c r="G8540" s="16" t="str">
        <f>HYPERLINK("http://maps.google.com/maps?f=q&amp;hl=en&amp;geocode=&amp;q=-34.4666633605957,138.390808105469")</f>
        <v>http://maps.google.com/maps?f=q&amp;hl=en&amp;geocode=&amp;q=-34.4666633605957,138.390808105469</v>
      </c>
    </row>
    <row r="8541" spans="1:7" ht="15" x14ac:dyDescent="0.3">
      <c r="A8541">
        <v>-34.89349</v>
      </c>
      <c r="B8541">
        <v>138.56632999999999</v>
      </c>
      <c r="C8541" t="s">
        <v>41</v>
      </c>
      <c r="D8541" t="s">
        <v>5010</v>
      </c>
      <c r="F8541" s="21"/>
      <c r="G8541" s="16" t="str">
        <f>HYPERLINK("http://maps.google.com/maps?f=q&amp;hl=en&amp;geocode=&amp;q=-34.89349,138.56633")</f>
        <v>http://maps.google.com/maps?f=q&amp;hl=en&amp;geocode=&amp;q=-34.89349,138.56633</v>
      </c>
    </row>
    <row r="8542" spans="1:7" ht="15" x14ac:dyDescent="0.3">
      <c r="A8542">
        <v>39.91771</v>
      </c>
      <c r="B8542">
        <v>-75.157730000000001</v>
      </c>
      <c r="C8542" t="s">
        <v>42</v>
      </c>
      <c r="D8542" t="s">
        <v>5011</v>
      </c>
      <c r="F8542" s="21"/>
      <c r="G8542" s="16" t="str">
        <f>HYPERLINK("http://maps.google.com/maps?f=q&amp;hl=en&amp;geocode=&amp;q=39.91771,-75.15773")</f>
        <v>http://maps.google.com/maps?f=q&amp;hl=en&amp;geocode=&amp;q=39.91771,-75.15773</v>
      </c>
    </row>
    <row r="8543" spans="1:7" ht="15" x14ac:dyDescent="0.3">
      <c r="A8543" t="s">
        <v>44</v>
      </c>
      <c r="B8543" t="s">
        <v>44</v>
      </c>
      <c r="C8543" t="s">
        <v>44</v>
      </c>
      <c r="D8543" t="s">
        <v>5012</v>
      </c>
      <c r="F8543" s="21"/>
      <c r="G8543" s="16"/>
    </row>
    <row r="8544" spans="1:7" ht="15" x14ac:dyDescent="0.3">
      <c r="A8544">
        <v>47.502540000000003</v>
      </c>
      <c r="B8544">
        <v>-122.26148000000001</v>
      </c>
      <c r="C8544" t="s">
        <v>43</v>
      </c>
      <c r="D8544" t="s">
        <v>5013</v>
      </c>
      <c r="F8544" s="21"/>
      <c r="G8544" s="16" t="str">
        <f>HYPERLINK("http://maps.google.com/maps?f=q&amp;hl=en&amp;geocode=&amp;q=47.50254,-122.26148")</f>
        <v>http://maps.google.com/maps?f=q&amp;hl=en&amp;geocode=&amp;q=47.50254,-122.26148</v>
      </c>
    </row>
    <row r="8545" spans="1:7" ht="15" x14ac:dyDescent="0.3">
      <c r="A8545">
        <v>45.056591033935497</v>
      </c>
      <c r="B8545">
        <v>-77.853340148925795</v>
      </c>
      <c r="C8545" t="s">
        <v>43</v>
      </c>
      <c r="D8545" t="s">
        <v>5014</v>
      </c>
      <c r="F8545" s="21"/>
      <c r="G8545" s="16" t="str">
        <f>HYPERLINK("http://maps.google.com/maps?f=q&amp;hl=en&amp;geocode=&amp;q=45.0565910339355,-77.8533401489258")</f>
        <v>http://maps.google.com/maps?f=q&amp;hl=en&amp;geocode=&amp;q=45.0565910339355,-77.8533401489258</v>
      </c>
    </row>
    <row r="8546" spans="1:7" ht="15" x14ac:dyDescent="0.3">
      <c r="A8546" t="s">
        <v>44</v>
      </c>
      <c r="B8546" t="s">
        <v>44</v>
      </c>
      <c r="C8546" t="s">
        <v>44</v>
      </c>
      <c r="D8546" t="s">
        <v>5015</v>
      </c>
      <c r="F8546" s="21"/>
      <c r="G8546" s="16"/>
    </row>
    <row r="8547" spans="1:7" ht="15" x14ac:dyDescent="0.3">
      <c r="A8547" t="s">
        <v>44</v>
      </c>
      <c r="B8547" t="s">
        <v>44</v>
      </c>
      <c r="C8547" t="s">
        <v>44</v>
      </c>
      <c r="D8547" t="s">
        <v>5016</v>
      </c>
      <c r="F8547" s="21"/>
      <c r="G8547" s="16"/>
    </row>
    <row r="8548" spans="1:7" ht="15" x14ac:dyDescent="0.3">
      <c r="A8548">
        <v>37.540699005127003</v>
      </c>
      <c r="B8548">
        <v>-77.433647155761705</v>
      </c>
      <c r="C8548" t="s">
        <v>41</v>
      </c>
      <c r="D8548" t="s">
        <v>5017</v>
      </c>
      <c r="F8548" s="21"/>
      <c r="G8548" s="16" t="str">
        <f>HYPERLINK("http://maps.google.com/maps?f=q&amp;hl=en&amp;geocode=&amp;q=37.540699005127,-77.4336471557617")</f>
        <v>http://maps.google.com/maps?f=q&amp;hl=en&amp;geocode=&amp;q=37.540699005127,-77.4336471557617</v>
      </c>
    </row>
    <row r="8549" spans="1:7" ht="15" x14ac:dyDescent="0.3">
      <c r="A8549">
        <v>47.312237553189298</v>
      </c>
      <c r="B8549">
        <v>-92.974762081857307</v>
      </c>
      <c r="C8549" t="s">
        <v>41</v>
      </c>
      <c r="D8549" t="s">
        <v>5018</v>
      </c>
      <c r="F8549" s="21"/>
      <c r="G8549" s="16" t="str">
        <f>HYPERLINK("http://maps.google.com/maps?f=q&amp;hl=en&amp;geocode=&amp;q=47.3122375531893,-92.9747620818573")</f>
        <v>http://maps.google.com/maps?f=q&amp;hl=en&amp;geocode=&amp;q=47.3122375531893,-92.9747620818573</v>
      </c>
    </row>
    <row r="8550" spans="1:7" ht="15" x14ac:dyDescent="0.3">
      <c r="A8550">
        <v>40.028260000000003</v>
      </c>
      <c r="B8550">
        <v>-75.119079999999997</v>
      </c>
      <c r="C8550" t="s">
        <v>41</v>
      </c>
      <c r="D8550" t="s">
        <v>5019</v>
      </c>
      <c r="F8550" s="21"/>
      <c r="G8550" s="16" t="str">
        <f>HYPERLINK("http://maps.google.com/maps?f=q&amp;hl=en&amp;geocode=&amp;q=40.02826,-75.11908")</f>
        <v>http://maps.google.com/maps?f=q&amp;hl=en&amp;geocode=&amp;q=40.02826,-75.11908</v>
      </c>
    </row>
    <row r="8551" spans="1:7" ht="15" x14ac:dyDescent="0.3">
      <c r="A8551">
        <v>50.413559900000003</v>
      </c>
      <c r="B8551">
        <v>4.4393700000000003</v>
      </c>
      <c r="C8551" t="s">
        <v>41</v>
      </c>
      <c r="D8551" t="s">
        <v>544</v>
      </c>
      <c r="F8551" s="21"/>
      <c r="G8551" s="16" t="str">
        <f>HYPERLINK("http://maps.google.com/maps?f=q&amp;hl=en&amp;geocode=&amp;q=50.4135599,4.43937")</f>
        <v>http://maps.google.com/maps?f=q&amp;hl=en&amp;geocode=&amp;q=50.4135599,4.43937</v>
      </c>
    </row>
    <row r="8552" spans="1:7" ht="15" x14ac:dyDescent="0.3">
      <c r="A8552">
        <v>47.312237553189298</v>
      </c>
      <c r="B8552">
        <v>-92.974762081857307</v>
      </c>
      <c r="C8552" t="s">
        <v>41</v>
      </c>
      <c r="D8552" t="s">
        <v>5018</v>
      </c>
      <c r="F8552" s="21"/>
      <c r="G8552" s="16" t="str">
        <f>HYPERLINK("http://maps.google.com/maps?f=q&amp;hl=en&amp;geocode=&amp;q=47.3122375531893,-92.9747620818573")</f>
        <v>http://maps.google.com/maps?f=q&amp;hl=en&amp;geocode=&amp;q=47.3122375531893,-92.9747620818573</v>
      </c>
    </row>
    <row r="8553" spans="1:7" ht="15" x14ac:dyDescent="0.3">
      <c r="A8553" t="s">
        <v>44</v>
      </c>
      <c r="B8553" t="s">
        <v>44</v>
      </c>
      <c r="C8553" t="s">
        <v>44</v>
      </c>
      <c r="D8553" t="s">
        <v>5020</v>
      </c>
      <c r="F8553" s="21"/>
      <c r="G8553" s="16"/>
    </row>
    <row r="8554" spans="1:7" ht="15" x14ac:dyDescent="0.3">
      <c r="A8554">
        <v>40.040999999999997</v>
      </c>
      <c r="B8554">
        <v>-75.128389999999996</v>
      </c>
      <c r="C8554" t="s">
        <v>41</v>
      </c>
      <c r="D8554" t="s">
        <v>3178</v>
      </c>
      <c r="F8554" s="21"/>
      <c r="G8554" s="16" t="str">
        <f>HYPERLINK("http://maps.google.com/maps?f=q&amp;hl=en&amp;geocode=&amp;q=40.041,-75.12839")</f>
        <v>http://maps.google.com/maps?f=q&amp;hl=en&amp;geocode=&amp;q=40.041,-75.12839</v>
      </c>
    </row>
    <row r="8555" spans="1:7" ht="15" x14ac:dyDescent="0.3">
      <c r="A8555">
        <v>39.937825811329503</v>
      </c>
      <c r="B8555">
        <v>-75.175135575467394</v>
      </c>
      <c r="C8555" t="s">
        <v>41</v>
      </c>
      <c r="D8555" t="s">
        <v>4818</v>
      </c>
      <c r="F8555" s="21"/>
      <c r="G8555" s="16" t="str">
        <f>HYPERLINK("http://maps.google.com/maps?f=q&amp;hl=en&amp;geocode=&amp;q=39.9378258113295,-75.1751355754674")</f>
        <v>http://maps.google.com/maps?f=q&amp;hl=en&amp;geocode=&amp;q=39.9378258113295,-75.1751355754674</v>
      </c>
    </row>
    <row r="8556" spans="1:7" ht="15" x14ac:dyDescent="0.3">
      <c r="A8556">
        <v>33.630859000000001</v>
      </c>
      <c r="B8556">
        <v>-84.841344000000007</v>
      </c>
      <c r="C8556" t="s">
        <v>41</v>
      </c>
      <c r="D8556" t="s">
        <v>5021</v>
      </c>
      <c r="F8556" s="21"/>
      <c r="G8556" s="16" t="str">
        <f>HYPERLINK("http://maps.google.com/maps?f=q&amp;hl=en&amp;geocode=&amp;q=33.630859,-84.841344")</f>
        <v>http://maps.google.com/maps?f=q&amp;hl=en&amp;geocode=&amp;q=33.630859,-84.841344</v>
      </c>
    </row>
    <row r="8557" spans="1:7" ht="15" x14ac:dyDescent="0.3">
      <c r="A8557">
        <v>49.6305122375488</v>
      </c>
      <c r="B8557">
        <v>6.1193971633911097</v>
      </c>
      <c r="C8557" t="s">
        <v>41</v>
      </c>
      <c r="D8557" t="s">
        <v>5022</v>
      </c>
      <c r="F8557" s="21"/>
      <c r="G8557" s="16" t="str">
        <f>HYPERLINK("http://maps.google.com/maps?f=q&amp;hl=en&amp;geocode=&amp;q=49.6305122375488,6.11939716339111")</f>
        <v>http://maps.google.com/maps?f=q&amp;hl=en&amp;geocode=&amp;q=49.6305122375488,6.11939716339111</v>
      </c>
    </row>
    <row r="8558" spans="1:7" ht="15" x14ac:dyDescent="0.3">
      <c r="A8558">
        <v>37.144469999999998</v>
      </c>
      <c r="B8558">
        <v>-76.436480000000003</v>
      </c>
      <c r="C8558" t="s">
        <v>41</v>
      </c>
      <c r="D8558" t="s">
        <v>5023</v>
      </c>
      <c r="F8558" s="21"/>
      <c r="G8558" s="16" t="str">
        <f>HYPERLINK("http://maps.google.com/maps?f=q&amp;hl=en&amp;geocode=&amp;q=37.14447,-76.43648")</f>
        <v>http://maps.google.com/maps?f=q&amp;hl=en&amp;geocode=&amp;q=37.14447,-76.43648</v>
      </c>
    </row>
    <row r="8559" spans="1:7" ht="15" x14ac:dyDescent="0.3">
      <c r="A8559">
        <v>50.723228454589801</v>
      </c>
      <c r="B8559">
        <v>4.6152939796447798</v>
      </c>
      <c r="C8559" t="s">
        <v>43</v>
      </c>
      <c r="D8559" t="s">
        <v>5024</v>
      </c>
      <c r="F8559" s="21"/>
      <c r="G8559" s="16" t="str">
        <f>HYPERLINK("http://maps.google.com/maps?f=q&amp;hl=en&amp;geocode=&amp;q=50.7232284545898,4.61529397964478")</f>
        <v>http://maps.google.com/maps?f=q&amp;hl=en&amp;geocode=&amp;q=50.7232284545898,4.61529397964478</v>
      </c>
    </row>
    <row r="8560" spans="1:7" ht="15" x14ac:dyDescent="0.3">
      <c r="A8560" t="s">
        <v>44</v>
      </c>
      <c r="B8560" t="s">
        <v>44</v>
      </c>
      <c r="C8560" t="s">
        <v>44</v>
      </c>
      <c r="D8560" t="s">
        <v>5025</v>
      </c>
      <c r="F8560" s="21"/>
      <c r="G8560" s="16"/>
    </row>
    <row r="8561" spans="1:7" ht="15" x14ac:dyDescent="0.3">
      <c r="A8561">
        <v>30.4877605438232</v>
      </c>
      <c r="B8561">
        <v>-87.708351135253906</v>
      </c>
      <c r="C8561" t="s">
        <v>43</v>
      </c>
      <c r="D8561" t="s">
        <v>5026</v>
      </c>
      <c r="F8561" s="21"/>
      <c r="G8561" s="16" t="str">
        <f>HYPERLINK("http://maps.google.com/maps?f=q&amp;hl=en&amp;geocode=&amp;q=30.4877605438232,-87.7083511352539")</f>
        <v>http://maps.google.com/maps?f=q&amp;hl=en&amp;geocode=&amp;q=30.4877605438232,-87.7083511352539</v>
      </c>
    </row>
    <row r="8562" spans="1:7" ht="15" x14ac:dyDescent="0.3">
      <c r="A8562">
        <v>38.901220000000002</v>
      </c>
      <c r="B8562">
        <v>-76.916790000000006</v>
      </c>
      <c r="C8562" t="s">
        <v>42</v>
      </c>
      <c r="D8562" t="s">
        <v>1915</v>
      </c>
      <c r="F8562" s="21"/>
      <c r="G8562" s="16" t="str">
        <f>HYPERLINK("http://maps.google.com/maps?f=q&amp;hl=en&amp;geocode=&amp;q=38.90122,-76.91679")</f>
        <v>http://maps.google.com/maps?f=q&amp;hl=en&amp;geocode=&amp;q=38.90122,-76.91679</v>
      </c>
    </row>
    <row r="8563" spans="1:7" ht="15" x14ac:dyDescent="0.3">
      <c r="A8563">
        <v>30.4877605438232</v>
      </c>
      <c r="B8563">
        <v>-87.708351135253906</v>
      </c>
      <c r="C8563" t="s">
        <v>43</v>
      </c>
      <c r="D8563" t="s">
        <v>4364</v>
      </c>
      <c r="F8563" s="21"/>
      <c r="G8563" s="16" t="str">
        <f>HYPERLINK("http://maps.google.com/maps?f=q&amp;hl=en&amp;geocode=&amp;q=30.4877605438232,-87.7083511352539")</f>
        <v>http://maps.google.com/maps?f=q&amp;hl=en&amp;geocode=&amp;q=30.4877605438232,-87.7083511352539</v>
      </c>
    </row>
    <row r="8564" spans="1:7" ht="15" x14ac:dyDescent="0.3">
      <c r="A8564">
        <v>40.3077583312988</v>
      </c>
      <c r="B8564">
        <v>-76.926368713378906</v>
      </c>
      <c r="C8564" t="s">
        <v>41</v>
      </c>
      <c r="D8564" t="s">
        <v>5027</v>
      </c>
      <c r="F8564" s="21"/>
      <c r="G8564" s="16" t="str">
        <f>HYPERLINK("http://maps.google.com/maps?f=q&amp;hl=en&amp;geocode=&amp;q=40.3077583312988,-76.9263687133789")</f>
        <v>http://maps.google.com/maps?f=q&amp;hl=en&amp;geocode=&amp;q=40.3077583312988,-76.9263687133789</v>
      </c>
    </row>
    <row r="8565" spans="1:7" ht="15" x14ac:dyDescent="0.3">
      <c r="A8565">
        <v>40.3077583312988</v>
      </c>
      <c r="B8565">
        <v>-76.926368713378906</v>
      </c>
      <c r="C8565" t="s">
        <v>41</v>
      </c>
      <c r="D8565" t="s">
        <v>5027</v>
      </c>
      <c r="F8565" s="21"/>
      <c r="G8565" s="16" t="str">
        <f>HYPERLINK("http://maps.google.com/maps?f=q&amp;hl=en&amp;geocode=&amp;q=40.3077583312988,-76.9263687133789")</f>
        <v>http://maps.google.com/maps?f=q&amp;hl=en&amp;geocode=&amp;q=40.3077583312988,-76.9263687133789</v>
      </c>
    </row>
    <row r="8566" spans="1:7" ht="15" x14ac:dyDescent="0.3">
      <c r="A8566">
        <v>46.018889999999999</v>
      </c>
      <c r="B8566">
        <v>-91.468090000000004</v>
      </c>
      <c r="C8566" t="s">
        <v>42</v>
      </c>
      <c r="D8566" t="s">
        <v>5028</v>
      </c>
      <c r="F8566" s="21"/>
      <c r="G8566" s="16" t="str">
        <f>HYPERLINK("http://maps.google.com/maps?f=q&amp;hl=en&amp;geocode=&amp;q=46.01889,-91.46809")</f>
        <v>http://maps.google.com/maps?f=q&amp;hl=en&amp;geocode=&amp;q=46.01889,-91.46809</v>
      </c>
    </row>
    <row r="8567" spans="1:7" ht="15" x14ac:dyDescent="0.3">
      <c r="A8567" t="s">
        <v>44</v>
      </c>
      <c r="B8567" t="s">
        <v>44</v>
      </c>
      <c r="C8567" t="s">
        <v>44</v>
      </c>
      <c r="D8567" t="s">
        <v>5029</v>
      </c>
      <c r="F8567" s="21"/>
      <c r="G8567" s="16"/>
    </row>
    <row r="8568" spans="1:7" ht="15" x14ac:dyDescent="0.3">
      <c r="A8568">
        <v>40.035457658164802</v>
      </c>
      <c r="B8568">
        <v>-75.059683349845599</v>
      </c>
      <c r="C8568" t="s">
        <v>43</v>
      </c>
      <c r="D8568" t="s">
        <v>5030</v>
      </c>
      <c r="F8568" s="21"/>
      <c r="G8568" s="16" t="str">
        <f>HYPERLINK("http://maps.google.com/maps?f=q&amp;hl=en&amp;geocode=&amp;q=40.0354576581648,-75.0596833498456")</f>
        <v>http://maps.google.com/maps?f=q&amp;hl=en&amp;geocode=&amp;q=40.0354576581648,-75.0596833498456</v>
      </c>
    </row>
    <row r="8569" spans="1:7" ht="15" x14ac:dyDescent="0.3">
      <c r="A8569">
        <v>40.005612427709501</v>
      </c>
      <c r="B8569">
        <v>-83.060635553606005</v>
      </c>
      <c r="C8569" t="s">
        <v>41</v>
      </c>
      <c r="D8569" t="s">
        <v>5031</v>
      </c>
      <c r="F8569" s="21"/>
      <c r="G8569" s="16" t="str">
        <f>HYPERLINK("http://maps.google.com/maps?f=q&amp;hl=en&amp;geocode=&amp;q=40.0056124277095,-83.060635553606")</f>
        <v>http://maps.google.com/maps?f=q&amp;hl=en&amp;geocode=&amp;q=40.0056124277095,-83.060635553606</v>
      </c>
    </row>
    <row r="8570" spans="1:7" ht="15" x14ac:dyDescent="0.3">
      <c r="A8570">
        <v>40.005612427709501</v>
      </c>
      <c r="B8570">
        <v>-83.060635553606005</v>
      </c>
      <c r="C8570" t="s">
        <v>41</v>
      </c>
      <c r="D8570" t="s">
        <v>5031</v>
      </c>
      <c r="F8570" s="21"/>
      <c r="G8570" s="16" t="str">
        <f>HYPERLINK("http://maps.google.com/maps?f=q&amp;hl=en&amp;geocode=&amp;q=40.0056124277095,-83.060635553606")</f>
        <v>http://maps.google.com/maps?f=q&amp;hl=en&amp;geocode=&amp;q=40.0056124277095,-83.060635553606</v>
      </c>
    </row>
    <row r="8571" spans="1:7" ht="15" x14ac:dyDescent="0.3">
      <c r="A8571">
        <v>40.534617635500197</v>
      </c>
      <c r="B8571">
        <v>-122.391323609521</v>
      </c>
      <c r="C8571" t="s">
        <v>41</v>
      </c>
      <c r="D8571" t="s">
        <v>5032</v>
      </c>
      <c r="F8571" s="21"/>
      <c r="G8571" s="16" t="str">
        <f>HYPERLINK("http://maps.google.com/maps?f=q&amp;hl=en&amp;geocode=&amp;q=40.5346176355002,-122.391323609521")</f>
        <v>http://maps.google.com/maps?f=q&amp;hl=en&amp;geocode=&amp;q=40.5346176355002,-122.391323609521</v>
      </c>
    </row>
    <row r="8572" spans="1:7" ht="15" x14ac:dyDescent="0.3">
      <c r="A8572">
        <v>39.983420000000002</v>
      </c>
      <c r="B8572">
        <v>-75.158550000000005</v>
      </c>
      <c r="C8572" t="s">
        <v>43</v>
      </c>
      <c r="D8572" t="s">
        <v>5033</v>
      </c>
      <c r="F8572" s="21"/>
      <c r="G8572" s="16" t="str">
        <f>HYPERLINK("http://maps.google.com/maps?f=q&amp;hl=en&amp;geocode=&amp;q=39.98342,-75.15855")</f>
        <v>http://maps.google.com/maps?f=q&amp;hl=en&amp;geocode=&amp;q=39.98342,-75.15855</v>
      </c>
    </row>
    <row r="8573" spans="1:7" ht="15" x14ac:dyDescent="0.3">
      <c r="A8573">
        <v>39.6249809265137</v>
      </c>
      <c r="B8573">
        <v>-84.369743347167997</v>
      </c>
      <c r="C8573" t="s">
        <v>41</v>
      </c>
      <c r="D8573" t="s">
        <v>4637</v>
      </c>
      <c r="F8573" s="21"/>
      <c r="G8573" s="16" t="str">
        <f>HYPERLINK("http://maps.google.com/maps?f=q&amp;hl=en&amp;geocode=&amp;q=39.6249809265137,-84.369743347168")</f>
        <v>http://maps.google.com/maps?f=q&amp;hl=en&amp;geocode=&amp;q=39.6249809265137,-84.369743347168</v>
      </c>
    </row>
    <row r="8574" spans="1:7" ht="15" x14ac:dyDescent="0.3">
      <c r="A8574">
        <v>39.950510000000001</v>
      </c>
      <c r="B8574">
        <v>-75.222650000000002</v>
      </c>
      <c r="C8574" t="s">
        <v>41</v>
      </c>
      <c r="D8574" t="s">
        <v>1785</v>
      </c>
      <c r="F8574" s="21"/>
      <c r="G8574" s="16" t="str">
        <f>HYPERLINK("http://maps.google.com/maps?f=q&amp;hl=en&amp;geocode=&amp;q=39.95051,-75.22265")</f>
        <v>http://maps.google.com/maps?f=q&amp;hl=en&amp;geocode=&amp;q=39.95051,-75.22265</v>
      </c>
    </row>
    <row r="8575" spans="1:7" ht="15" x14ac:dyDescent="0.3">
      <c r="A8575">
        <v>50.723228454589801</v>
      </c>
      <c r="B8575">
        <v>4.6152939796447798</v>
      </c>
      <c r="C8575" t="s">
        <v>43</v>
      </c>
      <c r="D8575" t="s">
        <v>5034</v>
      </c>
      <c r="F8575" s="21"/>
      <c r="G8575" s="16" t="str">
        <f>HYPERLINK("http://maps.google.com/maps?f=q&amp;hl=en&amp;geocode=&amp;q=50.7232284545898,4.61529397964478")</f>
        <v>http://maps.google.com/maps?f=q&amp;hl=en&amp;geocode=&amp;q=50.7232284545898,4.61529397964478</v>
      </c>
    </row>
    <row r="8576" spans="1:7" ht="15" x14ac:dyDescent="0.3">
      <c r="A8576">
        <v>46.634181976318402</v>
      </c>
      <c r="B8576">
        <v>-66.075164794921903</v>
      </c>
      <c r="C8576" t="s">
        <v>41</v>
      </c>
      <c r="D8576" t="s">
        <v>5035</v>
      </c>
      <c r="F8576" s="21"/>
      <c r="G8576" s="16" t="str">
        <f>HYPERLINK("http://maps.google.com/maps?f=q&amp;hl=en&amp;geocode=&amp;q=46.6341819763184,-66.0751647949219")</f>
        <v>http://maps.google.com/maps?f=q&amp;hl=en&amp;geocode=&amp;q=46.6341819763184,-66.0751647949219</v>
      </c>
    </row>
    <row r="8577" spans="1:7" ht="15" x14ac:dyDescent="0.3">
      <c r="A8577">
        <v>39.925890000000003</v>
      </c>
      <c r="B8577">
        <v>-75.16234</v>
      </c>
      <c r="C8577" t="s">
        <v>43</v>
      </c>
      <c r="D8577" t="s">
        <v>5036</v>
      </c>
      <c r="F8577" s="21"/>
      <c r="G8577" s="16" t="str">
        <f>HYPERLINK("http://maps.google.com/maps?f=q&amp;hl=en&amp;geocode=&amp;q=39.92589,-75.16234")</f>
        <v>http://maps.google.com/maps?f=q&amp;hl=en&amp;geocode=&amp;q=39.92589,-75.16234</v>
      </c>
    </row>
    <row r="8578" spans="1:7" ht="15" x14ac:dyDescent="0.3">
      <c r="A8578">
        <v>39.925890000000003</v>
      </c>
      <c r="B8578">
        <v>-75.16234</v>
      </c>
      <c r="C8578" t="s">
        <v>43</v>
      </c>
      <c r="D8578" t="s">
        <v>5036</v>
      </c>
      <c r="F8578" s="21"/>
      <c r="G8578" s="16" t="str">
        <f>HYPERLINK("http://maps.google.com/maps?f=q&amp;hl=en&amp;geocode=&amp;q=39.92589,-75.16234")</f>
        <v>http://maps.google.com/maps?f=q&amp;hl=en&amp;geocode=&amp;q=39.92589,-75.16234</v>
      </c>
    </row>
    <row r="8579" spans="1:7" ht="15" x14ac:dyDescent="0.3">
      <c r="A8579">
        <v>39.925890000000003</v>
      </c>
      <c r="B8579">
        <v>-75.16234</v>
      </c>
      <c r="C8579" t="s">
        <v>43</v>
      </c>
      <c r="D8579" t="s">
        <v>5036</v>
      </c>
      <c r="F8579" s="21"/>
      <c r="G8579" s="16" t="str">
        <f>HYPERLINK("http://maps.google.com/maps?f=q&amp;hl=en&amp;geocode=&amp;q=39.92589,-75.16234")</f>
        <v>http://maps.google.com/maps?f=q&amp;hl=en&amp;geocode=&amp;q=39.92589,-75.16234</v>
      </c>
    </row>
    <row r="8580" spans="1:7" ht="15" x14ac:dyDescent="0.3">
      <c r="A8580">
        <v>39.4432563781738</v>
      </c>
      <c r="B8580">
        <v>-98.957336425781307</v>
      </c>
      <c r="C8580" t="s">
        <v>43</v>
      </c>
      <c r="D8580" t="s">
        <v>3084</v>
      </c>
      <c r="F8580" s="21"/>
      <c r="G8580" s="16" t="str">
        <f>HYPERLINK("http://maps.google.com/maps?f=q&amp;hl=en&amp;geocode=&amp;q=39.4432563781738,-98.9573364257813")</f>
        <v>http://maps.google.com/maps?f=q&amp;hl=en&amp;geocode=&amp;q=39.4432563781738,-98.9573364257813</v>
      </c>
    </row>
    <row r="8581" spans="1:7" ht="15" x14ac:dyDescent="0.3">
      <c r="A8581">
        <v>41.427950000000003</v>
      </c>
      <c r="B8581">
        <v>-78.527979999999999</v>
      </c>
      <c r="C8581" t="s">
        <v>42</v>
      </c>
      <c r="D8581" t="s">
        <v>5037</v>
      </c>
      <c r="F8581" s="21"/>
      <c r="G8581" s="16" t="str">
        <f>HYPERLINK("http://maps.google.com/maps?f=q&amp;hl=en&amp;geocode=&amp;q=41.42795,-78.52798")</f>
        <v>http://maps.google.com/maps?f=q&amp;hl=en&amp;geocode=&amp;q=41.42795,-78.52798</v>
      </c>
    </row>
    <row r="8582" spans="1:7" ht="15" x14ac:dyDescent="0.3">
      <c r="A8582">
        <v>38.923514685774698</v>
      </c>
      <c r="B8582">
        <v>-97.817204172594003</v>
      </c>
      <c r="C8582" t="s">
        <v>41</v>
      </c>
      <c r="D8582" t="s">
        <v>5038</v>
      </c>
      <c r="F8582" s="21"/>
      <c r="G8582" s="16" t="str">
        <f>HYPERLINK("http://maps.google.com/maps?f=q&amp;hl=en&amp;geocode=&amp;q=38.9235146857747,-97.817204172594")</f>
        <v>http://maps.google.com/maps?f=q&amp;hl=en&amp;geocode=&amp;q=38.9235146857747,-97.817204172594</v>
      </c>
    </row>
    <row r="8583" spans="1:7" ht="15" x14ac:dyDescent="0.3">
      <c r="A8583" t="s">
        <v>44</v>
      </c>
      <c r="B8583" t="s">
        <v>44</v>
      </c>
      <c r="C8583" t="s">
        <v>44</v>
      </c>
      <c r="D8583" t="s">
        <v>4532</v>
      </c>
      <c r="F8583" s="21"/>
      <c r="G8583" s="16"/>
    </row>
    <row r="8584" spans="1:7" ht="15" x14ac:dyDescent="0.3">
      <c r="A8584">
        <v>32.583317490227202</v>
      </c>
      <c r="B8584">
        <v>-83.125344390433597</v>
      </c>
      <c r="C8584" t="s">
        <v>41</v>
      </c>
      <c r="D8584" t="s">
        <v>5039</v>
      </c>
      <c r="F8584" s="21"/>
      <c r="G8584" s="16" t="str">
        <f>HYPERLINK("http://maps.google.com/maps?f=q&amp;hl=en&amp;geocode=&amp;q=32.5833174902272,-83.1253443904336")</f>
        <v>http://maps.google.com/maps?f=q&amp;hl=en&amp;geocode=&amp;q=32.5833174902272,-83.1253443904336</v>
      </c>
    </row>
    <row r="8585" spans="1:7" ht="15" x14ac:dyDescent="0.3">
      <c r="A8585">
        <v>-26.142440000000001</v>
      </c>
      <c r="B8585">
        <v>27.91825</v>
      </c>
      <c r="C8585" t="s">
        <v>41</v>
      </c>
      <c r="D8585" t="s">
        <v>2558</v>
      </c>
      <c r="F8585" s="21"/>
      <c r="G8585" s="16" t="str">
        <f>HYPERLINK("http://maps.google.com/maps?f=q&amp;hl=en&amp;geocode=&amp;q=-26.14244,27.91825")</f>
        <v>http://maps.google.com/maps?f=q&amp;hl=en&amp;geocode=&amp;q=-26.14244,27.91825</v>
      </c>
    </row>
    <row r="8586" spans="1:7" ht="15" x14ac:dyDescent="0.3">
      <c r="A8586" t="s">
        <v>44</v>
      </c>
      <c r="B8586" t="s">
        <v>44</v>
      </c>
      <c r="C8586" t="s">
        <v>44</v>
      </c>
      <c r="D8586" t="s">
        <v>5040</v>
      </c>
      <c r="F8586" s="21"/>
      <c r="G8586" s="16"/>
    </row>
    <row r="8587" spans="1:7" ht="15" x14ac:dyDescent="0.3">
      <c r="A8587">
        <v>34.499359130859403</v>
      </c>
      <c r="B8587">
        <v>-82.014808654785199</v>
      </c>
      <c r="C8587" t="s">
        <v>43</v>
      </c>
      <c r="D8587" t="s">
        <v>5041</v>
      </c>
      <c r="F8587" s="21"/>
      <c r="G8587" s="16" t="str">
        <f>HYPERLINK("http://maps.google.com/maps?f=q&amp;hl=en&amp;geocode=&amp;q=34.4993591308594,-82.0148086547852")</f>
        <v>http://maps.google.com/maps?f=q&amp;hl=en&amp;geocode=&amp;q=34.4993591308594,-82.0148086547852</v>
      </c>
    </row>
    <row r="8588" spans="1:7" ht="15" x14ac:dyDescent="0.3">
      <c r="A8588">
        <v>29.7082328796387</v>
      </c>
      <c r="B8588">
        <v>-90.006401062011705</v>
      </c>
      <c r="C8588" t="s">
        <v>43</v>
      </c>
      <c r="D8588" t="s">
        <v>5042</v>
      </c>
      <c r="F8588" s="21"/>
      <c r="G8588" s="16" t="str">
        <f>HYPERLINK("http://maps.google.com/maps?f=q&amp;hl=en&amp;geocode=&amp;q=29.7082328796387,-90.0064010620117")</f>
        <v>http://maps.google.com/maps?f=q&amp;hl=en&amp;geocode=&amp;q=29.7082328796387,-90.0064010620117</v>
      </c>
    </row>
    <row r="8589" spans="1:7" ht="15" x14ac:dyDescent="0.3">
      <c r="A8589">
        <v>33.110443983454097</v>
      </c>
      <c r="B8589">
        <v>-96.639503004148906</v>
      </c>
      <c r="C8589" t="s">
        <v>41</v>
      </c>
      <c r="D8589" t="s">
        <v>1480</v>
      </c>
      <c r="F8589" s="21"/>
      <c r="G8589" s="16" t="str">
        <f>HYPERLINK("http://maps.google.com/maps?f=q&amp;hl=en&amp;geocode=&amp;q=33.1104439834541,-96.6395030041489")</f>
        <v>http://maps.google.com/maps?f=q&amp;hl=en&amp;geocode=&amp;q=33.1104439834541,-96.6395030041489</v>
      </c>
    </row>
    <row r="8590" spans="1:7" ht="15" x14ac:dyDescent="0.3">
      <c r="A8590">
        <v>33.110443983454097</v>
      </c>
      <c r="B8590">
        <v>-96.639503004148906</v>
      </c>
      <c r="C8590" t="s">
        <v>41</v>
      </c>
      <c r="D8590" t="s">
        <v>1480</v>
      </c>
      <c r="F8590" s="21"/>
      <c r="G8590" s="16" t="str">
        <f>HYPERLINK("http://maps.google.com/maps?f=q&amp;hl=en&amp;geocode=&amp;q=33.1104439834541,-96.6395030041489")</f>
        <v>http://maps.google.com/maps?f=q&amp;hl=en&amp;geocode=&amp;q=33.1104439834541,-96.6395030041489</v>
      </c>
    </row>
    <row r="8591" spans="1:7" ht="15" x14ac:dyDescent="0.3">
      <c r="A8591" t="s">
        <v>44</v>
      </c>
      <c r="B8591" t="s">
        <v>44</v>
      </c>
      <c r="C8591" t="s">
        <v>44</v>
      </c>
      <c r="D8591" t="s">
        <v>5043</v>
      </c>
      <c r="F8591" s="21"/>
      <c r="G8591" s="16"/>
    </row>
    <row r="8592" spans="1:7" ht="15" x14ac:dyDescent="0.3">
      <c r="A8592">
        <v>39.9192236878784</v>
      </c>
      <c r="B8592">
        <v>-75.187954816541193</v>
      </c>
      <c r="C8592" t="s">
        <v>41</v>
      </c>
      <c r="D8592" t="s">
        <v>5044</v>
      </c>
      <c r="F8592" s="21"/>
      <c r="G8592" s="16" t="str">
        <f>HYPERLINK("http://maps.google.com/maps?f=q&amp;hl=en&amp;geocode=&amp;q=39.9192236878784,-75.1879548165412")</f>
        <v>http://maps.google.com/maps?f=q&amp;hl=en&amp;geocode=&amp;q=39.9192236878784,-75.1879548165412</v>
      </c>
    </row>
    <row r="8593" spans="1:7" ht="15" x14ac:dyDescent="0.3">
      <c r="A8593">
        <v>39.875801086425803</v>
      </c>
      <c r="B8593">
        <v>-75.212745666503906</v>
      </c>
      <c r="C8593" t="s">
        <v>41</v>
      </c>
      <c r="D8593" t="s">
        <v>5045</v>
      </c>
      <c r="F8593" s="21"/>
      <c r="G8593" s="16" t="str">
        <f>HYPERLINK("http://maps.google.com/maps?f=q&amp;hl=en&amp;geocode=&amp;q=39.8758010864258,-75.2127456665039")</f>
        <v>http://maps.google.com/maps?f=q&amp;hl=en&amp;geocode=&amp;q=39.8758010864258,-75.2127456665039</v>
      </c>
    </row>
    <row r="8594" spans="1:7" ht="15" x14ac:dyDescent="0.3">
      <c r="A8594">
        <v>36.041815716502299</v>
      </c>
      <c r="B8594">
        <v>-83.824394360220793</v>
      </c>
      <c r="C8594" t="s">
        <v>41</v>
      </c>
      <c r="D8594" t="s">
        <v>5046</v>
      </c>
      <c r="F8594" s="21"/>
      <c r="G8594" s="16" t="str">
        <f>HYPERLINK("http://maps.google.com/maps?f=q&amp;hl=en&amp;geocode=&amp;q=36.0418157165023,-83.8243943602208")</f>
        <v>http://maps.google.com/maps?f=q&amp;hl=en&amp;geocode=&amp;q=36.0418157165023,-83.8243943602208</v>
      </c>
    </row>
    <row r="8595" spans="1:7" ht="15" x14ac:dyDescent="0.3">
      <c r="A8595">
        <v>40.133940000000003</v>
      </c>
      <c r="B8595">
        <v>-79.899690000000007</v>
      </c>
      <c r="C8595" t="s">
        <v>43</v>
      </c>
      <c r="D8595" t="s">
        <v>2729</v>
      </c>
      <c r="F8595" s="21"/>
      <c r="G8595" s="16" t="str">
        <f>HYPERLINK("http://maps.google.com/maps?f=q&amp;hl=en&amp;geocode=&amp;q=40.13394,-79.89969")</f>
        <v>http://maps.google.com/maps?f=q&amp;hl=en&amp;geocode=&amp;q=40.13394,-79.89969</v>
      </c>
    </row>
    <row r="8596" spans="1:7" ht="15" x14ac:dyDescent="0.3">
      <c r="A8596">
        <v>36.041815716502299</v>
      </c>
      <c r="B8596">
        <v>-83.824394360220793</v>
      </c>
      <c r="C8596" t="s">
        <v>41</v>
      </c>
      <c r="D8596" t="s">
        <v>5046</v>
      </c>
      <c r="F8596" s="21"/>
      <c r="G8596" s="16" t="str">
        <f>HYPERLINK("http://maps.google.com/maps?f=q&amp;hl=en&amp;geocode=&amp;q=36.0418157165023,-83.8243943602208")</f>
        <v>http://maps.google.com/maps?f=q&amp;hl=en&amp;geocode=&amp;q=36.0418157165023,-83.8243943602208</v>
      </c>
    </row>
    <row r="8597" spans="1:7" ht="15" x14ac:dyDescent="0.3">
      <c r="A8597">
        <v>35.44238</v>
      </c>
      <c r="B8597">
        <v>-88.633380000000002</v>
      </c>
      <c r="C8597" t="s">
        <v>43</v>
      </c>
      <c r="D8597" t="s">
        <v>5047</v>
      </c>
      <c r="F8597" s="21"/>
      <c r="G8597" s="16" t="str">
        <f>HYPERLINK("http://maps.google.com/maps?f=q&amp;hl=en&amp;geocode=&amp;q=35.44238,-88.63338")</f>
        <v>http://maps.google.com/maps?f=q&amp;hl=en&amp;geocode=&amp;q=35.44238,-88.63338</v>
      </c>
    </row>
    <row r="8598" spans="1:7" ht="15" x14ac:dyDescent="0.3">
      <c r="A8598">
        <v>35.694398249120901</v>
      </c>
      <c r="B8598">
        <v>-79.4309990725841</v>
      </c>
      <c r="C8598" t="s">
        <v>42</v>
      </c>
      <c r="D8598" t="s">
        <v>5048</v>
      </c>
      <c r="F8598" s="21"/>
      <c r="G8598" s="16" t="str">
        <f>HYPERLINK("http://maps.google.com/maps?f=q&amp;hl=en&amp;geocode=&amp;q=35.6943982491209,-79.4309990725841")</f>
        <v>http://maps.google.com/maps?f=q&amp;hl=en&amp;geocode=&amp;q=35.6943982491209,-79.4309990725841</v>
      </c>
    </row>
    <row r="8599" spans="1:7" ht="15" x14ac:dyDescent="0.3">
      <c r="A8599">
        <v>48.214225769042997</v>
      </c>
      <c r="B8599">
        <v>16.485546112060501</v>
      </c>
      <c r="C8599" t="s">
        <v>43</v>
      </c>
      <c r="D8599" t="s">
        <v>2894</v>
      </c>
      <c r="F8599" s="21"/>
      <c r="G8599" s="16" t="str">
        <f>HYPERLINK("http://maps.google.com/maps?f=q&amp;hl=en&amp;geocode=&amp;q=48.214225769043,16.4855461120605")</f>
        <v>http://maps.google.com/maps?f=q&amp;hl=en&amp;geocode=&amp;q=48.214225769043,16.4855461120605</v>
      </c>
    </row>
    <row r="8600" spans="1:7" ht="15" x14ac:dyDescent="0.3">
      <c r="A8600">
        <v>59.922351837158203</v>
      </c>
      <c r="B8600">
        <v>11.178321838378899</v>
      </c>
      <c r="C8600" t="s">
        <v>43</v>
      </c>
      <c r="D8600" t="s">
        <v>5049</v>
      </c>
      <c r="F8600" s="21"/>
      <c r="G8600" s="16" t="str">
        <f>HYPERLINK("http://maps.google.com/maps?f=q&amp;hl=en&amp;geocode=&amp;q=59.9223518371582,11.1783218383789")</f>
        <v>http://maps.google.com/maps?f=q&amp;hl=en&amp;geocode=&amp;q=59.9223518371582,11.1783218383789</v>
      </c>
    </row>
    <row r="8601" spans="1:7" ht="15" x14ac:dyDescent="0.3">
      <c r="A8601">
        <v>40.045740000000002</v>
      </c>
      <c r="B8601">
        <v>-75.095939999999999</v>
      </c>
      <c r="C8601" t="s">
        <v>43</v>
      </c>
      <c r="D8601" t="s">
        <v>2596</v>
      </c>
      <c r="F8601" s="21"/>
      <c r="G8601" s="16" t="str">
        <f>HYPERLINK("http://maps.google.com/maps?f=q&amp;hl=en&amp;geocode=&amp;q=40.04574,-75.09594")</f>
        <v>http://maps.google.com/maps?f=q&amp;hl=en&amp;geocode=&amp;q=40.04574,-75.09594</v>
      </c>
    </row>
    <row r="8602" spans="1:7" ht="15" x14ac:dyDescent="0.3">
      <c r="A8602">
        <v>35.170740000000002</v>
      </c>
      <c r="B8602">
        <v>-77.522819999999996</v>
      </c>
      <c r="C8602" t="s">
        <v>43</v>
      </c>
      <c r="D8602" t="s">
        <v>5050</v>
      </c>
      <c r="F8602" s="21"/>
      <c r="G8602" s="16" t="str">
        <f>HYPERLINK("http://maps.google.com/maps?f=q&amp;hl=en&amp;geocode=&amp;q=35.17074,-77.52282")</f>
        <v>http://maps.google.com/maps?f=q&amp;hl=en&amp;geocode=&amp;q=35.17074,-77.52282</v>
      </c>
    </row>
    <row r="8603" spans="1:7" ht="15" x14ac:dyDescent="0.3">
      <c r="A8603">
        <v>36.354469999999999</v>
      </c>
      <c r="B8603">
        <v>-82.222139999999996</v>
      </c>
      <c r="C8603" t="s">
        <v>42</v>
      </c>
      <c r="D8603" t="s">
        <v>3096</v>
      </c>
      <c r="F8603" s="21"/>
      <c r="G8603" s="16" t="str">
        <f>HYPERLINK("http://maps.google.com/maps?f=q&amp;hl=en&amp;geocode=&amp;q=36.35447,-82.22214")</f>
        <v>http://maps.google.com/maps?f=q&amp;hl=en&amp;geocode=&amp;q=36.35447,-82.22214</v>
      </c>
    </row>
    <row r="8604" spans="1:7" ht="15" x14ac:dyDescent="0.3">
      <c r="A8604">
        <v>42.362480163574197</v>
      </c>
      <c r="B8604">
        <v>23.375675201416001</v>
      </c>
      <c r="C8604" t="s">
        <v>43</v>
      </c>
      <c r="D8604" t="s">
        <v>5051</v>
      </c>
      <c r="F8604" s="21"/>
      <c r="G8604" s="16" t="str">
        <f>HYPERLINK("http://maps.google.com/maps?f=q&amp;hl=en&amp;geocode=&amp;q=42.3624801635742,23.375675201416")</f>
        <v>http://maps.google.com/maps?f=q&amp;hl=en&amp;geocode=&amp;q=42.3624801635742,23.375675201416</v>
      </c>
    </row>
    <row r="8605" spans="1:7" ht="15" x14ac:dyDescent="0.3">
      <c r="A8605">
        <v>35.566300431172301</v>
      </c>
      <c r="B8605">
        <v>-112.25288200711501</v>
      </c>
      <c r="C8605" t="s">
        <v>41</v>
      </c>
      <c r="D8605" t="s">
        <v>5052</v>
      </c>
      <c r="F8605" s="21"/>
      <c r="G8605" s="16" t="str">
        <f>HYPERLINK("http://maps.google.com/maps?f=q&amp;hl=en&amp;geocode=&amp;q=35.5663004311723,-112.252882007115")</f>
        <v>http://maps.google.com/maps?f=q&amp;hl=en&amp;geocode=&amp;q=35.5663004311723,-112.252882007115</v>
      </c>
    </row>
    <row r="8606" spans="1:7" ht="15" x14ac:dyDescent="0.3">
      <c r="A8606">
        <v>-33.299518585205099</v>
      </c>
      <c r="B8606">
        <v>149.01606750488301</v>
      </c>
      <c r="C8606" t="s">
        <v>43</v>
      </c>
      <c r="D8606" t="s">
        <v>3204</v>
      </c>
      <c r="F8606" s="21"/>
      <c r="G8606" s="16" t="str">
        <f>HYPERLINK("http://maps.google.com/maps?f=q&amp;hl=en&amp;geocode=&amp;q=-33.2995185852051,149.016067504883")</f>
        <v>http://maps.google.com/maps?f=q&amp;hl=en&amp;geocode=&amp;q=-33.2995185852051,149.016067504883</v>
      </c>
    </row>
    <row r="8607" spans="1:7" ht="15" x14ac:dyDescent="0.3">
      <c r="A8607">
        <v>-33.299518585205099</v>
      </c>
      <c r="B8607">
        <v>149.01606750488301</v>
      </c>
      <c r="C8607" t="s">
        <v>43</v>
      </c>
      <c r="D8607" t="s">
        <v>3204</v>
      </c>
      <c r="F8607" s="21"/>
      <c r="G8607" s="16" t="str">
        <f>HYPERLINK("http://maps.google.com/maps?f=q&amp;hl=en&amp;geocode=&amp;q=-33.2995185852051,149.016067504883")</f>
        <v>http://maps.google.com/maps?f=q&amp;hl=en&amp;geocode=&amp;q=-33.2995185852051,149.016067504883</v>
      </c>
    </row>
    <row r="8608" spans="1:7" ht="15" x14ac:dyDescent="0.3">
      <c r="A8608">
        <v>36.80688</v>
      </c>
      <c r="B8608">
        <v>-76.415170000000003</v>
      </c>
      <c r="C8608" t="s">
        <v>41</v>
      </c>
      <c r="D8608" t="s">
        <v>1302</v>
      </c>
      <c r="F8608" s="21"/>
      <c r="G8608" s="16" t="str">
        <f>HYPERLINK("http://maps.google.com/maps?f=q&amp;hl=en&amp;geocode=&amp;q=36.80688,-76.41517")</f>
        <v>http://maps.google.com/maps?f=q&amp;hl=en&amp;geocode=&amp;q=36.80688,-76.41517</v>
      </c>
    </row>
    <row r="8609" spans="1:7" ht="15" x14ac:dyDescent="0.3">
      <c r="A8609">
        <v>32.755119999999998</v>
      </c>
      <c r="B8609">
        <v>-117.00308</v>
      </c>
      <c r="C8609" t="s">
        <v>41</v>
      </c>
      <c r="D8609" t="s">
        <v>5053</v>
      </c>
      <c r="F8609" s="21"/>
      <c r="G8609" s="16" t="str">
        <f>HYPERLINK("http://maps.google.com/maps?f=q&amp;hl=en&amp;geocode=&amp;q=32.75512,-117.00308")</f>
        <v>http://maps.google.com/maps?f=q&amp;hl=en&amp;geocode=&amp;q=32.75512,-117.00308</v>
      </c>
    </row>
    <row r="8610" spans="1:7" ht="15" x14ac:dyDescent="0.3">
      <c r="A8610">
        <v>38.246729999999999</v>
      </c>
      <c r="B8610">
        <v>-88.346729999999994</v>
      </c>
      <c r="C8610" t="s">
        <v>43</v>
      </c>
      <c r="D8610" t="s">
        <v>5054</v>
      </c>
      <c r="F8610" s="21"/>
      <c r="G8610" s="16" t="str">
        <f>HYPERLINK("http://maps.google.com/maps?f=q&amp;hl=en&amp;geocode=&amp;q=38.24673,-88.34673")</f>
        <v>http://maps.google.com/maps?f=q&amp;hl=en&amp;geocode=&amp;q=38.24673,-88.34673</v>
      </c>
    </row>
    <row r="8611" spans="1:7" ht="15" x14ac:dyDescent="0.3">
      <c r="A8611">
        <v>40.049795295843502</v>
      </c>
      <c r="B8611">
        <v>-75.058208565539999</v>
      </c>
      <c r="C8611" t="s">
        <v>41</v>
      </c>
      <c r="D8611" t="s">
        <v>1604</v>
      </c>
      <c r="F8611" s="21"/>
      <c r="G8611" s="16" t="str">
        <f>HYPERLINK("http://maps.google.com/maps?f=q&amp;hl=en&amp;geocode=&amp;q=40.0497952958435,-75.05820856554")</f>
        <v>http://maps.google.com/maps?f=q&amp;hl=en&amp;geocode=&amp;q=40.0497952958435,-75.05820856554</v>
      </c>
    </row>
    <row r="8612" spans="1:7" ht="15" x14ac:dyDescent="0.3">
      <c r="A8612">
        <v>39.801938447701701</v>
      </c>
      <c r="B8612">
        <v>-89.620570088672196</v>
      </c>
      <c r="C8612" t="s">
        <v>43</v>
      </c>
      <c r="D8612" t="s">
        <v>5055</v>
      </c>
      <c r="F8612" s="21"/>
      <c r="G8612" s="16" t="str">
        <f>HYPERLINK("http://maps.google.com/maps?f=q&amp;hl=en&amp;geocode=&amp;q=39.8019384477017,-89.6205700886722")</f>
        <v>http://maps.google.com/maps?f=q&amp;hl=en&amp;geocode=&amp;q=39.8019384477017,-89.6205700886722</v>
      </c>
    </row>
    <row r="8613" spans="1:7" ht="15" x14ac:dyDescent="0.3">
      <c r="A8613">
        <v>36.902555965944998</v>
      </c>
      <c r="B8613">
        <v>-78.8948882131007</v>
      </c>
      <c r="C8613" t="s">
        <v>43</v>
      </c>
      <c r="D8613" t="s">
        <v>3748</v>
      </c>
      <c r="F8613" s="21"/>
      <c r="G8613" s="16" t="str">
        <f>HYPERLINK("http://maps.google.com/maps?f=q&amp;hl=en&amp;geocode=&amp;q=36.902555965945,-78.8948882131007")</f>
        <v>http://maps.google.com/maps?f=q&amp;hl=en&amp;geocode=&amp;q=36.902555965945,-78.8948882131007</v>
      </c>
    </row>
    <row r="8614" spans="1:7" ht="15" x14ac:dyDescent="0.3">
      <c r="A8614">
        <v>39.929369999999999</v>
      </c>
      <c r="B8614">
        <v>-75.159940000000006</v>
      </c>
      <c r="C8614" t="s">
        <v>43</v>
      </c>
      <c r="D8614" t="s">
        <v>5056</v>
      </c>
      <c r="F8614" s="21"/>
      <c r="G8614" s="16" t="str">
        <f>HYPERLINK("http://maps.google.com/maps?f=q&amp;hl=en&amp;geocode=&amp;q=39.92937,-75.15994")</f>
        <v>http://maps.google.com/maps?f=q&amp;hl=en&amp;geocode=&amp;q=39.92937,-75.15994</v>
      </c>
    </row>
    <row r="8615" spans="1:7" ht="15" x14ac:dyDescent="0.3">
      <c r="A8615">
        <v>35.958046935190303</v>
      </c>
      <c r="B8615">
        <v>-77.473397765092201</v>
      </c>
      <c r="C8615" t="s">
        <v>41</v>
      </c>
      <c r="D8615" t="s">
        <v>3222</v>
      </c>
      <c r="F8615" s="21"/>
      <c r="G8615" s="16" t="str">
        <f>HYPERLINK("http://maps.google.com/maps?f=q&amp;hl=en&amp;geocode=&amp;q=35.9580469351903,-77.4733977650922")</f>
        <v>http://maps.google.com/maps?f=q&amp;hl=en&amp;geocode=&amp;q=35.9580469351903,-77.4733977650922</v>
      </c>
    </row>
    <row r="8616" spans="1:7" ht="15" x14ac:dyDescent="0.3">
      <c r="A8616">
        <v>-33.299518585205099</v>
      </c>
      <c r="B8616">
        <v>149.01606750488301</v>
      </c>
      <c r="C8616" t="s">
        <v>43</v>
      </c>
      <c r="D8616" t="s">
        <v>3204</v>
      </c>
      <c r="F8616" s="21"/>
      <c r="G8616" s="16" t="str">
        <f>HYPERLINK("http://maps.google.com/maps?f=q&amp;hl=en&amp;geocode=&amp;q=-33.2995185852051,149.016067504883")</f>
        <v>http://maps.google.com/maps?f=q&amp;hl=en&amp;geocode=&amp;q=-33.2995185852051,149.016067504883</v>
      </c>
    </row>
    <row r="8617" spans="1:7" ht="15" x14ac:dyDescent="0.3">
      <c r="A8617" t="s">
        <v>44</v>
      </c>
      <c r="B8617" t="s">
        <v>44</v>
      </c>
      <c r="C8617" t="s">
        <v>44</v>
      </c>
      <c r="D8617" t="s">
        <v>981</v>
      </c>
      <c r="F8617" s="21"/>
      <c r="G8617" s="16"/>
    </row>
    <row r="8618" spans="1:7" ht="15" x14ac:dyDescent="0.3">
      <c r="A8618">
        <v>23.7733478546143</v>
      </c>
      <c r="B8618">
        <v>87.994697570800795</v>
      </c>
      <c r="C8618" t="s">
        <v>41</v>
      </c>
      <c r="D8618" t="s">
        <v>5057</v>
      </c>
      <c r="F8618" s="21"/>
      <c r="G8618" s="16" t="str">
        <f>HYPERLINK("http://maps.google.com/maps?f=q&amp;hl=en&amp;geocode=&amp;q=23.7733478546143,87.9946975708008")</f>
        <v>http://maps.google.com/maps?f=q&amp;hl=en&amp;geocode=&amp;q=23.7733478546143,87.9946975708008</v>
      </c>
    </row>
    <row r="8619" spans="1:7" ht="15" x14ac:dyDescent="0.3">
      <c r="A8619">
        <v>46.408790588378899</v>
      </c>
      <c r="B8619">
        <v>12.017880439758301</v>
      </c>
      <c r="C8619" t="s">
        <v>41</v>
      </c>
      <c r="D8619" t="s">
        <v>5058</v>
      </c>
      <c r="F8619" s="21"/>
      <c r="G8619" s="16" t="str">
        <f>HYPERLINK("http://maps.google.com/maps?f=q&amp;hl=en&amp;geocode=&amp;q=46.4087905883789,12.0178804397583")</f>
        <v>http://maps.google.com/maps?f=q&amp;hl=en&amp;geocode=&amp;q=46.4087905883789,12.0178804397583</v>
      </c>
    </row>
    <row r="8620" spans="1:7" ht="15" x14ac:dyDescent="0.3">
      <c r="A8620">
        <v>32.704810000000002</v>
      </c>
      <c r="B8620">
        <v>-83.658079999999998</v>
      </c>
      <c r="C8620" t="s">
        <v>42</v>
      </c>
      <c r="D8620" t="s">
        <v>5059</v>
      </c>
      <c r="F8620" s="21"/>
      <c r="G8620" s="16" t="str">
        <f>HYPERLINK("http://maps.google.com/maps?f=q&amp;hl=en&amp;geocode=&amp;q=32.70481,-83.65808")</f>
        <v>http://maps.google.com/maps?f=q&amp;hl=en&amp;geocode=&amp;q=32.70481,-83.65808</v>
      </c>
    </row>
    <row r="8621" spans="1:7" ht="15" x14ac:dyDescent="0.3">
      <c r="A8621" t="s">
        <v>44</v>
      </c>
      <c r="B8621" t="s">
        <v>44</v>
      </c>
      <c r="C8621" t="s">
        <v>44</v>
      </c>
      <c r="D8621" t="s">
        <v>227</v>
      </c>
      <c r="F8621" s="21"/>
      <c r="G8621" s="16"/>
    </row>
    <row r="8622" spans="1:7" ht="15" x14ac:dyDescent="0.3">
      <c r="A8622" t="s">
        <v>44</v>
      </c>
      <c r="B8622" t="s">
        <v>44</v>
      </c>
      <c r="C8622" t="s">
        <v>44</v>
      </c>
      <c r="D8622" t="s">
        <v>993</v>
      </c>
      <c r="F8622" s="21"/>
      <c r="G8622" s="16"/>
    </row>
    <row r="8623" spans="1:7" ht="15" x14ac:dyDescent="0.3">
      <c r="A8623" t="s">
        <v>44</v>
      </c>
      <c r="B8623" t="s">
        <v>44</v>
      </c>
      <c r="C8623" t="s">
        <v>44</v>
      </c>
      <c r="D8623" t="s">
        <v>5060</v>
      </c>
      <c r="F8623" s="21"/>
      <c r="G8623" s="16"/>
    </row>
    <row r="8624" spans="1:7" ht="15" x14ac:dyDescent="0.3">
      <c r="A8624">
        <v>32.9539794921875</v>
      </c>
      <c r="B8624">
        <v>-96.817680358886705</v>
      </c>
      <c r="C8624" t="s">
        <v>43</v>
      </c>
      <c r="D8624" t="s">
        <v>5061</v>
      </c>
      <c r="F8624" s="21"/>
      <c r="G8624" s="16" t="str">
        <f>HYPERLINK("http://maps.google.com/maps?f=q&amp;hl=en&amp;geocode=&amp;q=32.9539794921875,-96.8176803588867")</f>
        <v>http://maps.google.com/maps?f=q&amp;hl=en&amp;geocode=&amp;q=32.9539794921875,-96.8176803588867</v>
      </c>
    </row>
    <row r="8625" spans="1:7" ht="15" x14ac:dyDescent="0.3">
      <c r="A8625">
        <v>35.965989015210802</v>
      </c>
      <c r="B8625">
        <v>-94.232247053401494</v>
      </c>
      <c r="C8625" t="s">
        <v>41</v>
      </c>
      <c r="D8625" t="s">
        <v>2543</v>
      </c>
      <c r="F8625" s="21"/>
      <c r="G8625" s="16" t="str">
        <f>HYPERLINK("http://maps.google.com/maps?f=q&amp;hl=en&amp;geocode=&amp;q=35.9659890152108,-94.2322470534015")</f>
        <v>http://maps.google.com/maps?f=q&amp;hl=en&amp;geocode=&amp;q=35.9659890152108,-94.2322470534015</v>
      </c>
    </row>
    <row r="8626" spans="1:7" ht="15" x14ac:dyDescent="0.3">
      <c r="A8626">
        <v>-36.701439999999998</v>
      </c>
      <c r="B8626">
        <v>142.19977</v>
      </c>
      <c r="C8626" t="s">
        <v>41</v>
      </c>
      <c r="D8626" t="s">
        <v>2300</v>
      </c>
      <c r="F8626" s="21"/>
      <c r="G8626" s="16" t="str">
        <f>HYPERLINK("http://maps.google.com/maps?f=q&amp;hl=en&amp;geocode=&amp;q=-36.70144,142.19977")</f>
        <v>http://maps.google.com/maps?f=q&amp;hl=en&amp;geocode=&amp;q=-36.70144,142.19977</v>
      </c>
    </row>
    <row r="8627" spans="1:7" ht="15" x14ac:dyDescent="0.3">
      <c r="A8627">
        <v>36.502029418945298</v>
      </c>
      <c r="B8627">
        <v>-88.325889587402301</v>
      </c>
      <c r="C8627" t="s">
        <v>43</v>
      </c>
      <c r="D8627" t="s">
        <v>1634</v>
      </c>
      <c r="F8627" s="21"/>
      <c r="G8627" s="16" t="str">
        <f>HYPERLINK("http://maps.google.com/maps?f=q&amp;hl=en&amp;geocode=&amp;q=36.5020294189453,-88.3258895874023")</f>
        <v>http://maps.google.com/maps?f=q&amp;hl=en&amp;geocode=&amp;q=36.5020294189453,-88.3258895874023</v>
      </c>
    </row>
    <row r="8628" spans="1:7" ht="15" x14ac:dyDescent="0.3">
      <c r="A8628">
        <v>36.502029418945298</v>
      </c>
      <c r="B8628">
        <v>-88.325889587402301</v>
      </c>
      <c r="C8628" t="s">
        <v>43</v>
      </c>
      <c r="D8628" t="s">
        <v>1634</v>
      </c>
      <c r="F8628" s="21"/>
      <c r="G8628" s="16" t="str">
        <f>HYPERLINK("http://maps.google.com/maps?f=q&amp;hl=en&amp;geocode=&amp;q=36.5020294189453,-88.3258895874023")</f>
        <v>http://maps.google.com/maps?f=q&amp;hl=en&amp;geocode=&amp;q=36.5020294189453,-88.3258895874023</v>
      </c>
    </row>
    <row r="8629" spans="1:7" ht="15" x14ac:dyDescent="0.3">
      <c r="A8629" t="s">
        <v>44</v>
      </c>
      <c r="B8629" t="s">
        <v>44</v>
      </c>
      <c r="C8629" t="s">
        <v>44</v>
      </c>
      <c r="D8629" t="s">
        <v>227</v>
      </c>
      <c r="F8629" s="21"/>
      <c r="G8629" s="16"/>
    </row>
    <row r="8630" spans="1:7" ht="15" x14ac:dyDescent="0.3">
      <c r="A8630">
        <v>49.613845825195298</v>
      </c>
      <c r="B8630">
        <v>6.1121549606323198</v>
      </c>
      <c r="C8630" t="s">
        <v>41</v>
      </c>
      <c r="D8630" t="s">
        <v>5062</v>
      </c>
      <c r="F8630" s="21"/>
      <c r="G8630" s="16" t="str">
        <f>HYPERLINK("http://maps.google.com/maps?f=q&amp;hl=en&amp;geocode=&amp;q=49.6138458251953,6.11215496063232")</f>
        <v>http://maps.google.com/maps?f=q&amp;hl=en&amp;geocode=&amp;q=49.6138458251953,6.11215496063232</v>
      </c>
    </row>
    <row r="8631" spans="1:7" ht="15" x14ac:dyDescent="0.3">
      <c r="A8631">
        <v>41.070894985150701</v>
      </c>
      <c r="B8631">
        <v>-81.250433437529196</v>
      </c>
      <c r="C8631" t="s">
        <v>41</v>
      </c>
      <c r="D8631" t="s">
        <v>3286</v>
      </c>
      <c r="F8631" s="21"/>
      <c r="G8631" s="16" t="str">
        <f>HYPERLINK("http://maps.google.com/maps?f=q&amp;hl=en&amp;geocode=&amp;q=41.0708949851507,-81.2504334375292")</f>
        <v>http://maps.google.com/maps?f=q&amp;hl=en&amp;geocode=&amp;q=41.0708949851507,-81.2504334375292</v>
      </c>
    </row>
    <row r="8632" spans="1:7" ht="15" x14ac:dyDescent="0.3">
      <c r="A8632">
        <v>42.470289999999999</v>
      </c>
      <c r="B8632">
        <v>-83.077780000000004</v>
      </c>
      <c r="C8632" t="s">
        <v>42</v>
      </c>
      <c r="D8632" t="s">
        <v>5063</v>
      </c>
      <c r="F8632" s="21"/>
      <c r="G8632" s="16" t="str">
        <f>HYPERLINK("http://maps.google.com/maps?f=q&amp;hl=en&amp;geocode=&amp;q=42.47029,-83.07778")</f>
        <v>http://maps.google.com/maps?f=q&amp;hl=en&amp;geocode=&amp;q=42.47029,-83.07778</v>
      </c>
    </row>
    <row r="8633" spans="1:7" ht="15" x14ac:dyDescent="0.3">
      <c r="A8633">
        <v>42.470289999999999</v>
      </c>
      <c r="B8633">
        <v>-83.077780000000004</v>
      </c>
      <c r="C8633" t="s">
        <v>42</v>
      </c>
      <c r="D8633" t="s">
        <v>5063</v>
      </c>
      <c r="F8633" s="21"/>
      <c r="G8633" s="16" t="str">
        <f>HYPERLINK("http://maps.google.com/maps?f=q&amp;hl=en&amp;geocode=&amp;q=42.47029,-83.07778")</f>
        <v>http://maps.google.com/maps?f=q&amp;hl=en&amp;geocode=&amp;q=42.47029,-83.07778</v>
      </c>
    </row>
    <row r="8634" spans="1:7" ht="15" x14ac:dyDescent="0.3">
      <c r="A8634">
        <v>39.953850000000003</v>
      </c>
      <c r="B8634">
        <v>-75.246650000000002</v>
      </c>
      <c r="C8634" t="s">
        <v>41</v>
      </c>
      <c r="D8634" t="s">
        <v>740</v>
      </c>
      <c r="F8634" s="21"/>
      <c r="G8634" s="16" t="str">
        <f>HYPERLINK("http://maps.google.com/maps?f=q&amp;hl=en&amp;geocode=&amp;q=39.95385,-75.24665")</f>
        <v>http://maps.google.com/maps?f=q&amp;hl=en&amp;geocode=&amp;q=39.95385,-75.24665</v>
      </c>
    </row>
    <row r="8635" spans="1:7" ht="15" x14ac:dyDescent="0.3">
      <c r="A8635">
        <v>48.7656440734863</v>
      </c>
      <c r="B8635">
        <v>15.279239654541</v>
      </c>
      <c r="C8635" t="s">
        <v>41</v>
      </c>
      <c r="D8635" t="s">
        <v>5064</v>
      </c>
      <c r="F8635" s="21"/>
      <c r="G8635" s="16" t="str">
        <f>HYPERLINK("http://maps.google.com/maps?f=q&amp;hl=en&amp;geocode=&amp;q=48.7656440734863,15.279239654541")</f>
        <v>http://maps.google.com/maps?f=q&amp;hl=en&amp;geocode=&amp;q=48.7656440734863,15.279239654541</v>
      </c>
    </row>
    <row r="8636" spans="1:7" ht="15" x14ac:dyDescent="0.3">
      <c r="A8636">
        <v>39.918349999999997</v>
      </c>
      <c r="B8636">
        <v>-75.172730000000001</v>
      </c>
      <c r="C8636" t="s">
        <v>43</v>
      </c>
      <c r="D8636" t="s">
        <v>5065</v>
      </c>
      <c r="F8636" s="21"/>
      <c r="G8636" s="16" t="str">
        <f>HYPERLINK("http://maps.google.com/maps?f=q&amp;hl=en&amp;geocode=&amp;q=39.91835,-75.17273")</f>
        <v>http://maps.google.com/maps?f=q&amp;hl=en&amp;geocode=&amp;q=39.91835,-75.17273</v>
      </c>
    </row>
    <row r="8637" spans="1:7" ht="15" x14ac:dyDescent="0.3">
      <c r="A8637">
        <v>39.964326626316897</v>
      </c>
      <c r="B8637">
        <v>-77.075346913627797</v>
      </c>
      <c r="C8637" t="s">
        <v>41</v>
      </c>
      <c r="D8637" t="s">
        <v>4808</v>
      </c>
      <c r="F8637" s="21"/>
      <c r="G8637" s="16" t="str">
        <f>HYPERLINK("http://maps.google.com/maps?f=q&amp;hl=en&amp;geocode=&amp;q=39.9643266263169,-77.0753469136278")</f>
        <v>http://maps.google.com/maps?f=q&amp;hl=en&amp;geocode=&amp;q=39.9643266263169,-77.0753469136278</v>
      </c>
    </row>
    <row r="8638" spans="1:7" ht="15" x14ac:dyDescent="0.3">
      <c r="A8638">
        <v>40.017766826784701</v>
      </c>
      <c r="B8638">
        <v>-75.082533043290795</v>
      </c>
      <c r="C8638" t="s">
        <v>41</v>
      </c>
      <c r="D8638" t="s">
        <v>2702</v>
      </c>
      <c r="F8638" s="21"/>
      <c r="G8638" s="16" t="str">
        <f>HYPERLINK("http://maps.google.com/maps?f=q&amp;hl=en&amp;geocode=&amp;q=40.0177668267847,-75.0825330432908")</f>
        <v>http://maps.google.com/maps?f=q&amp;hl=en&amp;geocode=&amp;q=40.0177668267847,-75.0825330432908</v>
      </c>
    </row>
    <row r="8639" spans="1:7" ht="15" x14ac:dyDescent="0.3">
      <c r="A8639">
        <v>58.133331298828097</v>
      </c>
      <c r="B8639">
        <v>-92.849998474121094</v>
      </c>
      <c r="C8639" t="s">
        <v>43</v>
      </c>
      <c r="D8639" t="s">
        <v>5066</v>
      </c>
      <c r="F8639" s="21"/>
      <c r="G8639" s="16" t="str">
        <f>HYPERLINK("http://maps.google.com/maps?f=q&amp;hl=en&amp;geocode=&amp;q=58.1333312988281,-92.8499984741211")</f>
        <v>http://maps.google.com/maps?f=q&amp;hl=en&amp;geocode=&amp;q=58.1333312988281,-92.8499984741211</v>
      </c>
    </row>
    <row r="8640" spans="1:7" ht="15" x14ac:dyDescent="0.3">
      <c r="A8640">
        <v>58.133331298828097</v>
      </c>
      <c r="B8640">
        <v>-92.849998474121094</v>
      </c>
      <c r="C8640" t="s">
        <v>43</v>
      </c>
      <c r="D8640" t="s">
        <v>5066</v>
      </c>
      <c r="F8640" s="21"/>
      <c r="G8640" s="16" t="str">
        <f>HYPERLINK("http://maps.google.com/maps?f=q&amp;hl=en&amp;geocode=&amp;q=58.1333312988281,-92.8499984741211")</f>
        <v>http://maps.google.com/maps?f=q&amp;hl=en&amp;geocode=&amp;q=58.1333312988281,-92.8499984741211</v>
      </c>
    </row>
    <row r="8641" spans="1:7" ht="15" x14ac:dyDescent="0.3">
      <c r="A8641">
        <v>31.499204979937701</v>
      </c>
      <c r="B8641">
        <v>-106.146350190161</v>
      </c>
      <c r="C8641" t="s">
        <v>41</v>
      </c>
      <c r="D8641" t="s">
        <v>5067</v>
      </c>
      <c r="F8641" s="21"/>
      <c r="G8641" s="16" t="str">
        <f>HYPERLINK("http://maps.google.com/maps?f=q&amp;hl=en&amp;geocode=&amp;q=31.4992049799377,-106.146350190161")</f>
        <v>http://maps.google.com/maps?f=q&amp;hl=en&amp;geocode=&amp;q=31.4992049799377,-106.146350190161</v>
      </c>
    </row>
    <row r="8642" spans="1:7" ht="15" x14ac:dyDescent="0.3">
      <c r="A8642">
        <v>42.951878438351002</v>
      </c>
      <c r="B8642">
        <v>-83.402641075572703</v>
      </c>
      <c r="C8642" t="s">
        <v>41</v>
      </c>
      <c r="D8642" t="s">
        <v>2175</v>
      </c>
      <c r="F8642" s="21"/>
      <c r="G8642" s="16" t="str">
        <f>HYPERLINK("http://maps.google.com/maps?f=q&amp;hl=en&amp;geocode=&amp;q=42.951878438351,-83.4026410755727")</f>
        <v>http://maps.google.com/maps?f=q&amp;hl=en&amp;geocode=&amp;q=42.951878438351,-83.4026410755727</v>
      </c>
    </row>
    <row r="8643" spans="1:7" ht="15" x14ac:dyDescent="0.3">
      <c r="A8643">
        <v>37.301309903521101</v>
      </c>
      <c r="B8643">
        <v>-121.886429283445</v>
      </c>
      <c r="C8643" t="s">
        <v>41</v>
      </c>
      <c r="D8643" t="s">
        <v>5068</v>
      </c>
      <c r="F8643" s="21"/>
      <c r="G8643" s="16" t="str">
        <f>HYPERLINK("http://maps.google.com/maps?f=q&amp;hl=en&amp;geocode=&amp;q=37.3013099035211,-121.886429283445")</f>
        <v>http://maps.google.com/maps?f=q&amp;hl=en&amp;geocode=&amp;q=37.3013099035211,-121.886429283445</v>
      </c>
    </row>
    <row r="8644" spans="1:7" ht="15" x14ac:dyDescent="0.3">
      <c r="A8644">
        <v>43.986699999999999</v>
      </c>
      <c r="B8644">
        <v>-117.24554999999999</v>
      </c>
      <c r="C8644" t="s">
        <v>42</v>
      </c>
      <c r="D8644" t="s">
        <v>5069</v>
      </c>
      <c r="F8644" s="21"/>
      <c r="G8644" s="16" t="str">
        <f>HYPERLINK("http://maps.google.com/maps?f=q&amp;hl=en&amp;geocode=&amp;q=43.9867,-117.24555")</f>
        <v>http://maps.google.com/maps?f=q&amp;hl=en&amp;geocode=&amp;q=43.9867,-117.24555</v>
      </c>
    </row>
    <row r="8645" spans="1:7" ht="15" x14ac:dyDescent="0.3">
      <c r="A8645">
        <v>41.156657482956398</v>
      </c>
      <c r="B8645">
        <v>-111.815157275366</v>
      </c>
      <c r="C8645" t="s">
        <v>41</v>
      </c>
      <c r="D8645" t="s">
        <v>5070</v>
      </c>
      <c r="F8645" s="21"/>
      <c r="G8645" s="16" t="str">
        <f>HYPERLINK("http://maps.google.com/maps?f=q&amp;hl=en&amp;geocode=&amp;q=41.1566574829564,-111.815157275366")</f>
        <v>http://maps.google.com/maps?f=q&amp;hl=en&amp;geocode=&amp;q=41.1566574829564,-111.815157275366</v>
      </c>
    </row>
    <row r="8646" spans="1:7" ht="15" x14ac:dyDescent="0.3">
      <c r="A8646">
        <v>29.701430157552299</v>
      </c>
      <c r="B8646">
        <v>-95.462899598819803</v>
      </c>
      <c r="C8646" t="s">
        <v>41</v>
      </c>
      <c r="D8646" t="s">
        <v>5071</v>
      </c>
      <c r="F8646" s="21"/>
      <c r="G8646" s="16" t="str">
        <f>HYPERLINK("http://maps.google.com/maps?f=q&amp;hl=en&amp;geocode=&amp;q=29.7014301575523,-95.4628995988198")</f>
        <v>http://maps.google.com/maps?f=q&amp;hl=en&amp;geocode=&amp;q=29.7014301575523,-95.4628995988198</v>
      </c>
    </row>
    <row r="8647" spans="1:7" ht="15" x14ac:dyDescent="0.3">
      <c r="A8647">
        <v>42.220695125767399</v>
      </c>
      <c r="B8647">
        <v>-89.697175100014604</v>
      </c>
      <c r="C8647" t="s">
        <v>41</v>
      </c>
      <c r="D8647" t="s">
        <v>5072</v>
      </c>
      <c r="F8647" s="21"/>
      <c r="G8647" s="16" t="str">
        <f>HYPERLINK("http://maps.google.com/maps?f=q&amp;hl=en&amp;geocode=&amp;q=42.2206951257674,-89.6971751000146")</f>
        <v>http://maps.google.com/maps?f=q&amp;hl=en&amp;geocode=&amp;q=42.2206951257674,-89.6971751000146</v>
      </c>
    </row>
    <row r="8648" spans="1:7" ht="15" x14ac:dyDescent="0.3">
      <c r="A8648">
        <v>-23.147590000000001</v>
      </c>
      <c r="B8648">
        <v>150.75756000000001</v>
      </c>
      <c r="C8648" t="s">
        <v>41</v>
      </c>
      <c r="D8648" t="s">
        <v>5073</v>
      </c>
      <c r="F8648" s="21"/>
      <c r="G8648" s="16" t="str">
        <f>HYPERLINK("http://maps.google.com/maps?f=q&amp;hl=en&amp;geocode=&amp;q=-23.14759,150.75756")</f>
        <v>http://maps.google.com/maps?f=q&amp;hl=en&amp;geocode=&amp;q=-23.14759,150.75756</v>
      </c>
    </row>
    <row r="8649" spans="1:7" ht="15" x14ac:dyDescent="0.3">
      <c r="A8649">
        <v>49.558967590332003</v>
      </c>
      <c r="B8649">
        <v>5.8943338394165004</v>
      </c>
      <c r="C8649" t="s">
        <v>41</v>
      </c>
      <c r="D8649" t="s">
        <v>5074</v>
      </c>
      <c r="F8649" s="21"/>
      <c r="G8649" s="16" t="str">
        <f>HYPERLINK("http://maps.google.com/maps?f=q&amp;hl=en&amp;geocode=&amp;q=49.558967590332,5.8943338394165")</f>
        <v>http://maps.google.com/maps?f=q&amp;hl=en&amp;geocode=&amp;q=49.558967590332,5.8943338394165</v>
      </c>
    </row>
    <row r="8650" spans="1:7" ht="15" x14ac:dyDescent="0.3">
      <c r="A8650">
        <v>38.103809433841903</v>
      </c>
      <c r="B8650">
        <v>-84.887756726716802</v>
      </c>
      <c r="C8650" t="s">
        <v>41</v>
      </c>
      <c r="D8650" t="s">
        <v>5075</v>
      </c>
      <c r="F8650" s="21"/>
      <c r="G8650" s="16" t="str">
        <f>HYPERLINK("http://maps.google.com/maps?f=q&amp;hl=en&amp;geocode=&amp;q=38.1038094338419,-84.8877567267168")</f>
        <v>http://maps.google.com/maps?f=q&amp;hl=en&amp;geocode=&amp;q=38.1038094338419,-84.8877567267168</v>
      </c>
    </row>
    <row r="8651" spans="1:7" ht="15" x14ac:dyDescent="0.3">
      <c r="A8651" t="s">
        <v>44</v>
      </c>
      <c r="B8651" t="s">
        <v>44</v>
      </c>
      <c r="C8651" t="s">
        <v>44</v>
      </c>
      <c r="D8651" t="s">
        <v>3767</v>
      </c>
      <c r="F8651" s="21"/>
      <c r="G8651" s="16"/>
    </row>
    <row r="8652" spans="1:7" ht="15" x14ac:dyDescent="0.3">
      <c r="A8652" t="s">
        <v>44</v>
      </c>
      <c r="B8652" t="s">
        <v>44</v>
      </c>
      <c r="C8652" t="s">
        <v>44</v>
      </c>
      <c r="D8652" t="s">
        <v>3767</v>
      </c>
      <c r="F8652" s="21"/>
      <c r="G8652" s="16"/>
    </row>
    <row r="8653" spans="1:7" ht="15" x14ac:dyDescent="0.3">
      <c r="A8653">
        <v>49.585361480712898</v>
      </c>
      <c r="B8653">
        <v>6.1109080314636204</v>
      </c>
      <c r="C8653" t="s">
        <v>41</v>
      </c>
      <c r="D8653" t="s">
        <v>3370</v>
      </c>
      <c r="F8653" s="21"/>
      <c r="G8653" s="16" t="str">
        <f>HYPERLINK("http://maps.google.com/maps?f=q&amp;hl=en&amp;geocode=&amp;q=49.5853614807129,6.11090803146362")</f>
        <v>http://maps.google.com/maps?f=q&amp;hl=en&amp;geocode=&amp;q=49.5853614807129,6.11090803146362</v>
      </c>
    </row>
    <row r="8654" spans="1:7" ht="15" x14ac:dyDescent="0.3">
      <c r="A8654">
        <v>43.742222893534802</v>
      </c>
      <c r="B8654">
        <v>-75.520030787302701</v>
      </c>
      <c r="C8654" t="s">
        <v>41</v>
      </c>
      <c r="D8654" t="s">
        <v>1427</v>
      </c>
      <c r="F8654" s="21"/>
      <c r="G8654" s="16" t="str">
        <f>HYPERLINK("http://maps.google.com/maps?f=q&amp;hl=en&amp;geocode=&amp;q=43.7422228935348,-75.5200307873027")</f>
        <v>http://maps.google.com/maps?f=q&amp;hl=en&amp;geocode=&amp;q=43.7422228935348,-75.5200307873027</v>
      </c>
    </row>
    <row r="8655" spans="1:7" ht="15" x14ac:dyDescent="0.3">
      <c r="A8655">
        <v>40.040700000000001</v>
      </c>
      <c r="B8655">
        <v>-75.122559999999993</v>
      </c>
      <c r="C8655" t="s">
        <v>42</v>
      </c>
      <c r="D8655" t="s">
        <v>3054</v>
      </c>
      <c r="F8655" s="21"/>
      <c r="G8655" s="16" t="str">
        <f>HYPERLINK("http://maps.google.com/maps?f=q&amp;hl=en&amp;geocode=&amp;q=40.0407,-75.12256")</f>
        <v>http://maps.google.com/maps?f=q&amp;hl=en&amp;geocode=&amp;q=40.0407,-75.12256</v>
      </c>
    </row>
    <row r="8656" spans="1:7" ht="15" x14ac:dyDescent="0.3">
      <c r="A8656">
        <v>32.583317490227202</v>
      </c>
      <c r="B8656">
        <v>-83.125344390433597</v>
      </c>
      <c r="C8656" t="s">
        <v>41</v>
      </c>
      <c r="D8656" t="s">
        <v>5039</v>
      </c>
      <c r="F8656" s="21"/>
      <c r="G8656" s="16" t="str">
        <f>HYPERLINK("http://maps.google.com/maps?f=q&amp;hl=en&amp;geocode=&amp;q=32.5833174902272,-83.1253443904336")</f>
        <v>http://maps.google.com/maps?f=q&amp;hl=en&amp;geocode=&amp;q=32.5833174902272,-83.1253443904336</v>
      </c>
    </row>
    <row r="8657" spans="1:7" ht="15" x14ac:dyDescent="0.3">
      <c r="A8657">
        <v>42.7791938781738</v>
      </c>
      <c r="B8657">
        <v>-73.691421508789105</v>
      </c>
      <c r="C8657" t="s">
        <v>43</v>
      </c>
      <c r="D8657" t="s">
        <v>5076</v>
      </c>
      <c r="F8657" s="21"/>
      <c r="G8657" s="16" t="str">
        <f>HYPERLINK("http://maps.google.com/maps?f=q&amp;hl=en&amp;geocode=&amp;q=42.7791938781738,-73.6914215087891")</f>
        <v>http://maps.google.com/maps?f=q&amp;hl=en&amp;geocode=&amp;q=42.7791938781738,-73.6914215087891</v>
      </c>
    </row>
    <row r="8658" spans="1:7" ht="15" x14ac:dyDescent="0.3">
      <c r="A8658">
        <v>33.388450312963599</v>
      </c>
      <c r="B8658">
        <v>-111.79114798448499</v>
      </c>
      <c r="C8658" t="s">
        <v>41</v>
      </c>
      <c r="D8658" t="s">
        <v>5077</v>
      </c>
      <c r="F8658" s="21"/>
      <c r="G8658" s="16" t="str">
        <f>HYPERLINK("http://maps.google.com/maps?f=q&amp;hl=en&amp;geocode=&amp;q=33.3884503129636,-111.791147984485")</f>
        <v>http://maps.google.com/maps?f=q&amp;hl=en&amp;geocode=&amp;q=33.3884503129636,-111.791147984485</v>
      </c>
    </row>
    <row r="8659" spans="1:7" ht="15" x14ac:dyDescent="0.3">
      <c r="A8659">
        <v>39.040599822997997</v>
      </c>
      <c r="B8659">
        <v>-120.63067626953099</v>
      </c>
      <c r="C8659" t="s">
        <v>43</v>
      </c>
      <c r="D8659" t="s">
        <v>3011</v>
      </c>
      <c r="F8659" s="21"/>
      <c r="G8659" s="16" t="str">
        <f>HYPERLINK("http://maps.google.com/maps?f=q&amp;hl=en&amp;geocode=&amp;q=39.040599822998,-120.630676269531")</f>
        <v>http://maps.google.com/maps?f=q&amp;hl=en&amp;geocode=&amp;q=39.040599822998,-120.630676269531</v>
      </c>
    </row>
    <row r="8660" spans="1:7" ht="15" x14ac:dyDescent="0.3">
      <c r="A8660">
        <v>34.095745035327298</v>
      </c>
      <c r="B8660">
        <v>-118.315945615928</v>
      </c>
      <c r="C8660" t="s">
        <v>41</v>
      </c>
      <c r="D8660" t="s">
        <v>5078</v>
      </c>
      <c r="F8660" s="21"/>
      <c r="G8660" s="16" t="str">
        <f>HYPERLINK("http://maps.google.com/maps?f=q&amp;hl=en&amp;geocode=&amp;q=34.0957450353273,-118.315945615928")</f>
        <v>http://maps.google.com/maps?f=q&amp;hl=en&amp;geocode=&amp;q=34.0957450353273,-118.315945615928</v>
      </c>
    </row>
    <row r="8661" spans="1:7" ht="15" x14ac:dyDescent="0.3">
      <c r="A8661">
        <v>39.961570000000002</v>
      </c>
      <c r="B8661">
        <v>-75.199349999999995</v>
      </c>
      <c r="C8661" t="s">
        <v>43</v>
      </c>
      <c r="D8661" t="s">
        <v>111</v>
      </c>
      <c r="F8661" s="21"/>
      <c r="G8661" s="16" t="str">
        <f>HYPERLINK("http://maps.google.com/maps?f=q&amp;hl=en&amp;geocode=&amp;q=39.96157,-75.19935")</f>
        <v>http://maps.google.com/maps?f=q&amp;hl=en&amp;geocode=&amp;q=39.96157,-75.19935</v>
      </c>
    </row>
    <row r="8662" spans="1:7" ht="15" x14ac:dyDescent="0.3">
      <c r="A8662">
        <v>39.996459999999999</v>
      </c>
      <c r="B8662">
        <v>-75.173010000000005</v>
      </c>
      <c r="C8662" t="s">
        <v>41</v>
      </c>
      <c r="D8662" t="s">
        <v>4146</v>
      </c>
      <c r="F8662" s="21"/>
      <c r="G8662" s="16" t="str">
        <f>HYPERLINK("http://maps.google.com/maps?f=q&amp;hl=en&amp;geocode=&amp;q=39.99646,-75.17301")</f>
        <v>http://maps.google.com/maps?f=q&amp;hl=en&amp;geocode=&amp;q=39.99646,-75.17301</v>
      </c>
    </row>
    <row r="8663" spans="1:7" ht="15" x14ac:dyDescent="0.3">
      <c r="A8663">
        <v>47.1358394860221</v>
      </c>
      <c r="B8663">
        <v>-92.417678243473205</v>
      </c>
      <c r="C8663" t="s">
        <v>41</v>
      </c>
      <c r="D8663" t="s">
        <v>4835</v>
      </c>
      <c r="F8663" s="21"/>
      <c r="G8663" s="16" t="str">
        <f>HYPERLINK("http://maps.google.com/maps?f=q&amp;hl=en&amp;geocode=&amp;q=47.1358394860221,-92.4176782434732")</f>
        <v>http://maps.google.com/maps?f=q&amp;hl=en&amp;geocode=&amp;q=47.1358394860221,-92.4176782434732</v>
      </c>
    </row>
    <row r="8664" spans="1:7" ht="15" x14ac:dyDescent="0.3">
      <c r="A8664">
        <v>47.1358394860221</v>
      </c>
      <c r="B8664">
        <v>-92.417678243473205</v>
      </c>
      <c r="C8664" t="s">
        <v>41</v>
      </c>
      <c r="D8664" t="s">
        <v>4835</v>
      </c>
      <c r="F8664" s="21"/>
      <c r="G8664" s="16" t="str">
        <f>HYPERLINK("http://maps.google.com/maps?f=q&amp;hl=en&amp;geocode=&amp;q=47.1358394860221,-92.4176782434732")</f>
        <v>http://maps.google.com/maps?f=q&amp;hl=en&amp;geocode=&amp;q=47.1358394860221,-92.4176782434732</v>
      </c>
    </row>
    <row r="8665" spans="1:7" ht="15" x14ac:dyDescent="0.3">
      <c r="A8665">
        <v>45.938569999999999</v>
      </c>
      <c r="B8665">
        <v>13.512219999999999</v>
      </c>
      <c r="C8665" t="s">
        <v>41</v>
      </c>
      <c r="D8665" t="s">
        <v>5079</v>
      </c>
      <c r="F8665" s="21"/>
      <c r="G8665" s="16" t="str">
        <f>HYPERLINK("http://maps.google.com/maps?f=q&amp;hl=en&amp;geocode=&amp;q=45.93857,13.51222")</f>
        <v>http://maps.google.com/maps?f=q&amp;hl=en&amp;geocode=&amp;q=45.93857,13.51222</v>
      </c>
    </row>
    <row r="8666" spans="1:7" ht="15" x14ac:dyDescent="0.3">
      <c r="A8666" t="s">
        <v>44</v>
      </c>
      <c r="B8666" t="s">
        <v>44</v>
      </c>
      <c r="C8666" t="s">
        <v>44</v>
      </c>
      <c r="D8666" t="s">
        <v>3421</v>
      </c>
      <c r="F8666" s="21"/>
      <c r="G8666" s="16"/>
    </row>
    <row r="8667" spans="1:7" ht="15" x14ac:dyDescent="0.3">
      <c r="A8667" t="s">
        <v>44</v>
      </c>
      <c r="B8667" t="s">
        <v>44</v>
      </c>
      <c r="C8667" t="s">
        <v>44</v>
      </c>
      <c r="D8667" t="s">
        <v>3421</v>
      </c>
      <c r="F8667" s="21"/>
      <c r="G8667" s="16"/>
    </row>
    <row r="8668" spans="1:7" ht="15" x14ac:dyDescent="0.3">
      <c r="A8668">
        <v>40.647956546339202</v>
      </c>
      <c r="B8668">
        <v>-98.894844981076403</v>
      </c>
      <c r="C8668" t="s">
        <v>41</v>
      </c>
      <c r="D8668" t="s">
        <v>5080</v>
      </c>
      <c r="F8668" s="21"/>
      <c r="G8668" s="16" t="str">
        <f>HYPERLINK("http://maps.google.com/maps?f=q&amp;hl=en&amp;geocode=&amp;q=40.6479565463392,-98.8948449810764")</f>
        <v>http://maps.google.com/maps?f=q&amp;hl=en&amp;geocode=&amp;q=40.6479565463392,-98.8948449810764</v>
      </c>
    </row>
    <row r="8669" spans="1:7" ht="15" x14ac:dyDescent="0.3">
      <c r="A8669" t="s">
        <v>44</v>
      </c>
      <c r="B8669" t="s">
        <v>44</v>
      </c>
      <c r="C8669" t="s">
        <v>44</v>
      </c>
      <c r="D8669" t="s">
        <v>4310</v>
      </c>
      <c r="F8669" s="21"/>
      <c r="G8669" s="16"/>
    </row>
    <row r="8670" spans="1:7" ht="15" x14ac:dyDescent="0.3">
      <c r="A8670">
        <v>40.002512085838298</v>
      </c>
      <c r="B8670">
        <v>-86.180620227777197</v>
      </c>
      <c r="C8670" t="s">
        <v>41</v>
      </c>
      <c r="D8670" t="s">
        <v>3436</v>
      </c>
      <c r="F8670" s="21"/>
      <c r="G8670" s="16" t="str">
        <f>HYPERLINK("http://maps.google.com/maps?f=q&amp;hl=en&amp;geocode=&amp;q=40.0025120858383,-86.1806202277772")</f>
        <v>http://maps.google.com/maps?f=q&amp;hl=en&amp;geocode=&amp;q=40.0025120858383,-86.1806202277772</v>
      </c>
    </row>
    <row r="8671" spans="1:7" ht="15" x14ac:dyDescent="0.3">
      <c r="A8671">
        <v>33.955483240022502</v>
      </c>
      <c r="B8671">
        <v>-84.283357440164195</v>
      </c>
      <c r="C8671" t="s">
        <v>41</v>
      </c>
      <c r="D8671" t="s">
        <v>4712</v>
      </c>
      <c r="F8671" s="21"/>
      <c r="G8671" s="16" t="str">
        <f>HYPERLINK("http://maps.google.com/maps?f=q&amp;hl=en&amp;geocode=&amp;q=33.9554832400225,-84.2833574401642")</f>
        <v>http://maps.google.com/maps?f=q&amp;hl=en&amp;geocode=&amp;q=33.9554832400225,-84.2833574401642</v>
      </c>
    </row>
    <row r="8672" spans="1:7" ht="15" x14ac:dyDescent="0.3">
      <c r="A8672">
        <v>43.0209444875047</v>
      </c>
      <c r="B8672">
        <v>-95.623938495741399</v>
      </c>
      <c r="C8672" t="s">
        <v>41</v>
      </c>
      <c r="D8672" t="s">
        <v>5081</v>
      </c>
      <c r="F8672" s="21"/>
      <c r="G8672" s="16" t="str">
        <f>HYPERLINK("http://maps.google.com/maps?f=q&amp;hl=en&amp;geocode=&amp;q=43.0209444875047,-95.6239384957414")</f>
        <v>http://maps.google.com/maps?f=q&amp;hl=en&amp;geocode=&amp;q=43.0209444875047,-95.6239384957414</v>
      </c>
    </row>
    <row r="8673" spans="1:7" ht="15" x14ac:dyDescent="0.3">
      <c r="A8673">
        <v>34.2388127476259</v>
      </c>
      <c r="B8673">
        <v>-84.099867391145807</v>
      </c>
      <c r="C8673" t="s">
        <v>41</v>
      </c>
      <c r="D8673" t="s">
        <v>5082</v>
      </c>
      <c r="F8673" s="21"/>
      <c r="G8673" s="16" t="str">
        <f>HYPERLINK("http://maps.google.com/maps?f=q&amp;hl=en&amp;geocode=&amp;q=34.2388127476259,-84.0998673911458")</f>
        <v>http://maps.google.com/maps?f=q&amp;hl=en&amp;geocode=&amp;q=34.2388127476259,-84.0998673911458</v>
      </c>
    </row>
    <row r="8674" spans="1:7" ht="15" x14ac:dyDescent="0.3">
      <c r="A8674" t="s">
        <v>44</v>
      </c>
      <c r="B8674" t="s">
        <v>44</v>
      </c>
      <c r="C8674" t="s">
        <v>44</v>
      </c>
      <c r="D8674" t="s">
        <v>5083</v>
      </c>
      <c r="F8674" s="21"/>
      <c r="G8674" s="16"/>
    </row>
    <row r="8675" spans="1:7" ht="15" x14ac:dyDescent="0.3">
      <c r="A8675">
        <v>41.217081324749003</v>
      </c>
      <c r="B8675">
        <v>-79.758092826147106</v>
      </c>
      <c r="C8675" t="s">
        <v>43</v>
      </c>
      <c r="D8675" t="s">
        <v>4542</v>
      </c>
      <c r="F8675" s="21"/>
      <c r="G8675" s="16" t="str">
        <f>HYPERLINK("http://maps.google.com/maps?f=q&amp;hl=en&amp;geocode=&amp;q=41.217081324749,-79.7580928261471")</f>
        <v>http://maps.google.com/maps?f=q&amp;hl=en&amp;geocode=&amp;q=41.217081324749,-79.7580928261471</v>
      </c>
    </row>
    <row r="8676" spans="1:7" ht="15" x14ac:dyDescent="0.3">
      <c r="A8676">
        <v>59.5597114562988</v>
      </c>
      <c r="B8676">
        <v>5.5075998306274396</v>
      </c>
      <c r="C8676" t="s">
        <v>43</v>
      </c>
      <c r="D8676" t="s">
        <v>5084</v>
      </c>
      <c r="F8676" s="21"/>
      <c r="G8676" s="16" t="str">
        <f>HYPERLINK("http://maps.google.com/maps?f=q&amp;hl=en&amp;geocode=&amp;q=59.5597114562988,5.50759983062744")</f>
        <v>http://maps.google.com/maps?f=q&amp;hl=en&amp;geocode=&amp;q=59.5597114562988,5.50759983062744</v>
      </c>
    </row>
    <row r="8677" spans="1:7" ht="15" x14ac:dyDescent="0.3">
      <c r="A8677" t="s">
        <v>44</v>
      </c>
      <c r="B8677" t="s">
        <v>44</v>
      </c>
      <c r="C8677" t="s">
        <v>44</v>
      </c>
      <c r="D8677" t="s">
        <v>5085</v>
      </c>
      <c r="F8677" s="21"/>
      <c r="G8677" s="16"/>
    </row>
    <row r="8678" spans="1:7" ht="15" x14ac:dyDescent="0.3">
      <c r="A8678">
        <v>40.894489288330099</v>
      </c>
      <c r="B8678">
        <v>-72.892898559570298</v>
      </c>
      <c r="C8678" t="s">
        <v>43</v>
      </c>
      <c r="D8678" t="s">
        <v>452</v>
      </c>
      <c r="F8678" s="21"/>
      <c r="G8678" s="16" t="str">
        <f>HYPERLINK("http://maps.google.com/maps?f=q&amp;hl=en&amp;geocode=&amp;q=40.8944892883301,-72.8928985595703")</f>
        <v>http://maps.google.com/maps?f=q&amp;hl=en&amp;geocode=&amp;q=40.8944892883301,-72.8928985595703</v>
      </c>
    </row>
    <row r="8679" spans="1:7" ht="15" x14ac:dyDescent="0.3">
      <c r="A8679">
        <v>36.248629999999999</v>
      </c>
      <c r="B8679">
        <v>-119.31603</v>
      </c>
      <c r="C8679" t="s">
        <v>41</v>
      </c>
      <c r="D8679" t="s">
        <v>469</v>
      </c>
      <c r="F8679" s="21"/>
      <c r="G8679" s="16" t="str">
        <f>HYPERLINK("http://maps.google.com/maps?f=q&amp;hl=en&amp;geocode=&amp;q=36.24863,-119.31603")</f>
        <v>http://maps.google.com/maps?f=q&amp;hl=en&amp;geocode=&amp;q=36.24863,-119.31603</v>
      </c>
    </row>
    <row r="8680" spans="1:7" ht="15" x14ac:dyDescent="0.3">
      <c r="A8680">
        <v>36.248629999999999</v>
      </c>
      <c r="B8680">
        <v>-119.31603</v>
      </c>
      <c r="C8680" t="s">
        <v>41</v>
      </c>
      <c r="D8680" t="s">
        <v>469</v>
      </c>
      <c r="F8680" s="21"/>
      <c r="G8680" s="16" t="str">
        <f>HYPERLINK("http://maps.google.com/maps?f=q&amp;hl=en&amp;geocode=&amp;q=36.24863,-119.31603")</f>
        <v>http://maps.google.com/maps?f=q&amp;hl=en&amp;geocode=&amp;q=36.24863,-119.31603</v>
      </c>
    </row>
    <row r="8681" spans="1:7" ht="15" x14ac:dyDescent="0.3">
      <c r="A8681" t="s">
        <v>44</v>
      </c>
      <c r="B8681" t="s">
        <v>44</v>
      </c>
      <c r="C8681" t="s">
        <v>44</v>
      </c>
      <c r="D8681" t="s">
        <v>5086</v>
      </c>
      <c r="F8681" s="21"/>
      <c r="G8681" s="16"/>
    </row>
    <row r="8682" spans="1:7" ht="15" x14ac:dyDescent="0.3">
      <c r="A8682">
        <v>40.001970537903503</v>
      </c>
      <c r="B8682">
        <v>-75.137459626734298</v>
      </c>
      <c r="C8682" t="s">
        <v>41</v>
      </c>
      <c r="D8682" t="s">
        <v>5087</v>
      </c>
      <c r="F8682" s="21"/>
      <c r="G8682" s="16" t="str">
        <f>HYPERLINK("http://maps.google.com/maps?f=q&amp;hl=en&amp;geocode=&amp;q=40.0019705379035,-75.1374596267343")</f>
        <v>http://maps.google.com/maps?f=q&amp;hl=en&amp;geocode=&amp;q=40.0019705379035,-75.1374596267343</v>
      </c>
    </row>
    <row r="8683" spans="1:7" ht="15" x14ac:dyDescent="0.3">
      <c r="A8683">
        <v>40.683799999999998</v>
      </c>
      <c r="B8683">
        <v>-89.618459999999999</v>
      </c>
      <c r="C8683" t="s">
        <v>41</v>
      </c>
      <c r="D8683" t="s">
        <v>5088</v>
      </c>
      <c r="F8683" s="21"/>
      <c r="G8683" s="16" t="str">
        <f>HYPERLINK("http://maps.google.com/maps?f=q&amp;hl=en&amp;geocode=&amp;q=40.6838,-89.61846")</f>
        <v>http://maps.google.com/maps?f=q&amp;hl=en&amp;geocode=&amp;q=40.6838,-89.61846</v>
      </c>
    </row>
    <row r="8684" spans="1:7" ht="15" x14ac:dyDescent="0.3">
      <c r="A8684">
        <v>39.294969999999999</v>
      </c>
      <c r="B8684">
        <v>-76.699950000000001</v>
      </c>
      <c r="C8684" t="s">
        <v>41</v>
      </c>
      <c r="D8684" t="s">
        <v>4273</v>
      </c>
      <c r="F8684" s="21"/>
      <c r="G8684" s="16" t="str">
        <f>HYPERLINK("http://maps.google.com/maps?f=q&amp;hl=en&amp;geocode=&amp;q=39.29497,-76.69995")</f>
        <v>http://maps.google.com/maps?f=q&amp;hl=en&amp;geocode=&amp;q=39.29497,-76.69995</v>
      </c>
    </row>
    <row r="8685" spans="1:7" ht="15" x14ac:dyDescent="0.3">
      <c r="A8685" t="s">
        <v>44</v>
      </c>
      <c r="B8685" t="s">
        <v>44</v>
      </c>
      <c r="C8685" t="s">
        <v>44</v>
      </c>
      <c r="D8685" t="s">
        <v>5089</v>
      </c>
      <c r="F8685" s="21"/>
      <c r="G8685" s="16"/>
    </row>
    <row r="8686" spans="1:7" ht="15" x14ac:dyDescent="0.3">
      <c r="A8686">
        <v>40.040390000000002</v>
      </c>
      <c r="B8686">
        <v>-75.109629999999996</v>
      </c>
      <c r="C8686" t="s">
        <v>43</v>
      </c>
      <c r="D8686" t="s">
        <v>777</v>
      </c>
      <c r="F8686" s="21"/>
      <c r="G8686" s="16" t="str">
        <f>HYPERLINK("http://maps.google.com/maps?f=q&amp;hl=en&amp;geocode=&amp;q=40.04039,-75.10963")</f>
        <v>http://maps.google.com/maps?f=q&amp;hl=en&amp;geocode=&amp;q=40.04039,-75.10963</v>
      </c>
    </row>
    <row r="8687" spans="1:7" ht="15" x14ac:dyDescent="0.3">
      <c r="A8687">
        <v>34.089030000000001</v>
      </c>
      <c r="B8687">
        <v>-117.33439</v>
      </c>
      <c r="C8687" t="s">
        <v>41</v>
      </c>
      <c r="D8687" t="s">
        <v>5090</v>
      </c>
      <c r="F8687" s="21"/>
      <c r="G8687" s="16" t="str">
        <f>HYPERLINK("http://maps.google.com/maps?f=q&amp;hl=en&amp;geocode=&amp;q=34.08903,-117.33439")</f>
        <v>http://maps.google.com/maps?f=q&amp;hl=en&amp;geocode=&amp;q=34.08903,-117.33439</v>
      </c>
    </row>
    <row r="8688" spans="1:7" ht="15" x14ac:dyDescent="0.3">
      <c r="A8688">
        <v>38.772280000000002</v>
      </c>
      <c r="B8688">
        <v>-112.08293</v>
      </c>
      <c r="C8688" t="s">
        <v>43</v>
      </c>
      <c r="D8688" t="s">
        <v>690</v>
      </c>
      <c r="F8688" s="21"/>
      <c r="G8688" s="16" t="str">
        <f>HYPERLINK("http://maps.google.com/maps?f=q&amp;hl=en&amp;geocode=&amp;q=38.77228,-112.08293")</f>
        <v>http://maps.google.com/maps?f=q&amp;hl=en&amp;geocode=&amp;q=38.77228,-112.08293</v>
      </c>
    </row>
    <row r="8689" spans="1:7" ht="15" x14ac:dyDescent="0.3">
      <c r="A8689">
        <v>38.957380000000001</v>
      </c>
      <c r="B8689">
        <v>-77.090639999999993</v>
      </c>
      <c r="C8689" t="s">
        <v>41</v>
      </c>
      <c r="D8689" t="s">
        <v>5091</v>
      </c>
      <c r="F8689" s="21"/>
      <c r="G8689" s="16" t="str">
        <f>HYPERLINK("http://maps.google.com/maps?f=q&amp;hl=en&amp;geocode=&amp;q=38.95738,-77.09064")</f>
        <v>http://maps.google.com/maps?f=q&amp;hl=en&amp;geocode=&amp;q=38.95738,-77.09064</v>
      </c>
    </row>
    <row r="8690" spans="1:7" ht="15" x14ac:dyDescent="0.3">
      <c r="A8690">
        <v>40.024619260599501</v>
      </c>
      <c r="B8690">
        <v>-75.131679512591504</v>
      </c>
      <c r="C8690" t="s">
        <v>41</v>
      </c>
      <c r="D8690" t="s">
        <v>513</v>
      </c>
      <c r="F8690" s="21"/>
      <c r="G8690" s="16" t="str">
        <f>HYPERLINK("http://maps.google.com/maps?f=q&amp;hl=en&amp;geocode=&amp;q=40.0246192605995,-75.1316795125915")</f>
        <v>http://maps.google.com/maps?f=q&amp;hl=en&amp;geocode=&amp;q=40.0246192605995,-75.1316795125915</v>
      </c>
    </row>
    <row r="8691" spans="1:7" ht="15" x14ac:dyDescent="0.3">
      <c r="A8691">
        <v>39.990549999999999</v>
      </c>
      <c r="B8691">
        <v>-75.100309999999993</v>
      </c>
      <c r="C8691" t="s">
        <v>41</v>
      </c>
      <c r="D8691" t="s">
        <v>1630</v>
      </c>
      <c r="F8691" s="21"/>
      <c r="G8691" s="16" t="str">
        <f>HYPERLINK("http://maps.google.com/maps?f=q&amp;hl=en&amp;geocode=&amp;q=39.99055,-75.10031")</f>
        <v>http://maps.google.com/maps?f=q&amp;hl=en&amp;geocode=&amp;q=39.99055,-75.10031</v>
      </c>
    </row>
    <row r="8692" spans="1:7" ht="15" x14ac:dyDescent="0.3">
      <c r="A8692">
        <v>35.856969999999997</v>
      </c>
      <c r="B8692">
        <v>-78.636669999999995</v>
      </c>
      <c r="C8692" t="s">
        <v>41</v>
      </c>
      <c r="D8692" t="s">
        <v>5092</v>
      </c>
      <c r="F8692" s="21"/>
      <c r="G8692" s="16" t="str">
        <f>HYPERLINK("http://maps.google.com/maps?f=q&amp;hl=en&amp;geocode=&amp;q=35.85697,-78.63667")</f>
        <v>http://maps.google.com/maps?f=q&amp;hl=en&amp;geocode=&amp;q=35.85697,-78.63667</v>
      </c>
    </row>
    <row r="8693" spans="1:7" ht="15" x14ac:dyDescent="0.3">
      <c r="A8693">
        <v>52.6621284484863</v>
      </c>
      <c r="B8693">
        <v>-0.65426599979400601</v>
      </c>
      <c r="C8693" t="s">
        <v>41</v>
      </c>
      <c r="D8693" t="s">
        <v>5093</v>
      </c>
      <c r="F8693" s="21"/>
      <c r="G8693" s="16" t="str">
        <f>HYPERLINK("http://maps.google.com/maps?f=q&amp;hl=en&amp;geocode=&amp;q=52.6621284484863,-0.654265999794006")</f>
        <v>http://maps.google.com/maps?f=q&amp;hl=en&amp;geocode=&amp;q=52.6621284484863,-0.654265999794006</v>
      </c>
    </row>
    <row r="8694" spans="1:7" ht="15" x14ac:dyDescent="0.3">
      <c r="A8694">
        <v>46.955040910953102</v>
      </c>
      <c r="B8694">
        <v>-114.011424534187</v>
      </c>
      <c r="C8694" t="s">
        <v>41</v>
      </c>
      <c r="D8694" t="s">
        <v>4457</v>
      </c>
      <c r="F8694" s="21"/>
      <c r="G8694" s="16" t="str">
        <f>HYPERLINK("http://maps.google.com/maps?f=q&amp;hl=en&amp;geocode=&amp;q=46.9550409109531,-114.011424534187")</f>
        <v>http://maps.google.com/maps?f=q&amp;hl=en&amp;geocode=&amp;q=46.9550409109531,-114.011424534187</v>
      </c>
    </row>
    <row r="8695" spans="1:7" ht="15" x14ac:dyDescent="0.3">
      <c r="A8695">
        <v>40.120491027832003</v>
      </c>
      <c r="B8695">
        <v>-80.242279052734403</v>
      </c>
      <c r="C8695" t="s">
        <v>43</v>
      </c>
      <c r="D8695" t="s">
        <v>5094</v>
      </c>
      <c r="F8695" s="21"/>
      <c r="G8695" s="16" t="str">
        <f>HYPERLINK("http://maps.google.com/maps?f=q&amp;hl=en&amp;geocode=&amp;q=40.120491027832,-80.2422790527344")</f>
        <v>http://maps.google.com/maps?f=q&amp;hl=en&amp;geocode=&amp;q=40.120491027832,-80.2422790527344</v>
      </c>
    </row>
    <row r="8696" spans="1:7" ht="15" x14ac:dyDescent="0.3">
      <c r="A8696">
        <v>30.801156269102101</v>
      </c>
      <c r="B8696">
        <v>-85.085906646077206</v>
      </c>
      <c r="C8696" t="s">
        <v>42</v>
      </c>
      <c r="D8696" t="s">
        <v>5095</v>
      </c>
      <c r="F8696" s="21"/>
      <c r="G8696" s="16" t="str">
        <f>HYPERLINK("http://maps.google.com/maps?f=q&amp;hl=en&amp;geocode=&amp;q=30.8011562691021,-85.0859066460772")</f>
        <v>http://maps.google.com/maps?f=q&amp;hl=en&amp;geocode=&amp;q=30.8011562691021,-85.0859066460772</v>
      </c>
    </row>
    <row r="8697" spans="1:7" ht="15" x14ac:dyDescent="0.3">
      <c r="A8697">
        <v>42.814437359249702</v>
      </c>
      <c r="B8697">
        <v>-70.814843070329701</v>
      </c>
      <c r="C8697" t="s">
        <v>41</v>
      </c>
      <c r="D8697" t="s">
        <v>5096</v>
      </c>
      <c r="F8697" s="21"/>
      <c r="G8697" s="16" t="str">
        <f>HYPERLINK("http://maps.google.com/maps?f=q&amp;hl=en&amp;geocode=&amp;q=42.8144373592497,-70.8148430703297")</f>
        <v>http://maps.google.com/maps?f=q&amp;hl=en&amp;geocode=&amp;q=42.8144373592497,-70.8148430703297</v>
      </c>
    </row>
    <row r="8698" spans="1:7" ht="15" x14ac:dyDescent="0.3">
      <c r="A8698">
        <v>40.120491027832003</v>
      </c>
      <c r="B8698">
        <v>-80.242279052734403</v>
      </c>
      <c r="C8698" t="s">
        <v>43</v>
      </c>
      <c r="D8698" t="s">
        <v>5097</v>
      </c>
      <c r="F8698" s="21"/>
      <c r="G8698" s="16" t="str">
        <f>HYPERLINK("http://maps.google.com/maps?f=q&amp;hl=en&amp;geocode=&amp;q=40.120491027832,-80.2422790527344")</f>
        <v>http://maps.google.com/maps?f=q&amp;hl=en&amp;geocode=&amp;q=40.120491027832,-80.2422790527344</v>
      </c>
    </row>
    <row r="8699" spans="1:7" ht="15" x14ac:dyDescent="0.3">
      <c r="A8699">
        <v>41.255760000000002</v>
      </c>
      <c r="B8699">
        <v>-81.447999999999993</v>
      </c>
      <c r="C8699" t="s">
        <v>41</v>
      </c>
      <c r="D8699" t="s">
        <v>3338</v>
      </c>
      <c r="F8699" s="21"/>
      <c r="G8699" s="16" t="str">
        <f>HYPERLINK("http://maps.google.com/maps?f=q&amp;hl=en&amp;geocode=&amp;q=41.25576,-81.448")</f>
        <v>http://maps.google.com/maps?f=q&amp;hl=en&amp;geocode=&amp;q=41.25576,-81.448</v>
      </c>
    </row>
    <row r="8700" spans="1:7" ht="15" x14ac:dyDescent="0.3">
      <c r="A8700">
        <v>35.850896068975104</v>
      </c>
      <c r="B8700">
        <v>-92.651796205033605</v>
      </c>
      <c r="C8700" t="s">
        <v>42</v>
      </c>
      <c r="D8700" t="s">
        <v>5098</v>
      </c>
      <c r="F8700" s="21"/>
      <c r="G8700" s="16" t="str">
        <f>HYPERLINK("http://maps.google.com/maps?f=q&amp;hl=en&amp;geocode=&amp;q=35.8508960689751,-92.6517962050336")</f>
        <v>http://maps.google.com/maps?f=q&amp;hl=en&amp;geocode=&amp;q=35.8508960689751,-92.6517962050336</v>
      </c>
    </row>
    <row r="8701" spans="1:7" ht="15" x14ac:dyDescent="0.3">
      <c r="A8701" t="s">
        <v>44</v>
      </c>
      <c r="B8701" t="s">
        <v>44</v>
      </c>
      <c r="C8701" t="s">
        <v>44</v>
      </c>
      <c r="D8701" t="s">
        <v>3916</v>
      </c>
      <c r="F8701" s="21"/>
      <c r="G8701" s="16"/>
    </row>
    <row r="8702" spans="1:7" ht="15" x14ac:dyDescent="0.3">
      <c r="A8702">
        <v>39.955100000000002</v>
      </c>
      <c r="B8702">
        <v>-75.219840000000005</v>
      </c>
      <c r="C8702" t="s">
        <v>42</v>
      </c>
      <c r="D8702" t="s">
        <v>2457</v>
      </c>
      <c r="F8702" s="21"/>
      <c r="G8702" s="16" t="str">
        <f>HYPERLINK("http://maps.google.com/maps?f=q&amp;hl=en&amp;geocode=&amp;q=39.9551,-75.21984")</f>
        <v>http://maps.google.com/maps?f=q&amp;hl=en&amp;geocode=&amp;q=39.9551,-75.21984</v>
      </c>
    </row>
    <row r="8703" spans="1:7" ht="15" x14ac:dyDescent="0.3">
      <c r="A8703">
        <v>43.018824173148602</v>
      </c>
      <c r="B8703">
        <v>-83.804279379061001</v>
      </c>
      <c r="C8703" t="s">
        <v>43</v>
      </c>
      <c r="D8703" t="s">
        <v>3995</v>
      </c>
      <c r="F8703" s="21"/>
      <c r="G8703" s="16" t="str">
        <f>HYPERLINK("http://maps.google.com/maps?f=q&amp;hl=en&amp;geocode=&amp;q=43.0188241731486,-83.804279379061")</f>
        <v>http://maps.google.com/maps?f=q&amp;hl=en&amp;geocode=&amp;q=43.0188241731486,-83.804279379061</v>
      </c>
    </row>
    <row r="8704" spans="1:7" ht="15" x14ac:dyDescent="0.3">
      <c r="A8704">
        <v>42.062980651855497</v>
      </c>
      <c r="B8704">
        <v>-88.122947692871094</v>
      </c>
      <c r="C8704" t="s">
        <v>43</v>
      </c>
      <c r="D8704" t="s">
        <v>5099</v>
      </c>
      <c r="F8704" s="21"/>
      <c r="G8704" s="16" t="str">
        <f>HYPERLINK("http://maps.google.com/maps?f=q&amp;hl=en&amp;geocode=&amp;q=42.0629806518555,-88.1229476928711")</f>
        <v>http://maps.google.com/maps?f=q&amp;hl=en&amp;geocode=&amp;q=42.0629806518555,-88.1229476928711</v>
      </c>
    </row>
    <row r="8705" spans="1:7" ht="15" x14ac:dyDescent="0.3">
      <c r="A8705">
        <v>45.887260437011697</v>
      </c>
      <c r="B8705">
        <v>23.654890060424801</v>
      </c>
      <c r="C8705" t="s">
        <v>43</v>
      </c>
      <c r="D8705" t="s">
        <v>4813</v>
      </c>
      <c r="F8705" s="21"/>
      <c r="G8705" s="16" t="str">
        <f>HYPERLINK("http://maps.google.com/maps?f=q&amp;hl=en&amp;geocode=&amp;q=45.8872604370117,23.6548900604248")</f>
        <v>http://maps.google.com/maps?f=q&amp;hl=en&amp;geocode=&amp;q=45.8872604370117,23.6548900604248</v>
      </c>
    </row>
    <row r="8706" spans="1:7" ht="15" x14ac:dyDescent="0.3">
      <c r="A8706">
        <v>43.096909823569597</v>
      </c>
      <c r="B8706">
        <v>-78.873910995161694</v>
      </c>
      <c r="C8706" t="s">
        <v>41</v>
      </c>
      <c r="D8706" t="s">
        <v>1669</v>
      </c>
      <c r="F8706" s="21"/>
      <c r="G8706" s="16" t="str">
        <f>HYPERLINK("http://maps.google.com/maps?f=q&amp;hl=en&amp;geocode=&amp;q=43.0969098235696,-78.8739109951617")</f>
        <v>http://maps.google.com/maps?f=q&amp;hl=en&amp;geocode=&amp;q=43.0969098235696,-78.8739109951617</v>
      </c>
    </row>
    <row r="8707" spans="1:7" ht="15" x14ac:dyDescent="0.3">
      <c r="A8707">
        <v>31.34044781015</v>
      </c>
      <c r="B8707">
        <v>-100.696838910087</v>
      </c>
      <c r="C8707" t="s">
        <v>41</v>
      </c>
      <c r="D8707" t="s">
        <v>5100</v>
      </c>
      <c r="F8707" s="21"/>
      <c r="G8707" s="16" t="str">
        <f>HYPERLINK("http://maps.google.com/maps?f=q&amp;hl=en&amp;geocode=&amp;q=31.34044781015,-100.696838910087")</f>
        <v>http://maps.google.com/maps?f=q&amp;hl=en&amp;geocode=&amp;q=31.34044781015,-100.696838910087</v>
      </c>
    </row>
    <row r="8708" spans="1:7" ht="15" x14ac:dyDescent="0.3">
      <c r="A8708">
        <v>39.013379999999998</v>
      </c>
      <c r="B8708">
        <v>-84.658150000000006</v>
      </c>
      <c r="C8708" t="s">
        <v>41</v>
      </c>
      <c r="D8708" t="s">
        <v>5101</v>
      </c>
      <c r="F8708" s="21"/>
      <c r="G8708" s="16" t="str">
        <f>HYPERLINK("http://maps.google.com/maps?f=q&amp;hl=en&amp;geocode=&amp;q=39.01338,-84.65815")</f>
        <v>http://maps.google.com/maps?f=q&amp;hl=en&amp;geocode=&amp;q=39.01338,-84.65815</v>
      </c>
    </row>
    <row r="8709" spans="1:7" ht="15" x14ac:dyDescent="0.3">
      <c r="A8709">
        <v>-23.147590000000001</v>
      </c>
      <c r="B8709">
        <v>150.75756000000001</v>
      </c>
      <c r="C8709" t="s">
        <v>41</v>
      </c>
      <c r="D8709" t="s">
        <v>5073</v>
      </c>
      <c r="F8709" s="21"/>
      <c r="G8709" s="16" t="str">
        <f>HYPERLINK("http://maps.google.com/maps?f=q&amp;hl=en&amp;geocode=&amp;q=-23.14759,150.75756")</f>
        <v>http://maps.google.com/maps?f=q&amp;hl=en&amp;geocode=&amp;q=-23.14759,150.75756</v>
      </c>
    </row>
    <row r="8710" spans="1:7" ht="15" x14ac:dyDescent="0.3">
      <c r="A8710">
        <v>39.964037151577102</v>
      </c>
      <c r="B8710">
        <v>-75.143602617569897</v>
      </c>
      <c r="C8710" t="s">
        <v>41</v>
      </c>
      <c r="D8710" t="s">
        <v>5102</v>
      </c>
      <c r="F8710" s="21"/>
      <c r="G8710" s="16" t="str">
        <f>HYPERLINK("http://maps.google.com/maps?f=q&amp;hl=en&amp;geocode=&amp;q=39.9640371515771,-75.1436026175699")</f>
        <v>http://maps.google.com/maps?f=q&amp;hl=en&amp;geocode=&amp;q=39.9640371515771,-75.1436026175699</v>
      </c>
    </row>
    <row r="8711" spans="1:7" ht="15" x14ac:dyDescent="0.3">
      <c r="A8711">
        <v>32.274881000000001</v>
      </c>
      <c r="B8711">
        <v>-92.713254000000006</v>
      </c>
      <c r="C8711" t="s">
        <v>41</v>
      </c>
      <c r="D8711" t="s">
        <v>2651</v>
      </c>
      <c r="F8711" s="21"/>
      <c r="G8711" s="16" t="str">
        <f>HYPERLINK("http://maps.google.com/maps?f=q&amp;hl=en&amp;geocode=&amp;q=32.274881,-92.713254")</f>
        <v>http://maps.google.com/maps?f=q&amp;hl=en&amp;geocode=&amp;q=32.274881,-92.713254</v>
      </c>
    </row>
    <row r="8712" spans="1:7" ht="15" x14ac:dyDescent="0.3">
      <c r="A8712">
        <v>48.855869293212898</v>
      </c>
      <c r="B8712">
        <v>2.35314989089966</v>
      </c>
      <c r="C8712" t="s">
        <v>43</v>
      </c>
      <c r="D8712" t="s">
        <v>5103</v>
      </c>
      <c r="F8712" s="21"/>
      <c r="G8712" s="16" t="str">
        <f>HYPERLINK("http://maps.google.com/maps?f=q&amp;hl=en&amp;geocode=&amp;q=48.8558692932129,2.35314989089966")</f>
        <v>http://maps.google.com/maps?f=q&amp;hl=en&amp;geocode=&amp;q=48.8558692932129,2.35314989089966</v>
      </c>
    </row>
    <row r="8713" spans="1:7" ht="15" x14ac:dyDescent="0.3">
      <c r="A8713" t="s">
        <v>44</v>
      </c>
      <c r="B8713" t="s">
        <v>44</v>
      </c>
      <c r="C8713" t="s">
        <v>44</v>
      </c>
      <c r="D8713" t="s">
        <v>1004</v>
      </c>
      <c r="F8713" s="21"/>
      <c r="G8713" s="16"/>
    </row>
    <row r="8714" spans="1:7" ht="15" x14ac:dyDescent="0.3">
      <c r="A8714" t="s">
        <v>44</v>
      </c>
      <c r="B8714" t="s">
        <v>44</v>
      </c>
      <c r="C8714" t="s">
        <v>44</v>
      </c>
      <c r="D8714" t="s">
        <v>1004</v>
      </c>
      <c r="F8714" s="21"/>
      <c r="G8714" s="16"/>
    </row>
    <row r="8715" spans="1:7" ht="15" x14ac:dyDescent="0.3">
      <c r="A8715">
        <v>41.185742525559</v>
      </c>
      <c r="B8715">
        <v>-81.803618417001601</v>
      </c>
      <c r="C8715" t="s">
        <v>41</v>
      </c>
      <c r="D8715" t="s">
        <v>5104</v>
      </c>
      <c r="F8715" s="21"/>
      <c r="G8715" s="16" t="str">
        <f>HYPERLINK("http://maps.google.com/maps?f=q&amp;hl=en&amp;geocode=&amp;q=41.185742525559,-81.8036184170016")</f>
        <v>http://maps.google.com/maps?f=q&amp;hl=en&amp;geocode=&amp;q=41.185742525559,-81.8036184170016</v>
      </c>
    </row>
    <row r="8716" spans="1:7" ht="15" x14ac:dyDescent="0.3">
      <c r="A8716">
        <v>29.884750366210898</v>
      </c>
      <c r="B8716">
        <v>-97.671928405761705</v>
      </c>
      <c r="C8716" t="s">
        <v>43</v>
      </c>
      <c r="D8716" t="s">
        <v>4265</v>
      </c>
      <c r="F8716" s="21"/>
      <c r="G8716" s="16" t="str">
        <f>HYPERLINK("http://maps.google.com/maps?f=q&amp;hl=en&amp;geocode=&amp;q=29.8847503662109,-97.6719284057617")</f>
        <v>http://maps.google.com/maps?f=q&amp;hl=en&amp;geocode=&amp;q=29.8847503662109,-97.6719284057617</v>
      </c>
    </row>
    <row r="8717" spans="1:7" ht="15" x14ac:dyDescent="0.3">
      <c r="A8717">
        <v>40.193464969506998</v>
      </c>
      <c r="B8717">
        <v>-110.04792045993</v>
      </c>
      <c r="C8717" t="s">
        <v>42</v>
      </c>
      <c r="D8717" t="s">
        <v>2748</v>
      </c>
      <c r="F8717" s="21"/>
      <c r="G8717" s="16" t="str">
        <f>HYPERLINK("http://maps.google.com/maps?f=q&amp;hl=en&amp;geocode=&amp;q=40.193464969507,-110.04792045993")</f>
        <v>http://maps.google.com/maps?f=q&amp;hl=en&amp;geocode=&amp;q=40.193464969507,-110.04792045993</v>
      </c>
    </row>
    <row r="8718" spans="1:7" ht="15" x14ac:dyDescent="0.3">
      <c r="A8718" t="s">
        <v>44</v>
      </c>
      <c r="B8718" t="s">
        <v>44</v>
      </c>
      <c r="C8718" t="s">
        <v>44</v>
      </c>
      <c r="D8718" t="s">
        <v>4532</v>
      </c>
      <c r="F8718" s="21"/>
      <c r="G8718" s="16"/>
    </row>
    <row r="8719" spans="1:7" ht="15" x14ac:dyDescent="0.3">
      <c r="A8719">
        <v>39.927991514732703</v>
      </c>
      <c r="B8719">
        <v>-75.233753584717604</v>
      </c>
      <c r="C8719" t="s">
        <v>41</v>
      </c>
      <c r="D8719" t="s">
        <v>5105</v>
      </c>
      <c r="F8719" s="21"/>
      <c r="G8719" s="16" t="str">
        <f>HYPERLINK("http://maps.google.com/maps?f=q&amp;hl=en&amp;geocode=&amp;q=39.9279915147327,-75.2337535847176")</f>
        <v>http://maps.google.com/maps?f=q&amp;hl=en&amp;geocode=&amp;q=39.9279915147327,-75.2337535847176</v>
      </c>
    </row>
    <row r="8720" spans="1:7" ht="15" x14ac:dyDescent="0.3">
      <c r="A8720">
        <v>40.031170000000003</v>
      </c>
      <c r="B8720">
        <v>-75.128990000000002</v>
      </c>
      <c r="C8720" t="s">
        <v>41</v>
      </c>
      <c r="D8720" t="s">
        <v>5106</v>
      </c>
      <c r="F8720" s="21"/>
      <c r="G8720" s="16" t="str">
        <f>HYPERLINK("http://maps.google.com/maps?f=q&amp;hl=en&amp;geocode=&amp;q=40.03117,-75.12899")</f>
        <v>http://maps.google.com/maps?f=q&amp;hl=en&amp;geocode=&amp;q=40.03117,-75.12899</v>
      </c>
    </row>
    <row r="8721" spans="1:7" ht="15" x14ac:dyDescent="0.3">
      <c r="A8721">
        <v>36.015928310111001</v>
      </c>
      <c r="B8721">
        <v>-78.928323937418</v>
      </c>
      <c r="C8721" t="s">
        <v>41</v>
      </c>
      <c r="D8721" t="s">
        <v>1288</v>
      </c>
      <c r="F8721" s="21"/>
      <c r="G8721" s="16" t="str">
        <f>HYPERLINK("http://maps.google.com/maps?f=q&amp;hl=en&amp;geocode=&amp;q=36.015928310111,-78.928323937418")</f>
        <v>http://maps.google.com/maps?f=q&amp;hl=en&amp;geocode=&amp;q=36.015928310111,-78.928323937418</v>
      </c>
    </row>
    <row r="8722" spans="1:7" ht="15" x14ac:dyDescent="0.3">
      <c r="A8722">
        <v>35.553759999999997</v>
      </c>
      <c r="B8722">
        <v>-89.646860000000004</v>
      </c>
      <c r="C8722" t="s">
        <v>43</v>
      </c>
      <c r="D8722" t="s">
        <v>1151</v>
      </c>
      <c r="F8722" s="21"/>
      <c r="G8722" s="16" t="str">
        <f>HYPERLINK("http://maps.google.com/maps?f=q&amp;hl=en&amp;geocode=&amp;q=35.55376,-89.64686")</f>
        <v>http://maps.google.com/maps?f=q&amp;hl=en&amp;geocode=&amp;q=35.55376,-89.64686</v>
      </c>
    </row>
    <row r="8723" spans="1:7" ht="15" x14ac:dyDescent="0.3">
      <c r="A8723">
        <v>39.993279999999999</v>
      </c>
      <c r="B8723">
        <v>-75.098560000000006</v>
      </c>
      <c r="C8723" t="s">
        <v>41</v>
      </c>
      <c r="D8723" t="s">
        <v>1697</v>
      </c>
      <c r="F8723" s="21"/>
      <c r="G8723" s="16" t="str">
        <f>HYPERLINK("http://maps.google.com/maps?f=q&amp;hl=en&amp;geocode=&amp;q=39.99328,-75.09856")</f>
        <v>http://maps.google.com/maps?f=q&amp;hl=en&amp;geocode=&amp;q=39.99328,-75.09856</v>
      </c>
    </row>
    <row r="8724" spans="1:7" ht="15" x14ac:dyDescent="0.3">
      <c r="A8724">
        <v>54.785730000000001</v>
      </c>
      <c r="B8724">
        <v>11.88283</v>
      </c>
      <c r="C8724" t="s">
        <v>41</v>
      </c>
      <c r="D8724" t="s">
        <v>1787</v>
      </c>
      <c r="F8724" s="21"/>
      <c r="G8724" s="16" t="str">
        <f>HYPERLINK("http://maps.google.com/maps?f=q&amp;hl=en&amp;geocode=&amp;q=54.78573,11.88283")</f>
        <v>http://maps.google.com/maps?f=q&amp;hl=en&amp;geocode=&amp;q=54.78573,11.88283</v>
      </c>
    </row>
    <row r="8725" spans="1:7" ht="15" x14ac:dyDescent="0.3">
      <c r="A8725">
        <v>39.987356789543497</v>
      </c>
      <c r="B8725">
        <v>-75.108673745125103</v>
      </c>
      <c r="C8725" t="s">
        <v>41</v>
      </c>
      <c r="D8725" t="s">
        <v>1215</v>
      </c>
      <c r="F8725" s="21"/>
      <c r="G8725" s="16" t="str">
        <f>HYPERLINK("http://maps.google.com/maps?f=q&amp;hl=en&amp;geocode=&amp;q=39.9873567895435,-75.1086737451251")</f>
        <v>http://maps.google.com/maps?f=q&amp;hl=en&amp;geocode=&amp;q=39.9873567895435,-75.1086737451251</v>
      </c>
    </row>
    <row r="8726" spans="1:7" ht="15" x14ac:dyDescent="0.3">
      <c r="A8726">
        <v>43.951873493356402</v>
      </c>
      <c r="B8726">
        <v>-85.652328013963796</v>
      </c>
      <c r="C8726" t="s">
        <v>43</v>
      </c>
      <c r="D8726" t="s">
        <v>5107</v>
      </c>
      <c r="F8726" s="21"/>
      <c r="G8726" s="16" t="str">
        <f>HYPERLINK("http://maps.google.com/maps?f=q&amp;hl=en&amp;geocode=&amp;q=43.9518734933564,-85.6523280139638")</f>
        <v>http://maps.google.com/maps?f=q&amp;hl=en&amp;geocode=&amp;q=43.9518734933564,-85.6523280139638</v>
      </c>
    </row>
    <row r="8727" spans="1:7" ht="15" x14ac:dyDescent="0.3">
      <c r="A8727">
        <v>39.994509000000001</v>
      </c>
      <c r="B8727">
        <v>-75.092248999999995</v>
      </c>
      <c r="C8727" t="s">
        <v>41</v>
      </c>
      <c r="D8727" t="s">
        <v>553</v>
      </c>
      <c r="F8727" s="21"/>
      <c r="G8727" s="16" t="str">
        <f>HYPERLINK("http://maps.google.com/maps?f=q&amp;hl=en&amp;geocode=&amp;q=39.994509,-75.092249")</f>
        <v>http://maps.google.com/maps?f=q&amp;hl=en&amp;geocode=&amp;q=39.994509,-75.092249</v>
      </c>
    </row>
    <row r="8728" spans="1:7" ht="15" x14ac:dyDescent="0.3">
      <c r="A8728">
        <v>40.638363969694197</v>
      </c>
      <c r="B8728">
        <v>-111.89490630594</v>
      </c>
      <c r="C8728" t="s">
        <v>43</v>
      </c>
      <c r="D8728" t="s">
        <v>5108</v>
      </c>
      <c r="F8728" s="21"/>
      <c r="G8728" s="16" t="str">
        <f>HYPERLINK("http://maps.google.com/maps?f=q&amp;hl=en&amp;geocode=&amp;q=40.6383639696942,-111.89490630594")</f>
        <v>http://maps.google.com/maps?f=q&amp;hl=en&amp;geocode=&amp;q=40.6383639696942,-111.89490630594</v>
      </c>
    </row>
    <row r="8729" spans="1:7" ht="15" x14ac:dyDescent="0.3">
      <c r="A8729">
        <v>33.518800773358102</v>
      </c>
      <c r="B8729">
        <v>-89.328573383205907</v>
      </c>
      <c r="C8729" t="s">
        <v>41</v>
      </c>
      <c r="D8729" t="s">
        <v>224</v>
      </c>
      <c r="F8729" s="21"/>
      <c r="G8729" s="16" t="str">
        <f>HYPERLINK("http://maps.google.com/maps?f=q&amp;hl=en&amp;geocode=&amp;q=33.5188007733581,-89.3285733832059")</f>
        <v>http://maps.google.com/maps?f=q&amp;hl=en&amp;geocode=&amp;q=33.5188007733581,-89.3285733832059</v>
      </c>
    </row>
    <row r="8730" spans="1:7" ht="15" x14ac:dyDescent="0.3">
      <c r="A8730">
        <v>35.260009765625</v>
      </c>
      <c r="B8730">
        <v>-80.425880432128906</v>
      </c>
      <c r="C8730" t="s">
        <v>43</v>
      </c>
      <c r="D8730" t="s">
        <v>5109</v>
      </c>
      <c r="F8730" s="21"/>
      <c r="G8730" s="16" t="str">
        <f>HYPERLINK("http://maps.google.com/maps?f=q&amp;hl=en&amp;geocode=&amp;q=35.260009765625,-80.4258804321289")</f>
        <v>http://maps.google.com/maps?f=q&amp;hl=en&amp;geocode=&amp;q=35.260009765625,-80.4258804321289</v>
      </c>
    </row>
    <row r="8731" spans="1:7" ht="15" x14ac:dyDescent="0.3">
      <c r="A8731">
        <v>39.993279999999999</v>
      </c>
      <c r="B8731">
        <v>-75.098560000000006</v>
      </c>
      <c r="C8731" t="s">
        <v>41</v>
      </c>
      <c r="D8731" t="s">
        <v>1697</v>
      </c>
      <c r="F8731" s="21"/>
      <c r="G8731" s="16" t="str">
        <f>HYPERLINK("http://maps.google.com/maps?f=q&amp;hl=en&amp;geocode=&amp;q=39.99328,-75.09856")</f>
        <v>http://maps.google.com/maps?f=q&amp;hl=en&amp;geocode=&amp;q=39.99328,-75.09856</v>
      </c>
    </row>
    <row r="8732" spans="1:7" ht="15" x14ac:dyDescent="0.3">
      <c r="A8732" t="s">
        <v>44</v>
      </c>
      <c r="B8732" t="s">
        <v>44</v>
      </c>
      <c r="C8732" t="s">
        <v>44</v>
      </c>
      <c r="D8732" t="s">
        <v>5110</v>
      </c>
      <c r="F8732" s="21"/>
      <c r="G8732" s="16"/>
    </row>
    <row r="8733" spans="1:7" ht="15" x14ac:dyDescent="0.3">
      <c r="A8733" t="s">
        <v>44</v>
      </c>
      <c r="B8733" t="s">
        <v>44</v>
      </c>
      <c r="C8733" t="s">
        <v>44</v>
      </c>
      <c r="D8733" t="s">
        <v>5110</v>
      </c>
      <c r="F8733" s="21"/>
      <c r="G8733" s="16"/>
    </row>
    <row r="8734" spans="1:7" ht="15" x14ac:dyDescent="0.3">
      <c r="A8734">
        <v>49.613365173339801</v>
      </c>
      <c r="B8734">
        <v>6.1064939498901403</v>
      </c>
      <c r="C8734" t="s">
        <v>41</v>
      </c>
      <c r="D8734" t="s">
        <v>5111</v>
      </c>
      <c r="F8734" s="21"/>
      <c r="G8734" s="16" t="str">
        <f>HYPERLINK("http://maps.google.com/maps?f=q&amp;hl=en&amp;geocode=&amp;q=49.6133651733398,6.10649394989014")</f>
        <v>http://maps.google.com/maps?f=q&amp;hl=en&amp;geocode=&amp;q=49.6133651733398,6.10649394989014</v>
      </c>
    </row>
    <row r="8735" spans="1:7" ht="15" x14ac:dyDescent="0.3">
      <c r="A8735">
        <v>44.266651153564503</v>
      </c>
      <c r="B8735">
        <v>10.117626190185501</v>
      </c>
      <c r="C8735" t="s">
        <v>43</v>
      </c>
      <c r="D8735" t="s">
        <v>3310</v>
      </c>
      <c r="F8735" s="21"/>
      <c r="G8735" s="16" t="str">
        <f>HYPERLINK("http://maps.google.com/maps?f=q&amp;hl=en&amp;geocode=&amp;q=44.2666511535645,10.1176261901855")</f>
        <v>http://maps.google.com/maps?f=q&amp;hl=en&amp;geocode=&amp;q=44.2666511535645,10.1176261901855</v>
      </c>
    </row>
    <row r="8736" spans="1:7" ht="15" x14ac:dyDescent="0.3">
      <c r="A8736">
        <v>7.3835182189941397</v>
      </c>
      <c r="B8736">
        <v>-12.2588081359863</v>
      </c>
      <c r="C8736" t="s">
        <v>41</v>
      </c>
      <c r="D8736" t="s">
        <v>202</v>
      </c>
      <c r="F8736" s="21"/>
      <c r="G8736" s="16" t="str">
        <f>HYPERLINK("http://maps.google.com/maps?f=q&amp;hl=en&amp;geocode=&amp;q=7.38351821899414,-12.2588081359863")</f>
        <v>http://maps.google.com/maps?f=q&amp;hl=en&amp;geocode=&amp;q=7.38351821899414,-12.2588081359863</v>
      </c>
    </row>
    <row r="8737" spans="1:7" ht="15" x14ac:dyDescent="0.3">
      <c r="A8737">
        <v>7.3835182189941397</v>
      </c>
      <c r="B8737">
        <v>-12.2588081359863</v>
      </c>
      <c r="C8737" t="s">
        <v>41</v>
      </c>
      <c r="D8737" t="s">
        <v>202</v>
      </c>
      <c r="F8737" s="21"/>
      <c r="G8737" s="16" t="str">
        <f>HYPERLINK("http://maps.google.com/maps?f=q&amp;hl=en&amp;geocode=&amp;q=7.38351821899414,-12.2588081359863")</f>
        <v>http://maps.google.com/maps?f=q&amp;hl=en&amp;geocode=&amp;q=7.38351821899414,-12.2588081359863</v>
      </c>
    </row>
    <row r="8738" spans="1:7" ht="15" x14ac:dyDescent="0.3">
      <c r="A8738">
        <v>40.037979125976598</v>
      </c>
      <c r="B8738">
        <v>-75.223060607910199</v>
      </c>
      <c r="C8738" t="s">
        <v>41</v>
      </c>
      <c r="D8738" t="s">
        <v>2505</v>
      </c>
      <c r="F8738" s="21"/>
      <c r="G8738" s="16" t="str">
        <f>HYPERLINK("http://maps.google.com/maps?f=q&amp;hl=en&amp;geocode=&amp;q=40.0379791259766,-75.2230606079102")</f>
        <v>http://maps.google.com/maps?f=q&amp;hl=en&amp;geocode=&amp;q=40.0379791259766,-75.2230606079102</v>
      </c>
    </row>
    <row r="8739" spans="1:7" ht="15" x14ac:dyDescent="0.3">
      <c r="A8739">
        <v>39.990549999999999</v>
      </c>
      <c r="B8739">
        <v>-75.100309999999993</v>
      </c>
      <c r="C8739" t="s">
        <v>41</v>
      </c>
      <c r="D8739" t="s">
        <v>1630</v>
      </c>
      <c r="F8739" s="21"/>
      <c r="G8739" s="16" t="str">
        <f>HYPERLINK("http://maps.google.com/maps?f=q&amp;hl=en&amp;geocode=&amp;q=39.99055,-75.10031")</f>
        <v>http://maps.google.com/maps?f=q&amp;hl=en&amp;geocode=&amp;q=39.99055,-75.10031</v>
      </c>
    </row>
    <row r="8740" spans="1:7" ht="15" x14ac:dyDescent="0.3">
      <c r="A8740">
        <v>39.990549999999999</v>
      </c>
      <c r="B8740">
        <v>-75.100309999999993</v>
      </c>
      <c r="C8740" t="s">
        <v>41</v>
      </c>
      <c r="D8740" t="s">
        <v>1630</v>
      </c>
      <c r="F8740" s="21"/>
      <c r="G8740" s="16" t="str">
        <f>HYPERLINK("http://maps.google.com/maps?f=q&amp;hl=en&amp;geocode=&amp;q=39.99055,-75.10031")</f>
        <v>http://maps.google.com/maps?f=q&amp;hl=en&amp;geocode=&amp;q=39.99055,-75.10031</v>
      </c>
    </row>
    <row r="8741" spans="1:7" ht="15" x14ac:dyDescent="0.3">
      <c r="A8741">
        <v>39.993279999999999</v>
      </c>
      <c r="B8741">
        <v>-75.098560000000006</v>
      </c>
      <c r="C8741" t="s">
        <v>41</v>
      </c>
      <c r="D8741" t="s">
        <v>1697</v>
      </c>
      <c r="F8741" s="21"/>
      <c r="G8741" s="16" t="str">
        <f>HYPERLINK("http://maps.google.com/maps?f=q&amp;hl=en&amp;geocode=&amp;q=39.99328,-75.09856")</f>
        <v>http://maps.google.com/maps?f=q&amp;hl=en&amp;geocode=&amp;q=39.99328,-75.09856</v>
      </c>
    </row>
    <row r="8742" spans="1:7" ht="15" x14ac:dyDescent="0.3">
      <c r="A8742">
        <v>35.604900000000001</v>
      </c>
      <c r="B8742">
        <v>-86.752529999999993</v>
      </c>
      <c r="C8742" t="s">
        <v>41</v>
      </c>
      <c r="D8742" t="s">
        <v>5112</v>
      </c>
      <c r="F8742" s="21"/>
      <c r="G8742" s="16" t="str">
        <f>HYPERLINK("http://maps.google.com/maps?f=q&amp;hl=en&amp;geocode=&amp;q=35.6049,-86.75253")</f>
        <v>http://maps.google.com/maps?f=q&amp;hl=en&amp;geocode=&amp;q=35.6049,-86.75253</v>
      </c>
    </row>
    <row r="8743" spans="1:7" ht="15" x14ac:dyDescent="0.3">
      <c r="A8743">
        <v>-34.792859999999997</v>
      </c>
      <c r="B8743">
        <v>138.49319</v>
      </c>
      <c r="C8743" t="s">
        <v>41</v>
      </c>
      <c r="D8743" t="s">
        <v>5113</v>
      </c>
      <c r="F8743" s="21"/>
      <c r="G8743" s="16" t="str">
        <f>HYPERLINK("http://maps.google.com/maps?f=q&amp;hl=en&amp;geocode=&amp;q=-34.79286,138.49319")</f>
        <v>http://maps.google.com/maps?f=q&amp;hl=en&amp;geocode=&amp;q=-34.79286,138.49319</v>
      </c>
    </row>
    <row r="8744" spans="1:7" ht="15" x14ac:dyDescent="0.3">
      <c r="A8744">
        <v>52.6822319030762</v>
      </c>
      <c r="B8744">
        <v>0.13165999948978399</v>
      </c>
      <c r="C8744" t="s">
        <v>41</v>
      </c>
      <c r="D8744" t="s">
        <v>1331</v>
      </c>
      <c r="F8744" s="21"/>
      <c r="G8744" s="16" t="str">
        <f>HYPERLINK("http://maps.google.com/maps?f=q&amp;hl=en&amp;geocode=&amp;q=52.6822319030762,0.131659999489784")</f>
        <v>http://maps.google.com/maps?f=q&amp;hl=en&amp;geocode=&amp;q=52.6822319030762,0.131659999489784</v>
      </c>
    </row>
    <row r="8745" spans="1:7" ht="15" x14ac:dyDescent="0.3">
      <c r="A8745">
        <v>52.6822319030762</v>
      </c>
      <c r="B8745">
        <v>0.13165999948978399</v>
      </c>
      <c r="C8745" t="s">
        <v>41</v>
      </c>
      <c r="D8745" t="s">
        <v>1331</v>
      </c>
      <c r="F8745" s="21"/>
      <c r="G8745" s="16" t="str">
        <f>HYPERLINK("http://maps.google.com/maps?f=q&amp;hl=en&amp;geocode=&amp;q=52.6822319030762,0.131659999489784")</f>
        <v>http://maps.google.com/maps?f=q&amp;hl=en&amp;geocode=&amp;q=52.6822319030762,0.131659999489784</v>
      </c>
    </row>
    <row r="8746" spans="1:7" ht="15" x14ac:dyDescent="0.3">
      <c r="A8746">
        <v>44.2076632331135</v>
      </c>
      <c r="B8746">
        <v>-69.1689213676527</v>
      </c>
      <c r="C8746" t="s">
        <v>41</v>
      </c>
      <c r="D8746" t="s">
        <v>5114</v>
      </c>
      <c r="F8746" s="21"/>
      <c r="G8746" s="16" t="str">
        <f>HYPERLINK("http://maps.google.com/maps?f=q&amp;hl=en&amp;geocode=&amp;q=44.2076632331135,-69.1689213676527")</f>
        <v>http://maps.google.com/maps?f=q&amp;hl=en&amp;geocode=&amp;q=44.2076632331135,-69.1689213676527</v>
      </c>
    </row>
    <row r="8747" spans="1:7" ht="15" x14ac:dyDescent="0.3">
      <c r="A8747">
        <v>40.061836295073299</v>
      </c>
      <c r="B8747">
        <v>-75.227062519788703</v>
      </c>
      <c r="C8747" t="s">
        <v>41</v>
      </c>
      <c r="D8747" t="s">
        <v>5115</v>
      </c>
      <c r="F8747" s="21"/>
      <c r="G8747" s="16" t="str">
        <f>HYPERLINK("http://maps.google.com/maps?f=q&amp;hl=en&amp;geocode=&amp;q=40.0618362950733,-75.2270625197887")</f>
        <v>http://maps.google.com/maps?f=q&amp;hl=en&amp;geocode=&amp;q=40.0618362950733,-75.2270625197887</v>
      </c>
    </row>
    <row r="8748" spans="1:7" ht="15" x14ac:dyDescent="0.3">
      <c r="A8748">
        <v>41.217081324749003</v>
      </c>
      <c r="B8748">
        <v>-79.758092826147106</v>
      </c>
      <c r="C8748" t="s">
        <v>43</v>
      </c>
      <c r="D8748" t="s">
        <v>4542</v>
      </c>
      <c r="F8748" s="21"/>
      <c r="G8748" s="16" t="str">
        <f>HYPERLINK("http://maps.google.com/maps?f=q&amp;hl=en&amp;geocode=&amp;q=41.217081324749,-79.7580928261471")</f>
        <v>http://maps.google.com/maps?f=q&amp;hl=en&amp;geocode=&amp;q=41.217081324749,-79.7580928261471</v>
      </c>
    </row>
    <row r="8749" spans="1:7" ht="15" x14ac:dyDescent="0.3">
      <c r="A8749">
        <v>14.5838928222656</v>
      </c>
      <c r="B8749">
        <v>121.07668304443401</v>
      </c>
      <c r="C8749" t="s">
        <v>43</v>
      </c>
      <c r="D8749" t="s">
        <v>762</v>
      </c>
      <c r="F8749" s="21"/>
      <c r="G8749" s="16" t="str">
        <f>HYPERLINK("http://maps.google.com/maps?f=q&amp;hl=en&amp;geocode=&amp;q=14.5838928222656,121.076683044434")</f>
        <v>http://maps.google.com/maps?f=q&amp;hl=en&amp;geocode=&amp;q=14.5838928222656,121.076683044434</v>
      </c>
    </row>
    <row r="8750" spans="1:7" ht="15" x14ac:dyDescent="0.3">
      <c r="A8750">
        <v>46.536786537606702</v>
      </c>
      <c r="B8750">
        <v>-104.628162435557</v>
      </c>
      <c r="C8750" t="s">
        <v>41</v>
      </c>
      <c r="D8750" t="s">
        <v>575</v>
      </c>
      <c r="F8750" s="21"/>
      <c r="G8750" s="16" t="str">
        <f>HYPERLINK("http://maps.google.com/maps?f=q&amp;hl=en&amp;geocode=&amp;q=46.5367865376067,-104.628162435557")</f>
        <v>http://maps.google.com/maps?f=q&amp;hl=en&amp;geocode=&amp;q=46.5367865376067,-104.628162435557</v>
      </c>
    </row>
    <row r="8751" spans="1:7" ht="15" x14ac:dyDescent="0.3">
      <c r="A8751">
        <v>46.877762041270799</v>
      </c>
      <c r="B8751">
        <v>-123.302815465542</v>
      </c>
      <c r="C8751" t="s">
        <v>41</v>
      </c>
      <c r="D8751" t="s">
        <v>4639</v>
      </c>
      <c r="F8751" s="21"/>
      <c r="G8751" s="16" t="str">
        <f>HYPERLINK("http://maps.google.com/maps?f=q&amp;hl=en&amp;geocode=&amp;q=46.8777620412708,-123.302815465542")</f>
        <v>http://maps.google.com/maps?f=q&amp;hl=en&amp;geocode=&amp;q=46.8777620412708,-123.302815465542</v>
      </c>
    </row>
    <row r="8752" spans="1:7" ht="15" x14ac:dyDescent="0.3">
      <c r="A8752">
        <v>40.527883000341099</v>
      </c>
      <c r="B8752">
        <v>-74.175955885255604</v>
      </c>
      <c r="C8752" t="s">
        <v>43</v>
      </c>
      <c r="D8752" t="s">
        <v>2260</v>
      </c>
      <c r="F8752" s="21"/>
      <c r="G8752" s="16" t="str">
        <f>HYPERLINK("http://maps.google.com/maps?f=q&amp;hl=en&amp;geocode=&amp;q=40.5278830003411,-74.1759558852556")</f>
        <v>http://maps.google.com/maps?f=q&amp;hl=en&amp;geocode=&amp;q=40.5278830003411,-74.1759558852556</v>
      </c>
    </row>
    <row r="8753" spans="1:7" ht="15" x14ac:dyDescent="0.3">
      <c r="A8753">
        <v>43.746551513671903</v>
      </c>
      <c r="B8753">
        <v>5.3137397766113299</v>
      </c>
      <c r="C8753" t="s">
        <v>43</v>
      </c>
      <c r="D8753" t="s">
        <v>5116</v>
      </c>
      <c r="F8753" s="21"/>
      <c r="G8753" s="16" t="str">
        <f>HYPERLINK("http://maps.google.com/maps?f=q&amp;hl=en&amp;geocode=&amp;q=43.7465515136719,5.31373977661133")</f>
        <v>http://maps.google.com/maps?f=q&amp;hl=en&amp;geocode=&amp;q=43.7465515136719,5.31373977661133</v>
      </c>
    </row>
    <row r="8754" spans="1:7" ht="15" x14ac:dyDescent="0.3">
      <c r="A8754">
        <v>35.604900000000001</v>
      </c>
      <c r="B8754">
        <v>-86.752529999999993</v>
      </c>
      <c r="C8754" t="s">
        <v>41</v>
      </c>
      <c r="D8754" t="s">
        <v>5112</v>
      </c>
      <c r="F8754" s="21"/>
      <c r="G8754" s="16" t="str">
        <f>HYPERLINK("http://maps.google.com/maps?f=q&amp;hl=en&amp;geocode=&amp;q=35.6049,-86.75253")</f>
        <v>http://maps.google.com/maps?f=q&amp;hl=en&amp;geocode=&amp;q=35.6049,-86.75253</v>
      </c>
    </row>
    <row r="8755" spans="1:7" ht="15" x14ac:dyDescent="0.3">
      <c r="A8755">
        <v>-28.342119216918899</v>
      </c>
      <c r="B8755">
        <v>152.00799560546901</v>
      </c>
      <c r="C8755" t="s">
        <v>43</v>
      </c>
      <c r="D8755" t="s">
        <v>3113</v>
      </c>
      <c r="F8755" s="21"/>
      <c r="G8755" s="16" t="str">
        <f>HYPERLINK("http://maps.google.com/maps?f=q&amp;hl=en&amp;geocode=&amp;q=-28.3421192169189,152.007995605469")</f>
        <v>http://maps.google.com/maps?f=q&amp;hl=en&amp;geocode=&amp;q=-28.3421192169189,152.007995605469</v>
      </c>
    </row>
    <row r="8756" spans="1:7" ht="15" x14ac:dyDescent="0.3">
      <c r="A8756">
        <v>44.8207397460938</v>
      </c>
      <c r="B8756">
        <v>-93.802543640136705</v>
      </c>
      <c r="C8756" t="s">
        <v>43</v>
      </c>
      <c r="D8756" t="s">
        <v>4354</v>
      </c>
      <c r="F8756" s="21"/>
      <c r="G8756" s="16" t="str">
        <f>HYPERLINK("http://maps.google.com/maps?f=q&amp;hl=en&amp;geocode=&amp;q=44.8207397460938,-93.8025436401367")</f>
        <v>http://maps.google.com/maps?f=q&amp;hl=en&amp;geocode=&amp;q=44.8207397460938,-93.8025436401367</v>
      </c>
    </row>
    <row r="8757" spans="1:7" ht="15" x14ac:dyDescent="0.3">
      <c r="A8757">
        <v>46.7700805664063</v>
      </c>
      <c r="B8757">
        <v>4.9185299873352104</v>
      </c>
      <c r="C8757" t="s">
        <v>43</v>
      </c>
      <c r="D8757" t="s">
        <v>420</v>
      </c>
      <c r="F8757" s="21"/>
      <c r="G8757" s="16" t="str">
        <f>HYPERLINK("http://maps.google.com/maps?f=q&amp;hl=en&amp;geocode=&amp;q=46.7700805664063,4.91852998733521")</f>
        <v>http://maps.google.com/maps?f=q&amp;hl=en&amp;geocode=&amp;q=46.7700805664063,4.91852998733521</v>
      </c>
    </row>
    <row r="8758" spans="1:7" ht="15" x14ac:dyDescent="0.3">
      <c r="A8758">
        <v>39.684371948242202</v>
      </c>
      <c r="B8758">
        <v>21.8974094390869</v>
      </c>
      <c r="C8758" t="s">
        <v>41</v>
      </c>
      <c r="D8758" t="s">
        <v>94</v>
      </c>
      <c r="F8758" s="21"/>
      <c r="G8758" s="16" t="str">
        <f>HYPERLINK("http://maps.google.com/maps?f=q&amp;hl=en&amp;geocode=&amp;q=39.6843719482422,21.8974094390869")</f>
        <v>http://maps.google.com/maps?f=q&amp;hl=en&amp;geocode=&amp;q=39.6843719482422,21.8974094390869</v>
      </c>
    </row>
    <row r="8759" spans="1:7" ht="15" x14ac:dyDescent="0.3">
      <c r="A8759">
        <v>55.709686279296903</v>
      </c>
      <c r="B8759">
        <v>11.7013349533081</v>
      </c>
      <c r="C8759" t="s">
        <v>41</v>
      </c>
      <c r="D8759" t="s">
        <v>5117</v>
      </c>
      <c r="F8759" s="21"/>
      <c r="G8759" s="16" t="str">
        <f>HYPERLINK("http://maps.google.com/maps?f=q&amp;hl=en&amp;geocode=&amp;q=55.7096862792969,11.7013349533081")</f>
        <v>http://maps.google.com/maps?f=q&amp;hl=en&amp;geocode=&amp;q=55.7096862792969,11.7013349533081</v>
      </c>
    </row>
    <row r="8760" spans="1:7" ht="15" x14ac:dyDescent="0.3">
      <c r="A8760">
        <v>36.902555965944998</v>
      </c>
      <c r="B8760">
        <v>-78.8948882131007</v>
      </c>
      <c r="C8760" t="s">
        <v>43</v>
      </c>
      <c r="D8760" t="s">
        <v>3748</v>
      </c>
      <c r="F8760" s="21"/>
      <c r="G8760" s="16" t="str">
        <f>HYPERLINK("http://maps.google.com/maps?f=q&amp;hl=en&amp;geocode=&amp;q=36.902555965945,-78.8948882131007")</f>
        <v>http://maps.google.com/maps?f=q&amp;hl=en&amp;geocode=&amp;q=36.902555965945,-78.8948882131007</v>
      </c>
    </row>
    <row r="8761" spans="1:7" ht="15" x14ac:dyDescent="0.3">
      <c r="A8761">
        <v>37.834211188799102</v>
      </c>
      <c r="B8761">
        <v>-94.883372196711704</v>
      </c>
      <c r="C8761" t="s">
        <v>41</v>
      </c>
      <c r="D8761" t="s">
        <v>5118</v>
      </c>
      <c r="F8761" s="21"/>
      <c r="G8761" s="16" t="str">
        <f>HYPERLINK("http://maps.google.com/maps?f=q&amp;hl=en&amp;geocode=&amp;q=37.8342111887991,-94.8833721967117")</f>
        <v>http://maps.google.com/maps?f=q&amp;hl=en&amp;geocode=&amp;q=37.8342111887991,-94.8833721967117</v>
      </c>
    </row>
    <row r="8762" spans="1:7" ht="15" x14ac:dyDescent="0.3">
      <c r="A8762">
        <v>37.454990386962898</v>
      </c>
      <c r="B8762">
        <v>-94.687171936035199</v>
      </c>
      <c r="C8762" t="s">
        <v>43</v>
      </c>
      <c r="D8762" t="s">
        <v>2393</v>
      </c>
      <c r="F8762" s="21"/>
      <c r="G8762" s="16" t="str">
        <f>HYPERLINK("http://maps.google.com/maps?f=q&amp;hl=en&amp;geocode=&amp;q=37.4549903869629,-94.6871719360352")</f>
        <v>http://maps.google.com/maps?f=q&amp;hl=en&amp;geocode=&amp;q=37.4549903869629,-94.6871719360352</v>
      </c>
    </row>
    <row r="8763" spans="1:7" ht="15" x14ac:dyDescent="0.3">
      <c r="A8763">
        <v>38.491455035432701</v>
      </c>
      <c r="B8763">
        <v>-89.817895222618702</v>
      </c>
      <c r="C8763" t="s">
        <v>41</v>
      </c>
      <c r="D8763" t="s">
        <v>2570</v>
      </c>
      <c r="F8763" s="21"/>
      <c r="G8763" s="16" t="str">
        <f>HYPERLINK("http://maps.google.com/maps?f=q&amp;hl=en&amp;geocode=&amp;q=38.4914550354327,-89.8178952226187")</f>
        <v>http://maps.google.com/maps?f=q&amp;hl=en&amp;geocode=&amp;q=38.4914550354327,-89.8178952226187</v>
      </c>
    </row>
    <row r="8764" spans="1:7" ht="15" x14ac:dyDescent="0.3">
      <c r="A8764">
        <v>38.491455035432701</v>
      </c>
      <c r="B8764">
        <v>-89.817895222618702</v>
      </c>
      <c r="C8764" t="s">
        <v>41</v>
      </c>
      <c r="D8764" t="s">
        <v>2570</v>
      </c>
      <c r="F8764" s="21"/>
      <c r="G8764" s="16" t="str">
        <f>HYPERLINK("http://maps.google.com/maps?f=q&amp;hl=en&amp;geocode=&amp;q=38.4914550354327,-89.8178952226187")</f>
        <v>http://maps.google.com/maps?f=q&amp;hl=en&amp;geocode=&amp;q=38.4914550354327,-89.8178952226187</v>
      </c>
    </row>
    <row r="8765" spans="1:7" ht="15" x14ac:dyDescent="0.3">
      <c r="A8765">
        <v>40.056820000000002</v>
      </c>
      <c r="B8765">
        <v>-75.053579999999997</v>
      </c>
      <c r="C8765" t="s">
        <v>41</v>
      </c>
      <c r="D8765" t="s">
        <v>3346</v>
      </c>
      <c r="F8765" s="21"/>
      <c r="G8765" s="16" t="str">
        <f>HYPERLINK("http://maps.google.com/maps?f=q&amp;hl=en&amp;geocode=&amp;q=40.05682,-75.05358")</f>
        <v>http://maps.google.com/maps?f=q&amp;hl=en&amp;geocode=&amp;q=40.05682,-75.05358</v>
      </c>
    </row>
    <row r="8766" spans="1:7" ht="15" x14ac:dyDescent="0.3">
      <c r="A8766">
        <v>47.753849029541001</v>
      </c>
      <c r="B8766">
        <v>27.864404678344702</v>
      </c>
      <c r="C8766" t="s">
        <v>43</v>
      </c>
      <c r="D8766" t="s">
        <v>5119</v>
      </c>
      <c r="F8766" s="21"/>
      <c r="G8766" s="16" t="str">
        <f>HYPERLINK("http://maps.google.com/maps?f=q&amp;hl=en&amp;geocode=&amp;q=47.753849029541,27.8644046783447")</f>
        <v>http://maps.google.com/maps?f=q&amp;hl=en&amp;geocode=&amp;q=47.753849029541,27.8644046783447</v>
      </c>
    </row>
    <row r="8767" spans="1:7" ht="15" x14ac:dyDescent="0.3">
      <c r="A8767">
        <v>35.3177529119749</v>
      </c>
      <c r="B8767">
        <v>-82.685093383836403</v>
      </c>
      <c r="C8767" t="s">
        <v>41</v>
      </c>
      <c r="D8767" t="s">
        <v>5120</v>
      </c>
      <c r="F8767" s="21"/>
      <c r="G8767" s="16" t="str">
        <f>HYPERLINK("http://maps.google.com/maps?f=q&amp;hl=en&amp;geocode=&amp;q=35.3177529119749,-82.6850933838364")</f>
        <v>http://maps.google.com/maps?f=q&amp;hl=en&amp;geocode=&amp;q=35.3177529119749,-82.6850933838364</v>
      </c>
    </row>
    <row r="8768" spans="1:7" ht="15" x14ac:dyDescent="0.3">
      <c r="A8768">
        <v>35.3177529119749</v>
      </c>
      <c r="B8768">
        <v>-82.685093383836403</v>
      </c>
      <c r="C8768" t="s">
        <v>41</v>
      </c>
      <c r="D8768" t="s">
        <v>5120</v>
      </c>
      <c r="F8768" s="21"/>
      <c r="G8768" s="16" t="str">
        <f>HYPERLINK("http://maps.google.com/maps?f=q&amp;hl=en&amp;geocode=&amp;q=35.3177529119749,-82.6850933838364")</f>
        <v>http://maps.google.com/maps?f=q&amp;hl=en&amp;geocode=&amp;q=35.3177529119749,-82.6850933838364</v>
      </c>
    </row>
    <row r="8769" spans="1:7" ht="15" x14ac:dyDescent="0.3">
      <c r="A8769">
        <v>35.3177529119749</v>
      </c>
      <c r="B8769">
        <v>-82.685093383836403</v>
      </c>
      <c r="C8769" t="s">
        <v>41</v>
      </c>
      <c r="D8769" t="s">
        <v>5120</v>
      </c>
      <c r="F8769" s="21"/>
      <c r="G8769" s="16" t="str">
        <f>HYPERLINK("http://maps.google.com/maps?f=q&amp;hl=en&amp;geocode=&amp;q=35.3177529119749,-82.6850933838364")</f>
        <v>http://maps.google.com/maps?f=q&amp;hl=en&amp;geocode=&amp;q=35.3177529119749,-82.6850933838364</v>
      </c>
    </row>
    <row r="8770" spans="1:7" ht="15" x14ac:dyDescent="0.3">
      <c r="A8770">
        <v>35.3177529119749</v>
      </c>
      <c r="B8770">
        <v>-82.685093383836403</v>
      </c>
      <c r="C8770" t="s">
        <v>41</v>
      </c>
      <c r="D8770" t="s">
        <v>5120</v>
      </c>
      <c r="F8770" s="21"/>
      <c r="G8770" s="16" t="str">
        <f>HYPERLINK("http://maps.google.com/maps?f=q&amp;hl=en&amp;geocode=&amp;q=35.3177529119749,-82.6850933838364")</f>
        <v>http://maps.google.com/maps?f=q&amp;hl=en&amp;geocode=&amp;q=35.3177529119749,-82.6850933838364</v>
      </c>
    </row>
    <row r="8771" spans="1:7" ht="15" x14ac:dyDescent="0.3">
      <c r="A8771">
        <v>35.3177529119749</v>
      </c>
      <c r="B8771">
        <v>-82.685093383836403</v>
      </c>
      <c r="C8771" t="s">
        <v>41</v>
      </c>
      <c r="D8771" t="s">
        <v>5120</v>
      </c>
      <c r="F8771" s="21"/>
      <c r="G8771" s="16" t="str">
        <f>HYPERLINK("http://maps.google.com/maps?f=q&amp;hl=en&amp;geocode=&amp;q=35.3177529119749,-82.6850933838364")</f>
        <v>http://maps.google.com/maps?f=q&amp;hl=en&amp;geocode=&amp;q=35.3177529119749,-82.6850933838364</v>
      </c>
    </row>
    <row r="8772" spans="1:7" ht="15" x14ac:dyDescent="0.3">
      <c r="A8772">
        <v>47.055850982666001</v>
      </c>
      <c r="B8772">
        <v>6.7508301734924299</v>
      </c>
      <c r="C8772" t="s">
        <v>43</v>
      </c>
      <c r="D8772" t="s">
        <v>5121</v>
      </c>
      <c r="F8772" s="21"/>
      <c r="G8772" s="16" t="str">
        <f>HYPERLINK("http://maps.google.com/maps?f=q&amp;hl=en&amp;geocode=&amp;q=47.055850982666,6.75083017349243")</f>
        <v>http://maps.google.com/maps?f=q&amp;hl=en&amp;geocode=&amp;q=47.055850982666,6.75083017349243</v>
      </c>
    </row>
    <row r="8773" spans="1:7" ht="15" x14ac:dyDescent="0.3">
      <c r="A8773" t="s">
        <v>44</v>
      </c>
      <c r="B8773" t="s">
        <v>44</v>
      </c>
      <c r="C8773" t="s">
        <v>44</v>
      </c>
      <c r="D8773" t="s">
        <v>5122</v>
      </c>
      <c r="F8773" s="21"/>
      <c r="G8773" s="16"/>
    </row>
    <row r="8774" spans="1:7" ht="15" x14ac:dyDescent="0.3">
      <c r="A8774" t="s">
        <v>44</v>
      </c>
      <c r="B8774" t="s">
        <v>44</v>
      </c>
      <c r="C8774" t="s">
        <v>44</v>
      </c>
      <c r="D8774" t="s">
        <v>5122</v>
      </c>
      <c r="F8774" s="21"/>
      <c r="G8774" s="16"/>
    </row>
    <row r="8775" spans="1:7" ht="15" x14ac:dyDescent="0.3">
      <c r="A8775" t="s">
        <v>44</v>
      </c>
      <c r="B8775" t="s">
        <v>44</v>
      </c>
      <c r="C8775" t="s">
        <v>44</v>
      </c>
      <c r="D8775" t="s">
        <v>5122</v>
      </c>
      <c r="F8775" s="21"/>
      <c r="G8775" s="16"/>
    </row>
    <row r="8776" spans="1:7" ht="15" x14ac:dyDescent="0.3">
      <c r="A8776" t="s">
        <v>44</v>
      </c>
      <c r="B8776" t="s">
        <v>44</v>
      </c>
      <c r="C8776" t="s">
        <v>44</v>
      </c>
      <c r="D8776" t="s">
        <v>5122</v>
      </c>
      <c r="F8776" s="21"/>
      <c r="G8776" s="16"/>
    </row>
    <row r="8777" spans="1:7" ht="15" x14ac:dyDescent="0.3">
      <c r="A8777" t="s">
        <v>44</v>
      </c>
      <c r="B8777" t="s">
        <v>44</v>
      </c>
      <c r="C8777" t="s">
        <v>44</v>
      </c>
      <c r="D8777" t="s">
        <v>5122</v>
      </c>
      <c r="F8777" s="21"/>
      <c r="G8777" s="16"/>
    </row>
    <row r="8778" spans="1:7" ht="15" x14ac:dyDescent="0.3">
      <c r="A8778">
        <v>40.825839996337898</v>
      </c>
      <c r="B8778">
        <v>-85.337661743164105</v>
      </c>
      <c r="C8778" t="s">
        <v>43</v>
      </c>
      <c r="D8778" t="s">
        <v>5123</v>
      </c>
      <c r="F8778" s="21"/>
      <c r="G8778" s="16" t="str">
        <f>HYPERLINK("http://maps.google.com/maps?f=q&amp;hl=en&amp;geocode=&amp;q=40.8258399963379,-85.3376617431641")</f>
        <v>http://maps.google.com/maps?f=q&amp;hl=en&amp;geocode=&amp;q=40.8258399963379,-85.3376617431641</v>
      </c>
    </row>
    <row r="8779" spans="1:7" ht="15" x14ac:dyDescent="0.3">
      <c r="A8779">
        <v>-36.701439999999998</v>
      </c>
      <c r="B8779">
        <v>142.19977</v>
      </c>
      <c r="C8779" t="s">
        <v>41</v>
      </c>
      <c r="D8779" t="s">
        <v>2300</v>
      </c>
      <c r="F8779" s="21"/>
      <c r="G8779" s="16" t="str">
        <f>HYPERLINK("http://maps.google.com/maps?f=q&amp;hl=en&amp;geocode=&amp;q=-36.70144,142.19977")</f>
        <v>http://maps.google.com/maps?f=q&amp;hl=en&amp;geocode=&amp;q=-36.70144,142.19977</v>
      </c>
    </row>
    <row r="8780" spans="1:7" ht="15" x14ac:dyDescent="0.3">
      <c r="A8780">
        <v>39.96181</v>
      </c>
      <c r="B8780">
        <v>-75.226519999999994</v>
      </c>
      <c r="C8780" t="s">
        <v>43</v>
      </c>
      <c r="D8780" t="s">
        <v>5124</v>
      </c>
      <c r="F8780" s="21"/>
      <c r="G8780" s="16" t="str">
        <f>HYPERLINK("http://maps.google.com/maps?f=q&amp;hl=en&amp;geocode=&amp;q=39.96181,-75.22652")</f>
        <v>http://maps.google.com/maps?f=q&amp;hl=en&amp;geocode=&amp;q=39.96181,-75.22652</v>
      </c>
    </row>
    <row r="8781" spans="1:7" ht="15" x14ac:dyDescent="0.3">
      <c r="A8781">
        <v>36.902555965944998</v>
      </c>
      <c r="B8781">
        <v>-78.8948882131007</v>
      </c>
      <c r="C8781" t="s">
        <v>43</v>
      </c>
      <c r="D8781" t="s">
        <v>3748</v>
      </c>
      <c r="F8781" s="21"/>
      <c r="G8781" s="16" t="str">
        <f>HYPERLINK("http://maps.google.com/maps?f=q&amp;hl=en&amp;geocode=&amp;q=36.902555965945,-78.8948882131007")</f>
        <v>http://maps.google.com/maps?f=q&amp;hl=en&amp;geocode=&amp;q=36.902555965945,-78.8948882131007</v>
      </c>
    </row>
    <row r="8782" spans="1:7" ht="15" x14ac:dyDescent="0.3">
      <c r="A8782">
        <v>36.902555965944998</v>
      </c>
      <c r="B8782">
        <v>-78.8948882131007</v>
      </c>
      <c r="C8782" t="s">
        <v>43</v>
      </c>
      <c r="D8782" t="s">
        <v>3748</v>
      </c>
      <c r="F8782" s="21"/>
      <c r="G8782" s="16" t="str">
        <f>HYPERLINK("http://maps.google.com/maps?f=q&amp;hl=en&amp;geocode=&amp;q=36.902555965945,-78.8948882131007")</f>
        <v>http://maps.google.com/maps?f=q&amp;hl=en&amp;geocode=&amp;q=36.902555965945,-78.8948882131007</v>
      </c>
    </row>
    <row r="8783" spans="1:7" ht="15" x14ac:dyDescent="0.3">
      <c r="A8783">
        <v>36.902555965944998</v>
      </c>
      <c r="B8783">
        <v>-78.8948882131007</v>
      </c>
      <c r="C8783" t="s">
        <v>43</v>
      </c>
      <c r="D8783" t="s">
        <v>3748</v>
      </c>
      <c r="F8783" s="21"/>
      <c r="G8783" s="16" t="str">
        <f>HYPERLINK("http://maps.google.com/maps?f=q&amp;hl=en&amp;geocode=&amp;q=36.902555965945,-78.8948882131007")</f>
        <v>http://maps.google.com/maps?f=q&amp;hl=en&amp;geocode=&amp;q=36.902555965945,-78.8948882131007</v>
      </c>
    </row>
    <row r="8784" spans="1:7" ht="15" x14ac:dyDescent="0.3">
      <c r="A8784">
        <v>36.902555965944998</v>
      </c>
      <c r="B8784">
        <v>-78.8948882131007</v>
      </c>
      <c r="C8784" t="s">
        <v>43</v>
      </c>
      <c r="D8784" t="s">
        <v>3748</v>
      </c>
      <c r="F8784" s="21"/>
      <c r="G8784" s="16" t="str">
        <f>HYPERLINK("http://maps.google.com/maps?f=q&amp;hl=en&amp;geocode=&amp;q=36.902555965945,-78.8948882131007")</f>
        <v>http://maps.google.com/maps?f=q&amp;hl=en&amp;geocode=&amp;q=36.902555965945,-78.8948882131007</v>
      </c>
    </row>
    <row r="8785" spans="1:7" ht="15" x14ac:dyDescent="0.3">
      <c r="A8785" t="s">
        <v>44</v>
      </c>
      <c r="B8785" t="s">
        <v>44</v>
      </c>
      <c r="C8785" t="s">
        <v>44</v>
      </c>
      <c r="D8785" t="s">
        <v>3916</v>
      </c>
      <c r="F8785" s="21"/>
      <c r="G8785" s="16"/>
    </row>
    <row r="8786" spans="1:7" ht="15" x14ac:dyDescent="0.3">
      <c r="A8786">
        <v>52.380950927734403</v>
      </c>
      <c r="B8786">
        <v>21.392240524291999</v>
      </c>
      <c r="C8786" t="s">
        <v>41</v>
      </c>
      <c r="D8786" t="s">
        <v>5125</v>
      </c>
      <c r="F8786" s="21"/>
      <c r="G8786" s="16" t="str">
        <f>HYPERLINK("http://maps.google.com/maps?f=q&amp;hl=en&amp;geocode=&amp;q=52.3809509277344,21.392240524292")</f>
        <v>http://maps.google.com/maps?f=q&amp;hl=en&amp;geocode=&amp;q=52.3809509277344,21.392240524292</v>
      </c>
    </row>
    <row r="8787" spans="1:7" ht="15" x14ac:dyDescent="0.3">
      <c r="A8787">
        <v>30.112073798531199</v>
      </c>
      <c r="B8787">
        <v>-83.315953727667306</v>
      </c>
      <c r="C8787" t="s">
        <v>41</v>
      </c>
      <c r="D8787" t="s">
        <v>5126</v>
      </c>
      <c r="F8787" s="21"/>
      <c r="G8787" s="16" t="str">
        <f>HYPERLINK("http://maps.google.com/maps?f=q&amp;hl=en&amp;geocode=&amp;q=30.1120737985312,-83.3159537276673")</f>
        <v>http://maps.google.com/maps?f=q&amp;hl=en&amp;geocode=&amp;q=30.1120737985312,-83.3159537276673</v>
      </c>
    </row>
    <row r="8788" spans="1:7" ht="15" x14ac:dyDescent="0.3">
      <c r="A8788">
        <v>39.959870000000002</v>
      </c>
      <c r="B8788">
        <v>-75.197010000000006</v>
      </c>
      <c r="C8788" t="s">
        <v>43</v>
      </c>
      <c r="D8788" t="s">
        <v>5127</v>
      </c>
      <c r="F8788" s="21"/>
      <c r="G8788" s="16" t="str">
        <f>HYPERLINK("http://maps.google.com/maps?f=q&amp;hl=en&amp;geocode=&amp;q=39.95987,-75.19701")</f>
        <v>http://maps.google.com/maps?f=q&amp;hl=en&amp;geocode=&amp;q=39.95987,-75.19701</v>
      </c>
    </row>
    <row r="8789" spans="1:7" ht="15" x14ac:dyDescent="0.3">
      <c r="A8789">
        <v>40.460018157958999</v>
      </c>
      <c r="B8789">
        <v>-78.591552734375</v>
      </c>
      <c r="C8789" t="s">
        <v>43</v>
      </c>
      <c r="D8789" t="s">
        <v>5128</v>
      </c>
      <c r="F8789" s="21"/>
      <c r="G8789" s="16" t="str">
        <f>HYPERLINK("http://maps.google.com/maps?f=q&amp;hl=en&amp;geocode=&amp;q=40.460018157959,-78.591552734375")</f>
        <v>http://maps.google.com/maps?f=q&amp;hl=en&amp;geocode=&amp;q=40.460018157959,-78.591552734375</v>
      </c>
    </row>
    <row r="8790" spans="1:7" ht="15" x14ac:dyDescent="0.3">
      <c r="A8790">
        <v>35.1497611999512</v>
      </c>
      <c r="B8790">
        <v>-90.049247741699205</v>
      </c>
      <c r="C8790" t="s">
        <v>41</v>
      </c>
      <c r="D8790" t="s">
        <v>4045</v>
      </c>
      <c r="F8790" s="21"/>
      <c r="G8790" s="16" t="str">
        <f>HYPERLINK("http://maps.google.com/maps?f=q&amp;hl=en&amp;geocode=&amp;q=35.1497611999512,-90.0492477416992")</f>
        <v>http://maps.google.com/maps?f=q&amp;hl=en&amp;geocode=&amp;q=35.1497611999512,-90.0492477416992</v>
      </c>
    </row>
    <row r="8791" spans="1:7" ht="15" x14ac:dyDescent="0.3">
      <c r="A8791">
        <v>-41.270748138427699</v>
      </c>
      <c r="B8791">
        <v>173.28324890136699</v>
      </c>
      <c r="C8791" t="s">
        <v>43</v>
      </c>
      <c r="D8791" t="s">
        <v>5129</v>
      </c>
      <c r="F8791" s="21"/>
      <c r="G8791" s="16" t="str">
        <f>HYPERLINK("http://maps.google.com/maps?f=q&amp;hl=en&amp;geocode=&amp;q=-41.2707481384277,173.283248901367")</f>
        <v>http://maps.google.com/maps?f=q&amp;hl=en&amp;geocode=&amp;q=-41.2707481384277,173.283248901367</v>
      </c>
    </row>
    <row r="8792" spans="1:7" ht="15" x14ac:dyDescent="0.3">
      <c r="A8792">
        <v>38.670448700974497</v>
      </c>
      <c r="B8792">
        <v>-82.119422742574997</v>
      </c>
      <c r="C8792" t="s">
        <v>41</v>
      </c>
      <c r="D8792" t="s">
        <v>5130</v>
      </c>
      <c r="F8792" s="21"/>
      <c r="G8792" s="16" t="str">
        <f>HYPERLINK("http://maps.google.com/maps?f=q&amp;hl=en&amp;geocode=&amp;q=38.6704487009745,-82.119422742575")</f>
        <v>http://maps.google.com/maps?f=q&amp;hl=en&amp;geocode=&amp;q=38.6704487009745,-82.119422742575</v>
      </c>
    </row>
    <row r="8793" spans="1:7" ht="15" x14ac:dyDescent="0.3">
      <c r="A8793">
        <v>60.300830841064503</v>
      </c>
      <c r="B8793">
        <v>19.131389617919901</v>
      </c>
      <c r="C8793" t="s">
        <v>43</v>
      </c>
      <c r="D8793" t="s">
        <v>3623</v>
      </c>
      <c r="F8793" s="21"/>
      <c r="G8793" s="16" t="str">
        <f>HYPERLINK("http://maps.google.com/maps?f=q&amp;hl=en&amp;geocode=&amp;q=60.3008308410645,19.1313896179199")</f>
        <v>http://maps.google.com/maps?f=q&amp;hl=en&amp;geocode=&amp;q=60.3008308410645,19.1313896179199</v>
      </c>
    </row>
    <row r="8794" spans="1:7" ht="15" x14ac:dyDescent="0.3">
      <c r="A8794">
        <v>42.028280000000002</v>
      </c>
      <c r="B8794">
        <v>-87.722430000000003</v>
      </c>
      <c r="C8794" t="s">
        <v>41</v>
      </c>
      <c r="D8794" t="s">
        <v>376</v>
      </c>
      <c r="F8794" s="21"/>
      <c r="G8794" s="16" t="str">
        <f>HYPERLINK("http://maps.google.com/maps?f=q&amp;hl=en&amp;geocode=&amp;q=42.02828,-87.72243")</f>
        <v>http://maps.google.com/maps?f=q&amp;hl=en&amp;geocode=&amp;q=42.02828,-87.72243</v>
      </c>
    </row>
    <row r="8795" spans="1:7" ht="15" x14ac:dyDescent="0.3">
      <c r="A8795">
        <v>42.028280000000002</v>
      </c>
      <c r="B8795">
        <v>-87.722430000000003</v>
      </c>
      <c r="C8795" t="s">
        <v>41</v>
      </c>
      <c r="D8795" t="s">
        <v>376</v>
      </c>
      <c r="F8795" s="21"/>
      <c r="G8795" s="16" t="str">
        <f>HYPERLINK("http://maps.google.com/maps?f=q&amp;hl=en&amp;geocode=&amp;q=42.02828,-87.72243")</f>
        <v>http://maps.google.com/maps?f=q&amp;hl=en&amp;geocode=&amp;q=42.02828,-87.72243</v>
      </c>
    </row>
    <row r="8796" spans="1:7" ht="15" x14ac:dyDescent="0.3">
      <c r="A8796">
        <v>35.099060000000001</v>
      </c>
      <c r="B8796">
        <v>-89.898470000000003</v>
      </c>
      <c r="C8796" t="s">
        <v>41</v>
      </c>
      <c r="D8796" t="s">
        <v>2382</v>
      </c>
      <c r="F8796" s="21"/>
      <c r="G8796" s="16" t="str">
        <f>HYPERLINK("http://maps.google.com/maps?f=q&amp;hl=en&amp;geocode=&amp;q=35.09906,-89.89847")</f>
        <v>http://maps.google.com/maps?f=q&amp;hl=en&amp;geocode=&amp;q=35.09906,-89.89847</v>
      </c>
    </row>
    <row r="8797" spans="1:7" ht="15" x14ac:dyDescent="0.3">
      <c r="A8797">
        <v>34.195639999999997</v>
      </c>
      <c r="B8797">
        <v>-118.33651</v>
      </c>
      <c r="C8797" t="s">
        <v>41</v>
      </c>
      <c r="D8797" t="s">
        <v>5131</v>
      </c>
      <c r="F8797" s="21"/>
      <c r="G8797" s="16" t="str">
        <f>HYPERLINK("http://maps.google.com/maps?f=q&amp;hl=en&amp;geocode=&amp;q=34.19564,-118.33651")</f>
        <v>http://maps.google.com/maps?f=q&amp;hl=en&amp;geocode=&amp;q=34.19564,-118.33651</v>
      </c>
    </row>
    <row r="8798" spans="1:7" ht="15" x14ac:dyDescent="0.3">
      <c r="A8798">
        <v>31.05528</v>
      </c>
      <c r="B8798">
        <v>-97.696939999999998</v>
      </c>
      <c r="C8798" t="s">
        <v>41</v>
      </c>
      <c r="D8798" t="s">
        <v>187</v>
      </c>
      <c r="F8798" s="21"/>
      <c r="G8798" s="16" t="str">
        <f>HYPERLINK("http://maps.google.com/maps?f=q&amp;hl=en&amp;geocode=&amp;q=31.05528,-97.69694")</f>
        <v>http://maps.google.com/maps?f=q&amp;hl=en&amp;geocode=&amp;q=31.05528,-97.69694</v>
      </c>
    </row>
    <row r="8799" spans="1:7" ht="15" x14ac:dyDescent="0.3">
      <c r="A8799">
        <v>37.241072477694097</v>
      </c>
      <c r="B8799">
        <v>-79.998654977856503</v>
      </c>
      <c r="C8799" t="s">
        <v>41</v>
      </c>
      <c r="D8799" t="s">
        <v>372</v>
      </c>
      <c r="F8799" s="21"/>
      <c r="G8799" s="16" t="str">
        <f>HYPERLINK("http://maps.google.com/maps?f=q&amp;hl=en&amp;geocode=&amp;q=37.2410724776941,-79.9986549778565")</f>
        <v>http://maps.google.com/maps?f=q&amp;hl=en&amp;geocode=&amp;q=37.2410724776941,-79.9986549778565</v>
      </c>
    </row>
    <row r="8800" spans="1:7" ht="15" x14ac:dyDescent="0.3">
      <c r="A8800">
        <v>42.4211838777669</v>
      </c>
      <c r="B8800">
        <v>-76.492153618799193</v>
      </c>
      <c r="C8800" t="s">
        <v>43</v>
      </c>
      <c r="D8800" t="s">
        <v>5132</v>
      </c>
      <c r="F8800" s="21"/>
      <c r="G8800" s="16" t="str">
        <f>HYPERLINK("http://maps.google.com/maps?f=q&amp;hl=en&amp;geocode=&amp;q=42.4211838777669,-76.4921536187992")</f>
        <v>http://maps.google.com/maps?f=q&amp;hl=en&amp;geocode=&amp;q=42.4211838777669,-76.4921536187992</v>
      </c>
    </row>
    <row r="8801" spans="1:7" ht="15" x14ac:dyDescent="0.3">
      <c r="A8801" t="s">
        <v>44</v>
      </c>
      <c r="B8801" t="s">
        <v>44</v>
      </c>
      <c r="C8801" t="s">
        <v>44</v>
      </c>
      <c r="D8801" t="s">
        <v>981</v>
      </c>
      <c r="F8801" s="21"/>
      <c r="G8801" s="16"/>
    </row>
    <row r="8802" spans="1:7" ht="15" x14ac:dyDescent="0.3">
      <c r="A8802">
        <v>32.274881000000001</v>
      </c>
      <c r="B8802">
        <v>-92.713254000000006</v>
      </c>
      <c r="C8802" t="s">
        <v>41</v>
      </c>
      <c r="D8802" t="s">
        <v>2651</v>
      </c>
      <c r="F8802" s="21"/>
      <c r="G8802" s="16" t="str">
        <f>HYPERLINK("http://maps.google.com/maps?f=q&amp;hl=en&amp;geocode=&amp;q=32.274881,-92.713254")</f>
        <v>http://maps.google.com/maps?f=q&amp;hl=en&amp;geocode=&amp;q=32.274881,-92.713254</v>
      </c>
    </row>
    <row r="8803" spans="1:7" ht="15" x14ac:dyDescent="0.3">
      <c r="A8803" t="s">
        <v>44</v>
      </c>
      <c r="B8803" t="s">
        <v>44</v>
      </c>
      <c r="C8803" t="s">
        <v>44</v>
      </c>
      <c r="D8803" t="s">
        <v>1004</v>
      </c>
      <c r="F8803" s="21"/>
      <c r="G8803" s="16"/>
    </row>
    <row r="8804" spans="1:7" ht="15" x14ac:dyDescent="0.3">
      <c r="A8804">
        <v>32.8281513865889</v>
      </c>
      <c r="B8804">
        <v>-98.559014550259107</v>
      </c>
      <c r="C8804" t="s">
        <v>43</v>
      </c>
      <c r="D8804" t="s">
        <v>5133</v>
      </c>
      <c r="F8804" s="21"/>
      <c r="G8804" s="16" t="str">
        <f>HYPERLINK("http://maps.google.com/maps?f=q&amp;hl=en&amp;geocode=&amp;q=32.8281513865889,-98.5590145502591")</f>
        <v>http://maps.google.com/maps?f=q&amp;hl=en&amp;geocode=&amp;q=32.8281513865889,-98.5590145502591</v>
      </c>
    </row>
    <row r="8805" spans="1:7" ht="15" x14ac:dyDescent="0.3">
      <c r="A8805">
        <v>39.963920000000002</v>
      </c>
      <c r="B8805">
        <v>-75.193029999999993</v>
      </c>
      <c r="C8805" t="s">
        <v>43</v>
      </c>
      <c r="D8805" t="s">
        <v>5134</v>
      </c>
      <c r="F8805" s="21"/>
      <c r="G8805" s="16" t="str">
        <f>HYPERLINK("http://maps.google.com/maps?f=q&amp;hl=en&amp;geocode=&amp;q=39.96392,-75.19303")</f>
        <v>http://maps.google.com/maps?f=q&amp;hl=en&amp;geocode=&amp;q=39.96392,-75.19303</v>
      </c>
    </row>
    <row r="8806" spans="1:7" ht="15" x14ac:dyDescent="0.3">
      <c r="A8806">
        <v>50.450000762939503</v>
      </c>
      <c r="B8806">
        <v>-3.7000000476837198</v>
      </c>
      <c r="C8806" t="s">
        <v>43</v>
      </c>
      <c r="D8806" t="s">
        <v>4245</v>
      </c>
      <c r="F8806" s="21"/>
      <c r="G8806" s="16" t="str">
        <f>HYPERLINK("http://maps.google.com/maps?f=q&amp;hl=en&amp;geocode=&amp;q=50.4500007629395,-3.70000004768372")</f>
        <v>http://maps.google.com/maps?f=q&amp;hl=en&amp;geocode=&amp;q=50.4500007629395,-3.70000004768372</v>
      </c>
    </row>
    <row r="8807" spans="1:7" ht="15" x14ac:dyDescent="0.3">
      <c r="A8807">
        <v>41.045687555528502</v>
      </c>
      <c r="B8807">
        <v>-81.268757465450705</v>
      </c>
      <c r="C8807" t="s">
        <v>41</v>
      </c>
      <c r="D8807" t="s">
        <v>5135</v>
      </c>
      <c r="F8807" s="21"/>
      <c r="G8807" s="16" t="str">
        <f>HYPERLINK("http://maps.google.com/maps?f=q&amp;hl=en&amp;geocode=&amp;q=41.0456875555285,-81.2687574654507")</f>
        <v>http://maps.google.com/maps?f=q&amp;hl=en&amp;geocode=&amp;q=41.0456875555285,-81.2687574654507</v>
      </c>
    </row>
    <row r="8808" spans="1:7" ht="15" x14ac:dyDescent="0.3">
      <c r="A8808">
        <v>41.073617878881599</v>
      </c>
      <c r="B8808">
        <v>-81.248220167043002</v>
      </c>
      <c r="C8808" t="s">
        <v>41</v>
      </c>
      <c r="D8808" t="s">
        <v>404</v>
      </c>
      <c r="F8808" s="21"/>
      <c r="G8808" s="16" t="str">
        <f>HYPERLINK("http://maps.google.com/maps?f=q&amp;hl=en&amp;geocode=&amp;q=41.0736178788816,-81.248220167043")</f>
        <v>http://maps.google.com/maps?f=q&amp;hl=en&amp;geocode=&amp;q=41.0736178788816,-81.248220167043</v>
      </c>
    </row>
    <row r="8809" spans="1:7" ht="15" x14ac:dyDescent="0.3">
      <c r="A8809" t="s">
        <v>44</v>
      </c>
      <c r="B8809" t="s">
        <v>44</v>
      </c>
      <c r="C8809" t="s">
        <v>44</v>
      </c>
      <c r="D8809" t="s">
        <v>5136</v>
      </c>
      <c r="F8809" s="21"/>
      <c r="G8809" s="16"/>
    </row>
    <row r="8810" spans="1:7" ht="15" x14ac:dyDescent="0.3">
      <c r="A8810">
        <v>35.993250000000003</v>
      </c>
      <c r="B8810">
        <v>-78.433809999999994</v>
      </c>
      <c r="C8810" t="s">
        <v>42</v>
      </c>
      <c r="D8810" t="s">
        <v>5137</v>
      </c>
      <c r="F8810" s="21"/>
      <c r="G8810" s="16" t="str">
        <f>HYPERLINK("http://maps.google.com/maps?f=q&amp;hl=en&amp;geocode=&amp;q=35.99325,-78.43381")</f>
        <v>http://maps.google.com/maps?f=q&amp;hl=en&amp;geocode=&amp;q=35.99325,-78.43381</v>
      </c>
    </row>
    <row r="8811" spans="1:7" ht="15" x14ac:dyDescent="0.3">
      <c r="A8811">
        <v>40.05986</v>
      </c>
      <c r="B8811">
        <v>-75.079239999999999</v>
      </c>
      <c r="C8811" t="s">
        <v>41</v>
      </c>
      <c r="D8811" t="s">
        <v>5138</v>
      </c>
      <c r="F8811" s="21"/>
      <c r="G8811" s="16" t="str">
        <f>HYPERLINK("http://maps.google.com/maps?f=q&amp;hl=en&amp;geocode=&amp;q=40.05986,-75.07924")</f>
        <v>http://maps.google.com/maps?f=q&amp;hl=en&amp;geocode=&amp;q=40.05986,-75.07924</v>
      </c>
    </row>
    <row r="8812" spans="1:7" ht="15" x14ac:dyDescent="0.3">
      <c r="A8812">
        <v>32.380149841308601</v>
      </c>
      <c r="B8812">
        <v>-86.300079345703097</v>
      </c>
      <c r="C8812" t="s">
        <v>41</v>
      </c>
      <c r="D8812" t="s">
        <v>5139</v>
      </c>
      <c r="F8812" s="21"/>
      <c r="G8812" s="16" t="str">
        <f>HYPERLINK("http://maps.google.com/maps?f=q&amp;hl=en&amp;geocode=&amp;q=32.3801498413086,-86.3000793457031")</f>
        <v>http://maps.google.com/maps?f=q&amp;hl=en&amp;geocode=&amp;q=32.3801498413086,-86.3000793457031</v>
      </c>
    </row>
    <row r="8813" spans="1:7" ht="15" x14ac:dyDescent="0.3">
      <c r="A8813">
        <v>39.508872596965801</v>
      </c>
      <c r="B8813">
        <v>-119.828792742514</v>
      </c>
      <c r="C8813" t="s">
        <v>41</v>
      </c>
      <c r="D8813" t="s">
        <v>5140</v>
      </c>
      <c r="F8813" s="21"/>
      <c r="G8813" s="16" t="str">
        <f>HYPERLINK("http://maps.google.com/maps?f=q&amp;hl=en&amp;geocode=&amp;q=39.5088725969658,-119.828792742514")</f>
        <v>http://maps.google.com/maps?f=q&amp;hl=en&amp;geocode=&amp;q=39.5088725969658,-119.828792742514</v>
      </c>
    </row>
    <row r="8814" spans="1:7" ht="15" x14ac:dyDescent="0.3">
      <c r="A8814">
        <v>41.934944555690002</v>
      </c>
      <c r="B8814">
        <v>-77.066366966966797</v>
      </c>
      <c r="C8814" t="s">
        <v>43</v>
      </c>
      <c r="D8814" t="s">
        <v>5141</v>
      </c>
      <c r="F8814" s="21"/>
      <c r="G8814" s="16" t="str">
        <f>HYPERLINK("http://maps.google.com/maps?f=q&amp;hl=en&amp;geocode=&amp;q=41.93494455569,-77.0663669669668")</f>
        <v>http://maps.google.com/maps?f=q&amp;hl=en&amp;geocode=&amp;q=41.93494455569,-77.0663669669668</v>
      </c>
    </row>
    <row r="8815" spans="1:7" ht="15" x14ac:dyDescent="0.3">
      <c r="A8815">
        <v>39.508872596965801</v>
      </c>
      <c r="B8815">
        <v>-119.828792742514</v>
      </c>
      <c r="C8815" t="s">
        <v>41</v>
      </c>
      <c r="D8815" t="s">
        <v>5140</v>
      </c>
      <c r="F8815" s="21"/>
      <c r="G8815" s="16" t="str">
        <f>HYPERLINK("http://maps.google.com/maps?f=q&amp;hl=en&amp;geocode=&amp;q=39.5088725969658,-119.828792742514")</f>
        <v>http://maps.google.com/maps?f=q&amp;hl=en&amp;geocode=&amp;q=39.5088725969658,-119.828792742514</v>
      </c>
    </row>
    <row r="8816" spans="1:7" ht="15" x14ac:dyDescent="0.3">
      <c r="A8816">
        <v>41.073617878881599</v>
      </c>
      <c r="B8816">
        <v>-81.248220167043002</v>
      </c>
      <c r="C8816" t="s">
        <v>41</v>
      </c>
      <c r="D8816" t="s">
        <v>404</v>
      </c>
      <c r="F8816" s="21"/>
      <c r="G8816" s="16" t="str">
        <f>HYPERLINK("http://maps.google.com/maps?f=q&amp;hl=en&amp;geocode=&amp;q=41.0736178788816,-81.248220167043")</f>
        <v>http://maps.google.com/maps?f=q&amp;hl=en&amp;geocode=&amp;q=41.0736178788816,-81.248220167043</v>
      </c>
    </row>
    <row r="8817" spans="1:7" ht="15" x14ac:dyDescent="0.3">
      <c r="A8817">
        <v>41.419273210671001</v>
      </c>
      <c r="B8817">
        <v>-87.187212073928194</v>
      </c>
      <c r="C8817" t="s">
        <v>41</v>
      </c>
      <c r="D8817" t="s">
        <v>5142</v>
      </c>
      <c r="F8817" s="21"/>
      <c r="G8817" s="16" t="str">
        <f>HYPERLINK("http://maps.google.com/maps?f=q&amp;hl=en&amp;geocode=&amp;q=41.419273210671,-87.1872120739282")</f>
        <v>http://maps.google.com/maps?f=q&amp;hl=en&amp;geocode=&amp;q=41.419273210671,-87.1872120739282</v>
      </c>
    </row>
    <row r="8818" spans="1:7" ht="15" x14ac:dyDescent="0.3">
      <c r="A8818">
        <v>37.265300000000003</v>
      </c>
      <c r="B8818">
        <v>-93.320549999999997</v>
      </c>
      <c r="C8818" t="s">
        <v>43</v>
      </c>
      <c r="D8818" t="s">
        <v>5143</v>
      </c>
      <c r="F8818" s="21"/>
      <c r="G8818" s="16" t="str">
        <f>HYPERLINK("http://maps.google.com/maps?f=q&amp;hl=en&amp;geocode=&amp;q=37.2653,-93.32055")</f>
        <v>http://maps.google.com/maps?f=q&amp;hl=en&amp;geocode=&amp;q=37.2653,-93.32055</v>
      </c>
    </row>
    <row r="8819" spans="1:7" ht="15" x14ac:dyDescent="0.3">
      <c r="A8819">
        <v>39.996252611624001</v>
      </c>
      <c r="B8819">
        <v>-75.171338983185706</v>
      </c>
      <c r="C8819" t="s">
        <v>41</v>
      </c>
      <c r="D8819" t="s">
        <v>5144</v>
      </c>
      <c r="F8819" s="21"/>
      <c r="G8819" s="16" t="str">
        <f>HYPERLINK("http://maps.google.com/maps?f=q&amp;hl=en&amp;geocode=&amp;q=39.996252611624,-75.1713389831857")</f>
        <v>http://maps.google.com/maps?f=q&amp;hl=en&amp;geocode=&amp;q=39.996252611624,-75.1713389831857</v>
      </c>
    </row>
    <row r="8820" spans="1:7" ht="15" x14ac:dyDescent="0.3">
      <c r="A8820">
        <v>34.066528683002304</v>
      </c>
      <c r="B8820">
        <v>-118.45326577754</v>
      </c>
      <c r="C8820" t="s">
        <v>43</v>
      </c>
      <c r="D8820" t="s">
        <v>3327</v>
      </c>
      <c r="F8820" s="21"/>
      <c r="G8820" s="16" t="str">
        <f>HYPERLINK("http://maps.google.com/maps?f=q&amp;hl=en&amp;geocode=&amp;q=34.0665286830023,-118.45326577754")</f>
        <v>http://maps.google.com/maps?f=q&amp;hl=en&amp;geocode=&amp;q=34.0665286830023,-118.45326577754</v>
      </c>
    </row>
    <row r="8821" spans="1:7" ht="15" x14ac:dyDescent="0.3">
      <c r="A8821">
        <v>40.041731789762302</v>
      </c>
      <c r="B8821">
        <v>-75.192249216796995</v>
      </c>
      <c r="C8821" t="s">
        <v>41</v>
      </c>
      <c r="D8821" t="s">
        <v>5145</v>
      </c>
      <c r="F8821" s="21"/>
      <c r="G8821" s="16" t="str">
        <f>HYPERLINK("http://maps.google.com/maps?f=q&amp;hl=en&amp;geocode=&amp;q=40.0417317897623,-75.192249216797")</f>
        <v>http://maps.google.com/maps?f=q&amp;hl=en&amp;geocode=&amp;q=40.0417317897623,-75.192249216797</v>
      </c>
    </row>
    <row r="8822" spans="1:7" ht="15" x14ac:dyDescent="0.3">
      <c r="A8822">
        <v>40.041731789762302</v>
      </c>
      <c r="B8822">
        <v>-75.192249216796995</v>
      </c>
      <c r="C8822" t="s">
        <v>41</v>
      </c>
      <c r="D8822" t="s">
        <v>5145</v>
      </c>
      <c r="F8822" s="21"/>
      <c r="G8822" s="16" t="str">
        <f>HYPERLINK("http://maps.google.com/maps?f=q&amp;hl=en&amp;geocode=&amp;q=40.0417317897623,-75.192249216797")</f>
        <v>http://maps.google.com/maps?f=q&amp;hl=en&amp;geocode=&amp;q=40.0417317897623,-75.192249216797</v>
      </c>
    </row>
    <row r="8823" spans="1:7" ht="15" x14ac:dyDescent="0.3">
      <c r="A8823">
        <v>40.041731789762302</v>
      </c>
      <c r="B8823">
        <v>-75.192249216796995</v>
      </c>
      <c r="C8823" t="s">
        <v>41</v>
      </c>
      <c r="D8823" t="s">
        <v>5145</v>
      </c>
      <c r="F8823" s="21"/>
      <c r="G8823" s="16" t="str">
        <f>HYPERLINK("http://maps.google.com/maps?f=q&amp;hl=en&amp;geocode=&amp;q=40.0417317897623,-75.192249216797")</f>
        <v>http://maps.google.com/maps?f=q&amp;hl=en&amp;geocode=&amp;q=40.0417317897623,-75.192249216797</v>
      </c>
    </row>
    <row r="8824" spans="1:7" ht="15" x14ac:dyDescent="0.3">
      <c r="A8824">
        <v>44.266651153564503</v>
      </c>
      <c r="B8824">
        <v>10.117626190185501</v>
      </c>
      <c r="C8824" t="s">
        <v>43</v>
      </c>
      <c r="D8824" t="s">
        <v>3310</v>
      </c>
      <c r="F8824" s="21"/>
      <c r="G8824" s="16" t="str">
        <f>HYPERLINK("http://maps.google.com/maps?f=q&amp;hl=en&amp;geocode=&amp;q=44.2666511535645,10.1176261901855")</f>
        <v>http://maps.google.com/maps?f=q&amp;hl=en&amp;geocode=&amp;q=44.2666511535645,10.1176261901855</v>
      </c>
    </row>
    <row r="8825" spans="1:7" ht="15" x14ac:dyDescent="0.3">
      <c r="A8825">
        <v>31.028404141084099</v>
      </c>
      <c r="B8825">
        <v>-87.5244504042914</v>
      </c>
      <c r="C8825" t="s">
        <v>41</v>
      </c>
      <c r="D8825" t="s">
        <v>3690</v>
      </c>
      <c r="F8825" s="21"/>
      <c r="G8825" s="16" t="str">
        <f>HYPERLINK("http://maps.google.com/maps?f=q&amp;hl=en&amp;geocode=&amp;q=31.0284041410841,-87.5244504042914")</f>
        <v>http://maps.google.com/maps?f=q&amp;hl=en&amp;geocode=&amp;q=31.0284041410841,-87.5244504042914</v>
      </c>
    </row>
    <row r="8826" spans="1:7" ht="15" x14ac:dyDescent="0.3">
      <c r="A8826">
        <v>-31.46659</v>
      </c>
      <c r="B8826">
        <v>152.70713000000001</v>
      </c>
      <c r="C8826" t="s">
        <v>41</v>
      </c>
      <c r="D8826" t="s">
        <v>5146</v>
      </c>
      <c r="F8826" s="21"/>
      <c r="G8826" s="16" t="str">
        <f>HYPERLINK("http://maps.google.com/maps?f=q&amp;hl=en&amp;geocode=&amp;q=-31.46659,152.70713")</f>
        <v>http://maps.google.com/maps?f=q&amp;hl=en&amp;geocode=&amp;q=-31.46659,152.70713</v>
      </c>
    </row>
    <row r="8827" spans="1:7" ht="15" x14ac:dyDescent="0.3">
      <c r="A8827">
        <v>46.690764013131201</v>
      </c>
      <c r="B8827">
        <v>-91.804389498285602</v>
      </c>
      <c r="C8827" t="s">
        <v>41</v>
      </c>
      <c r="D8827" t="s">
        <v>5147</v>
      </c>
      <c r="F8827" s="21"/>
      <c r="G8827" s="16" t="str">
        <f>HYPERLINK("http://maps.google.com/maps?f=q&amp;hl=en&amp;geocode=&amp;q=46.6907640131312,-91.8043894982856")</f>
        <v>http://maps.google.com/maps?f=q&amp;hl=en&amp;geocode=&amp;q=46.6907640131312,-91.8043894982856</v>
      </c>
    </row>
    <row r="8828" spans="1:7" ht="15" x14ac:dyDescent="0.3">
      <c r="A8828">
        <v>36.906898498535199</v>
      </c>
      <c r="B8828">
        <v>7.7501702308654803</v>
      </c>
      <c r="C8828" t="s">
        <v>43</v>
      </c>
      <c r="D8828" t="s">
        <v>5148</v>
      </c>
      <c r="F8828" s="21"/>
      <c r="G8828" s="16" t="str">
        <f>HYPERLINK("http://maps.google.com/maps?f=q&amp;hl=en&amp;geocode=&amp;q=36.9068984985352,7.75017023086548")</f>
        <v>http://maps.google.com/maps?f=q&amp;hl=en&amp;geocode=&amp;q=36.9068984985352,7.75017023086548</v>
      </c>
    </row>
    <row r="8829" spans="1:7" ht="15" x14ac:dyDescent="0.3">
      <c r="A8829" t="s">
        <v>44</v>
      </c>
      <c r="B8829" t="s">
        <v>44</v>
      </c>
      <c r="C8829" t="s">
        <v>44</v>
      </c>
      <c r="D8829" t="s">
        <v>5149</v>
      </c>
      <c r="F8829" s="21"/>
      <c r="G8829" s="16"/>
    </row>
    <row r="8830" spans="1:7" ht="15" x14ac:dyDescent="0.3">
      <c r="A8830">
        <v>35.921280000000003</v>
      </c>
      <c r="B8830">
        <v>-79.360939999999999</v>
      </c>
      <c r="C8830" t="s">
        <v>42</v>
      </c>
      <c r="D8830" t="s">
        <v>5150</v>
      </c>
      <c r="F8830" s="21"/>
      <c r="G8830" s="16" t="str">
        <f>HYPERLINK("http://maps.google.com/maps?f=q&amp;hl=en&amp;geocode=&amp;q=35.92128,-79.36094")</f>
        <v>http://maps.google.com/maps?f=q&amp;hl=en&amp;geocode=&amp;q=35.92128,-79.36094</v>
      </c>
    </row>
    <row r="8831" spans="1:7" ht="15" x14ac:dyDescent="0.3">
      <c r="A8831">
        <v>31.908686250629199</v>
      </c>
      <c r="B8831">
        <v>-92.103391706974094</v>
      </c>
      <c r="C8831" t="s">
        <v>42</v>
      </c>
      <c r="D8831" t="s">
        <v>1790</v>
      </c>
      <c r="F8831" s="21"/>
      <c r="G8831" s="16" t="str">
        <f>HYPERLINK("http://maps.google.com/maps?f=q&amp;hl=en&amp;geocode=&amp;q=31.9086862506292,-92.1033917069741")</f>
        <v>http://maps.google.com/maps?f=q&amp;hl=en&amp;geocode=&amp;q=31.9086862506292,-92.1033917069741</v>
      </c>
    </row>
    <row r="8832" spans="1:7" ht="15" x14ac:dyDescent="0.3">
      <c r="A8832">
        <v>40.240113182502803</v>
      </c>
      <c r="B8832">
        <v>-77.051440745918896</v>
      </c>
      <c r="C8832" t="s">
        <v>41</v>
      </c>
      <c r="D8832" t="s">
        <v>2448</v>
      </c>
      <c r="F8832" s="21"/>
      <c r="G8832" s="16" t="str">
        <f>HYPERLINK("http://maps.google.com/maps?f=q&amp;hl=en&amp;geocode=&amp;q=40.2401131825028,-77.0514407459189")</f>
        <v>http://maps.google.com/maps?f=q&amp;hl=en&amp;geocode=&amp;q=40.2401131825028,-77.0514407459189</v>
      </c>
    </row>
    <row r="8833" spans="1:7" ht="15" x14ac:dyDescent="0.3">
      <c r="A8833">
        <v>40.240113182502803</v>
      </c>
      <c r="B8833">
        <v>-77.051440745918896</v>
      </c>
      <c r="C8833" t="s">
        <v>41</v>
      </c>
      <c r="D8833" t="s">
        <v>5151</v>
      </c>
      <c r="F8833" s="21"/>
      <c r="G8833" s="16" t="str">
        <f>HYPERLINK("http://maps.google.com/maps?f=q&amp;hl=en&amp;geocode=&amp;q=40.2401131825028,-77.0514407459189")</f>
        <v>http://maps.google.com/maps?f=q&amp;hl=en&amp;geocode=&amp;q=40.2401131825028,-77.0514407459189</v>
      </c>
    </row>
    <row r="8834" spans="1:7" ht="15" x14ac:dyDescent="0.3">
      <c r="A8834">
        <v>40.240113182502803</v>
      </c>
      <c r="B8834">
        <v>-77.051440745918896</v>
      </c>
      <c r="C8834" t="s">
        <v>41</v>
      </c>
      <c r="D8834" t="s">
        <v>5151</v>
      </c>
      <c r="F8834" s="21"/>
      <c r="G8834" s="16" t="str">
        <f>HYPERLINK("http://maps.google.com/maps?f=q&amp;hl=en&amp;geocode=&amp;q=40.2401131825028,-77.0514407459189")</f>
        <v>http://maps.google.com/maps?f=q&amp;hl=en&amp;geocode=&amp;q=40.2401131825028,-77.0514407459189</v>
      </c>
    </row>
    <row r="8835" spans="1:7" ht="15" x14ac:dyDescent="0.3">
      <c r="A8835">
        <v>43.096909823569597</v>
      </c>
      <c r="B8835">
        <v>-78.873910995161694</v>
      </c>
      <c r="C8835" t="s">
        <v>41</v>
      </c>
      <c r="D8835" t="s">
        <v>1669</v>
      </c>
      <c r="F8835" s="21"/>
      <c r="G8835" s="16" t="str">
        <f>HYPERLINK("http://maps.google.com/maps?f=q&amp;hl=en&amp;geocode=&amp;q=43.0969098235696,-78.8739109951617")</f>
        <v>http://maps.google.com/maps?f=q&amp;hl=en&amp;geocode=&amp;q=43.0969098235696,-78.8739109951617</v>
      </c>
    </row>
    <row r="8836" spans="1:7" ht="15" x14ac:dyDescent="0.3">
      <c r="A8836">
        <v>40.024738311767599</v>
      </c>
      <c r="B8836">
        <v>-75.213882446289105</v>
      </c>
      <c r="C8836" t="s">
        <v>43</v>
      </c>
      <c r="D8836" t="s">
        <v>2367</v>
      </c>
      <c r="F8836" s="21"/>
      <c r="G8836" s="16" t="str">
        <f>HYPERLINK("http://maps.google.com/maps?f=q&amp;hl=en&amp;geocode=&amp;q=40.0247383117676,-75.2138824462891")</f>
        <v>http://maps.google.com/maps?f=q&amp;hl=en&amp;geocode=&amp;q=40.0247383117676,-75.2138824462891</v>
      </c>
    </row>
    <row r="8837" spans="1:7" ht="15" x14ac:dyDescent="0.3">
      <c r="A8837">
        <v>35.793619999999997</v>
      </c>
      <c r="B8837">
        <v>-88.560810000000004</v>
      </c>
      <c r="C8837" t="s">
        <v>42</v>
      </c>
      <c r="D8837" t="s">
        <v>5152</v>
      </c>
      <c r="F8837" s="21"/>
      <c r="G8837" s="16" t="str">
        <f>HYPERLINK("http://maps.google.com/maps?f=q&amp;hl=en&amp;geocode=&amp;q=35.79362,-88.56081")</f>
        <v>http://maps.google.com/maps?f=q&amp;hl=en&amp;geocode=&amp;q=35.79362,-88.56081</v>
      </c>
    </row>
    <row r="8838" spans="1:7" ht="15" x14ac:dyDescent="0.3">
      <c r="A8838">
        <v>49.752475738525398</v>
      </c>
      <c r="B8838">
        <v>6.1082510948181197</v>
      </c>
      <c r="C8838" t="s">
        <v>41</v>
      </c>
      <c r="D8838" t="s">
        <v>5153</v>
      </c>
      <c r="F8838" s="21"/>
      <c r="G8838" s="16" t="str">
        <f>HYPERLINK("http://maps.google.com/maps?f=q&amp;hl=en&amp;geocode=&amp;q=49.7524757385254,6.10825109481812")</f>
        <v>http://maps.google.com/maps?f=q&amp;hl=en&amp;geocode=&amp;q=49.7524757385254,6.10825109481812</v>
      </c>
    </row>
    <row r="8839" spans="1:7" ht="15" x14ac:dyDescent="0.3">
      <c r="A8839">
        <v>46.209751129150398</v>
      </c>
      <c r="B8839">
        <v>6.1462168693542498</v>
      </c>
      <c r="C8839" t="s">
        <v>43</v>
      </c>
      <c r="D8839" t="s">
        <v>5154</v>
      </c>
      <c r="F8839" s="21"/>
      <c r="G8839" s="16" t="str">
        <f>HYPERLINK("http://maps.google.com/maps?f=q&amp;hl=en&amp;geocode=&amp;q=46.2097511291504,6.14621686935425")</f>
        <v>http://maps.google.com/maps?f=q&amp;hl=en&amp;geocode=&amp;q=46.2097511291504,6.14621686935425</v>
      </c>
    </row>
    <row r="8840" spans="1:7" ht="15" x14ac:dyDescent="0.3">
      <c r="A8840">
        <v>40.045740000000002</v>
      </c>
      <c r="B8840">
        <v>-75.095939999999999</v>
      </c>
      <c r="C8840" t="s">
        <v>43</v>
      </c>
      <c r="D8840" t="s">
        <v>2596</v>
      </c>
      <c r="F8840" s="21"/>
      <c r="G8840" s="16" t="str">
        <f>HYPERLINK("http://maps.google.com/maps?f=q&amp;hl=en&amp;geocode=&amp;q=40.04574,-75.09594")</f>
        <v>http://maps.google.com/maps?f=q&amp;hl=en&amp;geocode=&amp;q=40.04574,-75.09594</v>
      </c>
    </row>
    <row r="8841" spans="1:7" ht="15" x14ac:dyDescent="0.3">
      <c r="A8841">
        <v>36.248629999999999</v>
      </c>
      <c r="B8841">
        <v>-119.31603</v>
      </c>
      <c r="C8841" t="s">
        <v>41</v>
      </c>
      <c r="D8841" t="s">
        <v>469</v>
      </c>
      <c r="F8841" s="21"/>
      <c r="G8841" s="16" t="str">
        <f>HYPERLINK("http://maps.google.com/maps?f=q&amp;hl=en&amp;geocode=&amp;q=36.24863,-119.31603")</f>
        <v>http://maps.google.com/maps?f=q&amp;hl=en&amp;geocode=&amp;q=36.24863,-119.31603</v>
      </c>
    </row>
    <row r="8842" spans="1:7" ht="15" x14ac:dyDescent="0.3">
      <c r="A8842">
        <v>30.739030838012699</v>
      </c>
      <c r="B8842">
        <v>-95.572280883789105</v>
      </c>
      <c r="C8842" t="s">
        <v>43</v>
      </c>
      <c r="D8842" t="s">
        <v>5155</v>
      </c>
      <c r="F8842" s="21"/>
      <c r="G8842" s="16" t="str">
        <f>HYPERLINK("http://maps.google.com/maps?f=q&amp;hl=en&amp;geocode=&amp;q=30.7390308380127,-95.5722808837891")</f>
        <v>http://maps.google.com/maps?f=q&amp;hl=en&amp;geocode=&amp;q=30.7390308380127,-95.5722808837891</v>
      </c>
    </row>
    <row r="8843" spans="1:7" ht="15" x14ac:dyDescent="0.3">
      <c r="A8843">
        <v>40.3988479239963</v>
      </c>
      <c r="B8843">
        <v>-111.88639416514199</v>
      </c>
      <c r="C8843" t="s">
        <v>41</v>
      </c>
      <c r="D8843" t="s">
        <v>5156</v>
      </c>
      <c r="F8843" s="21"/>
      <c r="G8843" s="16" t="str">
        <f>HYPERLINK("http://maps.google.com/maps?f=q&amp;hl=en&amp;geocode=&amp;q=40.3988479239963,-111.886394165142")</f>
        <v>http://maps.google.com/maps?f=q&amp;hl=en&amp;geocode=&amp;q=40.3988479239963,-111.886394165142</v>
      </c>
    </row>
    <row r="8844" spans="1:7" ht="15" x14ac:dyDescent="0.3">
      <c r="A8844">
        <v>44.938899993896499</v>
      </c>
      <c r="B8844">
        <v>-117.176879882813</v>
      </c>
      <c r="C8844" t="s">
        <v>41</v>
      </c>
      <c r="D8844" t="s">
        <v>5157</v>
      </c>
      <c r="F8844" s="21"/>
      <c r="G8844" s="16" t="str">
        <f>HYPERLINK("http://maps.google.com/maps?f=q&amp;hl=en&amp;geocode=&amp;q=44.9388999938965,-117.176879882813")</f>
        <v>http://maps.google.com/maps?f=q&amp;hl=en&amp;geocode=&amp;q=44.9388999938965,-117.176879882813</v>
      </c>
    </row>
    <row r="8845" spans="1:7" ht="15" x14ac:dyDescent="0.3">
      <c r="A8845">
        <v>31.010798205580901</v>
      </c>
      <c r="B8845">
        <v>-86.338627099760899</v>
      </c>
      <c r="C8845" t="s">
        <v>41</v>
      </c>
      <c r="D8845" t="s">
        <v>5158</v>
      </c>
      <c r="F8845" s="21"/>
      <c r="G8845" s="16" t="str">
        <f>HYPERLINK("http://maps.google.com/maps?f=q&amp;hl=en&amp;geocode=&amp;q=31.0107982055809,-86.3386270997609")</f>
        <v>http://maps.google.com/maps?f=q&amp;hl=en&amp;geocode=&amp;q=31.0107982055809,-86.3386270997609</v>
      </c>
    </row>
    <row r="8846" spans="1:7" ht="15" x14ac:dyDescent="0.3">
      <c r="A8846">
        <v>37.12773</v>
      </c>
      <c r="B8846">
        <v>-113.50651999999999</v>
      </c>
      <c r="C8846" t="s">
        <v>42</v>
      </c>
      <c r="D8846" t="s">
        <v>987</v>
      </c>
      <c r="F8846" s="21"/>
      <c r="G8846" s="16" t="str">
        <f>HYPERLINK("http://maps.google.com/maps?f=q&amp;hl=en&amp;geocode=&amp;q=37.12773,-113.50652")</f>
        <v>http://maps.google.com/maps?f=q&amp;hl=en&amp;geocode=&amp;q=37.12773,-113.50652</v>
      </c>
    </row>
    <row r="8847" spans="1:7" ht="15" x14ac:dyDescent="0.3">
      <c r="A8847">
        <v>26.821017022224499</v>
      </c>
      <c r="B8847">
        <v>-80.077490616241803</v>
      </c>
      <c r="C8847" t="s">
        <v>41</v>
      </c>
      <c r="D8847" t="s">
        <v>5159</v>
      </c>
      <c r="F8847" s="21"/>
      <c r="G8847" s="16" t="str">
        <f>HYPERLINK("http://maps.google.com/maps?f=q&amp;hl=en&amp;geocode=&amp;q=26.8210170222245,-80.0774906162418")</f>
        <v>http://maps.google.com/maps?f=q&amp;hl=en&amp;geocode=&amp;q=26.8210170222245,-80.0774906162418</v>
      </c>
    </row>
    <row r="8848" spans="1:7" ht="15" x14ac:dyDescent="0.3">
      <c r="A8848">
        <v>50.587699890136697</v>
      </c>
      <c r="B8848">
        <v>4.32674217224121</v>
      </c>
      <c r="C8848" t="s">
        <v>43</v>
      </c>
      <c r="D8848" t="s">
        <v>3531</v>
      </c>
      <c r="F8848" s="21"/>
      <c r="G8848" s="16" t="str">
        <f>HYPERLINK("http://maps.google.com/maps?f=q&amp;hl=en&amp;geocode=&amp;q=50.5876998901367,4.32674217224121")</f>
        <v>http://maps.google.com/maps?f=q&amp;hl=en&amp;geocode=&amp;q=50.5876998901367,4.32674217224121</v>
      </c>
    </row>
    <row r="8849" spans="1:7" ht="15" x14ac:dyDescent="0.3">
      <c r="A8849">
        <v>37.990667423450297</v>
      </c>
      <c r="B8849">
        <v>-78.341248231224498</v>
      </c>
      <c r="C8849" t="s">
        <v>41</v>
      </c>
      <c r="D8849" t="s">
        <v>5160</v>
      </c>
      <c r="F8849" s="21"/>
      <c r="G8849" s="16" t="str">
        <f>HYPERLINK("http://maps.google.com/maps?f=q&amp;hl=en&amp;geocode=&amp;q=37.9906674234503,-78.3412482312245")</f>
        <v>http://maps.google.com/maps?f=q&amp;hl=en&amp;geocode=&amp;q=37.9906674234503,-78.3412482312245</v>
      </c>
    </row>
    <row r="8850" spans="1:7" ht="15" x14ac:dyDescent="0.3">
      <c r="A8850">
        <v>37.990667423450297</v>
      </c>
      <c r="B8850">
        <v>-78.341248231224498</v>
      </c>
      <c r="C8850" t="s">
        <v>41</v>
      </c>
      <c r="D8850" t="s">
        <v>5160</v>
      </c>
      <c r="F8850" s="21"/>
      <c r="G8850" s="16" t="str">
        <f>HYPERLINK("http://maps.google.com/maps?f=q&amp;hl=en&amp;geocode=&amp;q=37.9906674234503,-78.3412482312245")</f>
        <v>http://maps.google.com/maps?f=q&amp;hl=en&amp;geocode=&amp;q=37.9906674234503,-78.3412482312245</v>
      </c>
    </row>
    <row r="8851" spans="1:7" ht="15" x14ac:dyDescent="0.3">
      <c r="A8851">
        <v>-37.747</v>
      </c>
      <c r="B8851">
        <v>142.02574000000001</v>
      </c>
      <c r="C8851" t="s">
        <v>41</v>
      </c>
      <c r="D8851" t="s">
        <v>1119</v>
      </c>
      <c r="F8851" s="21"/>
      <c r="G8851" s="16" t="str">
        <f>HYPERLINK("http://maps.google.com/maps?f=q&amp;hl=en&amp;geocode=&amp;q=-37.747,142.02574")</f>
        <v>http://maps.google.com/maps?f=q&amp;hl=en&amp;geocode=&amp;q=-37.747,142.02574</v>
      </c>
    </row>
    <row r="8852" spans="1:7" ht="15" x14ac:dyDescent="0.3">
      <c r="A8852" t="s">
        <v>44</v>
      </c>
      <c r="B8852" t="s">
        <v>44</v>
      </c>
      <c r="C8852" t="s">
        <v>44</v>
      </c>
      <c r="D8852" t="s">
        <v>5161</v>
      </c>
      <c r="F8852" s="21"/>
      <c r="G8852" s="16"/>
    </row>
    <row r="8853" spans="1:7" ht="15" x14ac:dyDescent="0.3">
      <c r="A8853">
        <v>41.02702</v>
      </c>
      <c r="B8853">
        <v>-97.397300000000001</v>
      </c>
      <c r="C8853" t="s">
        <v>41</v>
      </c>
      <c r="D8853" t="s">
        <v>5162</v>
      </c>
      <c r="F8853" s="21"/>
      <c r="G8853" s="16" t="str">
        <f>HYPERLINK("http://maps.google.com/maps?f=q&amp;hl=en&amp;geocode=&amp;q=41.02702,-97.3973")</f>
        <v>http://maps.google.com/maps?f=q&amp;hl=en&amp;geocode=&amp;q=41.02702,-97.3973</v>
      </c>
    </row>
    <row r="8854" spans="1:7" ht="15" x14ac:dyDescent="0.3">
      <c r="A8854">
        <v>39.97336</v>
      </c>
      <c r="B8854">
        <v>-75.18074</v>
      </c>
      <c r="C8854" t="s">
        <v>41</v>
      </c>
      <c r="D8854" t="s">
        <v>5163</v>
      </c>
      <c r="F8854" s="21"/>
      <c r="G8854" s="16" t="str">
        <f>HYPERLINK("http://maps.google.com/maps?f=q&amp;hl=en&amp;geocode=&amp;q=39.97336,-75.18074")</f>
        <v>http://maps.google.com/maps?f=q&amp;hl=en&amp;geocode=&amp;q=39.97336,-75.18074</v>
      </c>
    </row>
    <row r="8855" spans="1:7" ht="15" x14ac:dyDescent="0.3">
      <c r="A8855">
        <v>37.019889999999997</v>
      </c>
      <c r="B8855">
        <v>-88.679940000000002</v>
      </c>
      <c r="C8855" t="s">
        <v>42</v>
      </c>
      <c r="D8855" t="s">
        <v>5164</v>
      </c>
      <c r="F8855" s="21"/>
      <c r="G8855" s="16" t="str">
        <f>HYPERLINK("http://maps.google.com/maps?f=q&amp;hl=en&amp;geocode=&amp;q=37.01989,-88.67994")</f>
        <v>http://maps.google.com/maps?f=q&amp;hl=en&amp;geocode=&amp;q=37.01989,-88.67994</v>
      </c>
    </row>
    <row r="8856" spans="1:7" ht="15" x14ac:dyDescent="0.3">
      <c r="A8856">
        <v>-34.89349</v>
      </c>
      <c r="B8856">
        <v>138.56632999999999</v>
      </c>
      <c r="C8856" t="s">
        <v>41</v>
      </c>
      <c r="D8856" t="s">
        <v>5010</v>
      </c>
      <c r="F8856" s="21"/>
      <c r="G8856" s="16" t="str">
        <f>HYPERLINK("http://maps.google.com/maps?f=q&amp;hl=en&amp;geocode=&amp;q=-34.89349,138.56633")</f>
        <v>http://maps.google.com/maps?f=q&amp;hl=en&amp;geocode=&amp;q=-34.89349,138.56633</v>
      </c>
    </row>
    <row r="8857" spans="1:7" ht="15" x14ac:dyDescent="0.3">
      <c r="A8857">
        <v>26.183199999999999</v>
      </c>
      <c r="B8857">
        <v>-98.169569999999993</v>
      </c>
      <c r="C8857" t="s">
        <v>41</v>
      </c>
      <c r="D8857" t="s">
        <v>5165</v>
      </c>
      <c r="F8857" s="21"/>
      <c r="G8857" s="16" t="str">
        <f>HYPERLINK("http://maps.google.com/maps?f=q&amp;hl=en&amp;geocode=&amp;q=26.1832,-98.16957")</f>
        <v>http://maps.google.com/maps?f=q&amp;hl=en&amp;geocode=&amp;q=26.1832,-98.16957</v>
      </c>
    </row>
    <row r="8858" spans="1:7" ht="15" x14ac:dyDescent="0.3">
      <c r="A8858">
        <v>33.794615671399299</v>
      </c>
      <c r="B8858">
        <v>-98.413118239645598</v>
      </c>
      <c r="C8858" t="s">
        <v>42</v>
      </c>
      <c r="D8858" t="s">
        <v>5166</v>
      </c>
      <c r="F8858" s="21"/>
      <c r="G8858" s="16" t="str">
        <f>HYPERLINK("http://maps.google.com/maps?f=q&amp;hl=en&amp;geocode=&amp;q=33.7946156713993,-98.4131182396456")</f>
        <v>http://maps.google.com/maps?f=q&amp;hl=en&amp;geocode=&amp;q=33.7946156713993,-98.4131182396456</v>
      </c>
    </row>
    <row r="8859" spans="1:7" ht="15" x14ac:dyDescent="0.3">
      <c r="A8859">
        <v>42.957631296785699</v>
      </c>
      <c r="B8859">
        <v>-76.482589609944199</v>
      </c>
      <c r="C8859" t="s">
        <v>41</v>
      </c>
      <c r="D8859" t="s">
        <v>5167</v>
      </c>
      <c r="F8859" s="21"/>
      <c r="G8859" s="16" t="str">
        <f>HYPERLINK("http://maps.google.com/maps?f=q&amp;hl=en&amp;geocode=&amp;q=42.9576312967857,-76.4825896099442")</f>
        <v>http://maps.google.com/maps?f=q&amp;hl=en&amp;geocode=&amp;q=42.9576312967857,-76.4825896099442</v>
      </c>
    </row>
    <row r="8860" spans="1:7" ht="15" x14ac:dyDescent="0.3">
      <c r="A8860" t="s">
        <v>44</v>
      </c>
      <c r="B8860" t="s">
        <v>44</v>
      </c>
      <c r="C8860" t="s">
        <v>44</v>
      </c>
      <c r="D8860" t="s">
        <v>1004</v>
      </c>
      <c r="F8860" s="21"/>
      <c r="G8860" s="16"/>
    </row>
    <row r="8861" spans="1:7" ht="15" x14ac:dyDescent="0.3">
      <c r="A8861">
        <v>35.522670745849602</v>
      </c>
      <c r="B8861">
        <v>-92.946006774902301</v>
      </c>
      <c r="C8861" t="s">
        <v>43</v>
      </c>
      <c r="D8861" t="s">
        <v>5168</v>
      </c>
      <c r="F8861" s="21"/>
      <c r="G8861" s="16" t="str">
        <f>HYPERLINK("http://maps.google.com/maps?f=q&amp;hl=en&amp;geocode=&amp;q=35.5226707458496,-92.9460067749023")</f>
        <v>http://maps.google.com/maps?f=q&amp;hl=en&amp;geocode=&amp;q=35.5226707458496,-92.9460067749023</v>
      </c>
    </row>
    <row r="8862" spans="1:7" ht="15" x14ac:dyDescent="0.3">
      <c r="A8862">
        <v>-34.905059999999999</v>
      </c>
      <c r="B8862">
        <v>138.55323999999999</v>
      </c>
      <c r="C8862" t="s">
        <v>41</v>
      </c>
      <c r="D8862" t="s">
        <v>5169</v>
      </c>
      <c r="F8862" s="21"/>
      <c r="G8862" s="16" t="str">
        <f>HYPERLINK("http://maps.google.com/maps?f=q&amp;hl=en&amp;geocode=&amp;q=-34.90506,138.55324")</f>
        <v>http://maps.google.com/maps?f=q&amp;hl=en&amp;geocode=&amp;q=-34.90506,138.55324</v>
      </c>
    </row>
    <row r="8863" spans="1:7" ht="15" x14ac:dyDescent="0.3">
      <c r="A8863">
        <v>41.740646980793798</v>
      </c>
      <c r="B8863">
        <v>-111.814664267775</v>
      </c>
      <c r="C8863" t="s">
        <v>43</v>
      </c>
      <c r="D8863" t="s">
        <v>5170</v>
      </c>
      <c r="F8863" s="21"/>
      <c r="G8863" s="16" t="str">
        <f>HYPERLINK("http://maps.google.com/maps?f=q&amp;hl=en&amp;geocode=&amp;q=41.7406469807938,-111.814664267775")</f>
        <v>http://maps.google.com/maps?f=q&amp;hl=en&amp;geocode=&amp;q=41.7406469807938,-111.814664267775</v>
      </c>
    </row>
    <row r="8864" spans="1:7" ht="15" x14ac:dyDescent="0.3">
      <c r="A8864">
        <v>49.6048393249512</v>
      </c>
      <c r="B8864">
        <v>6.1162071228027299</v>
      </c>
      <c r="C8864" t="s">
        <v>41</v>
      </c>
      <c r="D8864" t="s">
        <v>3981</v>
      </c>
      <c r="F8864" s="21"/>
      <c r="G8864" s="16" t="str">
        <f>HYPERLINK("http://maps.google.com/maps?f=q&amp;hl=en&amp;geocode=&amp;q=49.6048393249512,6.11620712280273")</f>
        <v>http://maps.google.com/maps?f=q&amp;hl=en&amp;geocode=&amp;q=49.6048393249512,6.11620712280273</v>
      </c>
    </row>
    <row r="8865" spans="1:7" ht="15" x14ac:dyDescent="0.3">
      <c r="A8865">
        <v>40.067349999999998</v>
      </c>
      <c r="B8865">
        <v>-75.051479999999998</v>
      </c>
      <c r="C8865" t="s">
        <v>41</v>
      </c>
      <c r="D8865" t="s">
        <v>5171</v>
      </c>
      <c r="F8865" s="21"/>
      <c r="G8865" s="16" t="str">
        <f>HYPERLINK("http://maps.google.com/maps?f=q&amp;hl=en&amp;geocode=&amp;q=40.06735,-75.05148")</f>
        <v>http://maps.google.com/maps?f=q&amp;hl=en&amp;geocode=&amp;q=40.06735,-75.05148</v>
      </c>
    </row>
    <row r="8866" spans="1:7" ht="15" x14ac:dyDescent="0.3">
      <c r="A8866">
        <v>40.054470062255902</v>
      </c>
      <c r="B8866">
        <v>-75.004470825195298</v>
      </c>
      <c r="C8866" t="s">
        <v>41</v>
      </c>
      <c r="D8866" t="s">
        <v>5172</v>
      </c>
      <c r="F8866" s="21"/>
      <c r="G8866" s="16" t="str">
        <f>HYPERLINK("http://maps.google.com/maps?f=q&amp;hl=en&amp;geocode=&amp;q=40.0544700622559,-75.0044708251953")</f>
        <v>http://maps.google.com/maps?f=q&amp;hl=en&amp;geocode=&amp;q=40.0544700622559,-75.0044708251953</v>
      </c>
    </row>
    <row r="8867" spans="1:7" ht="15" x14ac:dyDescent="0.3">
      <c r="A8867" t="s">
        <v>44</v>
      </c>
      <c r="B8867" t="s">
        <v>44</v>
      </c>
      <c r="C8867" t="s">
        <v>44</v>
      </c>
      <c r="D8867" t="s">
        <v>5173</v>
      </c>
      <c r="F8867" s="21"/>
      <c r="G8867" s="16"/>
    </row>
    <row r="8868" spans="1:7" ht="15" x14ac:dyDescent="0.3">
      <c r="A8868">
        <v>39.745369956936102</v>
      </c>
      <c r="B8868">
        <v>-84.637328641982805</v>
      </c>
      <c r="C8868" t="s">
        <v>41</v>
      </c>
      <c r="D8868" t="s">
        <v>1282</v>
      </c>
      <c r="F8868" s="21"/>
      <c r="G8868" s="16" t="str">
        <f>HYPERLINK("http://maps.google.com/maps?f=q&amp;hl=en&amp;geocode=&amp;q=39.7453699569361,-84.6373286419828")</f>
        <v>http://maps.google.com/maps?f=q&amp;hl=en&amp;geocode=&amp;q=39.7453699569361,-84.6373286419828</v>
      </c>
    </row>
    <row r="8869" spans="1:7" ht="15" x14ac:dyDescent="0.3">
      <c r="A8869">
        <v>36.264324988896803</v>
      </c>
      <c r="B8869">
        <v>-87.366783350203093</v>
      </c>
      <c r="C8869" t="s">
        <v>42</v>
      </c>
      <c r="D8869" t="s">
        <v>3510</v>
      </c>
      <c r="F8869" s="21"/>
      <c r="G8869" s="16" t="str">
        <f>HYPERLINK("http://maps.google.com/maps?f=q&amp;hl=en&amp;geocode=&amp;q=36.2643249888968,-87.3667833502031")</f>
        <v>http://maps.google.com/maps?f=q&amp;hl=en&amp;geocode=&amp;q=36.2643249888968,-87.3667833502031</v>
      </c>
    </row>
    <row r="8870" spans="1:7" ht="15" x14ac:dyDescent="0.3">
      <c r="A8870" t="s">
        <v>44</v>
      </c>
      <c r="B8870" t="s">
        <v>44</v>
      </c>
      <c r="C8870" t="s">
        <v>44</v>
      </c>
      <c r="D8870" t="s">
        <v>5174</v>
      </c>
      <c r="F8870" s="21"/>
      <c r="G8870" s="16"/>
    </row>
    <row r="8871" spans="1:7" ht="15" x14ac:dyDescent="0.3">
      <c r="A8871">
        <v>43.1462056492663</v>
      </c>
      <c r="B8871">
        <v>-75.463922665397305</v>
      </c>
      <c r="C8871" t="s">
        <v>41</v>
      </c>
      <c r="D8871" t="s">
        <v>2440</v>
      </c>
      <c r="F8871" s="21"/>
      <c r="G8871" s="16" t="str">
        <f>HYPERLINK("http://maps.google.com/maps?f=q&amp;hl=en&amp;geocode=&amp;q=43.1462056492663,-75.4639226653973")</f>
        <v>http://maps.google.com/maps?f=q&amp;hl=en&amp;geocode=&amp;q=43.1462056492663,-75.4639226653973</v>
      </c>
    </row>
    <row r="8872" spans="1:7" ht="15" x14ac:dyDescent="0.3">
      <c r="A8872">
        <v>43.239310000000003</v>
      </c>
      <c r="B8872">
        <v>-78.656620000000004</v>
      </c>
      <c r="C8872" t="s">
        <v>41</v>
      </c>
      <c r="D8872" t="s">
        <v>850</v>
      </c>
      <c r="F8872" s="21"/>
      <c r="G8872" s="16" t="str">
        <f>HYPERLINK("http://maps.google.com/maps?f=q&amp;hl=en&amp;geocode=&amp;q=43.23931,-78.65662")</f>
        <v>http://maps.google.com/maps?f=q&amp;hl=en&amp;geocode=&amp;q=43.23931,-78.65662</v>
      </c>
    </row>
    <row r="8873" spans="1:7" ht="15" x14ac:dyDescent="0.3">
      <c r="A8873">
        <v>45.952689999999997</v>
      </c>
      <c r="B8873">
        <v>-112.5158</v>
      </c>
      <c r="C8873" t="s">
        <v>41</v>
      </c>
      <c r="D8873" t="s">
        <v>5175</v>
      </c>
      <c r="F8873" s="21"/>
      <c r="G8873" s="16" t="str">
        <f>HYPERLINK("http://maps.google.com/maps?f=q&amp;hl=en&amp;geocode=&amp;q=45.95269,-112.5158")</f>
        <v>http://maps.google.com/maps?f=q&amp;hl=en&amp;geocode=&amp;q=45.95269,-112.5158</v>
      </c>
    </row>
    <row r="8874" spans="1:7" ht="15" x14ac:dyDescent="0.3">
      <c r="A8874">
        <v>40.627670000000002</v>
      </c>
      <c r="B8874">
        <v>-74.010490000000004</v>
      </c>
      <c r="C8874" t="s">
        <v>43</v>
      </c>
      <c r="D8874" t="s">
        <v>5176</v>
      </c>
      <c r="F8874" s="21"/>
      <c r="G8874" s="16" t="str">
        <f>HYPERLINK("http://maps.google.com/maps?f=q&amp;hl=en&amp;geocode=&amp;q=40.62767,-74.01049")</f>
        <v>http://maps.google.com/maps?f=q&amp;hl=en&amp;geocode=&amp;q=40.62767,-74.01049</v>
      </c>
    </row>
    <row r="8875" spans="1:7" ht="15" x14ac:dyDescent="0.3">
      <c r="A8875">
        <v>39.220829010009801</v>
      </c>
      <c r="B8875">
        <v>-87.636940002441406</v>
      </c>
      <c r="C8875" t="s">
        <v>43</v>
      </c>
      <c r="D8875" t="s">
        <v>5177</v>
      </c>
      <c r="F8875" s="21"/>
      <c r="G8875" s="16" t="str">
        <f>HYPERLINK("http://maps.google.com/maps?f=q&amp;hl=en&amp;geocode=&amp;q=39.2208290100098,-87.6369400024414")</f>
        <v>http://maps.google.com/maps?f=q&amp;hl=en&amp;geocode=&amp;q=39.2208290100098,-87.6369400024414</v>
      </c>
    </row>
    <row r="8876" spans="1:7" ht="15" x14ac:dyDescent="0.3">
      <c r="A8876">
        <v>39.220829010009801</v>
      </c>
      <c r="B8876">
        <v>-87.636940002441406</v>
      </c>
      <c r="C8876" t="s">
        <v>43</v>
      </c>
      <c r="D8876" t="s">
        <v>3244</v>
      </c>
      <c r="F8876" s="21"/>
      <c r="G8876" s="16" t="str">
        <f>HYPERLINK("http://maps.google.com/maps?f=q&amp;hl=en&amp;geocode=&amp;q=39.2208290100098,-87.6369400024414")</f>
        <v>http://maps.google.com/maps?f=q&amp;hl=en&amp;geocode=&amp;q=39.2208290100098,-87.6369400024414</v>
      </c>
    </row>
    <row r="8877" spans="1:7" ht="15" x14ac:dyDescent="0.3">
      <c r="A8877" t="s">
        <v>44</v>
      </c>
      <c r="B8877" t="s">
        <v>44</v>
      </c>
      <c r="C8877" t="s">
        <v>44</v>
      </c>
      <c r="D8877" t="s">
        <v>5178</v>
      </c>
      <c r="F8877" s="21"/>
      <c r="G8877" s="16"/>
    </row>
    <row r="8878" spans="1:7" ht="15" x14ac:dyDescent="0.3">
      <c r="A8878">
        <v>39.182571411132798</v>
      </c>
      <c r="B8878">
        <v>-77.270347595214801</v>
      </c>
      <c r="C8878" t="s">
        <v>41</v>
      </c>
      <c r="D8878" t="s">
        <v>3450</v>
      </c>
      <c r="F8878" s="21"/>
      <c r="G8878" s="16" t="str">
        <f>HYPERLINK("http://maps.google.com/maps?f=q&amp;hl=en&amp;geocode=&amp;q=39.1825714111328,-77.2703475952148")</f>
        <v>http://maps.google.com/maps?f=q&amp;hl=en&amp;geocode=&amp;q=39.1825714111328,-77.2703475952148</v>
      </c>
    </row>
    <row r="8879" spans="1:7" ht="15" x14ac:dyDescent="0.3">
      <c r="A8879">
        <v>37.545290000000001</v>
      </c>
      <c r="B8879">
        <v>-121.99654</v>
      </c>
      <c r="C8879" t="s">
        <v>41</v>
      </c>
      <c r="D8879" t="s">
        <v>5179</v>
      </c>
      <c r="F8879" s="21"/>
      <c r="G8879" s="16" t="str">
        <f>HYPERLINK("http://maps.google.com/maps?f=q&amp;hl=en&amp;geocode=&amp;q=37.54529,-121.99654")</f>
        <v>http://maps.google.com/maps?f=q&amp;hl=en&amp;geocode=&amp;q=37.54529,-121.99654</v>
      </c>
    </row>
    <row r="8880" spans="1:7" ht="15" x14ac:dyDescent="0.3">
      <c r="A8880">
        <v>39.182571411132798</v>
      </c>
      <c r="B8880">
        <v>-77.270347595214801</v>
      </c>
      <c r="C8880" t="s">
        <v>41</v>
      </c>
      <c r="D8880" t="s">
        <v>3450</v>
      </c>
      <c r="F8880" s="21"/>
      <c r="G8880" s="16" t="str">
        <f>HYPERLINK("http://maps.google.com/maps?f=q&amp;hl=en&amp;geocode=&amp;q=39.1825714111328,-77.2703475952148")</f>
        <v>http://maps.google.com/maps?f=q&amp;hl=en&amp;geocode=&amp;q=39.1825714111328,-77.2703475952148</v>
      </c>
    </row>
    <row r="8881" spans="1:7" ht="15" x14ac:dyDescent="0.3">
      <c r="A8881">
        <v>41.831720844527197</v>
      </c>
      <c r="B8881">
        <v>-86.402344798962503</v>
      </c>
      <c r="C8881" t="s">
        <v>43</v>
      </c>
      <c r="D8881" t="s">
        <v>5180</v>
      </c>
      <c r="F8881" s="21"/>
      <c r="G8881" s="16" t="str">
        <f>HYPERLINK("http://maps.google.com/maps?f=q&amp;hl=en&amp;geocode=&amp;q=41.8317208445272,-86.4023447989625")</f>
        <v>http://maps.google.com/maps?f=q&amp;hl=en&amp;geocode=&amp;q=41.8317208445272,-86.4023447989625</v>
      </c>
    </row>
    <row r="8882" spans="1:7" ht="15" x14ac:dyDescent="0.3">
      <c r="A8882">
        <v>43.559682727710502</v>
      </c>
      <c r="B8882">
        <v>-116.88520316129301</v>
      </c>
      <c r="C8882" t="s">
        <v>41</v>
      </c>
      <c r="D8882" t="s">
        <v>5181</v>
      </c>
      <c r="F8882" s="21"/>
      <c r="G8882" s="16" t="str">
        <f>HYPERLINK("http://maps.google.com/maps?f=q&amp;hl=en&amp;geocode=&amp;q=43.5596827277105,-116.885203161293")</f>
        <v>http://maps.google.com/maps?f=q&amp;hl=en&amp;geocode=&amp;q=43.5596827277105,-116.885203161293</v>
      </c>
    </row>
    <row r="8883" spans="1:7" ht="15" x14ac:dyDescent="0.3">
      <c r="A8883" t="s">
        <v>44</v>
      </c>
      <c r="B8883" t="s">
        <v>44</v>
      </c>
      <c r="C8883" t="s">
        <v>44</v>
      </c>
      <c r="D8883" t="s">
        <v>5182</v>
      </c>
      <c r="F8883" s="21"/>
      <c r="G8883" s="16"/>
    </row>
    <row r="8884" spans="1:7" ht="15" x14ac:dyDescent="0.3">
      <c r="A8884">
        <v>40.036688448873001</v>
      </c>
      <c r="B8884">
        <v>-84.157588511281602</v>
      </c>
      <c r="C8884" t="s">
        <v>41</v>
      </c>
      <c r="D8884" t="s">
        <v>5183</v>
      </c>
      <c r="F8884" s="21"/>
      <c r="G8884" s="16" t="str">
        <f>HYPERLINK("http://maps.google.com/maps?f=q&amp;hl=en&amp;geocode=&amp;q=40.036688448873,-84.1575885112816")</f>
        <v>http://maps.google.com/maps?f=q&amp;hl=en&amp;geocode=&amp;q=40.036688448873,-84.1575885112816</v>
      </c>
    </row>
    <row r="8885" spans="1:7" ht="15" x14ac:dyDescent="0.3">
      <c r="A8885">
        <v>39.919420000000002</v>
      </c>
      <c r="B8885">
        <v>-75.227050000000006</v>
      </c>
      <c r="C8885" t="s">
        <v>43</v>
      </c>
      <c r="D8885" t="s">
        <v>5184</v>
      </c>
      <c r="F8885" s="21"/>
      <c r="G8885" s="16" t="str">
        <f>HYPERLINK("http://maps.google.com/maps?f=q&amp;hl=en&amp;geocode=&amp;q=39.91942,-75.22705")</f>
        <v>http://maps.google.com/maps?f=q&amp;hl=en&amp;geocode=&amp;q=39.91942,-75.22705</v>
      </c>
    </row>
    <row r="8886" spans="1:7" ht="15" x14ac:dyDescent="0.3">
      <c r="A8886">
        <v>39.919069999999998</v>
      </c>
      <c r="B8886">
        <v>-75.226650000000006</v>
      </c>
      <c r="C8886" t="s">
        <v>43</v>
      </c>
      <c r="D8886" t="s">
        <v>5185</v>
      </c>
      <c r="F8886" s="21"/>
      <c r="G8886" s="16" t="str">
        <f>HYPERLINK("http://maps.google.com/maps?f=q&amp;hl=en&amp;geocode=&amp;q=39.91907,-75.22665")</f>
        <v>http://maps.google.com/maps?f=q&amp;hl=en&amp;geocode=&amp;q=39.91907,-75.22665</v>
      </c>
    </row>
    <row r="8887" spans="1:7" ht="15" x14ac:dyDescent="0.3">
      <c r="A8887">
        <v>40.000895137633798</v>
      </c>
      <c r="B8887">
        <v>-75.076476387646807</v>
      </c>
      <c r="C8887" t="s">
        <v>41</v>
      </c>
      <c r="D8887" t="s">
        <v>1715</v>
      </c>
      <c r="F8887" s="21"/>
      <c r="G8887" s="16" t="str">
        <f>HYPERLINK("http://maps.google.com/maps?f=q&amp;hl=en&amp;geocode=&amp;q=40.0008951376338,-75.0764763876468")</f>
        <v>http://maps.google.com/maps?f=q&amp;hl=en&amp;geocode=&amp;q=40.0008951376338,-75.0764763876468</v>
      </c>
    </row>
    <row r="8888" spans="1:7" ht="15" x14ac:dyDescent="0.3">
      <c r="A8888">
        <v>39.919069999999998</v>
      </c>
      <c r="B8888">
        <v>-75.226650000000006</v>
      </c>
      <c r="C8888" t="s">
        <v>43</v>
      </c>
      <c r="D8888" t="s">
        <v>5185</v>
      </c>
      <c r="F8888" s="21"/>
      <c r="G8888" s="16" t="str">
        <f>HYPERLINK("http://maps.google.com/maps?f=q&amp;hl=en&amp;geocode=&amp;q=39.91907,-75.22665")</f>
        <v>http://maps.google.com/maps?f=q&amp;hl=en&amp;geocode=&amp;q=39.91907,-75.22665</v>
      </c>
    </row>
    <row r="8889" spans="1:7" ht="15" x14ac:dyDescent="0.3">
      <c r="A8889">
        <v>44.347720000000002</v>
      </c>
      <c r="B8889">
        <v>-87.928359999999998</v>
      </c>
      <c r="C8889" t="s">
        <v>41</v>
      </c>
      <c r="D8889" t="s">
        <v>562</v>
      </c>
      <c r="F8889" s="21"/>
      <c r="G8889" s="16" t="str">
        <f>HYPERLINK("http://maps.google.com/maps?f=q&amp;hl=en&amp;geocode=&amp;q=44.34772,-87.92836")</f>
        <v>http://maps.google.com/maps?f=q&amp;hl=en&amp;geocode=&amp;q=44.34772,-87.92836</v>
      </c>
    </row>
    <row r="8890" spans="1:7" ht="15" x14ac:dyDescent="0.3">
      <c r="A8890">
        <v>-31.964845657348601</v>
      </c>
      <c r="B8890">
        <v>115.895874023438</v>
      </c>
      <c r="C8890" t="s">
        <v>41</v>
      </c>
      <c r="D8890" t="s">
        <v>129</v>
      </c>
      <c r="F8890" s="21"/>
      <c r="G8890" s="16" t="str">
        <f>HYPERLINK("http://maps.google.com/maps?f=q&amp;hl=en&amp;geocode=&amp;q=-31.9648456573486,115.895874023438")</f>
        <v>http://maps.google.com/maps?f=q&amp;hl=en&amp;geocode=&amp;q=-31.9648456573486,115.895874023438</v>
      </c>
    </row>
    <row r="8891" spans="1:7" ht="15" x14ac:dyDescent="0.3">
      <c r="A8891">
        <v>-37.815635681152301</v>
      </c>
      <c r="B8891">
        <v>144.96734619140599</v>
      </c>
      <c r="C8891" t="s">
        <v>43</v>
      </c>
      <c r="D8891" t="s">
        <v>5186</v>
      </c>
      <c r="F8891" s="21"/>
      <c r="G8891" s="16" t="str">
        <f>HYPERLINK("http://maps.google.com/maps?f=q&amp;hl=en&amp;geocode=&amp;q=-37.8156356811523,144.967346191406")</f>
        <v>http://maps.google.com/maps?f=q&amp;hl=en&amp;geocode=&amp;q=-37.8156356811523,144.967346191406</v>
      </c>
    </row>
    <row r="8892" spans="1:7" ht="15" x14ac:dyDescent="0.3">
      <c r="A8892">
        <v>40.248370000000001</v>
      </c>
      <c r="B8892">
        <v>-74.862530000000007</v>
      </c>
      <c r="C8892" t="s">
        <v>41</v>
      </c>
      <c r="D8892" t="s">
        <v>1534</v>
      </c>
      <c r="F8892" s="21"/>
      <c r="G8892" s="16" t="str">
        <f>HYPERLINK("http://maps.google.com/maps?f=q&amp;hl=en&amp;geocode=&amp;q=40.24837,-74.86253")</f>
        <v>http://maps.google.com/maps?f=q&amp;hl=en&amp;geocode=&amp;q=40.24837,-74.86253</v>
      </c>
    </row>
    <row r="8893" spans="1:7" ht="15" x14ac:dyDescent="0.3">
      <c r="A8893">
        <v>39.92718</v>
      </c>
      <c r="B8893">
        <v>-75.191014999999993</v>
      </c>
      <c r="C8893" t="s">
        <v>43</v>
      </c>
      <c r="D8893" t="s">
        <v>5187</v>
      </c>
      <c r="F8893" s="21"/>
      <c r="G8893" s="16" t="str">
        <f>HYPERLINK("http://maps.google.com/maps?f=q&amp;hl=en&amp;geocode=&amp;q=39.92718,-75.191015")</f>
        <v>http://maps.google.com/maps?f=q&amp;hl=en&amp;geocode=&amp;q=39.92718,-75.191015</v>
      </c>
    </row>
    <row r="8894" spans="1:7" ht="15" x14ac:dyDescent="0.3">
      <c r="A8894">
        <v>41.403591156005902</v>
      </c>
      <c r="B8894">
        <v>-94.888656616210895</v>
      </c>
      <c r="C8894" t="s">
        <v>41</v>
      </c>
      <c r="D8894" t="s">
        <v>4910</v>
      </c>
      <c r="F8894" s="21"/>
      <c r="G8894" s="16" t="str">
        <f>HYPERLINK("http://maps.google.com/maps?f=q&amp;hl=en&amp;geocode=&amp;q=41.4035911560059,-94.8886566162109")</f>
        <v>http://maps.google.com/maps?f=q&amp;hl=en&amp;geocode=&amp;q=41.4035911560059,-94.8886566162109</v>
      </c>
    </row>
    <row r="8895" spans="1:7" ht="15" x14ac:dyDescent="0.3">
      <c r="A8895">
        <v>47.202430725097699</v>
      </c>
      <c r="B8895">
        <v>19.835624694824201</v>
      </c>
      <c r="C8895" t="s">
        <v>43</v>
      </c>
      <c r="D8895" t="s">
        <v>5188</v>
      </c>
      <c r="F8895" s="21"/>
      <c r="G8895" s="16" t="str">
        <f>HYPERLINK("http://maps.google.com/maps?f=q&amp;hl=en&amp;geocode=&amp;q=47.2024307250977,19.8356246948242")</f>
        <v>http://maps.google.com/maps?f=q&amp;hl=en&amp;geocode=&amp;q=47.2024307250977,19.8356246948242</v>
      </c>
    </row>
    <row r="8896" spans="1:7" ht="15" x14ac:dyDescent="0.3">
      <c r="A8896">
        <v>37.12773</v>
      </c>
      <c r="B8896">
        <v>-113.50651999999999</v>
      </c>
      <c r="C8896" t="s">
        <v>42</v>
      </c>
      <c r="D8896" t="s">
        <v>987</v>
      </c>
      <c r="F8896" s="21"/>
      <c r="G8896" s="16" t="str">
        <f>HYPERLINK("http://maps.google.com/maps?f=q&amp;hl=en&amp;geocode=&amp;q=37.12773,-113.50652")</f>
        <v>http://maps.google.com/maps?f=q&amp;hl=en&amp;geocode=&amp;q=37.12773,-113.50652</v>
      </c>
    </row>
    <row r="8897" spans="1:7" ht="15" x14ac:dyDescent="0.3">
      <c r="A8897">
        <v>30.322805034815701</v>
      </c>
      <c r="B8897">
        <v>-89.429531117295696</v>
      </c>
      <c r="C8897" t="s">
        <v>41</v>
      </c>
      <c r="D8897" t="s">
        <v>5189</v>
      </c>
      <c r="F8897" s="21"/>
      <c r="G8897" s="16" t="str">
        <f>HYPERLINK("http://maps.google.com/maps?f=q&amp;hl=en&amp;geocode=&amp;q=30.3228050348157,-89.4295311172957")</f>
        <v>http://maps.google.com/maps?f=q&amp;hl=en&amp;geocode=&amp;q=30.3228050348157,-89.4295311172957</v>
      </c>
    </row>
    <row r="8898" spans="1:7" ht="15" x14ac:dyDescent="0.3">
      <c r="A8898">
        <v>38.725276947021499</v>
      </c>
      <c r="B8898">
        <v>-77.047775268554702</v>
      </c>
      <c r="C8898" t="s">
        <v>41</v>
      </c>
      <c r="D8898" t="s">
        <v>157</v>
      </c>
      <c r="F8898" s="21"/>
      <c r="G8898" s="16" t="str">
        <f>HYPERLINK("http://maps.google.com/maps?f=q&amp;hl=en&amp;geocode=&amp;q=38.7252769470215,-77.0477752685547")</f>
        <v>http://maps.google.com/maps?f=q&amp;hl=en&amp;geocode=&amp;q=38.7252769470215,-77.0477752685547</v>
      </c>
    </row>
    <row r="8899" spans="1:7" ht="15" x14ac:dyDescent="0.3">
      <c r="A8899">
        <v>32.611367212099303</v>
      </c>
      <c r="B8899">
        <v>-85.426303140314303</v>
      </c>
      <c r="C8899" t="s">
        <v>42</v>
      </c>
      <c r="D8899" t="s">
        <v>1733</v>
      </c>
      <c r="F8899" s="21"/>
      <c r="G8899" s="16" t="str">
        <f>HYPERLINK("http://maps.google.com/maps?f=q&amp;hl=en&amp;geocode=&amp;q=32.6113672120993,-85.4263031403143")</f>
        <v>http://maps.google.com/maps?f=q&amp;hl=en&amp;geocode=&amp;q=32.6113672120993,-85.4263031403143</v>
      </c>
    </row>
    <row r="8900" spans="1:7" ht="15" x14ac:dyDescent="0.3">
      <c r="A8900">
        <v>35.127020000000002</v>
      </c>
      <c r="B8900">
        <v>-84.8459</v>
      </c>
      <c r="C8900" t="s">
        <v>43</v>
      </c>
      <c r="D8900" t="s">
        <v>5190</v>
      </c>
      <c r="F8900" s="21"/>
      <c r="G8900" s="16" t="str">
        <f>HYPERLINK("http://maps.google.com/maps?f=q&amp;hl=en&amp;geocode=&amp;q=35.12702,-84.8459")</f>
        <v>http://maps.google.com/maps?f=q&amp;hl=en&amp;geocode=&amp;q=35.12702,-84.8459</v>
      </c>
    </row>
    <row r="8901" spans="1:7" ht="15" x14ac:dyDescent="0.3">
      <c r="A8901">
        <v>30.428515594731699</v>
      </c>
      <c r="B8901">
        <v>-86.913351186695294</v>
      </c>
      <c r="C8901" t="s">
        <v>41</v>
      </c>
      <c r="D8901" t="s">
        <v>5191</v>
      </c>
      <c r="F8901" s="21"/>
      <c r="G8901" s="16" t="str">
        <f>HYPERLINK("http://maps.google.com/maps?f=q&amp;hl=en&amp;geocode=&amp;q=30.4285155947317,-86.9133511866953")</f>
        <v>http://maps.google.com/maps?f=q&amp;hl=en&amp;geocode=&amp;q=30.4285155947317,-86.9133511866953</v>
      </c>
    </row>
    <row r="8902" spans="1:7" ht="15" x14ac:dyDescent="0.3">
      <c r="A8902">
        <v>30.428515594731699</v>
      </c>
      <c r="B8902">
        <v>-86.913351186695294</v>
      </c>
      <c r="C8902" t="s">
        <v>41</v>
      </c>
      <c r="D8902" t="s">
        <v>5191</v>
      </c>
      <c r="F8902" s="21"/>
      <c r="G8902" s="16" t="str">
        <f>HYPERLINK("http://maps.google.com/maps?f=q&amp;hl=en&amp;geocode=&amp;q=30.4285155947317,-86.9133511866953")</f>
        <v>http://maps.google.com/maps?f=q&amp;hl=en&amp;geocode=&amp;q=30.4285155947317,-86.9133511866953</v>
      </c>
    </row>
    <row r="8903" spans="1:7" ht="15" x14ac:dyDescent="0.3">
      <c r="A8903">
        <v>30.428515594731699</v>
      </c>
      <c r="B8903">
        <v>-86.913351186695294</v>
      </c>
      <c r="C8903" t="s">
        <v>41</v>
      </c>
      <c r="D8903" t="s">
        <v>5191</v>
      </c>
      <c r="F8903" s="21"/>
      <c r="G8903" s="16" t="str">
        <f>HYPERLINK("http://maps.google.com/maps?f=q&amp;hl=en&amp;geocode=&amp;q=30.4285155947317,-86.9133511866953")</f>
        <v>http://maps.google.com/maps?f=q&amp;hl=en&amp;geocode=&amp;q=30.4285155947317,-86.9133511866953</v>
      </c>
    </row>
    <row r="8904" spans="1:7" ht="15" x14ac:dyDescent="0.3">
      <c r="A8904">
        <v>29.775194103928399</v>
      </c>
      <c r="B8904">
        <v>-94.617259980714806</v>
      </c>
      <c r="C8904" t="s">
        <v>41</v>
      </c>
      <c r="D8904" t="s">
        <v>3526</v>
      </c>
      <c r="F8904" s="21"/>
      <c r="G8904" s="16" t="str">
        <f>HYPERLINK("http://maps.google.com/maps?f=q&amp;hl=en&amp;geocode=&amp;q=29.7751941039284,-94.6172599807148")</f>
        <v>http://maps.google.com/maps?f=q&amp;hl=en&amp;geocode=&amp;q=29.7751941039284,-94.6172599807148</v>
      </c>
    </row>
    <row r="8905" spans="1:7" ht="15" x14ac:dyDescent="0.3">
      <c r="A8905">
        <v>30.428534978666999</v>
      </c>
      <c r="B8905">
        <v>-86.906727044740506</v>
      </c>
      <c r="C8905" t="s">
        <v>41</v>
      </c>
      <c r="D8905" t="s">
        <v>5192</v>
      </c>
      <c r="F8905" s="21"/>
      <c r="G8905" s="16" t="str">
        <f>HYPERLINK("http://maps.google.com/maps?f=q&amp;hl=en&amp;geocode=&amp;q=30.428534978667,-86.9067270447405")</f>
        <v>http://maps.google.com/maps?f=q&amp;hl=en&amp;geocode=&amp;q=30.428534978667,-86.9067270447405</v>
      </c>
    </row>
    <row r="8906" spans="1:7" ht="15" x14ac:dyDescent="0.3">
      <c r="A8906">
        <v>30.428534978666999</v>
      </c>
      <c r="B8906">
        <v>-86.906727044740506</v>
      </c>
      <c r="C8906" t="s">
        <v>41</v>
      </c>
      <c r="D8906" t="s">
        <v>5192</v>
      </c>
      <c r="F8906" s="21"/>
      <c r="G8906" s="16" t="str">
        <f>HYPERLINK("http://maps.google.com/maps?f=q&amp;hl=en&amp;geocode=&amp;q=30.428534978667,-86.9067270447405")</f>
        <v>http://maps.google.com/maps?f=q&amp;hl=en&amp;geocode=&amp;q=30.428534978667,-86.9067270447405</v>
      </c>
    </row>
    <row r="8907" spans="1:7" ht="15" x14ac:dyDescent="0.3">
      <c r="A8907">
        <v>39.951009999999997</v>
      </c>
      <c r="B8907">
        <v>-75.224720000000005</v>
      </c>
      <c r="C8907" t="s">
        <v>43</v>
      </c>
      <c r="D8907" t="s">
        <v>4357</v>
      </c>
      <c r="F8907" s="21"/>
      <c r="G8907" s="16" t="str">
        <f>HYPERLINK("http://maps.google.com/maps?f=q&amp;hl=en&amp;geocode=&amp;q=39.95101,-75.22472")</f>
        <v>http://maps.google.com/maps?f=q&amp;hl=en&amp;geocode=&amp;q=39.95101,-75.22472</v>
      </c>
    </row>
    <row r="8908" spans="1:7" ht="15" x14ac:dyDescent="0.3">
      <c r="A8908">
        <v>40.019828796386697</v>
      </c>
      <c r="B8908">
        <v>-89.481559753417997</v>
      </c>
      <c r="C8908" t="s">
        <v>41</v>
      </c>
      <c r="D8908" t="s">
        <v>5193</v>
      </c>
      <c r="F8908" s="21"/>
      <c r="G8908" s="16" t="str">
        <f>HYPERLINK("http://maps.google.com/maps?f=q&amp;hl=en&amp;geocode=&amp;q=40.0198287963867,-89.481559753418")</f>
        <v>http://maps.google.com/maps?f=q&amp;hl=en&amp;geocode=&amp;q=40.0198287963867,-89.481559753418</v>
      </c>
    </row>
    <row r="8909" spans="1:7" ht="15" x14ac:dyDescent="0.3">
      <c r="A8909" t="s">
        <v>44</v>
      </c>
      <c r="B8909" t="s">
        <v>44</v>
      </c>
      <c r="C8909" t="s">
        <v>44</v>
      </c>
      <c r="D8909" t="s">
        <v>2911</v>
      </c>
      <c r="F8909" s="21"/>
      <c r="G8909" s="16"/>
    </row>
    <row r="8910" spans="1:7" ht="15" x14ac:dyDescent="0.3">
      <c r="A8910">
        <v>37.562717518087702</v>
      </c>
      <c r="B8910">
        <v>-122.046358208908</v>
      </c>
      <c r="C8910" t="s">
        <v>41</v>
      </c>
      <c r="D8910" t="s">
        <v>5194</v>
      </c>
      <c r="F8910" s="21"/>
      <c r="G8910" s="16" t="str">
        <f>HYPERLINK("http://maps.google.com/maps?f=q&amp;hl=en&amp;geocode=&amp;q=37.5627175180877,-122.046358208908")</f>
        <v>http://maps.google.com/maps?f=q&amp;hl=en&amp;geocode=&amp;q=37.5627175180877,-122.046358208908</v>
      </c>
    </row>
    <row r="8911" spans="1:7" ht="15" x14ac:dyDescent="0.3">
      <c r="A8911">
        <v>40.029029999999999</v>
      </c>
      <c r="B8911">
        <v>-75.127390000000005</v>
      </c>
      <c r="C8911" t="s">
        <v>43</v>
      </c>
      <c r="D8911" t="s">
        <v>5195</v>
      </c>
      <c r="F8911" s="21"/>
      <c r="G8911" s="16" t="str">
        <f>HYPERLINK("http://maps.google.com/maps?f=q&amp;hl=en&amp;geocode=&amp;q=40.02903,-75.12739")</f>
        <v>http://maps.google.com/maps?f=q&amp;hl=en&amp;geocode=&amp;q=40.02903,-75.12739</v>
      </c>
    </row>
    <row r="8912" spans="1:7" ht="15" x14ac:dyDescent="0.3">
      <c r="A8912">
        <v>39.4432563781738</v>
      </c>
      <c r="B8912">
        <v>-98.957336425781307</v>
      </c>
      <c r="C8912" t="s">
        <v>43</v>
      </c>
      <c r="D8912" t="s">
        <v>3084</v>
      </c>
      <c r="F8912" s="21"/>
      <c r="G8912" s="16" t="str">
        <f>HYPERLINK("http://maps.google.com/maps?f=q&amp;hl=en&amp;geocode=&amp;q=39.4432563781738,-98.9573364257813")</f>
        <v>http://maps.google.com/maps?f=q&amp;hl=en&amp;geocode=&amp;q=39.4432563781738,-98.9573364257813</v>
      </c>
    </row>
    <row r="8913" spans="1:7" ht="15" x14ac:dyDescent="0.3">
      <c r="A8913" t="s">
        <v>44</v>
      </c>
      <c r="B8913" t="s">
        <v>44</v>
      </c>
      <c r="C8913" t="s">
        <v>44</v>
      </c>
      <c r="D8913" t="s">
        <v>4310</v>
      </c>
      <c r="F8913" s="21"/>
      <c r="G8913" s="16"/>
    </row>
    <row r="8914" spans="1:7" ht="15" x14ac:dyDescent="0.3">
      <c r="A8914">
        <v>32.583317490227202</v>
      </c>
      <c r="B8914">
        <v>-83.125344390433597</v>
      </c>
      <c r="C8914" t="s">
        <v>41</v>
      </c>
      <c r="D8914" t="s">
        <v>5039</v>
      </c>
      <c r="F8914" s="21"/>
      <c r="G8914" s="16" t="str">
        <f>HYPERLINK("http://maps.google.com/maps?f=q&amp;hl=en&amp;geocode=&amp;q=32.5833174902272,-83.1253443904336")</f>
        <v>http://maps.google.com/maps?f=q&amp;hl=en&amp;geocode=&amp;q=32.5833174902272,-83.1253443904336</v>
      </c>
    </row>
    <row r="8915" spans="1:7" ht="15" x14ac:dyDescent="0.3">
      <c r="A8915">
        <v>39.980045624719502</v>
      </c>
      <c r="B8915">
        <v>-75.133159909830894</v>
      </c>
      <c r="C8915" t="s">
        <v>41</v>
      </c>
      <c r="D8915" t="s">
        <v>5196</v>
      </c>
      <c r="F8915" s="21"/>
      <c r="G8915" s="16" t="str">
        <f>HYPERLINK("http://maps.google.com/maps?f=q&amp;hl=en&amp;geocode=&amp;q=39.9800456247195,-75.1331599098309")</f>
        <v>http://maps.google.com/maps?f=q&amp;hl=en&amp;geocode=&amp;q=39.9800456247195,-75.1331599098309</v>
      </c>
    </row>
    <row r="8916" spans="1:7" ht="15" x14ac:dyDescent="0.3">
      <c r="A8916">
        <v>29.6948247475312</v>
      </c>
      <c r="B8916">
        <v>-95.352270013052305</v>
      </c>
      <c r="C8916" t="s">
        <v>41</v>
      </c>
      <c r="D8916" t="s">
        <v>2995</v>
      </c>
      <c r="F8916" s="21"/>
      <c r="G8916" s="16" t="str">
        <f>HYPERLINK("http://maps.google.com/maps?f=q&amp;hl=en&amp;geocode=&amp;q=29.6948247475312,-95.3522700130523")</f>
        <v>http://maps.google.com/maps?f=q&amp;hl=en&amp;geocode=&amp;q=29.6948247475312,-95.3522700130523</v>
      </c>
    </row>
    <row r="8917" spans="1:7" ht="15" x14ac:dyDescent="0.3">
      <c r="A8917" t="s">
        <v>44</v>
      </c>
      <c r="B8917" t="s">
        <v>44</v>
      </c>
      <c r="C8917" t="s">
        <v>44</v>
      </c>
      <c r="D8917" t="s">
        <v>5197</v>
      </c>
      <c r="F8917" s="21"/>
      <c r="G8917" s="16"/>
    </row>
    <row r="8918" spans="1:7" ht="15" x14ac:dyDescent="0.3">
      <c r="A8918">
        <v>43.581642386269102</v>
      </c>
      <c r="B8918">
        <v>-75.417108797420397</v>
      </c>
      <c r="C8918" t="s">
        <v>41</v>
      </c>
      <c r="D8918" t="s">
        <v>5198</v>
      </c>
      <c r="F8918" s="21"/>
      <c r="G8918" s="16" t="str">
        <f>HYPERLINK("http://maps.google.com/maps?f=q&amp;hl=en&amp;geocode=&amp;q=43.5816423862691,-75.4171087974204")</f>
        <v>http://maps.google.com/maps?f=q&amp;hl=en&amp;geocode=&amp;q=43.5816423862691,-75.4171087974204</v>
      </c>
    </row>
    <row r="8919" spans="1:7" ht="15" x14ac:dyDescent="0.3">
      <c r="A8919" t="s">
        <v>44</v>
      </c>
      <c r="B8919" t="s">
        <v>44</v>
      </c>
      <c r="C8919" t="s">
        <v>44</v>
      </c>
      <c r="D8919" t="s">
        <v>5199</v>
      </c>
      <c r="F8919" s="21"/>
      <c r="G8919" s="16"/>
    </row>
    <row r="8920" spans="1:7" ht="15" x14ac:dyDescent="0.3">
      <c r="A8920">
        <v>39.99588</v>
      </c>
      <c r="B8920">
        <v>-75.167929999999998</v>
      </c>
      <c r="C8920" t="s">
        <v>41</v>
      </c>
      <c r="D8920" t="s">
        <v>4143</v>
      </c>
      <c r="F8920" s="21"/>
      <c r="G8920" s="16" t="str">
        <f>HYPERLINK("http://maps.google.com/maps?f=q&amp;hl=en&amp;geocode=&amp;q=39.99588,-75.16793")</f>
        <v>http://maps.google.com/maps?f=q&amp;hl=en&amp;geocode=&amp;q=39.99588,-75.16793</v>
      </c>
    </row>
    <row r="8921" spans="1:7" ht="15" x14ac:dyDescent="0.3">
      <c r="A8921">
        <v>38.104024264743401</v>
      </c>
      <c r="B8921">
        <v>-84.888027921488302</v>
      </c>
      <c r="C8921" t="s">
        <v>41</v>
      </c>
      <c r="D8921" t="s">
        <v>5200</v>
      </c>
      <c r="F8921" s="21"/>
      <c r="G8921" s="16" t="str">
        <f>HYPERLINK("http://maps.google.com/maps?f=q&amp;hl=en&amp;geocode=&amp;q=38.1040242647434,-84.8880279214883")</f>
        <v>http://maps.google.com/maps?f=q&amp;hl=en&amp;geocode=&amp;q=38.1040242647434,-84.8880279214883</v>
      </c>
    </row>
    <row r="8922" spans="1:7" ht="15" x14ac:dyDescent="0.3">
      <c r="A8922">
        <v>27.957643270702199</v>
      </c>
      <c r="B8922">
        <v>-82.482965948737601</v>
      </c>
      <c r="C8922" t="s">
        <v>41</v>
      </c>
      <c r="D8922" t="s">
        <v>5201</v>
      </c>
      <c r="F8922" s="21"/>
      <c r="G8922" s="16" t="str">
        <f>HYPERLINK("http://maps.google.com/maps?f=q&amp;hl=en&amp;geocode=&amp;q=27.9576432707022,-82.4829659487376")</f>
        <v>http://maps.google.com/maps?f=q&amp;hl=en&amp;geocode=&amp;q=27.9576432707022,-82.4829659487376</v>
      </c>
    </row>
    <row r="8923" spans="1:7" ht="15" x14ac:dyDescent="0.3">
      <c r="A8923">
        <v>40.070349999999998</v>
      </c>
      <c r="B8923">
        <v>-75.050600000000003</v>
      </c>
      <c r="C8923" t="s">
        <v>41</v>
      </c>
      <c r="D8923" t="s">
        <v>5202</v>
      </c>
      <c r="F8923" s="21"/>
      <c r="G8923" s="16" t="str">
        <f>HYPERLINK("http://maps.google.com/maps?f=q&amp;hl=en&amp;geocode=&amp;q=40.07035,-75.0506")</f>
        <v>http://maps.google.com/maps?f=q&amp;hl=en&amp;geocode=&amp;q=40.07035,-75.0506</v>
      </c>
    </row>
    <row r="8924" spans="1:7" ht="15" x14ac:dyDescent="0.3">
      <c r="A8924">
        <v>41.236985391312402</v>
      </c>
      <c r="B8924">
        <v>-76.829227484302393</v>
      </c>
      <c r="C8924" t="s">
        <v>43</v>
      </c>
      <c r="D8924" t="s">
        <v>5203</v>
      </c>
      <c r="F8924" s="21"/>
      <c r="G8924" s="16" t="str">
        <f>HYPERLINK("http://maps.google.com/maps?f=q&amp;hl=en&amp;geocode=&amp;q=41.2369853913124,-76.8292274843024")</f>
        <v>http://maps.google.com/maps?f=q&amp;hl=en&amp;geocode=&amp;q=41.2369853913124,-76.8292274843024</v>
      </c>
    </row>
    <row r="8925" spans="1:7" ht="15" x14ac:dyDescent="0.3">
      <c r="A8925">
        <v>40.008699999999997</v>
      </c>
      <c r="B8925">
        <v>-75.100269999999995</v>
      </c>
      <c r="C8925" t="s">
        <v>43</v>
      </c>
      <c r="D8925" t="s">
        <v>2583</v>
      </c>
      <c r="F8925" s="21"/>
      <c r="G8925" s="16" t="str">
        <f>HYPERLINK("http://maps.google.com/maps?f=q&amp;hl=en&amp;geocode=&amp;q=40.0087,-75.10027")</f>
        <v>http://maps.google.com/maps?f=q&amp;hl=en&amp;geocode=&amp;q=40.0087,-75.10027</v>
      </c>
    </row>
    <row r="8926" spans="1:7" ht="15" x14ac:dyDescent="0.3">
      <c r="A8926">
        <v>40.008699999999997</v>
      </c>
      <c r="B8926">
        <v>-75.100269999999995</v>
      </c>
      <c r="C8926" t="s">
        <v>43</v>
      </c>
      <c r="D8926" t="s">
        <v>2583</v>
      </c>
      <c r="F8926" s="21"/>
      <c r="G8926" s="16" t="str">
        <f>HYPERLINK("http://maps.google.com/maps?f=q&amp;hl=en&amp;geocode=&amp;q=40.0087,-75.10027")</f>
        <v>http://maps.google.com/maps?f=q&amp;hl=en&amp;geocode=&amp;q=40.0087,-75.10027</v>
      </c>
    </row>
    <row r="8927" spans="1:7" ht="15" x14ac:dyDescent="0.3">
      <c r="A8927">
        <v>33.991518535222497</v>
      </c>
      <c r="B8927">
        <v>-79.224338357630501</v>
      </c>
      <c r="C8927" t="s">
        <v>41</v>
      </c>
      <c r="D8927" t="s">
        <v>5204</v>
      </c>
      <c r="F8927" s="21"/>
      <c r="G8927" s="16" t="str">
        <f>HYPERLINK("http://maps.google.com/maps?f=q&amp;hl=en&amp;geocode=&amp;q=33.9915185352225,-79.2243383576305")</f>
        <v>http://maps.google.com/maps?f=q&amp;hl=en&amp;geocode=&amp;q=33.9915185352225,-79.2243383576305</v>
      </c>
    </row>
    <row r="8928" spans="1:7" ht="15" x14ac:dyDescent="0.3">
      <c r="A8928">
        <v>47.033481597900398</v>
      </c>
      <c r="B8928">
        <v>-109.64508056640599</v>
      </c>
      <c r="C8928" t="s">
        <v>41</v>
      </c>
      <c r="D8928" t="s">
        <v>5205</v>
      </c>
      <c r="F8928" s="21"/>
      <c r="G8928" s="16" t="str">
        <f>HYPERLINK("http://maps.google.com/maps?f=q&amp;hl=en&amp;geocode=&amp;q=47.0334815979004,-109.645080566406")</f>
        <v>http://maps.google.com/maps?f=q&amp;hl=en&amp;geocode=&amp;q=47.0334815979004,-109.645080566406</v>
      </c>
    </row>
    <row r="8929" spans="1:7" ht="15" x14ac:dyDescent="0.3">
      <c r="A8929">
        <v>38.947154998779297</v>
      </c>
      <c r="B8929">
        <v>-8.9184045791625994</v>
      </c>
      <c r="C8929" t="s">
        <v>41</v>
      </c>
      <c r="D8929" t="s">
        <v>446</v>
      </c>
      <c r="F8929" s="21"/>
      <c r="G8929" s="16" t="str">
        <f>HYPERLINK("http://maps.google.com/maps?f=q&amp;hl=en&amp;geocode=&amp;q=38.9471549987793,-8.9184045791626")</f>
        <v>http://maps.google.com/maps?f=q&amp;hl=en&amp;geocode=&amp;q=38.9471549987793,-8.9184045791626</v>
      </c>
    </row>
    <row r="8930" spans="1:7" ht="15" x14ac:dyDescent="0.3">
      <c r="A8930">
        <v>55.444400787353501</v>
      </c>
      <c r="B8930">
        <v>11.5437002182007</v>
      </c>
      <c r="C8930" t="s">
        <v>41</v>
      </c>
      <c r="D8930" t="s">
        <v>5206</v>
      </c>
      <c r="F8930" s="21"/>
      <c r="G8930" s="16" t="str">
        <f>HYPERLINK("http://maps.google.com/maps?f=q&amp;hl=en&amp;geocode=&amp;q=55.4444007873535,11.5437002182007")</f>
        <v>http://maps.google.com/maps?f=q&amp;hl=en&amp;geocode=&amp;q=55.4444007873535,11.5437002182007</v>
      </c>
    </row>
    <row r="8931" spans="1:7" ht="15" x14ac:dyDescent="0.3">
      <c r="A8931">
        <v>40.030859999999997</v>
      </c>
      <c r="B8931">
        <v>-75.128900000000002</v>
      </c>
      <c r="C8931" t="s">
        <v>41</v>
      </c>
      <c r="D8931" t="s">
        <v>5207</v>
      </c>
      <c r="F8931" s="21"/>
      <c r="G8931" s="16" t="str">
        <f>HYPERLINK("http://maps.google.com/maps?f=q&amp;hl=en&amp;geocode=&amp;q=40.03086,-75.1289")</f>
        <v>http://maps.google.com/maps?f=q&amp;hl=en&amp;geocode=&amp;q=40.03086,-75.1289</v>
      </c>
    </row>
    <row r="8932" spans="1:7" ht="15" x14ac:dyDescent="0.3">
      <c r="A8932">
        <v>40.03098</v>
      </c>
      <c r="B8932">
        <v>-75.129930000000002</v>
      </c>
      <c r="C8932" t="s">
        <v>41</v>
      </c>
      <c r="D8932" t="s">
        <v>5208</v>
      </c>
      <c r="F8932" s="21"/>
      <c r="G8932" s="16" t="str">
        <f>HYPERLINK("http://maps.google.com/maps?f=q&amp;hl=en&amp;geocode=&amp;q=40.03098,-75.12993")</f>
        <v>http://maps.google.com/maps?f=q&amp;hl=en&amp;geocode=&amp;q=40.03098,-75.12993</v>
      </c>
    </row>
    <row r="8933" spans="1:7" ht="15" x14ac:dyDescent="0.3">
      <c r="A8933">
        <v>40.029926383333297</v>
      </c>
      <c r="B8933">
        <v>-75.1227359512486</v>
      </c>
      <c r="C8933" t="s">
        <v>41</v>
      </c>
      <c r="D8933" t="s">
        <v>1833</v>
      </c>
      <c r="F8933" s="21"/>
      <c r="G8933" s="16" t="str">
        <f>HYPERLINK("http://maps.google.com/maps?f=q&amp;hl=en&amp;geocode=&amp;q=40.0299263833333,-75.1227359512486")</f>
        <v>http://maps.google.com/maps?f=q&amp;hl=en&amp;geocode=&amp;q=40.0299263833333,-75.1227359512486</v>
      </c>
    </row>
    <row r="8934" spans="1:7" ht="15" x14ac:dyDescent="0.3">
      <c r="A8934" t="s">
        <v>44</v>
      </c>
      <c r="B8934" t="s">
        <v>44</v>
      </c>
      <c r="C8934" t="s">
        <v>44</v>
      </c>
      <c r="D8934" t="s">
        <v>5209</v>
      </c>
      <c r="F8934" s="21"/>
      <c r="G8934" s="16"/>
    </row>
    <row r="8935" spans="1:7" ht="15" x14ac:dyDescent="0.3">
      <c r="A8935" t="s">
        <v>44</v>
      </c>
      <c r="B8935" t="s">
        <v>44</v>
      </c>
      <c r="C8935" t="s">
        <v>44</v>
      </c>
      <c r="D8935" t="s">
        <v>1048</v>
      </c>
      <c r="F8935" s="21"/>
      <c r="G8935" s="16"/>
    </row>
    <row r="8936" spans="1:7" ht="15" x14ac:dyDescent="0.3">
      <c r="A8936" t="s">
        <v>44</v>
      </c>
      <c r="B8936" t="s">
        <v>44</v>
      </c>
      <c r="C8936" t="s">
        <v>44</v>
      </c>
      <c r="D8936" t="s">
        <v>1048</v>
      </c>
      <c r="F8936" s="21"/>
      <c r="G8936" s="16"/>
    </row>
    <row r="8937" spans="1:7" ht="15" x14ac:dyDescent="0.3">
      <c r="A8937">
        <v>42.997422656800801</v>
      </c>
      <c r="B8937">
        <v>-95.623939346082395</v>
      </c>
      <c r="C8937" t="s">
        <v>41</v>
      </c>
      <c r="D8937" t="s">
        <v>71</v>
      </c>
      <c r="F8937" s="21"/>
      <c r="G8937" s="16" t="str">
        <f>HYPERLINK("http://maps.google.com/maps?f=q&amp;hl=en&amp;geocode=&amp;q=42.9974226568008,-95.6239393460824")</f>
        <v>http://maps.google.com/maps?f=q&amp;hl=en&amp;geocode=&amp;q=42.9974226568008,-95.6239393460824</v>
      </c>
    </row>
    <row r="8938" spans="1:7" ht="15" x14ac:dyDescent="0.3">
      <c r="A8938">
        <v>40.933320000000002</v>
      </c>
      <c r="B8938">
        <v>-111.88093000000001</v>
      </c>
      <c r="C8938" t="s">
        <v>42</v>
      </c>
      <c r="D8938" t="s">
        <v>5210</v>
      </c>
      <c r="F8938" s="21"/>
      <c r="G8938" s="16" t="str">
        <f>HYPERLINK("http://maps.google.com/maps?f=q&amp;hl=en&amp;geocode=&amp;q=40.93332,-111.88093")</f>
        <v>http://maps.google.com/maps?f=q&amp;hl=en&amp;geocode=&amp;q=40.93332,-111.88093</v>
      </c>
    </row>
    <row r="8939" spans="1:7" ht="15" x14ac:dyDescent="0.3">
      <c r="A8939">
        <v>49.02843</v>
      </c>
      <c r="B8939">
        <v>-123.07658000000001</v>
      </c>
      <c r="C8939" t="s">
        <v>41</v>
      </c>
      <c r="D8939" t="s">
        <v>5210</v>
      </c>
      <c r="F8939" s="21"/>
      <c r="G8939" s="16" t="str">
        <f>HYPERLINK("http://maps.google.com/maps?f=q&amp;hl=en&amp;geocode=&amp;q=49.02843,-123.07658")</f>
        <v>http://maps.google.com/maps?f=q&amp;hl=en&amp;geocode=&amp;q=49.02843,-123.07658</v>
      </c>
    </row>
    <row r="8940" spans="1:7" ht="15" x14ac:dyDescent="0.3">
      <c r="A8940">
        <v>39.928240000000002</v>
      </c>
      <c r="B8940">
        <v>-75.232900000000001</v>
      </c>
      <c r="C8940" t="s">
        <v>41</v>
      </c>
      <c r="D8940" t="s">
        <v>3191</v>
      </c>
      <c r="F8940" s="21"/>
      <c r="G8940" s="16" t="str">
        <f>HYPERLINK("http://maps.google.com/maps?f=q&amp;hl=en&amp;geocode=&amp;q=39.92824,-75.2329")</f>
        <v>http://maps.google.com/maps?f=q&amp;hl=en&amp;geocode=&amp;q=39.92824,-75.2329</v>
      </c>
    </row>
    <row r="8941" spans="1:7" ht="15" x14ac:dyDescent="0.3">
      <c r="A8941">
        <v>52.051368713378899</v>
      </c>
      <c r="B8941">
        <v>4.30570316314697</v>
      </c>
      <c r="C8941" t="s">
        <v>41</v>
      </c>
      <c r="D8941" t="s">
        <v>5211</v>
      </c>
      <c r="F8941" s="21"/>
      <c r="G8941" s="16" t="str">
        <f>HYPERLINK("http://maps.google.com/maps?f=q&amp;hl=en&amp;geocode=&amp;q=52.0513687133789,4.30570316314697")</f>
        <v>http://maps.google.com/maps?f=q&amp;hl=en&amp;geocode=&amp;q=52.0513687133789,4.30570316314697</v>
      </c>
    </row>
    <row r="8942" spans="1:7" ht="15" x14ac:dyDescent="0.3">
      <c r="A8942" t="s">
        <v>44</v>
      </c>
      <c r="B8942" t="s">
        <v>44</v>
      </c>
      <c r="C8942" t="s">
        <v>44</v>
      </c>
      <c r="D8942" t="s">
        <v>5212</v>
      </c>
      <c r="F8942" s="21"/>
      <c r="G8942" s="16"/>
    </row>
    <row r="8943" spans="1:7" ht="15" x14ac:dyDescent="0.3">
      <c r="A8943">
        <v>40.527883000341099</v>
      </c>
      <c r="B8943">
        <v>-74.175955885255604</v>
      </c>
      <c r="C8943" t="s">
        <v>43</v>
      </c>
      <c r="D8943" t="s">
        <v>2260</v>
      </c>
      <c r="F8943" s="21"/>
      <c r="G8943" s="16" t="str">
        <f>HYPERLINK("http://maps.google.com/maps?f=q&amp;hl=en&amp;geocode=&amp;q=40.5278830003411,-74.1759558852556")</f>
        <v>http://maps.google.com/maps?f=q&amp;hl=en&amp;geocode=&amp;q=40.5278830003411,-74.1759558852556</v>
      </c>
    </row>
    <row r="8944" spans="1:7" ht="15" x14ac:dyDescent="0.3">
      <c r="A8944">
        <v>36.410994102443098</v>
      </c>
      <c r="B8944">
        <v>-102.540449969036</v>
      </c>
      <c r="C8944" t="s">
        <v>41</v>
      </c>
      <c r="D8944" t="s">
        <v>2179</v>
      </c>
      <c r="F8944" s="21"/>
      <c r="G8944" s="16" t="str">
        <f>HYPERLINK("http://maps.google.com/maps?f=q&amp;hl=en&amp;geocode=&amp;q=36.4109941024431,-102.540449969036")</f>
        <v>http://maps.google.com/maps?f=q&amp;hl=en&amp;geocode=&amp;q=36.4109941024431,-102.540449969036</v>
      </c>
    </row>
    <row r="8945" spans="1:7" ht="15" x14ac:dyDescent="0.3">
      <c r="A8945">
        <v>39.92454</v>
      </c>
      <c r="B8945">
        <v>-75.174610000000001</v>
      </c>
      <c r="C8945" t="s">
        <v>43</v>
      </c>
      <c r="D8945" t="s">
        <v>5213</v>
      </c>
      <c r="F8945" s="21"/>
      <c r="G8945" s="16" t="str">
        <f>HYPERLINK("http://maps.google.com/maps?f=q&amp;hl=en&amp;geocode=&amp;q=39.92454,-75.17461")</f>
        <v>http://maps.google.com/maps?f=q&amp;hl=en&amp;geocode=&amp;q=39.92454,-75.17461</v>
      </c>
    </row>
    <row r="8946" spans="1:7" ht="15" x14ac:dyDescent="0.3">
      <c r="A8946">
        <v>39.92454</v>
      </c>
      <c r="B8946">
        <v>-75.174610000000001</v>
      </c>
      <c r="C8946" t="s">
        <v>43</v>
      </c>
      <c r="D8946" t="s">
        <v>5213</v>
      </c>
      <c r="F8946" s="21"/>
      <c r="G8946" s="16" t="str">
        <f>HYPERLINK("http://maps.google.com/maps?f=q&amp;hl=en&amp;geocode=&amp;q=39.92454,-75.17461")</f>
        <v>http://maps.google.com/maps?f=q&amp;hl=en&amp;geocode=&amp;q=39.92454,-75.17461</v>
      </c>
    </row>
    <row r="8947" spans="1:7" ht="15" x14ac:dyDescent="0.3">
      <c r="A8947">
        <v>40.221249999999998</v>
      </c>
      <c r="B8947">
        <v>-76.289599999999993</v>
      </c>
      <c r="C8947" t="s">
        <v>42</v>
      </c>
      <c r="D8947" t="s">
        <v>3915</v>
      </c>
      <c r="F8947" s="21"/>
      <c r="G8947" s="16" t="str">
        <f>HYPERLINK("http://maps.google.com/maps?f=q&amp;hl=en&amp;geocode=&amp;q=40.22125,-76.2896")</f>
        <v>http://maps.google.com/maps?f=q&amp;hl=en&amp;geocode=&amp;q=40.22125,-76.2896</v>
      </c>
    </row>
    <row r="8948" spans="1:7" ht="15" x14ac:dyDescent="0.3">
      <c r="A8948">
        <v>-43.390037536621101</v>
      </c>
      <c r="B8948">
        <v>172.02110290527301</v>
      </c>
      <c r="C8948" t="s">
        <v>43</v>
      </c>
      <c r="D8948" t="s">
        <v>4933</v>
      </c>
      <c r="F8948" s="21"/>
      <c r="G8948" s="16" t="str">
        <f>HYPERLINK("http://maps.google.com/maps?f=q&amp;hl=en&amp;geocode=&amp;q=-43.3900375366211,172.021102905273")</f>
        <v>http://maps.google.com/maps?f=q&amp;hl=en&amp;geocode=&amp;q=-43.3900375366211,172.021102905273</v>
      </c>
    </row>
    <row r="8949" spans="1:7" ht="15" x14ac:dyDescent="0.3">
      <c r="A8949">
        <v>51.385486602783203</v>
      </c>
      <c r="B8949">
        <v>-0.21363934874534601</v>
      </c>
      <c r="C8949" t="s">
        <v>43</v>
      </c>
      <c r="D8949" t="s">
        <v>5214</v>
      </c>
      <c r="F8949" s="21"/>
      <c r="G8949" s="16" t="str">
        <f>HYPERLINK("http://maps.google.com/maps?f=q&amp;hl=en&amp;geocode=&amp;q=51.3854866027832,-0.213639348745346")</f>
        <v>http://maps.google.com/maps?f=q&amp;hl=en&amp;geocode=&amp;q=51.3854866027832,-0.213639348745346</v>
      </c>
    </row>
    <row r="8950" spans="1:7" ht="15" x14ac:dyDescent="0.3">
      <c r="A8950">
        <v>30.739030838012699</v>
      </c>
      <c r="B8950">
        <v>-95.572280883789105</v>
      </c>
      <c r="C8950" t="s">
        <v>43</v>
      </c>
      <c r="D8950" t="s">
        <v>5215</v>
      </c>
      <c r="F8950" s="21"/>
      <c r="G8950" s="16" t="str">
        <f>HYPERLINK("http://maps.google.com/maps?f=q&amp;hl=en&amp;geocode=&amp;q=30.7390308380127,-95.5722808837891")</f>
        <v>http://maps.google.com/maps?f=q&amp;hl=en&amp;geocode=&amp;q=30.7390308380127,-95.5722808837891</v>
      </c>
    </row>
    <row r="8951" spans="1:7" ht="15" x14ac:dyDescent="0.3">
      <c r="A8951">
        <v>37.850288391113303</v>
      </c>
      <c r="B8951">
        <v>-122.27384185791</v>
      </c>
      <c r="C8951" t="s">
        <v>43</v>
      </c>
      <c r="D8951" t="s">
        <v>5216</v>
      </c>
      <c r="F8951" s="21"/>
      <c r="G8951" s="16" t="str">
        <f>HYPERLINK("http://maps.google.com/maps?f=q&amp;hl=en&amp;geocode=&amp;q=37.8502883911133,-122.27384185791")</f>
        <v>http://maps.google.com/maps?f=q&amp;hl=en&amp;geocode=&amp;q=37.8502883911133,-122.27384185791</v>
      </c>
    </row>
    <row r="8952" spans="1:7" ht="15" x14ac:dyDescent="0.3">
      <c r="A8952">
        <v>32.9852581192145</v>
      </c>
      <c r="B8952">
        <v>-96.801636084177403</v>
      </c>
      <c r="C8952" t="s">
        <v>41</v>
      </c>
      <c r="D8952" t="s">
        <v>4154</v>
      </c>
      <c r="F8952" s="21"/>
      <c r="G8952" s="16" t="str">
        <f>HYPERLINK("http://maps.google.com/maps?f=q&amp;hl=en&amp;geocode=&amp;q=32.9852581192145,-96.8016360841774")</f>
        <v>http://maps.google.com/maps?f=q&amp;hl=en&amp;geocode=&amp;q=32.9852581192145,-96.8016360841774</v>
      </c>
    </row>
    <row r="8953" spans="1:7" ht="15" x14ac:dyDescent="0.3">
      <c r="A8953">
        <v>32.828890590588401</v>
      </c>
      <c r="B8953">
        <v>-83.648248063624806</v>
      </c>
      <c r="C8953" t="s">
        <v>43</v>
      </c>
      <c r="D8953" t="s">
        <v>5217</v>
      </c>
      <c r="F8953" s="21"/>
      <c r="G8953" s="16" t="str">
        <f>HYPERLINK("http://maps.google.com/maps?f=q&amp;hl=en&amp;geocode=&amp;q=32.8288905905884,-83.6482480636248")</f>
        <v>http://maps.google.com/maps?f=q&amp;hl=en&amp;geocode=&amp;q=32.8288905905884,-83.6482480636248</v>
      </c>
    </row>
    <row r="8954" spans="1:7" ht="15" x14ac:dyDescent="0.3">
      <c r="A8954">
        <v>-28.342119216918899</v>
      </c>
      <c r="B8954">
        <v>152.00799560546901</v>
      </c>
      <c r="C8954" t="s">
        <v>43</v>
      </c>
      <c r="D8954" t="s">
        <v>131</v>
      </c>
      <c r="F8954" s="21"/>
      <c r="G8954" s="16" t="str">
        <f>HYPERLINK("http://maps.google.com/maps?f=q&amp;hl=en&amp;geocode=&amp;q=-28.3421192169189,152.007995605469")</f>
        <v>http://maps.google.com/maps?f=q&amp;hl=en&amp;geocode=&amp;q=-28.3421192169189,152.007995605469</v>
      </c>
    </row>
    <row r="8955" spans="1:7" ht="15" x14ac:dyDescent="0.3">
      <c r="A8955">
        <v>31.008949999999999</v>
      </c>
      <c r="B8955">
        <v>-86.337400000000002</v>
      </c>
      <c r="C8955" t="s">
        <v>42</v>
      </c>
      <c r="D8955" t="s">
        <v>4650</v>
      </c>
      <c r="F8955" s="21"/>
      <c r="G8955" s="16" t="str">
        <f>HYPERLINK("http://maps.google.com/maps?f=q&amp;hl=en&amp;geocode=&amp;q=31.00895,-86.3374")</f>
        <v>http://maps.google.com/maps?f=q&amp;hl=en&amp;geocode=&amp;q=31.00895,-86.3374</v>
      </c>
    </row>
    <row r="8956" spans="1:7" ht="15" x14ac:dyDescent="0.3">
      <c r="A8956">
        <v>32.380149841308601</v>
      </c>
      <c r="B8956">
        <v>-86.300079345703097</v>
      </c>
      <c r="C8956" t="s">
        <v>41</v>
      </c>
      <c r="D8956" t="s">
        <v>4651</v>
      </c>
      <c r="F8956" s="21"/>
      <c r="G8956" s="16" t="str">
        <f>HYPERLINK("http://maps.google.com/maps?f=q&amp;hl=en&amp;geocode=&amp;q=32.3801498413086,-86.3000793457031")</f>
        <v>http://maps.google.com/maps?f=q&amp;hl=en&amp;geocode=&amp;q=32.3801498413086,-86.3000793457031</v>
      </c>
    </row>
    <row r="8957" spans="1:7" ht="15" x14ac:dyDescent="0.3">
      <c r="A8957">
        <v>42.528381090845997</v>
      </c>
      <c r="B8957">
        <v>-89.056465631365398</v>
      </c>
      <c r="C8957" t="s">
        <v>41</v>
      </c>
      <c r="D8957" t="s">
        <v>4934</v>
      </c>
      <c r="F8957" s="21"/>
      <c r="G8957" s="16" t="str">
        <f>HYPERLINK("http://maps.google.com/maps?f=q&amp;hl=en&amp;geocode=&amp;q=42.528381090846,-89.0564656313654")</f>
        <v>http://maps.google.com/maps?f=q&amp;hl=en&amp;geocode=&amp;q=42.528381090846,-89.0564656313654</v>
      </c>
    </row>
    <row r="8958" spans="1:7" ht="15" x14ac:dyDescent="0.3">
      <c r="A8958">
        <v>37.8600492198578</v>
      </c>
      <c r="B8958">
        <v>-82.804982557953906</v>
      </c>
      <c r="C8958" t="s">
        <v>43</v>
      </c>
      <c r="D8958" t="s">
        <v>5218</v>
      </c>
      <c r="F8958" s="21"/>
      <c r="G8958" s="16" t="str">
        <f>HYPERLINK("http://maps.google.com/maps?f=q&amp;hl=en&amp;geocode=&amp;q=37.8600492198578,-82.8049825579539")</f>
        <v>http://maps.google.com/maps?f=q&amp;hl=en&amp;geocode=&amp;q=37.8600492198578,-82.8049825579539</v>
      </c>
    </row>
    <row r="8959" spans="1:7" ht="15" x14ac:dyDescent="0.3">
      <c r="A8959">
        <v>31.933920000000001</v>
      </c>
      <c r="B8959">
        <v>-102.21292</v>
      </c>
      <c r="C8959" t="s">
        <v>43</v>
      </c>
      <c r="D8959" t="s">
        <v>1021</v>
      </c>
      <c r="F8959" s="21"/>
      <c r="G8959" s="16" t="str">
        <f>HYPERLINK("http://maps.google.com/maps?f=q&amp;hl=en&amp;geocode=&amp;q=31.93392,-102.21292")</f>
        <v>http://maps.google.com/maps?f=q&amp;hl=en&amp;geocode=&amp;q=31.93392,-102.21292</v>
      </c>
    </row>
    <row r="8960" spans="1:7" ht="15" x14ac:dyDescent="0.3">
      <c r="A8960">
        <v>40.031939999999999</v>
      </c>
      <c r="B8960">
        <v>-75.205520000000007</v>
      </c>
      <c r="C8960" t="s">
        <v>41</v>
      </c>
      <c r="D8960" t="s">
        <v>5219</v>
      </c>
      <c r="F8960" s="21"/>
      <c r="G8960" s="16" t="str">
        <f>HYPERLINK("http://maps.google.com/maps?f=q&amp;hl=en&amp;geocode=&amp;q=40.03194,-75.20552")</f>
        <v>http://maps.google.com/maps?f=q&amp;hl=en&amp;geocode=&amp;q=40.03194,-75.20552</v>
      </c>
    </row>
    <row r="8961" spans="1:7" ht="15" x14ac:dyDescent="0.3">
      <c r="A8961">
        <v>40.0319</v>
      </c>
      <c r="B8961">
        <v>-75.205489999999998</v>
      </c>
      <c r="C8961" t="s">
        <v>41</v>
      </c>
      <c r="D8961" t="s">
        <v>5220</v>
      </c>
      <c r="F8961" s="21"/>
      <c r="G8961" s="16" t="str">
        <f>HYPERLINK("http://maps.google.com/maps?f=q&amp;hl=en&amp;geocode=&amp;q=40.0319,-75.20549")</f>
        <v>http://maps.google.com/maps?f=q&amp;hl=en&amp;geocode=&amp;q=40.0319,-75.20549</v>
      </c>
    </row>
    <row r="8962" spans="1:7" ht="15" x14ac:dyDescent="0.3">
      <c r="A8962">
        <v>39.773760000000003</v>
      </c>
      <c r="B8962">
        <v>-86.263189999999994</v>
      </c>
      <c r="C8962" t="s">
        <v>41</v>
      </c>
      <c r="D8962" t="s">
        <v>5221</v>
      </c>
      <c r="F8962" s="21"/>
      <c r="G8962" s="16" t="str">
        <f>HYPERLINK("http://maps.google.com/maps?f=q&amp;hl=en&amp;geocode=&amp;q=39.77376,-86.26319")</f>
        <v>http://maps.google.com/maps?f=q&amp;hl=en&amp;geocode=&amp;q=39.77376,-86.26319</v>
      </c>
    </row>
    <row r="8963" spans="1:7" ht="15" x14ac:dyDescent="0.3">
      <c r="A8963">
        <v>39.7735972785051</v>
      </c>
      <c r="B8963">
        <v>-86.263406611918697</v>
      </c>
      <c r="C8963" t="s">
        <v>41</v>
      </c>
      <c r="D8963" t="s">
        <v>5222</v>
      </c>
      <c r="F8963" s="21"/>
      <c r="G8963" s="16" t="str">
        <f>HYPERLINK("http://maps.google.com/maps?f=q&amp;hl=en&amp;geocode=&amp;q=39.7735972785051,-86.2634066119187")</f>
        <v>http://maps.google.com/maps?f=q&amp;hl=en&amp;geocode=&amp;q=39.7735972785051,-86.2634066119187</v>
      </c>
    </row>
    <row r="8964" spans="1:7" ht="15" x14ac:dyDescent="0.3">
      <c r="A8964">
        <v>40.031089999999999</v>
      </c>
      <c r="B8964">
        <v>-75.204899999999995</v>
      </c>
      <c r="C8964" t="s">
        <v>41</v>
      </c>
      <c r="D8964" t="s">
        <v>5223</v>
      </c>
      <c r="F8964" s="21"/>
      <c r="G8964" s="16" t="str">
        <f>HYPERLINK("http://maps.google.com/maps?f=q&amp;hl=en&amp;geocode=&amp;q=40.03109,-75.2049")</f>
        <v>http://maps.google.com/maps?f=q&amp;hl=en&amp;geocode=&amp;q=40.03109,-75.2049</v>
      </c>
    </row>
    <row r="8965" spans="1:7" ht="15" x14ac:dyDescent="0.3">
      <c r="A8965">
        <v>36.069319999999998</v>
      </c>
      <c r="B8965">
        <v>-79.680520000000001</v>
      </c>
      <c r="C8965" t="s">
        <v>41</v>
      </c>
      <c r="D8965" t="s">
        <v>5224</v>
      </c>
      <c r="F8965" s="21"/>
      <c r="G8965" s="16" t="str">
        <f>HYPERLINK("http://maps.google.com/maps?f=q&amp;hl=en&amp;geocode=&amp;q=36.06932,-79.68052")</f>
        <v>http://maps.google.com/maps?f=q&amp;hl=en&amp;geocode=&amp;q=36.06932,-79.68052</v>
      </c>
    </row>
    <row r="8966" spans="1:7" ht="15" x14ac:dyDescent="0.3">
      <c r="A8966" t="s">
        <v>44</v>
      </c>
      <c r="B8966" t="s">
        <v>44</v>
      </c>
      <c r="C8966" t="s">
        <v>44</v>
      </c>
      <c r="D8966" t="s">
        <v>5225</v>
      </c>
      <c r="F8966" s="21"/>
      <c r="G8966" s="16"/>
    </row>
    <row r="8967" spans="1:7" ht="15" x14ac:dyDescent="0.3">
      <c r="A8967">
        <v>30.3366794586182</v>
      </c>
      <c r="B8967">
        <v>-81.641181945800795</v>
      </c>
      <c r="C8967" t="s">
        <v>43</v>
      </c>
      <c r="D8967" t="s">
        <v>5226</v>
      </c>
      <c r="F8967" s="21"/>
      <c r="G8967" s="16" t="str">
        <f>HYPERLINK("http://maps.google.com/maps?f=q&amp;hl=en&amp;geocode=&amp;q=30.3366794586182,-81.6411819458008")</f>
        <v>http://maps.google.com/maps?f=q&amp;hl=en&amp;geocode=&amp;q=30.3366794586182,-81.6411819458008</v>
      </c>
    </row>
    <row r="8968" spans="1:7" ht="15" x14ac:dyDescent="0.3">
      <c r="A8968">
        <v>39.986293368356598</v>
      </c>
      <c r="B8968">
        <v>-75.104205964488699</v>
      </c>
      <c r="C8968" t="s">
        <v>41</v>
      </c>
      <c r="D8968" t="s">
        <v>5227</v>
      </c>
      <c r="F8968" s="21"/>
      <c r="G8968" s="16" t="str">
        <f>HYPERLINK("http://maps.google.com/maps?f=q&amp;hl=en&amp;geocode=&amp;q=39.9862933683566,-75.1042059644887")</f>
        <v>http://maps.google.com/maps?f=q&amp;hl=en&amp;geocode=&amp;q=39.9862933683566,-75.1042059644887</v>
      </c>
    </row>
    <row r="8969" spans="1:7" ht="15" x14ac:dyDescent="0.3">
      <c r="A8969">
        <v>35.260855036395697</v>
      </c>
      <c r="B8969">
        <v>-114.01168796303701</v>
      </c>
      <c r="C8969" t="s">
        <v>41</v>
      </c>
      <c r="D8969" t="s">
        <v>1791</v>
      </c>
      <c r="F8969" s="21"/>
      <c r="G8969" s="16" t="str">
        <f>HYPERLINK("http://maps.google.com/maps?f=q&amp;hl=en&amp;geocode=&amp;q=35.2608550363957,-114.011687963037")</f>
        <v>http://maps.google.com/maps?f=q&amp;hl=en&amp;geocode=&amp;q=35.2608550363957,-114.011687963037</v>
      </c>
    </row>
    <row r="8970" spans="1:7" ht="15" x14ac:dyDescent="0.3">
      <c r="A8970">
        <v>54.562068939208999</v>
      </c>
      <c r="B8970">
        <v>-125.10440063476599</v>
      </c>
      <c r="C8970" t="s">
        <v>41</v>
      </c>
      <c r="D8970" t="s">
        <v>5228</v>
      </c>
      <c r="F8970" s="21"/>
      <c r="G8970" s="16" t="str">
        <f>HYPERLINK("http://maps.google.com/maps?f=q&amp;hl=en&amp;geocode=&amp;q=54.562068939209,-125.104400634766")</f>
        <v>http://maps.google.com/maps?f=q&amp;hl=en&amp;geocode=&amp;q=54.562068939209,-125.104400634766</v>
      </c>
    </row>
    <row r="8971" spans="1:7" ht="15" x14ac:dyDescent="0.3">
      <c r="A8971">
        <v>39.136638858653498</v>
      </c>
      <c r="B8971">
        <v>-76.486475355245702</v>
      </c>
      <c r="C8971" t="s">
        <v>41</v>
      </c>
      <c r="D8971" t="s">
        <v>2301</v>
      </c>
      <c r="F8971" s="21"/>
      <c r="G8971" s="16" t="str">
        <f>HYPERLINK("http://maps.google.com/maps?f=q&amp;hl=en&amp;geocode=&amp;q=39.1366388586535,-76.4864753552457")</f>
        <v>http://maps.google.com/maps?f=q&amp;hl=en&amp;geocode=&amp;q=39.1366388586535,-76.4864753552457</v>
      </c>
    </row>
    <row r="8972" spans="1:7" ht="15" x14ac:dyDescent="0.3">
      <c r="A8972">
        <v>4.9114699363708496</v>
      </c>
      <c r="B8972">
        <v>29.458999633789102</v>
      </c>
      <c r="C8972" t="s">
        <v>41</v>
      </c>
      <c r="D8972" t="s">
        <v>5229</v>
      </c>
      <c r="F8972" s="21"/>
      <c r="G8972" s="16" t="str">
        <f>HYPERLINK("http://maps.google.com/maps?f=q&amp;hl=en&amp;geocode=&amp;q=4.91146993637085,29.4589996337891")</f>
        <v>http://maps.google.com/maps?f=q&amp;hl=en&amp;geocode=&amp;q=4.91146993637085,29.4589996337891</v>
      </c>
    </row>
    <row r="8973" spans="1:7" ht="15" x14ac:dyDescent="0.3">
      <c r="A8973">
        <v>55.459780000000002</v>
      </c>
      <c r="B8973">
        <v>11.20115</v>
      </c>
      <c r="C8973" t="s">
        <v>41</v>
      </c>
      <c r="D8973" t="s">
        <v>757</v>
      </c>
      <c r="F8973" s="21"/>
      <c r="G8973" s="16" t="str">
        <f>HYPERLINK("http://maps.google.com/maps?f=q&amp;hl=en&amp;geocode=&amp;q=55.45978,11.20115")</f>
        <v>http://maps.google.com/maps?f=q&amp;hl=en&amp;geocode=&amp;q=55.45978,11.20115</v>
      </c>
    </row>
    <row r="8974" spans="1:7" ht="15" x14ac:dyDescent="0.3">
      <c r="A8974">
        <v>29.94772</v>
      </c>
      <c r="B8974">
        <v>-93.937799999999996</v>
      </c>
      <c r="C8974" t="s">
        <v>41</v>
      </c>
      <c r="D8974" t="s">
        <v>772</v>
      </c>
      <c r="F8974" s="21"/>
      <c r="G8974" s="16" t="str">
        <f>HYPERLINK("http://maps.google.com/maps?f=q&amp;hl=en&amp;geocode=&amp;q=29.94772,-93.9378")</f>
        <v>http://maps.google.com/maps?f=q&amp;hl=en&amp;geocode=&amp;q=29.94772,-93.9378</v>
      </c>
    </row>
    <row r="8975" spans="1:7" ht="15" x14ac:dyDescent="0.3">
      <c r="A8975">
        <v>29.94772</v>
      </c>
      <c r="B8975">
        <v>-93.937799999999996</v>
      </c>
      <c r="C8975" t="s">
        <v>41</v>
      </c>
      <c r="D8975" t="s">
        <v>772</v>
      </c>
      <c r="F8975" s="21"/>
      <c r="G8975" s="16" t="str">
        <f>HYPERLINK("http://maps.google.com/maps?f=q&amp;hl=en&amp;geocode=&amp;q=29.94772,-93.9378")</f>
        <v>http://maps.google.com/maps?f=q&amp;hl=en&amp;geocode=&amp;q=29.94772,-93.9378</v>
      </c>
    </row>
    <row r="8976" spans="1:7" ht="15" x14ac:dyDescent="0.3">
      <c r="A8976">
        <v>46.234667879060702</v>
      </c>
      <c r="B8976">
        <v>-115.890469373813</v>
      </c>
      <c r="C8976" t="s">
        <v>41</v>
      </c>
      <c r="D8976" t="s">
        <v>5230</v>
      </c>
      <c r="F8976" s="21"/>
      <c r="G8976" s="16" t="str">
        <f>HYPERLINK("http://maps.google.com/maps?f=q&amp;hl=en&amp;geocode=&amp;q=46.2346678790607,-115.890469373813")</f>
        <v>http://maps.google.com/maps?f=q&amp;hl=en&amp;geocode=&amp;q=46.2346678790607,-115.890469373813</v>
      </c>
    </row>
    <row r="8977" spans="1:7" ht="15" x14ac:dyDescent="0.3">
      <c r="A8977">
        <v>39.930567972501798</v>
      </c>
      <c r="B8977">
        <v>-75.159856012931797</v>
      </c>
      <c r="C8977" t="s">
        <v>41</v>
      </c>
      <c r="D8977" t="s">
        <v>5231</v>
      </c>
      <c r="F8977" s="21"/>
      <c r="G8977" s="16" t="str">
        <f>HYPERLINK("http://maps.google.com/maps?f=q&amp;hl=en&amp;geocode=&amp;q=39.9305679725018,-75.1598560129318")</f>
        <v>http://maps.google.com/maps?f=q&amp;hl=en&amp;geocode=&amp;q=39.9305679725018,-75.1598560129318</v>
      </c>
    </row>
    <row r="8978" spans="1:7" ht="15" x14ac:dyDescent="0.3">
      <c r="A8978">
        <v>43.259309703377703</v>
      </c>
      <c r="B8978">
        <v>-75.609969275739005</v>
      </c>
      <c r="C8978" t="s">
        <v>43</v>
      </c>
      <c r="D8978" t="s">
        <v>5232</v>
      </c>
      <c r="F8978" s="21"/>
      <c r="G8978" s="16" t="str">
        <f>HYPERLINK("http://maps.google.com/maps?f=q&amp;hl=en&amp;geocode=&amp;q=43.2593097033777,-75.609969275739")</f>
        <v>http://maps.google.com/maps?f=q&amp;hl=en&amp;geocode=&amp;q=43.2593097033777,-75.609969275739</v>
      </c>
    </row>
    <row r="8979" spans="1:7" ht="15" x14ac:dyDescent="0.3">
      <c r="A8979">
        <v>34.588099848629902</v>
      </c>
      <c r="B8979">
        <v>-109.908924962189</v>
      </c>
      <c r="C8979" t="s">
        <v>42</v>
      </c>
      <c r="D8979" t="s">
        <v>5233</v>
      </c>
      <c r="F8979" s="21"/>
      <c r="G8979" s="16" t="str">
        <f>HYPERLINK("http://maps.google.com/maps?f=q&amp;hl=en&amp;geocode=&amp;q=34.5880998486299,-109.908924962189")</f>
        <v>http://maps.google.com/maps?f=q&amp;hl=en&amp;geocode=&amp;q=34.5880998486299,-109.908924962189</v>
      </c>
    </row>
    <row r="8980" spans="1:7" ht="15" x14ac:dyDescent="0.3">
      <c r="A8980">
        <v>39.945987808097399</v>
      </c>
      <c r="B8980">
        <v>-82.9673983138739</v>
      </c>
      <c r="C8980" t="s">
        <v>41</v>
      </c>
      <c r="D8980" t="s">
        <v>5234</v>
      </c>
      <c r="F8980" s="21"/>
      <c r="G8980" s="16" t="str">
        <f>HYPERLINK("http://maps.google.com/maps?f=q&amp;hl=en&amp;geocode=&amp;q=39.9459878080974,-82.9673983138739")</f>
        <v>http://maps.google.com/maps?f=q&amp;hl=en&amp;geocode=&amp;q=39.9459878080974,-82.9673983138739</v>
      </c>
    </row>
    <row r="8981" spans="1:7" ht="15" x14ac:dyDescent="0.3">
      <c r="A8981">
        <v>39.921230000000001</v>
      </c>
      <c r="B8981">
        <v>-75.178550000000001</v>
      </c>
      <c r="C8981" t="s">
        <v>41</v>
      </c>
      <c r="D8981" t="s">
        <v>5235</v>
      </c>
      <c r="F8981" s="21"/>
      <c r="G8981" s="16" t="str">
        <f>HYPERLINK("http://maps.google.com/maps?f=q&amp;hl=en&amp;geocode=&amp;q=39.92123,-75.17855")</f>
        <v>http://maps.google.com/maps?f=q&amp;hl=en&amp;geocode=&amp;q=39.92123,-75.17855</v>
      </c>
    </row>
    <row r="8982" spans="1:7" ht="15" x14ac:dyDescent="0.3">
      <c r="A8982">
        <v>39.921039999999998</v>
      </c>
      <c r="B8982">
        <v>-75.17698</v>
      </c>
      <c r="C8982" t="s">
        <v>43</v>
      </c>
      <c r="D8982" t="s">
        <v>5236</v>
      </c>
      <c r="F8982" s="21"/>
      <c r="G8982" s="16" t="str">
        <f>HYPERLINK("http://maps.google.com/maps?f=q&amp;hl=en&amp;geocode=&amp;q=39.92104,-75.17698")</f>
        <v>http://maps.google.com/maps?f=q&amp;hl=en&amp;geocode=&amp;q=39.92104,-75.17698</v>
      </c>
    </row>
    <row r="8983" spans="1:7" ht="15" x14ac:dyDescent="0.3">
      <c r="A8983">
        <v>33.961862968942299</v>
      </c>
      <c r="B8983">
        <v>-79.760998636504894</v>
      </c>
      <c r="C8983" t="s">
        <v>41</v>
      </c>
      <c r="D8983" t="s">
        <v>5237</v>
      </c>
      <c r="F8983" s="21"/>
      <c r="G8983" s="16" t="str">
        <f>HYPERLINK("http://maps.google.com/maps?f=q&amp;hl=en&amp;geocode=&amp;q=33.9618629689423,-79.7609986365049")</f>
        <v>http://maps.google.com/maps?f=q&amp;hl=en&amp;geocode=&amp;q=33.9618629689423,-79.7609986365049</v>
      </c>
    </row>
    <row r="8984" spans="1:7" ht="15" x14ac:dyDescent="0.3">
      <c r="A8984" t="s">
        <v>44</v>
      </c>
      <c r="B8984" t="s">
        <v>44</v>
      </c>
      <c r="C8984" t="s">
        <v>44</v>
      </c>
      <c r="D8984" t="s">
        <v>5238</v>
      </c>
      <c r="F8984" s="21"/>
      <c r="G8984" s="16"/>
    </row>
    <row r="8985" spans="1:7" ht="15" x14ac:dyDescent="0.3">
      <c r="A8985">
        <v>41.261953903056799</v>
      </c>
      <c r="B8985">
        <v>-79.715838900365398</v>
      </c>
      <c r="C8985" t="s">
        <v>41</v>
      </c>
      <c r="D8985" t="s">
        <v>5239</v>
      </c>
      <c r="F8985" s="21"/>
      <c r="G8985" s="16" t="str">
        <f>HYPERLINK("http://maps.google.com/maps?f=q&amp;hl=en&amp;geocode=&amp;q=41.2619539030568,-79.7158389003654")</f>
        <v>http://maps.google.com/maps?f=q&amp;hl=en&amp;geocode=&amp;q=41.2619539030568,-79.7158389003654</v>
      </c>
    </row>
    <row r="8986" spans="1:7" ht="15" x14ac:dyDescent="0.3">
      <c r="A8986">
        <v>40.008600000000001</v>
      </c>
      <c r="B8986">
        <v>-75.099540000000005</v>
      </c>
      <c r="C8986" t="s">
        <v>41</v>
      </c>
      <c r="D8986" t="s">
        <v>2820</v>
      </c>
      <c r="F8986" s="21"/>
      <c r="G8986" s="16" t="str">
        <f>HYPERLINK("http://maps.google.com/maps?f=q&amp;hl=en&amp;geocode=&amp;q=40.0086,-75.09954")</f>
        <v>http://maps.google.com/maps?f=q&amp;hl=en&amp;geocode=&amp;q=40.0086,-75.09954</v>
      </c>
    </row>
    <row r="8987" spans="1:7" ht="15" x14ac:dyDescent="0.3">
      <c r="A8987">
        <v>-26.3783988952637</v>
      </c>
      <c r="B8987">
        <v>27.884189605712901</v>
      </c>
      <c r="C8987" t="s">
        <v>43</v>
      </c>
      <c r="D8987" t="s">
        <v>5240</v>
      </c>
      <c r="F8987" s="21"/>
      <c r="G8987" s="16" t="str">
        <f>HYPERLINK("http://maps.google.com/maps?f=q&amp;hl=en&amp;geocode=&amp;q=-26.3783988952637,27.8841896057129")</f>
        <v>http://maps.google.com/maps?f=q&amp;hl=en&amp;geocode=&amp;q=-26.3783988952637,27.8841896057129</v>
      </c>
    </row>
    <row r="8988" spans="1:7" ht="15" x14ac:dyDescent="0.3">
      <c r="A8988">
        <v>40.008600000000001</v>
      </c>
      <c r="B8988">
        <v>-75.099540000000005</v>
      </c>
      <c r="C8988" t="s">
        <v>41</v>
      </c>
      <c r="D8988" t="s">
        <v>2820</v>
      </c>
      <c r="F8988" s="21"/>
      <c r="G8988" s="16" t="str">
        <f>HYPERLINK("http://maps.google.com/maps?f=q&amp;hl=en&amp;geocode=&amp;q=40.0086,-75.09954")</f>
        <v>http://maps.google.com/maps?f=q&amp;hl=en&amp;geocode=&amp;q=40.0086,-75.09954</v>
      </c>
    </row>
    <row r="8989" spans="1:7" ht="15" x14ac:dyDescent="0.3">
      <c r="A8989">
        <v>54.562068939208999</v>
      </c>
      <c r="B8989">
        <v>-125.10440063476599</v>
      </c>
      <c r="C8989" t="s">
        <v>41</v>
      </c>
      <c r="D8989" t="s">
        <v>5228</v>
      </c>
      <c r="F8989" s="21"/>
      <c r="G8989" s="16" t="str">
        <f>HYPERLINK("http://maps.google.com/maps?f=q&amp;hl=en&amp;geocode=&amp;q=54.562068939209,-125.104400634766")</f>
        <v>http://maps.google.com/maps?f=q&amp;hl=en&amp;geocode=&amp;q=54.562068939209,-125.104400634766</v>
      </c>
    </row>
    <row r="8990" spans="1:7" ht="15" x14ac:dyDescent="0.3">
      <c r="A8990">
        <v>40.008600000000001</v>
      </c>
      <c r="B8990">
        <v>-75.099540000000005</v>
      </c>
      <c r="C8990" t="s">
        <v>41</v>
      </c>
      <c r="D8990" t="s">
        <v>2820</v>
      </c>
      <c r="F8990" s="21"/>
      <c r="G8990" s="16" t="str">
        <f>HYPERLINK("http://maps.google.com/maps?f=q&amp;hl=en&amp;geocode=&amp;q=40.0086,-75.09954")</f>
        <v>http://maps.google.com/maps?f=q&amp;hl=en&amp;geocode=&amp;q=40.0086,-75.09954</v>
      </c>
    </row>
    <row r="8991" spans="1:7" ht="15" x14ac:dyDescent="0.3">
      <c r="A8991">
        <v>49.625144958496101</v>
      </c>
      <c r="B8991">
        <v>6.1652560234069798</v>
      </c>
      <c r="C8991" t="s">
        <v>41</v>
      </c>
      <c r="D8991" t="s">
        <v>5241</v>
      </c>
      <c r="F8991" s="21"/>
      <c r="G8991" s="16" t="str">
        <f>HYPERLINK("http://maps.google.com/maps?f=q&amp;hl=en&amp;geocode=&amp;q=49.6251449584961,6.16525602340698")</f>
        <v>http://maps.google.com/maps?f=q&amp;hl=en&amp;geocode=&amp;q=49.6251449584961,6.16525602340698</v>
      </c>
    </row>
    <row r="8992" spans="1:7" ht="15" x14ac:dyDescent="0.3">
      <c r="A8992">
        <v>27.211195202666499</v>
      </c>
      <c r="B8992">
        <v>-82.456061098070407</v>
      </c>
      <c r="C8992" t="s">
        <v>41</v>
      </c>
      <c r="D8992" t="s">
        <v>5242</v>
      </c>
      <c r="F8992" s="21"/>
      <c r="G8992" s="16" t="str">
        <f>HYPERLINK("http://maps.google.com/maps?f=q&amp;hl=en&amp;geocode=&amp;q=27.2111952026665,-82.4560610980704")</f>
        <v>http://maps.google.com/maps?f=q&amp;hl=en&amp;geocode=&amp;q=27.2111952026665,-82.4560610980704</v>
      </c>
    </row>
    <row r="8993" spans="1:7" ht="15" x14ac:dyDescent="0.3">
      <c r="A8993">
        <v>41.153622051066698</v>
      </c>
      <c r="B8993">
        <v>-111.911943634571</v>
      </c>
      <c r="C8993" t="s">
        <v>41</v>
      </c>
      <c r="D8993" t="s">
        <v>592</v>
      </c>
      <c r="F8993" s="21"/>
      <c r="G8993" s="16" t="str">
        <f>HYPERLINK("http://maps.google.com/maps?f=q&amp;hl=en&amp;geocode=&amp;q=41.1536220510667,-111.911943634571")</f>
        <v>http://maps.google.com/maps?f=q&amp;hl=en&amp;geocode=&amp;q=41.1536220510667,-111.911943634571</v>
      </c>
    </row>
    <row r="8994" spans="1:7" ht="15" x14ac:dyDescent="0.3">
      <c r="A8994">
        <v>-32.476999900000003</v>
      </c>
      <c r="B8994">
        <v>115.78574</v>
      </c>
      <c r="C8994" t="s">
        <v>41</v>
      </c>
      <c r="D8994" t="s">
        <v>306</v>
      </c>
      <c r="F8994" s="21"/>
      <c r="G8994" s="16" t="str">
        <f>HYPERLINK("http://maps.google.com/maps?f=q&amp;hl=en&amp;geocode=&amp;q=-32.4769999,115.78574")</f>
        <v>http://maps.google.com/maps?f=q&amp;hl=en&amp;geocode=&amp;q=-32.4769999,115.78574</v>
      </c>
    </row>
    <row r="8995" spans="1:7" ht="15" x14ac:dyDescent="0.3">
      <c r="A8995">
        <v>-32.476999900000003</v>
      </c>
      <c r="B8995">
        <v>115.78574</v>
      </c>
      <c r="C8995" t="s">
        <v>41</v>
      </c>
      <c r="D8995" t="s">
        <v>306</v>
      </c>
      <c r="F8995" s="21"/>
      <c r="G8995" s="16" t="str">
        <f>HYPERLINK("http://maps.google.com/maps?f=q&amp;hl=en&amp;geocode=&amp;q=-32.4769999,115.78574")</f>
        <v>http://maps.google.com/maps?f=q&amp;hl=en&amp;geocode=&amp;q=-32.4769999,115.78574</v>
      </c>
    </row>
    <row r="8996" spans="1:7" ht="15" x14ac:dyDescent="0.3">
      <c r="A8996">
        <v>-32.476999900000003</v>
      </c>
      <c r="B8996">
        <v>115.78574</v>
      </c>
      <c r="C8996" t="s">
        <v>41</v>
      </c>
      <c r="D8996" t="s">
        <v>306</v>
      </c>
      <c r="F8996" s="21"/>
      <c r="G8996" s="16" t="str">
        <f>HYPERLINK("http://maps.google.com/maps?f=q&amp;hl=en&amp;geocode=&amp;q=-32.4769999,115.78574")</f>
        <v>http://maps.google.com/maps?f=q&amp;hl=en&amp;geocode=&amp;q=-32.4769999,115.78574</v>
      </c>
    </row>
    <row r="8997" spans="1:7" ht="15" x14ac:dyDescent="0.3">
      <c r="A8997">
        <v>54.841087341308601</v>
      </c>
      <c r="B8997">
        <v>11.161624908447299</v>
      </c>
      <c r="C8997" t="s">
        <v>41</v>
      </c>
      <c r="D8997" t="s">
        <v>307</v>
      </c>
      <c r="F8997" s="21"/>
      <c r="G8997" s="16" t="str">
        <f>HYPERLINK("http://maps.google.com/maps?f=q&amp;hl=en&amp;geocode=&amp;q=54.8410873413086,11.1616249084473")</f>
        <v>http://maps.google.com/maps?f=q&amp;hl=en&amp;geocode=&amp;q=54.8410873413086,11.1616249084473</v>
      </c>
    </row>
    <row r="8998" spans="1:7" ht="15" x14ac:dyDescent="0.3">
      <c r="A8998">
        <v>54.841087341308601</v>
      </c>
      <c r="B8998">
        <v>11.161624908447299</v>
      </c>
      <c r="C8998" t="s">
        <v>41</v>
      </c>
      <c r="D8998" t="s">
        <v>307</v>
      </c>
      <c r="F8998" s="21"/>
      <c r="G8998" s="16" t="str">
        <f>HYPERLINK("http://maps.google.com/maps?f=q&amp;hl=en&amp;geocode=&amp;q=54.8410873413086,11.1616249084473")</f>
        <v>http://maps.google.com/maps?f=q&amp;hl=en&amp;geocode=&amp;q=54.8410873413086,11.1616249084473</v>
      </c>
    </row>
    <row r="8999" spans="1:7" ht="15" x14ac:dyDescent="0.3">
      <c r="A8999">
        <v>54.841087341308601</v>
      </c>
      <c r="B8999">
        <v>11.161624908447299</v>
      </c>
      <c r="C8999" t="s">
        <v>41</v>
      </c>
      <c r="D8999" t="s">
        <v>307</v>
      </c>
      <c r="F8999" s="21"/>
      <c r="G8999" s="16" t="str">
        <f>HYPERLINK("http://maps.google.com/maps?f=q&amp;hl=en&amp;geocode=&amp;q=54.8410873413086,11.1616249084473")</f>
        <v>http://maps.google.com/maps?f=q&amp;hl=en&amp;geocode=&amp;q=54.8410873413086,11.1616249084473</v>
      </c>
    </row>
    <row r="9000" spans="1:7" ht="15" x14ac:dyDescent="0.3">
      <c r="A9000">
        <v>39.843861603458301</v>
      </c>
      <c r="B9000">
        <v>-77.606246319923102</v>
      </c>
      <c r="C9000" t="s">
        <v>41</v>
      </c>
      <c r="D9000" t="s">
        <v>5243</v>
      </c>
      <c r="F9000" s="21"/>
      <c r="G9000" s="16" t="str">
        <f>HYPERLINK("http://maps.google.com/maps?f=q&amp;hl=en&amp;geocode=&amp;q=39.8438616034583,-77.6062463199231")</f>
        <v>http://maps.google.com/maps?f=q&amp;hl=en&amp;geocode=&amp;q=39.8438616034583,-77.6062463199231</v>
      </c>
    </row>
    <row r="9001" spans="1:7" ht="15" x14ac:dyDescent="0.3">
      <c r="A9001" t="s">
        <v>44</v>
      </c>
      <c r="B9001" t="s">
        <v>44</v>
      </c>
      <c r="C9001" t="s">
        <v>44</v>
      </c>
      <c r="D9001" t="s">
        <v>2851</v>
      </c>
      <c r="F9001" s="21"/>
      <c r="G9001" s="16"/>
    </row>
    <row r="9002" spans="1:7" ht="15" x14ac:dyDescent="0.3">
      <c r="A9002">
        <v>39.28275</v>
      </c>
      <c r="B9002">
        <v>-76.523840000000007</v>
      </c>
      <c r="C9002" t="s">
        <v>41</v>
      </c>
      <c r="D9002" t="s">
        <v>1974</v>
      </c>
      <c r="F9002" s="21"/>
      <c r="G9002" s="16" t="str">
        <f>HYPERLINK("http://maps.google.com/maps?f=q&amp;hl=en&amp;geocode=&amp;q=39.28275,-76.52384")</f>
        <v>http://maps.google.com/maps?f=q&amp;hl=en&amp;geocode=&amp;q=39.28275,-76.52384</v>
      </c>
    </row>
    <row r="9003" spans="1:7" ht="15" x14ac:dyDescent="0.3">
      <c r="A9003">
        <v>51.271400451660199</v>
      </c>
      <c r="B9003">
        <v>4.6053900718689</v>
      </c>
      <c r="C9003" t="s">
        <v>41</v>
      </c>
      <c r="D9003" t="s">
        <v>5244</v>
      </c>
      <c r="F9003" s="21"/>
      <c r="G9003" s="16" t="str">
        <f>HYPERLINK("http://maps.google.com/maps?f=q&amp;hl=en&amp;geocode=&amp;q=51.2714004516602,4.6053900718689")</f>
        <v>http://maps.google.com/maps?f=q&amp;hl=en&amp;geocode=&amp;q=51.2714004516602,4.6053900718689</v>
      </c>
    </row>
    <row r="9004" spans="1:7" ht="15" x14ac:dyDescent="0.3">
      <c r="A9004" t="s">
        <v>44</v>
      </c>
      <c r="B9004" t="s">
        <v>44</v>
      </c>
      <c r="C9004" t="s">
        <v>44</v>
      </c>
      <c r="D9004" t="s">
        <v>5245</v>
      </c>
      <c r="F9004" s="21"/>
      <c r="G9004" s="16"/>
    </row>
    <row r="9005" spans="1:7" ht="15" x14ac:dyDescent="0.3">
      <c r="A9005" t="s">
        <v>44</v>
      </c>
      <c r="B9005" t="s">
        <v>44</v>
      </c>
      <c r="C9005" t="s">
        <v>44</v>
      </c>
      <c r="D9005" t="s">
        <v>5245</v>
      </c>
      <c r="F9005" s="21"/>
      <c r="G9005" s="16"/>
    </row>
    <row r="9006" spans="1:7" ht="15" x14ac:dyDescent="0.3">
      <c r="A9006">
        <v>40.982819787261697</v>
      </c>
      <c r="B9006">
        <v>-93.652910754426102</v>
      </c>
      <c r="C9006" t="s">
        <v>41</v>
      </c>
      <c r="D9006" t="s">
        <v>4224</v>
      </c>
      <c r="F9006" s="21"/>
      <c r="G9006" s="16" t="str">
        <f>HYPERLINK("http://maps.google.com/maps?f=q&amp;hl=en&amp;geocode=&amp;q=40.9828197872617,-93.6529107544261")</f>
        <v>http://maps.google.com/maps?f=q&amp;hl=en&amp;geocode=&amp;q=40.9828197872617,-93.6529107544261</v>
      </c>
    </row>
    <row r="9007" spans="1:7" ht="15" x14ac:dyDescent="0.3">
      <c r="A9007">
        <v>40.982819787261697</v>
      </c>
      <c r="B9007">
        <v>-93.652910754426102</v>
      </c>
      <c r="C9007" t="s">
        <v>41</v>
      </c>
      <c r="D9007" t="s">
        <v>4224</v>
      </c>
      <c r="F9007" s="21"/>
      <c r="G9007" s="16" t="str">
        <f>HYPERLINK("http://maps.google.com/maps?f=q&amp;hl=en&amp;geocode=&amp;q=40.9828197872617,-93.6529107544261")</f>
        <v>http://maps.google.com/maps?f=q&amp;hl=en&amp;geocode=&amp;q=40.9828197872617,-93.6529107544261</v>
      </c>
    </row>
    <row r="9008" spans="1:7" ht="15" x14ac:dyDescent="0.3">
      <c r="A9008">
        <v>29.486647406234798</v>
      </c>
      <c r="B9008">
        <v>-95.113719144730993</v>
      </c>
      <c r="C9008" t="s">
        <v>43</v>
      </c>
      <c r="D9008" t="s">
        <v>5246</v>
      </c>
      <c r="F9008" s="21"/>
      <c r="G9008" s="16" t="str">
        <f>HYPERLINK("http://maps.google.com/maps?f=q&amp;hl=en&amp;geocode=&amp;q=29.4866474062348,-95.113719144731")</f>
        <v>http://maps.google.com/maps?f=q&amp;hl=en&amp;geocode=&amp;q=29.4866474062348,-95.113719144731</v>
      </c>
    </row>
    <row r="9009" spans="1:7" ht="15" x14ac:dyDescent="0.3">
      <c r="A9009">
        <v>41.070894985150701</v>
      </c>
      <c r="B9009">
        <v>-81.250433437529196</v>
      </c>
      <c r="C9009" t="s">
        <v>41</v>
      </c>
      <c r="D9009" t="s">
        <v>3286</v>
      </c>
      <c r="F9009" s="21"/>
      <c r="G9009" s="16" t="str">
        <f>HYPERLINK("http://maps.google.com/maps?f=q&amp;hl=en&amp;geocode=&amp;q=41.0708949851507,-81.2504334375292")</f>
        <v>http://maps.google.com/maps?f=q&amp;hl=en&amp;geocode=&amp;q=41.0708949851507,-81.2504334375292</v>
      </c>
    </row>
    <row r="9010" spans="1:7" ht="15" x14ac:dyDescent="0.3">
      <c r="A9010">
        <v>40.461006390597298</v>
      </c>
      <c r="B9010">
        <v>-74.4975613492294</v>
      </c>
      <c r="C9010" t="s">
        <v>41</v>
      </c>
      <c r="D9010" t="s">
        <v>5247</v>
      </c>
      <c r="F9010" s="21"/>
      <c r="G9010" s="16" t="str">
        <f>HYPERLINK("http://maps.google.com/maps?f=q&amp;hl=en&amp;geocode=&amp;q=40.4610063905973,-74.4975613492294")</f>
        <v>http://maps.google.com/maps?f=q&amp;hl=en&amp;geocode=&amp;q=40.4610063905973,-74.4975613492294</v>
      </c>
    </row>
    <row r="9011" spans="1:7" ht="15" x14ac:dyDescent="0.3">
      <c r="A9011">
        <v>-34.89349</v>
      </c>
      <c r="B9011">
        <v>138.56632999999999</v>
      </c>
      <c r="C9011" t="s">
        <v>41</v>
      </c>
      <c r="D9011" t="s">
        <v>5010</v>
      </c>
      <c r="F9011" s="21"/>
      <c r="G9011" s="16" t="str">
        <f>HYPERLINK("http://maps.google.com/maps?f=q&amp;hl=en&amp;geocode=&amp;q=-34.89349,138.56633")</f>
        <v>http://maps.google.com/maps?f=q&amp;hl=en&amp;geocode=&amp;q=-34.89349,138.56633</v>
      </c>
    </row>
    <row r="9012" spans="1:7" ht="15" x14ac:dyDescent="0.3">
      <c r="A9012">
        <v>61.599789999999999</v>
      </c>
      <c r="B9012">
        <v>-149.26987</v>
      </c>
      <c r="C9012" t="s">
        <v>41</v>
      </c>
      <c r="D9012" t="s">
        <v>5248</v>
      </c>
      <c r="F9012" s="21"/>
      <c r="G9012" s="16" t="str">
        <f>HYPERLINK("http://maps.google.com/maps?f=q&amp;hl=en&amp;geocode=&amp;q=61.59979,-149.26987")</f>
        <v>http://maps.google.com/maps?f=q&amp;hl=en&amp;geocode=&amp;q=61.59979,-149.26987</v>
      </c>
    </row>
    <row r="9013" spans="1:7" ht="15" x14ac:dyDescent="0.3">
      <c r="A9013">
        <v>34.24906</v>
      </c>
      <c r="B9013">
        <v>-111.31784</v>
      </c>
      <c r="C9013" t="s">
        <v>41</v>
      </c>
      <c r="D9013" t="s">
        <v>3300</v>
      </c>
      <c r="F9013" s="21"/>
      <c r="G9013" s="16" t="str">
        <f>HYPERLINK("http://maps.google.com/maps?f=q&amp;hl=en&amp;geocode=&amp;q=34.24906,-111.31784")</f>
        <v>http://maps.google.com/maps?f=q&amp;hl=en&amp;geocode=&amp;q=34.24906,-111.31784</v>
      </c>
    </row>
    <row r="9014" spans="1:7" ht="15" x14ac:dyDescent="0.3">
      <c r="A9014">
        <v>35.371636874220798</v>
      </c>
      <c r="B9014">
        <v>-96.893227595732796</v>
      </c>
      <c r="C9014" t="s">
        <v>41</v>
      </c>
      <c r="D9014" t="s">
        <v>2904</v>
      </c>
      <c r="F9014" s="21"/>
      <c r="G9014" s="16" t="str">
        <f>HYPERLINK("http://maps.google.com/maps?f=q&amp;hl=en&amp;geocode=&amp;q=35.3716368742208,-96.8932275957328")</f>
        <v>http://maps.google.com/maps?f=q&amp;hl=en&amp;geocode=&amp;q=35.3716368742208,-96.8932275957328</v>
      </c>
    </row>
    <row r="9015" spans="1:7" ht="15" x14ac:dyDescent="0.3">
      <c r="A9015">
        <v>35.371634800445499</v>
      </c>
      <c r="B9015">
        <v>-96.893122817826296</v>
      </c>
      <c r="C9015" t="s">
        <v>41</v>
      </c>
      <c r="D9015" t="s">
        <v>5249</v>
      </c>
      <c r="F9015" s="21"/>
      <c r="G9015" s="16" t="str">
        <f>HYPERLINK("http://maps.google.com/maps?f=q&amp;hl=en&amp;geocode=&amp;q=35.3716348004455,-96.8931228178263")</f>
        <v>http://maps.google.com/maps?f=q&amp;hl=en&amp;geocode=&amp;q=35.3716348004455,-96.8931228178263</v>
      </c>
    </row>
    <row r="9016" spans="1:7" ht="15" x14ac:dyDescent="0.3">
      <c r="A9016">
        <v>34.796890258789098</v>
      </c>
      <c r="B9016">
        <v>-118.85767364502</v>
      </c>
      <c r="C9016" t="s">
        <v>43</v>
      </c>
      <c r="D9016" t="s">
        <v>5250</v>
      </c>
      <c r="F9016" s="21"/>
      <c r="G9016" s="16" t="str">
        <f>HYPERLINK("http://maps.google.com/maps?f=q&amp;hl=en&amp;geocode=&amp;q=34.7968902587891,-118.85767364502")</f>
        <v>http://maps.google.com/maps?f=q&amp;hl=en&amp;geocode=&amp;q=34.7968902587891,-118.85767364502</v>
      </c>
    </row>
    <row r="9017" spans="1:7" ht="15" x14ac:dyDescent="0.3">
      <c r="A9017">
        <v>50.723228454589801</v>
      </c>
      <c r="B9017">
        <v>4.6152939796447798</v>
      </c>
      <c r="C9017" t="s">
        <v>43</v>
      </c>
      <c r="D9017" t="s">
        <v>5251</v>
      </c>
      <c r="F9017" s="21"/>
      <c r="G9017" s="16" t="str">
        <f>HYPERLINK("http://maps.google.com/maps?f=q&amp;hl=en&amp;geocode=&amp;q=50.7232284545898,4.61529397964478")</f>
        <v>http://maps.google.com/maps?f=q&amp;hl=en&amp;geocode=&amp;q=50.7232284545898,4.61529397964478</v>
      </c>
    </row>
    <row r="9018" spans="1:7" ht="15" x14ac:dyDescent="0.3">
      <c r="A9018">
        <v>50.723228454589801</v>
      </c>
      <c r="B9018">
        <v>4.6152939796447798</v>
      </c>
      <c r="C9018" t="s">
        <v>43</v>
      </c>
      <c r="D9018" t="s">
        <v>5251</v>
      </c>
      <c r="F9018" s="21"/>
      <c r="G9018" s="16" t="str">
        <f>HYPERLINK("http://maps.google.com/maps?f=q&amp;hl=en&amp;geocode=&amp;q=50.7232284545898,4.61529397964478")</f>
        <v>http://maps.google.com/maps?f=q&amp;hl=en&amp;geocode=&amp;q=50.7232284545898,4.61529397964478</v>
      </c>
    </row>
    <row r="9019" spans="1:7" ht="15" x14ac:dyDescent="0.3">
      <c r="A9019">
        <v>37.93871</v>
      </c>
      <c r="B9019">
        <v>-86.754599999999996</v>
      </c>
      <c r="C9019" t="s">
        <v>42</v>
      </c>
      <c r="D9019" t="s">
        <v>5252</v>
      </c>
      <c r="F9019" s="21"/>
      <c r="G9019" s="16" t="str">
        <f>HYPERLINK("http://maps.google.com/maps?f=q&amp;hl=en&amp;geocode=&amp;q=37.93871,-86.7546")</f>
        <v>http://maps.google.com/maps?f=q&amp;hl=en&amp;geocode=&amp;q=37.93871,-86.7546</v>
      </c>
    </row>
    <row r="9020" spans="1:7" ht="15" x14ac:dyDescent="0.3">
      <c r="A9020">
        <v>36.865809849216099</v>
      </c>
      <c r="B9020">
        <v>-76.560084792766801</v>
      </c>
      <c r="C9020" t="s">
        <v>41</v>
      </c>
      <c r="D9020" t="s">
        <v>5253</v>
      </c>
      <c r="F9020" s="21"/>
      <c r="G9020" s="16" t="str">
        <f>HYPERLINK("http://maps.google.com/maps?f=q&amp;hl=en&amp;geocode=&amp;q=36.8658098492161,-76.5600847927668")</f>
        <v>http://maps.google.com/maps?f=q&amp;hl=en&amp;geocode=&amp;q=36.8658098492161,-76.5600847927668</v>
      </c>
    </row>
    <row r="9021" spans="1:7" ht="15" x14ac:dyDescent="0.3">
      <c r="A9021">
        <v>36.864345604207898</v>
      </c>
      <c r="B9021">
        <v>-119.764613796546</v>
      </c>
      <c r="C9021" t="s">
        <v>41</v>
      </c>
      <c r="D9021" t="s">
        <v>5254</v>
      </c>
      <c r="F9021" s="21"/>
      <c r="G9021" s="16" t="str">
        <f>HYPERLINK("http://maps.google.com/maps?f=q&amp;hl=en&amp;geocode=&amp;q=36.8643456042079,-119.764613796546")</f>
        <v>http://maps.google.com/maps?f=q&amp;hl=en&amp;geocode=&amp;q=36.8643456042079,-119.764613796546</v>
      </c>
    </row>
    <row r="9022" spans="1:7" ht="15" x14ac:dyDescent="0.3">
      <c r="A9022">
        <v>52.5118217468262</v>
      </c>
      <c r="B9022">
        <v>110.001739501953</v>
      </c>
      <c r="C9022" t="s">
        <v>41</v>
      </c>
      <c r="D9022" t="s">
        <v>5255</v>
      </c>
      <c r="F9022" s="21"/>
      <c r="G9022" s="16" t="str">
        <f>HYPERLINK("http://maps.google.com/maps?f=q&amp;hl=en&amp;geocode=&amp;q=52.5118217468262,110.001739501953")</f>
        <v>http://maps.google.com/maps?f=q&amp;hl=en&amp;geocode=&amp;q=52.5118217468262,110.001739501953</v>
      </c>
    </row>
    <row r="9023" spans="1:7" ht="15" x14ac:dyDescent="0.3">
      <c r="A9023">
        <v>35.965989015210802</v>
      </c>
      <c r="B9023">
        <v>-94.232247053401494</v>
      </c>
      <c r="C9023" t="s">
        <v>41</v>
      </c>
      <c r="D9023" t="s">
        <v>2543</v>
      </c>
      <c r="F9023" s="21"/>
      <c r="G9023" s="16" t="str">
        <f>HYPERLINK("http://maps.google.com/maps?f=q&amp;hl=en&amp;geocode=&amp;q=35.9659890152108,-94.2322470534015")</f>
        <v>http://maps.google.com/maps?f=q&amp;hl=en&amp;geocode=&amp;q=35.9659890152108,-94.2322470534015</v>
      </c>
    </row>
    <row r="9024" spans="1:7" ht="15" x14ac:dyDescent="0.3">
      <c r="A9024">
        <v>29.549240011578501</v>
      </c>
      <c r="B9024">
        <v>-82.671499707809701</v>
      </c>
      <c r="C9024" t="s">
        <v>41</v>
      </c>
      <c r="D9024" t="s">
        <v>5256</v>
      </c>
      <c r="F9024" s="21"/>
      <c r="G9024" s="16" t="str">
        <f>HYPERLINK("http://maps.google.com/maps?f=q&amp;hl=en&amp;geocode=&amp;q=29.5492400115785,-82.6714997078097")</f>
        <v>http://maps.google.com/maps?f=q&amp;hl=en&amp;geocode=&amp;q=29.5492400115785,-82.6714997078097</v>
      </c>
    </row>
    <row r="9025" spans="1:7" ht="15" x14ac:dyDescent="0.3">
      <c r="A9025">
        <v>36.950914967483001</v>
      </c>
      <c r="B9025">
        <v>-112.52624838548201</v>
      </c>
      <c r="C9025" t="s">
        <v>41</v>
      </c>
      <c r="D9025" t="s">
        <v>5257</v>
      </c>
      <c r="F9025" s="21"/>
      <c r="G9025" s="16" t="str">
        <f>HYPERLINK("http://maps.google.com/maps?f=q&amp;hl=en&amp;geocode=&amp;q=36.950914967483,-112.526248385482")</f>
        <v>http://maps.google.com/maps?f=q&amp;hl=en&amp;geocode=&amp;q=36.950914967483,-112.526248385482</v>
      </c>
    </row>
    <row r="9026" spans="1:7" ht="15" x14ac:dyDescent="0.3">
      <c r="A9026">
        <v>41.611199999999997</v>
      </c>
      <c r="B9026">
        <v>-71.476339999999993</v>
      </c>
      <c r="C9026" t="s">
        <v>42</v>
      </c>
      <c r="D9026" t="s">
        <v>892</v>
      </c>
      <c r="F9026" s="21"/>
      <c r="G9026" s="16" t="str">
        <f>HYPERLINK("http://maps.google.com/maps?f=q&amp;hl=en&amp;geocode=&amp;q=41.6112,-71.47634")</f>
        <v>http://maps.google.com/maps?f=q&amp;hl=en&amp;geocode=&amp;q=41.6112,-71.47634</v>
      </c>
    </row>
    <row r="9027" spans="1:7" ht="15" x14ac:dyDescent="0.3">
      <c r="A9027">
        <v>42.028280000000002</v>
      </c>
      <c r="B9027">
        <v>-87.722430000000003</v>
      </c>
      <c r="C9027" t="s">
        <v>41</v>
      </c>
      <c r="D9027" t="s">
        <v>376</v>
      </c>
      <c r="F9027" s="21"/>
      <c r="G9027" s="16" t="str">
        <f>HYPERLINK("http://maps.google.com/maps?f=q&amp;hl=en&amp;geocode=&amp;q=42.02828,-87.72243")</f>
        <v>http://maps.google.com/maps?f=q&amp;hl=en&amp;geocode=&amp;q=42.02828,-87.72243</v>
      </c>
    </row>
    <row r="9028" spans="1:7" ht="15" x14ac:dyDescent="0.3">
      <c r="A9028">
        <v>42.028280000000002</v>
      </c>
      <c r="B9028">
        <v>-87.722430000000003</v>
      </c>
      <c r="C9028" t="s">
        <v>41</v>
      </c>
      <c r="D9028" t="s">
        <v>376</v>
      </c>
      <c r="F9028" s="21"/>
      <c r="G9028" s="16" t="str">
        <f>HYPERLINK("http://maps.google.com/maps?f=q&amp;hl=en&amp;geocode=&amp;q=42.02828,-87.72243")</f>
        <v>http://maps.google.com/maps?f=q&amp;hl=en&amp;geocode=&amp;q=42.02828,-87.72243</v>
      </c>
    </row>
    <row r="9029" spans="1:7" ht="15" x14ac:dyDescent="0.3">
      <c r="A9029">
        <v>40.612789154052699</v>
      </c>
      <c r="B9029">
        <v>-75.592453002929702</v>
      </c>
      <c r="C9029" t="s">
        <v>41</v>
      </c>
      <c r="D9029" t="s">
        <v>4199</v>
      </c>
      <c r="F9029" s="21"/>
      <c r="G9029" s="16" t="str">
        <f>HYPERLINK("http://maps.google.com/maps?f=q&amp;hl=en&amp;geocode=&amp;q=40.6127891540527,-75.5924530029297")</f>
        <v>http://maps.google.com/maps?f=q&amp;hl=en&amp;geocode=&amp;q=40.6127891540527,-75.5924530029297</v>
      </c>
    </row>
    <row r="9030" spans="1:7" ht="15" x14ac:dyDescent="0.3">
      <c r="A9030">
        <v>35.261450000000004</v>
      </c>
      <c r="B9030">
        <v>-80.890299999999996</v>
      </c>
      <c r="C9030" t="s">
        <v>41</v>
      </c>
      <c r="D9030" t="s">
        <v>5258</v>
      </c>
      <c r="F9030" s="21"/>
      <c r="G9030" s="16" t="str">
        <f>HYPERLINK("http://maps.google.com/maps?f=q&amp;hl=en&amp;geocode=&amp;q=35.26145,-80.8903")</f>
        <v>http://maps.google.com/maps?f=q&amp;hl=en&amp;geocode=&amp;q=35.26145,-80.8903</v>
      </c>
    </row>
    <row r="9031" spans="1:7" ht="15" x14ac:dyDescent="0.3">
      <c r="A9031">
        <v>34.961829999999999</v>
      </c>
      <c r="B9031">
        <v>-80.803640000000001</v>
      </c>
      <c r="C9031" t="s">
        <v>43</v>
      </c>
      <c r="D9031" t="s">
        <v>5259</v>
      </c>
      <c r="F9031" s="21"/>
      <c r="G9031" s="16" t="str">
        <f>HYPERLINK("http://maps.google.com/maps?f=q&amp;hl=en&amp;geocode=&amp;q=34.96183,-80.80364")</f>
        <v>http://maps.google.com/maps?f=q&amp;hl=en&amp;geocode=&amp;q=34.96183,-80.80364</v>
      </c>
    </row>
    <row r="9032" spans="1:7" ht="15" x14ac:dyDescent="0.3">
      <c r="A9032">
        <v>34.961829999999999</v>
      </c>
      <c r="B9032">
        <v>-80.803640000000001</v>
      </c>
      <c r="C9032" t="s">
        <v>43</v>
      </c>
      <c r="D9032" t="s">
        <v>5259</v>
      </c>
      <c r="F9032" s="21"/>
      <c r="G9032" s="16" t="str">
        <f>HYPERLINK("http://maps.google.com/maps?f=q&amp;hl=en&amp;geocode=&amp;q=34.96183,-80.80364")</f>
        <v>http://maps.google.com/maps?f=q&amp;hl=en&amp;geocode=&amp;q=34.96183,-80.80364</v>
      </c>
    </row>
    <row r="9033" spans="1:7" ht="15" x14ac:dyDescent="0.3">
      <c r="A9033">
        <v>47.472265322120599</v>
      </c>
      <c r="B9033">
        <v>-119.758149608</v>
      </c>
      <c r="C9033" t="s">
        <v>43</v>
      </c>
      <c r="D9033" t="s">
        <v>5260</v>
      </c>
      <c r="F9033" s="21"/>
      <c r="G9033" s="16" t="str">
        <f>HYPERLINK("http://maps.google.com/maps?f=q&amp;hl=en&amp;geocode=&amp;q=47.4722653221206,-119.758149608")</f>
        <v>http://maps.google.com/maps?f=q&amp;hl=en&amp;geocode=&amp;q=47.4722653221206,-119.758149608</v>
      </c>
    </row>
    <row r="9034" spans="1:7" ht="15" x14ac:dyDescent="0.3">
      <c r="A9034">
        <v>31.356929999999998</v>
      </c>
      <c r="B9034">
        <v>-89.800349999999995</v>
      </c>
      <c r="C9034" t="s">
        <v>42</v>
      </c>
      <c r="D9034" t="s">
        <v>5261</v>
      </c>
      <c r="F9034" s="21"/>
      <c r="G9034" s="16" t="str">
        <f>HYPERLINK("http://maps.google.com/maps?f=q&amp;hl=en&amp;geocode=&amp;q=31.35693,-89.80035")</f>
        <v>http://maps.google.com/maps?f=q&amp;hl=en&amp;geocode=&amp;q=31.35693,-89.80035</v>
      </c>
    </row>
    <row r="9035" spans="1:7" ht="15" x14ac:dyDescent="0.3">
      <c r="A9035">
        <v>37.0063803937621</v>
      </c>
      <c r="B9035">
        <v>-89.183859742388407</v>
      </c>
      <c r="C9035" t="s">
        <v>41</v>
      </c>
      <c r="D9035" t="s">
        <v>780</v>
      </c>
      <c r="F9035" s="21"/>
      <c r="G9035" s="16" t="str">
        <f>HYPERLINK("http://maps.google.com/maps?f=q&amp;hl=en&amp;geocode=&amp;q=37.0063803937621,-89.1838597423884")</f>
        <v>http://maps.google.com/maps?f=q&amp;hl=en&amp;geocode=&amp;q=37.0063803937621,-89.1838597423884</v>
      </c>
    </row>
    <row r="9036" spans="1:7" ht="15" x14ac:dyDescent="0.3">
      <c r="A9036">
        <v>39.99812</v>
      </c>
      <c r="B9036">
        <v>-75.165819999999997</v>
      </c>
      <c r="C9036" t="s">
        <v>41</v>
      </c>
      <c r="D9036" t="s">
        <v>5262</v>
      </c>
      <c r="F9036" s="21"/>
      <c r="G9036" s="16" t="str">
        <f>HYPERLINK("http://maps.google.com/maps?f=q&amp;hl=en&amp;geocode=&amp;q=39.99812,-75.16582")</f>
        <v>http://maps.google.com/maps?f=q&amp;hl=en&amp;geocode=&amp;q=39.99812,-75.16582</v>
      </c>
    </row>
    <row r="9037" spans="1:7" ht="15" x14ac:dyDescent="0.3">
      <c r="A9037">
        <v>38.060215999999997</v>
      </c>
      <c r="B9037">
        <v>-78.872361999999995</v>
      </c>
      <c r="C9037" t="s">
        <v>41</v>
      </c>
      <c r="D9037" t="s">
        <v>2209</v>
      </c>
      <c r="F9037" s="21"/>
      <c r="G9037" s="16" t="str">
        <f>HYPERLINK("http://maps.google.com/maps?f=q&amp;hl=en&amp;geocode=&amp;q=38.060216,-78.872362")</f>
        <v>http://maps.google.com/maps?f=q&amp;hl=en&amp;geocode=&amp;q=38.060216,-78.872362</v>
      </c>
    </row>
    <row r="9038" spans="1:7" ht="15" x14ac:dyDescent="0.3">
      <c r="A9038">
        <v>-34.450752258300803</v>
      </c>
      <c r="B9038">
        <v>138.66142272949199</v>
      </c>
      <c r="C9038" t="s">
        <v>41</v>
      </c>
      <c r="D9038" t="s">
        <v>3525</v>
      </c>
      <c r="F9038" s="21"/>
      <c r="G9038" s="16" t="str">
        <f>HYPERLINK("http://maps.google.com/maps?f=q&amp;hl=en&amp;geocode=&amp;q=-34.4507522583008,138.661422729492")</f>
        <v>http://maps.google.com/maps?f=q&amp;hl=en&amp;geocode=&amp;q=-34.4507522583008,138.661422729492</v>
      </c>
    </row>
    <row r="9039" spans="1:7" ht="15" x14ac:dyDescent="0.3">
      <c r="A9039">
        <v>40.018059999999998</v>
      </c>
      <c r="B9039">
        <v>-75.091449999999995</v>
      </c>
      <c r="C9039" t="s">
        <v>41</v>
      </c>
      <c r="D9039" t="s">
        <v>2642</v>
      </c>
      <c r="F9039" s="21"/>
      <c r="G9039" s="16" t="str">
        <f>HYPERLINK("http://maps.google.com/maps?f=q&amp;hl=en&amp;geocode=&amp;q=40.01806,-75.09145")</f>
        <v>http://maps.google.com/maps?f=q&amp;hl=en&amp;geocode=&amp;q=40.01806,-75.09145</v>
      </c>
    </row>
    <row r="9040" spans="1:7" ht="15" x14ac:dyDescent="0.3">
      <c r="A9040">
        <v>39.922260000000001</v>
      </c>
      <c r="B9040">
        <v>-75.156720000000007</v>
      </c>
      <c r="C9040" t="s">
        <v>43</v>
      </c>
      <c r="D9040" t="s">
        <v>5263</v>
      </c>
      <c r="F9040" s="21"/>
      <c r="G9040" s="16" t="str">
        <f>HYPERLINK("http://maps.google.com/maps?f=q&amp;hl=en&amp;geocode=&amp;q=39.92226,-75.15672")</f>
        <v>http://maps.google.com/maps?f=q&amp;hl=en&amp;geocode=&amp;q=39.92226,-75.15672</v>
      </c>
    </row>
    <row r="9041" spans="1:7" ht="15" x14ac:dyDescent="0.3">
      <c r="A9041" t="s">
        <v>44</v>
      </c>
      <c r="B9041" t="s">
        <v>44</v>
      </c>
      <c r="C9041" t="s">
        <v>44</v>
      </c>
      <c r="D9041" t="s">
        <v>5264</v>
      </c>
      <c r="F9041" s="21"/>
      <c r="G9041" s="16"/>
    </row>
    <row r="9042" spans="1:7" ht="15" x14ac:dyDescent="0.3">
      <c r="A9042" t="s">
        <v>44</v>
      </c>
      <c r="B9042" t="s">
        <v>44</v>
      </c>
      <c r="C9042" t="s">
        <v>44</v>
      </c>
      <c r="D9042" t="s">
        <v>5264</v>
      </c>
      <c r="F9042" s="21"/>
      <c r="G9042" s="16"/>
    </row>
    <row r="9043" spans="1:7" ht="15" x14ac:dyDescent="0.3">
      <c r="A9043">
        <v>-32.5708198547363</v>
      </c>
      <c r="B9043">
        <v>137.97906494140599</v>
      </c>
      <c r="C9043" t="s">
        <v>41</v>
      </c>
      <c r="D9043" t="s">
        <v>5265</v>
      </c>
      <c r="F9043" s="21"/>
      <c r="G9043" s="16" t="str">
        <f>HYPERLINK("http://maps.google.com/maps?f=q&amp;hl=en&amp;geocode=&amp;q=-32.5708198547363,137.979064941406")</f>
        <v>http://maps.google.com/maps?f=q&amp;hl=en&amp;geocode=&amp;q=-32.5708198547363,137.979064941406</v>
      </c>
    </row>
    <row r="9044" spans="1:7" ht="15" x14ac:dyDescent="0.3">
      <c r="A9044">
        <v>39.950628136933901</v>
      </c>
      <c r="B9044">
        <v>-75.233096100469496</v>
      </c>
      <c r="C9044" t="s">
        <v>41</v>
      </c>
      <c r="D9044" t="s">
        <v>911</v>
      </c>
      <c r="F9044" s="21"/>
      <c r="G9044" s="16" t="str">
        <f>HYPERLINK("http://maps.google.com/maps?f=q&amp;hl=en&amp;geocode=&amp;q=39.9506281369339,-75.2330961004695")</f>
        <v>http://maps.google.com/maps?f=q&amp;hl=en&amp;geocode=&amp;q=39.9506281369339,-75.2330961004695</v>
      </c>
    </row>
    <row r="9045" spans="1:7" ht="15" x14ac:dyDescent="0.3">
      <c r="A9045">
        <v>27.000735041993501</v>
      </c>
      <c r="B9045">
        <v>-82.398687162856405</v>
      </c>
      <c r="C9045" t="s">
        <v>41</v>
      </c>
      <c r="D9045" t="s">
        <v>5266</v>
      </c>
      <c r="F9045" s="21"/>
      <c r="G9045" s="16" t="str">
        <f>HYPERLINK("http://maps.google.com/maps?f=q&amp;hl=en&amp;geocode=&amp;q=27.0007350419935,-82.3986871628564")</f>
        <v>http://maps.google.com/maps?f=q&amp;hl=en&amp;geocode=&amp;q=27.0007350419935,-82.3986871628564</v>
      </c>
    </row>
    <row r="9046" spans="1:7" ht="15" x14ac:dyDescent="0.3">
      <c r="A9046">
        <v>39.926990000000004</v>
      </c>
      <c r="B9046">
        <v>-75.226159999999993</v>
      </c>
      <c r="C9046" t="s">
        <v>41</v>
      </c>
      <c r="D9046" t="s">
        <v>462</v>
      </c>
      <c r="F9046" s="21"/>
      <c r="G9046" s="16" t="str">
        <f>HYPERLINK("http://maps.google.com/maps?f=q&amp;hl=en&amp;geocode=&amp;q=39.92699,-75.22616")</f>
        <v>http://maps.google.com/maps?f=q&amp;hl=en&amp;geocode=&amp;q=39.92699,-75.22616</v>
      </c>
    </row>
    <row r="9047" spans="1:7" ht="15" x14ac:dyDescent="0.3">
      <c r="A9047">
        <v>39.926990000000004</v>
      </c>
      <c r="B9047">
        <v>-75.226159999999993</v>
      </c>
      <c r="C9047" t="s">
        <v>41</v>
      </c>
      <c r="D9047" t="s">
        <v>462</v>
      </c>
      <c r="F9047" s="21"/>
      <c r="G9047" s="16" t="str">
        <f>HYPERLINK("http://maps.google.com/maps?f=q&amp;hl=en&amp;geocode=&amp;q=39.92699,-75.22616")</f>
        <v>http://maps.google.com/maps?f=q&amp;hl=en&amp;geocode=&amp;q=39.92699,-75.22616</v>
      </c>
    </row>
    <row r="9048" spans="1:7" ht="15" x14ac:dyDescent="0.3">
      <c r="A9048" t="s">
        <v>44</v>
      </c>
      <c r="B9048" t="s">
        <v>44</v>
      </c>
      <c r="C9048" t="s">
        <v>44</v>
      </c>
      <c r="D9048" t="s">
        <v>5267</v>
      </c>
      <c r="F9048" s="21"/>
      <c r="G9048" s="16"/>
    </row>
    <row r="9049" spans="1:7" ht="15" x14ac:dyDescent="0.3">
      <c r="A9049">
        <v>37.371139526367202</v>
      </c>
      <c r="B9049">
        <v>-2.9727001190185498</v>
      </c>
      <c r="C9049" t="s">
        <v>43</v>
      </c>
      <c r="D9049" t="s">
        <v>3931</v>
      </c>
      <c r="F9049" s="21"/>
      <c r="G9049" s="16" t="str">
        <f>HYPERLINK("http://maps.google.com/maps?f=q&amp;hl=en&amp;geocode=&amp;q=37.3711395263672,-2.97270011901855")</f>
        <v>http://maps.google.com/maps?f=q&amp;hl=en&amp;geocode=&amp;q=37.3711395263672,-2.97270011901855</v>
      </c>
    </row>
    <row r="9050" spans="1:7" ht="15" x14ac:dyDescent="0.3">
      <c r="A9050">
        <v>40.090143336672199</v>
      </c>
      <c r="B9050">
        <v>-88.162334169822998</v>
      </c>
      <c r="C9050" t="s">
        <v>41</v>
      </c>
      <c r="D9050" t="s">
        <v>4553</v>
      </c>
      <c r="F9050" s="21"/>
      <c r="G9050" s="16" t="str">
        <f>HYPERLINK("http://maps.google.com/maps?f=q&amp;hl=en&amp;geocode=&amp;q=40.0901433366722,-88.162334169823")</f>
        <v>http://maps.google.com/maps?f=q&amp;hl=en&amp;geocode=&amp;q=40.0901433366722,-88.162334169823</v>
      </c>
    </row>
    <row r="9051" spans="1:7" ht="15" x14ac:dyDescent="0.3">
      <c r="A9051">
        <v>37.9987256448659</v>
      </c>
      <c r="B9051">
        <v>-79.752442995104104</v>
      </c>
      <c r="C9051" t="s">
        <v>41</v>
      </c>
      <c r="D9051" t="s">
        <v>5268</v>
      </c>
      <c r="F9051" s="21"/>
      <c r="G9051" s="16" t="str">
        <f>HYPERLINK("http://maps.google.com/maps?f=q&amp;hl=en&amp;geocode=&amp;q=37.9987256448659,-79.7524429951041")</f>
        <v>http://maps.google.com/maps?f=q&amp;hl=en&amp;geocode=&amp;q=37.9987256448659,-79.7524429951041</v>
      </c>
    </row>
    <row r="9052" spans="1:7" ht="15" x14ac:dyDescent="0.3">
      <c r="A9052">
        <v>50.001396179199197</v>
      </c>
      <c r="B9052">
        <v>5.7530598640441903</v>
      </c>
      <c r="C9052" t="s">
        <v>41</v>
      </c>
      <c r="D9052" t="s">
        <v>5269</v>
      </c>
      <c r="F9052" s="21"/>
      <c r="G9052" s="16" t="str">
        <f>HYPERLINK("http://maps.google.com/maps?f=q&amp;hl=en&amp;geocode=&amp;q=50.0013961791992,5.75305986404419")</f>
        <v>http://maps.google.com/maps?f=q&amp;hl=en&amp;geocode=&amp;q=50.0013961791992,5.75305986404419</v>
      </c>
    </row>
    <row r="9053" spans="1:7" ht="15" x14ac:dyDescent="0.3">
      <c r="A9053">
        <v>-33.905925750732401</v>
      </c>
      <c r="B9053">
        <v>116.581001281738</v>
      </c>
      <c r="C9053" t="s">
        <v>43</v>
      </c>
      <c r="D9053" t="s">
        <v>5270</v>
      </c>
      <c r="F9053" s="21"/>
      <c r="G9053" s="16" t="str">
        <f>HYPERLINK("http://maps.google.com/maps?f=q&amp;hl=en&amp;geocode=&amp;q=-33.9059257507324,116.581001281738")</f>
        <v>http://maps.google.com/maps?f=q&amp;hl=en&amp;geocode=&amp;q=-33.9059257507324,116.581001281738</v>
      </c>
    </row>
    <row r="9054" spans="1:7" ht="15" x14ac:dyDescent="0.3">
      <c r="A9054">
        <v>36.189419244301803</v>
      </c>
      <c r="B9054">
        <v>-115.041971899267</v>
      </c>
      <c r="C9054" t="s">
        <v>43</v>
      </c>
      <c r="D9054" t="s">
        <v>5271</v>
      </c>
      <c r="F9054" s="21"/>
      <c r="G9054" s="16" t="str">
        <f>HYPERLINK("http://maps.google.com/maps?f=q&amp;hl=en&amp;geocode=&amp;q=36.1894192443018,-115.041971899267")</f>
        <v>http://maps.google.com/maps?f=q&amp;hl=en&amp;geocode=&amp;q=36.1894192443018,-115.041971899267</v>
      </c>
    </row>
    <row r="9055" spans="1:7" ht="15" x14ac:dyDescent="0.3">
      <c r="A9055" t="s">
        <v>44</v>
      </c>
      <c r="B9055" t="s">
        <v>44</v>
      </c>
      <c r="C9055" t="s">
        <v>44</v>
      </c>
      <c r="D9055" t="s">
        <v>5272</v>
      </c>
      <c r="F9055" s="21"/>
      <c r="G9055" s="16"/>
    </row>
    <row r="9056" spans="1:7" ht="15" x14ac:dyDescent="0.3">
      <c r="A9056">
        <v>40.749925720981203</v>
      </c>
      <c r="B9056">
        <v>-95.812189351353197</v>
      </c>
      <c r="C9056" t="s">
        <v>41</v>
      </c>
      <c r="D9056" t="s">
        <v>5273</v>
      </c>
      <c r="F9056" s="21"/>
      <c r="G9056" s="16" t="str">
        <f>HYPERLINK("http://maps.google.com/maps?f=q&amp;hl=en&amp;geocode=&amp;q=40.7499257209812,-95.8121893513532")</f>
        <v>http://maps.google.com/maps?f=q&amp;hl=en&amp;geocode=&amp;q=40.7499257209812,-95.8121893513532</v>
      </c>
    </row>
    <row r="9057" spans="1:7" ht="15" x14ac:dyDescent="0.3">
      <c r="A9057">
        <v>40.008450000000003</v>
      </c>
      <c r="B9057">
        <v>-75.098290000000006</v>
      </c>
      <c r="C9057" t="s">
        <v>43</v>
      </c>
      <c r="D9057" t="s">
        <v>5274</v>
      </c>
      <c r="F9057" s="21"/>
      <c r="G9057" s="16" t="str">
        <f>HYPERLINK("http://maps.google.com/maps?f=q&amp;hl=en&amp;geocode=&amp;q=40.00845,-75.09829")</f>
        <v>http://maps.google.com/maps?f=q&amp;hl=en&amp;geocode=&amp;q=40.00845,-75.09829</v>
      </c>
    </row>
    <row r="9058" spans="1:7" ht="15" x14ac:dyDescent="0.3">
      <c r="A9058">
        <v>40.008699999999997</v>
      </c>
      <c r="B9058">
        <v>-75.100269999999995</v>
      </c>
      <c r="C9058" t="s">
        <v>43</v>
      </c>
      <c r="D9058" t="s">
        <v>2583</v>
      </c>
      <c r="F9058" s="21"/>
      <c r="G9058" s="16" t="str">
        <f>HYPERLINK("http://maps.google.com/maps?f=q&amp;hl=en&amp;geocode=&amp;q=40.0087,-75.10027")</f>
        <v>http://maps.google.com/maps?f=q&amp;hl=en&amp;geocode=&amp;q=40.0087,-75.10027</v>
      </c>
    </row>
    <row r="9059" spans="1:7" ht="15" x14ac:dyDescent="0.3">
      <c r="A9059">
        <v>40.012320000000003</v>
      </c>
      <c r="B9059">
        <v>-75.100620000000006</v>
      </c>
      <c r="C9059" t="s">
        <v>41</v>
      </c>
      <c r="D9059" t="s">
        <v>5275</v>
      </c>
      <c r="F9059" s="21"/>
      <c r="G9059" s="16" t="str">
        <f>HYPERLINK("http://maps.google.com/maps?f=q&amp;hl=en&amp;geocode=&amp;q=40.01232,-75.10062")</f>
        <v>http://maps.google.com/maps?f=q&amp;hl=en&amp;geocode=&amp;q=40.01232,-75.10062</v>
      </c>
    </row>
    <row r="9060" spans="1:7" ht="15" x14ac:dyDescent="0.3">
      <c r="A9060">
        <v>41.524287490009499</v>
      </c>
      <c r="B9060">
        <v>-74.023985534671297</v>
      </c>
      <c r="C9060" t="s">
        <v>41</v>
      </c>
      <c r="D9060" t="s">
        <v>5276</v>
      </c>
      <c r="F9060" s="21"/>
      <c r="G9060" s="16" t="str">
        <f>HYPERLINK("http://maps.google.com/maps?f=q&amp;hl=en&amp;geocode=&amp;q=41.5242874900095,-74.0239855346713")</f>
        <v>http://maps.google.com/maps?f=q&amp;hl=en&amp;geocode=&amp;q=41.5242874900095,-74.0239855346713</v>
      </c>
    </row>
    <row r="9061" spans="1:7" ht="15" x14ac:dyDescent="0.3">
      <c r="A9061">
        <v>40.347818558951801</v>
      </c>
      <c r="B9061">
        <v>-76.372062466329893</v>
      </c>
      <c r="C9061" t="s">
        <v>41</v>
      </c>
      <c r="D9061" t="s">
        <v>5277</v>
      </c>
      <c r="F9061" s="21"/>
      <c r="G9061" s="16" t="str">
        <f>HYPERLINK("http://maps.google.com/maps?f=q&amp;hl=en&amp;geocode=&amp;q=40.3478185589518,-76.3720624663299")</f>
        <v>http://maps.google.com/maps?f=q&amp;hl=en&amp;geocode=&amp;q=40.3478185589518,-76.3720624663299</v>
      </c>
    </row>
    <row r="9062" spans="1:7" ht="15" x14ac:dyDescent="0.3">
      <c r="A9062">
        <v>41.524287490009499</v>
      </c>
      <c r="B9062">
        <v>-74.023985534671297</v>
      </c>
      <c r="C9062" t="s">
        <v>41</v>
      </c>
      <c r="D9062" t="s">
        <v>5276</v>
      </c>
      <c r="F9062" s="21"/>
      <c r="G9062" s="16" t="str">
        <f>HYPERLINK("http://maps.google.com/maps?f=q&amp;hl=en&amp;geocode=&amp;q=41.5242874900095,-74.0239855346713")</f>
        <v>http://maps.google.com/maps?f=q&amp;hl=en&amp;geocode=&amp;q=41.5242874900095,-74.0239855346713</v>
      </c>
    </row>
    <row r="9063" spans="1:7" ht="15" x14ac:dyDescent="0.3">
      <c r="A9063">
        <v>49.5947456359863</v>
      </c>
      <c r="B9063">
        <v>6.1385579109191903</v>
      </c>
      <c r="C9063" t="s">
        <v>43</v>
      </c>
      <c r="D9063" t="s">
        <v>5278</v>
      </c>
      <c r="F9063" s="21"/>
      <c r="G9063" s="16" t="str">
        <f>HYPERLINK("http://maps.google.com/maps?f=q&amp;hl=en&amp;geocode=&amp;q=49.5947456359863,6.13855791091919")</f>
        <v>http://maps.google.com/maps?f=q&amp;hl=en&amp;geocode=&amp;q=49.5947456359863,6.13855791091919</v>
      </c>
    </row>
    <row r="9064" spans="1:7" ht="15" x14ac:dyDescent="0.3">
      <c r="A9064">
        <v>46.807450000000003</v>
      </c>
      <c r="B9064">
        <v>-100.76223</v>
      </c>
      <c r="C9064" t="s">
        <v>41</v>
      </c>
      <c r="D9064" t="s">
        <v>5279</v>
      </c>
      <c r="F9064" s="21"/>
      <c r="G9064" s="16" t="str">
        <f>HYPERLINK("http://maps.google.com/maps?f=q&amp;hl=en&amp;geocode=&amp;q=46.80745,-100.76223")</f>
        <v>http://maps.google.com/maps?f=q&amp;hl=en&amp;geocode=&amp;q=46.80745,-100.76223</v>
      </c>
    </row>
    <row r="9065" spans="1:7" ht="15" x14ac:dyDescent="0.3">
      <c r="A9065">
        <v>43.068870544433601</v>
      </c>
      <c r="B9065">
        <v>-94.227493286132798</v>
      </c>
      <c r="C9065" t="s">
        <v>43</v>
      </c>
      <c r="D9065" t="s">
        <v>1159</v>
      </c>
      <c r="F9065" s="21"/>
      <c r="G9065" s="16" t="str">
        <f>HYPERLINK("http://maps.google.com/maps?f=q&amp;hl=en&amp;geocode=&amp;q=43.0688705444336,-94.2274932861328")</f>
        <v>http://maps.google.com/maps?f=q&amp;hl=en&amp;geocode=&amp;q=43.0688705444336,-94.2274932861328</v>
      </c>
    </row>
    <row r="9066" spans="1:7" ht="15" x14ac:dyDescent="0.3">
      <c r="A9066">
        <v>40.309326952462101</v>
      </c>
      <c r="B9066">
        <v>-78.317876013328501</v>
      </c>
      <c r="C9066" t="s">
        <v>41</v>
      </c>
      <c r="D9066" t="s">
        <v>1176</v>
      </c>
      <c r="F9066" s="21"/>
      <c r="G9066" s="16" t="str">
        <f>HYPERLINK("http://maps.google.com/maps?f=q&amp;hl=en&amp;geocode=&amp;q=40.3093269524621,-78.3178760133285")</f>
        <v>http://maps.google.com/maps?f=q&amp;hl=en&amp;geocode=&amp;q=40.3093269524621,-78.3178760133285</v>
      </c>
    </row>
    <row r="9067" spans="1:7" ht="15" x14ac:dyDescent="0.3">
      <c r="A9067">
        <v>39.925113571397397</v>
      </c>
      <c r="B9067">
        <v>-75.229210782505106</v>
      </c>
      <c r="C9067" t="s">
        <v>43</v>
      </c>
      <c r="D9067" t="s">
        <v>384</v>
      </c>
      <c r="F9067" s="21"/>
      <c r="G9067" s="16" t="str">
        <f>HYPERLINK("http://maps.google.com/maps?f=q&amp;hl=en&amp;geocode=&amp;q=39.9251135713974,-75.2292107825051")</f>
        <v>http://maps.google.com/maps?f=q&amp;hl=en&amp;geocode=&amp;q=39.9251135713974,-75.2292107825051</v>
      </c>
    </row>
    <row r="9068" spans="1:7" ht="15" x14ac:dyDescent="0.3">
      <c r="A9068">
        <v>39.925113571397397</v>
      </c>
      <c r="B9068">
        <v>-75.229210782505106</v>
      </c>
      <c r="C9068" t="s">
        <v>43</v>
      </c>
      <c r="D9068" t="s">
        <v>384</v>
      </c>
      <c r="F9068" s="21"/>
      <c r="G9068" s="16" t="str">
        <f>HYPERLINK("http://maps.google.com/maps?f=q&amp;hl=en&amp;geocode=&amp;q=39.9251135713974,-75.2292107825051")</f>
        <v>http://maps.google.com/maps?f=q&amp;hl=en&amp;geocode=&amp;q=39.9251135713974,-75.2292107825051</v>
      </c>
    </row>
    <row r="9069" spans="1:7" ht="15" x14ac:dyDescent="0.3">
      <c r="A9069">
        <v>39.925113571397397</v>
      </c>
      <c r="B9069">
        <v>-75.229210782505106</v>
      </c>
      <c r="C9069" t="s">
        <v>43</v>
      </c>
      <c r="D9069" t="s">
        <v>384</v>
      </c>
      <c r="F9069" s="21"/>
      <c r="G9069" s="16" t="str">
        <f>HYPERLINK("http://maps.google.com/maps?f=q&amp;hl=en&amp;geocode=&amp;q=39.9251135713974,-75.2292107825051")</f>
        <v>http://maps.google.com/maps?f=q&amp;hl=en&amp;geocode=&amp;q=39.9251135713974,-75.2292107825051</v>
      </c>
    </row>
    <row r="9070" spans="1:7" ht="15" x14ac:dyDescent="0.3">
      <c r="A9070">
        <v>40.402369043342297</v>
      </c>
      <c r="B9070">
        <v>-75.284348264955995</v>
      </c>
      <c r="C9070" t="s">
        <v>41</v>
      </c>
      <c r="D9070" t="s">
        <v>5280</v>
      </c>
      <c r="F9070" s="21"/>
      <c r="G9070" s="16" t="str">
        <f>HYPERLINK("http://maps.google.com/maps?f=q&amp;hl=en&amp;geocode=&amp;q=40.4023690433423,-75.284348264956")</f>
        <v>http://maps.google.com/maps?f=q&amp;hl=en&amp;geocode=&amp;q=40.4023690433423,-75.284348264956</v>
      </c>
    </row>
    <row r="9071" spans="1:7" ht="15" x14ac:dyDescent="0.3">
      <c r="A9071">
        <v>41.868020000000001</v>
      </c>
      <c r="B9071">
        <v>-91.57611</v>
      </c>
      <c r="C9071" t="s">
        <v>41</v>
      </c>
      <c r="D9071" t="s">
        <v>243</v>
      </c>
      <c r="F9071" s="21"/>
      <c r="G9071" s="16" t="str">
        <f>HYPERLINK("http://maps.google.com/maps?f=q&amp;hl=en&amp;geocode=&amp;q=41.86802,-91.57611")</f>
        <v>http://maps.google.com/maps?f=q&amp;hl=en&amp;geocode=&amp;q=41.86802,-91.57611</v>
      </c>
    </row>
    <row r="9072" spans="1:7" ht="15" x14ac:dyDescent="0.3">
      <c r="A9072">
        <v>41.868020000000001</v>
      </c>
      <c r="B9072">
        <v>-91.57611</v>
      </c>
      <c r="C9072" t="s">
        <v>41</v>
      </c>
      <c r="D9072" t="s">
        <v>243</v>
      </c>
      <c r="F9072" s="21"/>
      <c r="G9072" s="16" t="str">
        <f>HYPERLINK("http://maps.google.com/maps?f=q&amp;hl=en&amp;geocode=&amp;q=41.86802,-91.57611")</f>
        <v>http://maps.google.com/maps?f=q&amp;hl=en&amp;geocode=&amp;q=41.86802,-91.57611</v>
      </c>
    </row>
    <row r="9073" spans="1:7" ht="15" x14ac:dyDescent="0.3">
      <c r="A9073">
        <v>41.868020000000001</v>
      </c>
      <c r="B9073">
        <v>-91.57611</v>
      </c>
      <c r="C9073" t="s">
        <v>41</v>
      </c>
      <c r="D9073" t="s">
        <v>243</v>
      </c>
      <c r="F9073" s="21"/>
      <c r="G9073" s="16" t="str">
        <f>HYPERLINK("http://maps.google.com/maps?f=q&amp;hl=en&amp;geocode=&amp;q=41.86802,-91.57611")</f>
        <v>http://maps.google.com/maps?f=q&amp;hl=en&amp;geocode=&amp;q=41.86802,-91.57611</v>
      </c>
    </row>
    <row r="9074" spans="1:7" ht="15" x14ac:dyDescent="0.3">
      <c r="A9074">
        <v>40.193346062365201</v>
      </c>
      <c r="B9074">
        <v>-110.056220022803</v>
      </c>
      <c r="C9074" t="s">
        <v>41</v>
      </c>
      <c r="D9074" t="s">
        <v>5281</v>
      </c>
      <c r="F9074" s="21"/>
      <c r="G9074" s="16" t="str">
        <f>HYPERLINK("http://maps.google.com/maps?f=q&amp;hl=en&amp;geocode=&amp;q=40.1933460623652,-110.056220022803")</f>
        <v>http://maps.google.com/maps?f=q&amp;hl=en&amp;geocode=&amp;q=40.1933460623652,-110.056220022803</v>
      </c>
    </row>
    <row r="9075" spans="1:7" ht="15" x14ac:dyDescent="0.3">
      <c r="A9075">
        <v>53.755119999999998</v>
      </c>
      <c r="B9075">
        <v>-4.41E-2</v>
      </c>
      <c r="C9075" t="s">
        <v>43</v>
      </c>
      <c r="D9075" t="s">
        <v>4377</v>
      </c>
      <c r="F9075" s="21"/>
      <c r="G9075" s="16" t="str">
        <f>HYPERLINK("http://maps.google.com/maps?f=q&amp;hl=en&amp;geocode=&amp;q=53.75512,-0.0441")</f>
        <v>http://maps.google.com/maps?f=q&amp;hl=en&amp;geocode=&amp;q=53.75512,-0.0441</v>
      </c>
    </row>
    <row r="9076" spans="1:7" ht="15" x14ac:dyDescent="0.3">
      <c r="A9076" t="s">
        <v>44</v>
      </c>
      <c r="B9076" t="s">
        <v>44</v>
      </c>
      <c r="C9076" t="s">
        <v>44</v>
      </c>
      <c r="D9076" t="s">
        <v>5282</v>
      </c>
      <c r="F9076" s="21"/>
      <c r="G9076" s="16"/>
    </row>
    <row r="9077" spans="1:7" ht="15" x14ac:dyDescent="0.3">
      <c r="A9077">
        <v>53.755119999999998</v>
      </c>
      <c r="B9077">
        <v>-4.41E-2</v>
      </c>
      <c r="C9077" t="s">
        <v>43</v>
      </c>
      <c r="D9077" t="s">
        <v>4377</v>
      </c>
      <c r="F9077" s="21"/>
      <c r="G9077" s="16" t="str">
        <f>HYPERLINK("http://maps.google.com/maps?f=q&amp;hl=en&amp;geocode=&amp;q=53.75512,-0.0441")</f>
        <v>http://maps.google.com/maps?f=q&amp;hl=en&amp;geocode=&amp;q=53.75512,-0.0441</v>
      </c>
    </row>
    <row r="9078" spans="1:7" ht="15" x14ac:dyDescent="0.3">
      <c r="A9078" t="s">
        <v>44</v>
      </c>
      <c r="B9078" t="s">
        <v>44</v>
      </c>
      <c r="C9078" t="s">
        <v>44</v>
      </c>
      <c r="D9078" t="s">
        <v>5282</v>
      </c>
      <c r="F9078" s="21"/>
      <c r="G9078" s="16"/>
    </row>
    <row r="9079" spans="1:7" ht="15" x14ac:dyDescent="0.3">
      <c r="A9079">
        <v>53.755119999999998</v>
      </c>
      <c r="B9079">
        <v>-4.41E-2</v>
      </c>
      <c r="C9079" t="s">
        <v>43</v>
      </c>
      <c r="D9079" t="s">
        <v>4377</v>
      </c>
      <c r="F9079" s="21"/>
      <c r="G9079" s="16" t="str">
        <f>HYPERLINK("http://maps.google.com/maps?f=q&amp;hl=en&amp;geocode=&amp;q=53.75512,-0.0441")</f>
        <v>http://maps.google.com/maps?f=q&amp;hl=en&amp;geocode=&amp;q=53.75512,-0.0441</v>
      </c>
    </row>
    <row r="9080" spans="1:7" ht="15" x14ac:dyDescent="0.3">
      <c r="A9080" t="s">
        <v>44</v>
      </c>
      <c r="B9080" t="s">
        <v>44</v>
      </c>
      <c r="C9080" t="s">
        <v>44</v>
      </c>
      <c r="D9080" t="s">
        <v>981</v>
      </c>
      <c r="F9080" s="21"/>
      <c r="G9080" s="16"/>
    </row>
    <row r="9081" spans="1:7" ht="15" x14ac:dyDescent="0.3">
      <c r="A9081">
        <v>-36.718856811523402</v>
      </c>
      <c r="B9081">
        <v>142.19622802734401</v>
      </c>
      <c r="C9081" t="s">
        <v>43</v>
      </c>
      <c r="D9081" t="s">
        <v>86</v>
      </c>
      <c r="F9081" s="21"/>
      <c r="G9081" s="16" t="str">
        <f>HYPERLINK("http://maps.google.com/maps?f=q&amp;hl=en&amp;geocode=&amp;q=-36.7188568115234,142.196228027344")</f>
        <v>http://maps.google.com/maps?f=q&amp;hl=en&amp;geocode=&amp;q=-36.7188568115234,142.196228027344</v>
      </c>
    </row>
    <row r="9082" spans="1:7" ht="15" x14ac:dyDescent="0.3">
      <c r="A9082">
        <v>46.976370000000003</v>
      </c>
      <c r="B9082">
        <v>7.45669</v>
      </c>
      <c r="C9082" t="s">
        <v>41</v>
      </c>
      <c r="D9082" t="s">
        <v>3140</v>
      </c>
      <c r="F9082" s="21"/>
      <c r="G9082" s="16" t="str">
        <f>HYPERLINK("http://maps.google.com/maps?f=q&amp;hl=en&amp;geocode=&amp;q=46.97637,7.45669")</f>
        <v>http://maps.google.com/maps?f=q&amp;hl=en&amp;geocode=&amp;q=46.97637,7.45669</v>
      </c>
    </row>
    <row r="9083" spans="1:7" ht="15" x14ac:dyDescent="0.3">
      <c r="A9083">
        <v>43.968719491799</v>
      </c>
      <c r="B9083">
        <v>-117.38663711679899</v>
      </c>
      <c r="C9083" t="s">
        <v>42</v>
      </c>
      <c r="D9083" t="s">
        <v>5283</v>
      </c>
      <c r="F9083" s="21"/>
      <c r="G9083" s="16" t="str">
        <f>HYPERLINK("http://maps.google.com/maps?f=q&amp;hl=en&amp;geocode=&amp;q=43.968719491799,-117.386637116799")</f>
        <v>http://maps.google.com/maps?f=q&amp;hl=en&amp;geocode=&amp;q=43.968719491799,-117.386637116799</v>
      </c>
    </row>
    <row r="9084" spans="1:7" ht="15" x14ac:dyDescent="0.3">
      <c r="A9084" t="s">
        <v>44</v>
      </c>
      <c r="B9084" t="s">
        <v>44</v>
      </c>
      <c r="C9084" t="s">
        <v>44</v>
      </c>
      <c r="D9084" t="s">
        <v>1004</v>
      </c>
      <c r="F9084" s="21"/>
      <c r="G9084" s="16"/>
    </row>
    <row r="9085" spans="1:7" ht="15" x14ac:dyDescent="0.3">
      <c r="A9085">
        <v>-31.964845657348601</v>
      </c>
      <c r="B9085">
        <v>115.895874023438</v>
      </c>
      <c r="C9085" t="s">
        <v>41</v>
      </c>
      <c r="D9085" t="s">
        <v>129</v>
      </c>
      <c r="F9085" s="21"/>
      <c r="G9085" s="16" t="str">
        <f>HYPERLINK("http://maps.google.com/maps?f=q&amp;hl=en&amp;geocode=&amp;q=-31.9648456573486,115.895874023438")</f>
        <v>http://maps.google.com/maps?f=q&amp;hl=en&amp;geocode=&amp;q=-31.9648456573486,115.895874023438</v>
      </c>
    </row>
    <row r="9086" spans="1:7" ht="15" x14ac:dyDescent="0.3">
      <c r="A9086">
        <v>34.458467011744901</v>
      </c>
      <c r="B9086">
        <v>-92.896624502608802</v>
      </c>
      <c r="C9086" t="s">
        <v>41</v>
      </c>
      <c r="D9086" t="s">
        <v>3498</v>
      </c>
      <c r="F9086" s="21"/>
      <c r="G9086" s="16" t="str">
        <f>HYPERLINK("http://maps.google.com/maps?f=q&amp;hl=en&amp;geocode=&amp;q=34.4584670117449,-92.8966245026088")</f>
        <v>http://maps.google.com/maps?f=q&amp;hl=en&amp;geocode=&amp;q=34.4584670117449,-92.8966245026088</v>
      </c>
    </row>
    <row r="9087" spans="1:7" ht="15" x14ac:dyDescent="0.3">
      <c r="A9087">
        <v>50.780136108398402</v>
      </c>
      <c r="B9087">
        <v>4.2288222312927202</v>
      </c>
      <c r="C9087" t="s">
        <v>43</v>
      </c>
      <c r="D9087" t="s">
        <v>4232</v>
      </c>
      <c r="F9087" s="21"/>
      <c r="G9087" s="16" t="str">
        <f>HYPERLINK("http://maps.google.com/maps?f=q&amp;hl=en&amp;geocode=&amp;q=50.7801361083984,4.22882223129272")</f>
        <v>http://maps.google.com/maps?f=q&amp;hl=en&amp;geocode=&amp;q=50.7801361083984,4.22882223129272</v>
      </c>
    </row>
    <row r="9088" spans="1:7" ht="15" x14ac:dyDescent="0.3">
      <c r="A9088">
        <v>36.902555965944998</v>
      </c>
      <c r="B9088">
        <v>-78.8948882131007</v>
      </c>
      <c r="C9088" t="s">
        <v>43</v>
      </c>
      <c r="D9088" t="s">
        <v>3748</v>
      </c>
      <c r="F9088" s="21"/>
      <c r="G9088" s="16" t="str">
        <f>HYPERLINK("http://maps.google.com/maps?f=q&amp;hl=en&amp;geocode=&amp;q=36.902555965945,-78.8948882131007")</f>
        <v>http://maps.google.com/maps?f=q&amp;hl=en&amp;geocode=&amp;q=36.902555965945,-78.8948882131007</v>
      </c>
    </row>
    <row r="9089" spans="1:7" ht="15" x14ac:dyDescent="0.3">
      <c r="A9089">
        <v>44.512439999999998</v>
      </c>
      <c r="B9089">
        <v>-88.043319999999994</v>
      </c>
      <c r="C9089" t="s">
        <v>43</v>
      </c>
      <c r="D9089" t="s">
        <v>5284</v>
      </c>
      <c r="F9089" s="21"/>
      <c r="G9089" s="16" t="str">
        <f>HYPERLINK("http://maps.google.com/maps?f=q&amp;hl=en&amp;geocode=&amp;q=44.51244,-88.04332")</f>
        <v>http://maps.google.com/maps?f=q&amp;hl=en&amp;geocode=&amp;q=44.51244,-88.04332</v>
      </c>
    </row>
    <row r="9090" spans="1:7" ht="15" x14ac:dyDescent="0.3">
      <c r="A9090">
        <v>59.858619689941399</v>
      </c>
      <c r="B9090">
        <v>17.643730163574201</v>
      </c>
      <c r="C9090" t="s">
        <v>41</v>
      </c>
      <c r="D9090" t="s">
        <v>5285</v>
      </c>
      <c r="F9090" s="21"/>
      <c r="G9090" s="16" t="str">
        <f>HYPERLINK("http://maps.google.com/maps?f=q&amp;hl=en&amp;geocode=&amp;q=59.8586196899414,17.6437301635742")</f>
        <v>http://maps.google.com/maps?f=q&amp;hl=en&amp;geocode=&amp;q=59.8586196899414,17.6437301635742</v>
      </c>
    </row>
    <row r="9091" spans="1:7" ht="15" x14ac:dyDescent="0.3">
      <c r="A9091">
        <v>40.07302</v>
      </c>
      <c r="B9091">
        <v>-75.159599999999998</v>
      </c>
      <c r="C9091" t="s">
        <v>42</v>
      </c>
      <c r="D9091" t="s">
        <v>5286</v>
      </c>
      <c r="F9091" s="21"/>
      <c r="G9091" s="16" t="str">
        <f>HYPERLINK("http://maps.google.com/maps?f=q&amp;hl=en&amp;geocode=&amp;q=40.07302,-75.1596")</f>
        <v>http://maps.google.com/maps?f=q&amp;hl=en&amp;geocode=&amp;q=40.07302,-75.1596</v>
      </c>
    </row>
    <row r="9092" spans="1:7" ht="15" x14ac:dyDescent="0.3">
      <c r="A9092">
        <v>43.096769999999999</v>
      </c>
      <c r="B9092">
        <v>-78.873959999999997</v>
      </c>
      <c r="C9092" t="s">
        <v>42</v>
      </c>
      <c r="D9092" t="s">
        <v>5287</v>
      </c>
      <c r="F9092" s="21"/>
      <c r="G9092" s="16" t="str">
        <f>HYPERLINK("http://maps.google.com/maps?f=q&amp;hl=en&amp;geocode=&amp;q=43.09677,-78.87396")</f>
        <v>http://maps.google.com/maps?f=q&amp;hl=en&amp;geocode=&amp;q=43.09677,-78.87396</v>
      </c>
    </row>
    <row r="9093" spans="1:7" ht="15" x14ac:dyDescent="0.3">
      <c r="A9093">
        <v>43.096769999999999</v>
      </c>
      <c r="B9093">
        <v>-78.873959999999997</v>
      </c>
      <c r="C9093" t="s">
        <v>42</v>
      </c>
      <c r="D9093" t="s">
        <v>5288</v>
      </c>
      <c r="F9093" s="21"/>
      <c r="G9093" s="16" t="str">
        <f>HYPERLINK("http://maps.google.com/maps?f=q&amp;hl=en&amp;geocode=&amp;q=43.09677,-78.87396")</f>
        <v>http://maps.google.com/maps?f=q&amp;hl=en&amp;geocode=&amp;q=43.09677,-78.87396</v>
      </c>
    </row>
    <row r="9094" spans="1:7" ht="15" x14ac:dyDescent="0.3">
      <c r="A9094">
        <v>42.236600000000003</v>
      </c>
      <c r="B9094">
        <v>-71.011899999999997</v>
      </c>
      <c r="C9094" t="s">
        <v>41</v>
      </c>
      <c r="D9094" t="s">
        <v>5289</v>
      </c>
      <c r="F9094" s="21"/>
      <c r="G9094" s="16" t="str">
        <f>HYPERLINK("http://maps.google.com/maps?f=q&amp;hl=en&amp;geocode=&amp;q=42.2366,-71.0119")</f>
        <v>http://maps.google.com/maps?f=q&amp;hl=en&amp;geocode=&amp;q=42.2366,-71.0119</v>
      </c>
    </row>
    <row r="9095" spans="1:7" ht="15" x14ac:dyDescent="0.3">
      <c r="A9095">
        <v>36.381889740978998</v>
      </c>
      <c r="B9095">
        <v>-78.627038256983596</v>
      </c>
      <c r="C9095" t="s">
        <v>41</v>
      </c>
      <c r="D9095" t="s">
        <v>5290</v>
      </c>
      <c r="F9095" s="21"/>
      <c r="G9095" s="16" t="str">
        <f>HYPERLINK("http://maps.google.com/maps?f=q&amp;hl=en&amp;geocode=&amp;q=36.381889740979,-78.6270382569836")</f>
        <v>http://maps.google.com/maps?f=q&amp;hl=en&amp;geocode=&amp;q=36.381889740979,-78.6270382569836</v>
      </c>
    </row>
    <row r="9096" spans="1:7" ht="15" x14ac:dyDescent="0.3">
      <c r="A9096">
        <v>48.026901245117202</v>
      </c>
      <c r="B9096">
        <v>3.6677799224853498</v>
      </c>
      <c r="C9096" t="s">
        <v>43</v>
      </c>
      <c r="D9096" t="s">
        <v>551</v>
      </c>
      <c r="F9096" s="21"/>
      <c r="G9096" s="16" t="str">
        <f>HYPERLINK("http://maps.google.com/maps?f=q&amp;hl=en&amp;geocode=&amp;q=48.0269012451172,3.66777992248535")</f>
        <v>http://maps.google.com/maps?f=q&amp;hl=en&amp;geocode=&amp;q=48.0269012451172,3.66777992248535</v>
      </c>
    </row>
    <row r="9097" spans="1:7" ht="15" x14ac:dyDescent="0.3">
      <c r="A9097">
        <v>42.722940000000001</v>
      </c>
      <c r="B9097">
        <v>-89.104380000000006</v>
      </c>
      <c r="C9097" t="s">
        <v>43</v>
      </c>
      <c r="D9097" t="s">
        <v>2676</v>
      </c>
      <c r="F9097" s="21"/>
      <c r="G9097" s="16" t="str">
        <f>HYPERLINK("http://maps.google.com/maps?f=q&amp;hl=en&amp;geocode=&amp;q=42.72294,-89.10438")</f>
        <v>http://maps.google.com/maps?f=q&amp;hl=en&amp;geocode=&amp;q=42.72294,-89.10438</v>
      </c>
    </row>
    <row r="9098" spans="1:7" ht="15" x14ac:dyDescent="0.3">
      <c r="A9098">
        <v>36.093150000000001</v>
      </c>
      <c r="B9098">
        <v>-78.968919999999997</v>
      </c>
      <c r="C9098" t="s">
        <v>42</v>
      </c>
      <c r="D9098" t="s">
        <v>5291</v>
      </c>
      <c r="F9098" s="21"/>
      <c r="G9098" s="16" t="str">
        <f>HYPERLINK("http://maps.google.com/maps?f=q&amp;hl=en&amp;geocode=&amp;q=36.09315,-78.96892")</f>
        <v>http://maps.google.com/maps?f=q&amp;hl=en&amp;geocode=&amp;q=36.09315,-78.96892</v>
      </c>
    </row>
    <row r="9099" spans="1:7" ht="15" x14ac:dyDescent="0.3">
      <c r="A9099">
        <v>40.021486737040902</v>
      </c>
      <c r="B9099">
        <v>-75.147362814452194</v>
      </c>
      <c r="C9099" t="s">
        <v>41</v>
      </c>
      <c r="D9099" t="s">
        <v>5292</v>
      </c>
      <c r="F9099" s="21"/>
      <c r="G9099" s="16" t="str">
        <f>HYPERLINK("http://maps.google.com/maps?f=q&amp;hl=en&amp;geocode=&amp;q=40.0214867370409,-75.1473628144522")</f>
        <v>http://maps.google.com/maps?f=q&amp;hl=en&amp;geocode=&amp;q=40.0214867370409,-75.1473628144522</v>
      </c>
    </row>
    <row r="9100" spans="1:7" ht="15" x14ac:dyDescent="0.3">
      <c r="A9100">
        <v>39.950519999999997</v>
      </c>
      <c r="B9100">
        <v>-75.220789999999994</v>
      </c>
      <c r="C9100" t="s">
        <v>43</v>
      </c>
      <c r="D9100" t="s">
        <v>5293</v>
      </c>
      <c r="F9100" s="21"/>
      <c r="G9100" s="16" t="str">
        <f>HYPERLINK("http://maps.google.com/maps?f=q&amp;hl=en&amp;geocode=&amp;q=39.95052,-75.22079")</f>
        <v>http://maps.google.com/maps?f=q&amp;hl=en&amp;geocode=&amp;q=39.95052,-75.22079</v>
      </c>
    </row>
    <row r="9101" spans="1:7" ht="15" x14ac:dyDescent="0.3">
      <c r="A9101">
        <v>40.006929999999997</v>
      </c>
      <c r="B9101">
        <v>-75.107900000000001</v>
      </c>
      <c r="C9101" t="s">
        <v>41</v>
      </c>
      <c r="D9101" t="s">
        <v>1488</v>
      </c>
      <c r="F9101" s="21"/>
      <c r="G9101" s="16" t="str">
        <f>HYPERLINK("http://maps.google.com/maps?f=q&amp;hl=en&amp;geocode=&amp;q=40.00693,-75.1079")</f>
        <v>http://maps.google.com/maps?f=q&amp;hl=en&amp;geocode=&amp;q=40.00693,-75.1079</v>
      </c>
    </row>
    <row r="9102" spans="1:7" ht="15" x14ac:dyDescent="0.3">
      <c r="A9102">
        <v>38.895220000000002</v>
      </c>
      <c r="B9102">
        <v>-76.948670000000007</v>
      </c>
      <c r="C9102" t="s">
        <v>41</v>
      </c>
      <c r="D9102" t="s">
        <v>4659</v>
      </c>
      <c r="F9102" s="21"/>
      <c r="G9102" s="16" t="str">
        <f>HYPERLINK("http://maps.google.com/maps?f=q&amp;hl=en&amp;geocode=&amp;q=38.89522,-76.94867")</f>
        <v>http://maps.google.com/maps?f=q&amp;hl=en&amp;geocode=&amp;q=38.89522,-76.94867</v>
      </c>
    </row>
    <row r="9103" spans="1:7" ht="15" x14ac:dyDescent="0.3">
      <c r="A9103">
        <v>41.079008650062399</v>
      </c>
      <c r="B9103">
        <v>-80.721013110627894</v>
      </c>
      <c r="C9103" t="s">
        <v>41</v>
      </c>
      <c r="D9103" t="s">
        <v>630</v>
      </c>
      <c r="F9103" s="21"/>
      <c r="G9103" s="16" t="str">
        <f>HYPERLINK("http://maps.google.com/maps?f=q&amp;hl=en&amp;geocode=&amp;q=41.0790086500624,-80.7210131106279")</f>
        <v>http://maps.google.com/maps?f=q&amp;hl=en&amp;geocode=&amp;q=41.0790086500624,-80.7210131106279</v>
      </c>
    </row>
    <row r="9104" spans="1:7" ht="15" x14ac:dyDescent="0.3">
      <c r="A9104">
        <v>32.914268493652301</v>
      </c>
      <c r="B9104">
        <v>-96.636550903320298</v>
      </c>
      <c r="C9104" t="s">
        <v>41</v>
      </c>
      <c r="D9104" t="s">
        <v>5294</v>
      </c>
      <c r="F9104" s="21"/>
      <c r="G9104" s="16" t="str">
        <f>HYPERLINK("http://maps.google.com/maps?f=q&amp;hl=en&amp;geocode=&amp;q=32.9142684936523,-96.6365509033203")</f>
        <v>http://maps.google.com/maps?f=q&amp;hl=en&amp;geocode=&amp;q=32.9142684936523,-96.6365509033203</v>
      </c>
    </row>
    <row r="9105" spans="1:7" ht="15" x14ac:dyDescent="0.3">
      <c r="A9105">
        <v>40.112369999999999</v>
      </c>
      <c r="B9105">
        <v>-75.025739999999999</v>
      </c>
      <c r="C9105" t="s">
        <v>41</v>
      </c>
      <c r="D9105" t="s">
        <v>3953</v>
      </c>
      <c r="F9105" s="21"/>
      <c r="G9105" s="16" t="str">
        <f>HYPERLINK("http://maps.google.com/maps?f=q&amp;hl=en&amp;geocode=&amp;q=40.11237,-75.02574")</f>
        <v>http://maps.google.com/maps?f=q&amp;hl=en&amp;geocode=&amp;q=40.11237,-75.02574</v>
      </c>
    </row>
    <row r="9106" spans="1:7" ht="15" x14ac:dyDescent="0.3">
      <c r="A9106">
        <v>35.481270000000002</v>
      </c>
      <c r="B9106">
        <v>-80.642390000000006</v>
      </c>
      <c r="C9106" t="s">
        <v>43</v>
      </c>
      <c r="D9106" t="s">
        <v>5295</v>
      </c>
      <c r="F9106" s="21"/>
      <c r="G9106" s="16" t="str">
        <f>HYPERLINK("http://maps.google.com/maps?f=q&amp;hl=en&amp;geocode=&amp;q=35.48127,-80.64239")</f>
        <v>http://maps.google.com/maps?f=q&amp;hl=en&amp;geocode=&amp;q=35.48127,-80.64239</v>
      </c>
    </row>
    <row r="9107" spans="1:7" ht="15" x14ac:dyDescent="0.3">
      <c r="A9107" t="s">
        <v>44</v>
      </c>
      <c r="B9107" t="s">
        <v>44</v>
      </c>
      <c r="C9107" t="s">
        <v>44</v>
      </c>
      <c r="D9107" t="s">
        <v>1017</v>
      </c>
      <c r="F9107" s="21"/>
      <c r="G9107" s="16"/>
    </row>
    <row r="9108" spans="1:7" ht="15" x14ac:dyDescent="0.3">
      <c r="A9108">
        <v>48.026901245117202</v>
      </c>
      <c r="B9108">
        <v>3.6677799224853498</v>
      </c>
      <c r="C9108" t="s">
        <v>43</v>
      </c>
      <c r="D9108" t="s">
        <v>551</v>
      </c>
      <c r="F9108" s="21"/>
      <c r="G9108" s="16" t="str">
        <f>HYPERLINK("http://maps.google.com/maps?f=q&amp;hl=en&amp;geocode=&amp;q=48.0269012451172,3.66777992248535")</f>
        <v>http://maps.google.com/maps?f=q&amp;hl=en&amp;geocode=&amp;q=48.0269012451172,3.66777992248535</v>
      </c>
    </row>
    <row r="9109" spans="1:7" ht="15" x14ac:dyDescent="0.3">
      <c r="A9109">
        <v>40.040669999999999</v>
      </c>
      <c r="B9109">
        <v>-75.126630000000006</v>
      </c>
      <c r="C9109" t="s">
        <v>42</v>
      </c>
      <c r="D9109" t="s">
        <v>5296</v>
      </c>
      <c r="F9109" s="21"/>
      <c r="G9109" s="16" t="str">
        <f>HYPERLINK("http://maps.google.com/maps?f=q&amp;hl=en&amp;geocode=&amp;q=40.04067,-75.12663")</f>
        <v>http://maps.google.com/maps?f=q&amp;hl=en&amp;geocode=&amp;q=40.04067,-75.12663</v>
      </c>
    </row>
    <row r="9110" spans="1:7" ht="15" x14ac:dyDescent="0.3">
      <c r="A9110">
        <v>42.130821228027301</v>
      </c>
      <c r="B9110">
        <v>-8.7677803039550799</v>
      </c>
      <c r="C9110" t="s">
        <v>41</v>
      </c>
      <c r="D9110" t="s">
        <v>5297</v>
      </c>
      <c r="F9110" s="21"/>
      <c r="G9110" s="16" t="str">
        <f>HYPERLINK("http://maps.google.com/maps?f=q&amp;hl=en&amp;geocode=&amp;q=42.1308212280273,-8.76778030395508")</f>
        <v>http://maps.google.com/maps?f=q&amp;hl=en&amp;geocode=&amp;q=42.1308212280273,-8.76778030395508</v>
      </c>
    </row>
    <row r="9111" spans="1:7" ht="15" x14ac:dyDescent="0.3">
      <c r="A9111">
        <v>35.4066756861626</v>
      </c>
      <c r="B9111">
        <v>-89.387352629615805</v>
      </c>
      <c r="C9111" t="s">
        <v>41</v>
      </c>
      <c r="D9111" t="s">
        <v>1197</v>
      </c>
      <c r="F9111" s="21"/>
      <c r="G9111" s="16" t="str">
        <f>HYPERLINK("http://maps.google.com/maps?f=q&amp;hl=en&amp;geocode=&amp;q=35.4066756861626,-89.3873526296158")</f>
        <v>http://maps.google.com/maps?f=q&amp;hl=en&amp;geocode=&amp;q=35.4066756861626,-89.3873526296158</v>
      </c>
    </row>
    <row r="9112" spans="1:7" ht="15" x14ac:dyDescent="0.3">
      <c r="A9112">
        <v>-39.938659999999999</v>
      </c>
      <c r="B9112">
        <v>176.58796000000001</v>
      </c>
      <c r="C9112" t="s">
        <v>41</v>
      </c>
      <c r="D9112" t="s">
        <v>458</v>
      </c>
      <c r="F9112" s="21"/>
      <c r="G9112" s="16" t="str">
        <f>HYPERLINK("http://maps.google.com/maps?f=q&amp;hl=en&amp;geocode=&amp;q=-39.93866,176.58796")</f>
        <v>http://maps.google.com/maps?f=q&amp;hl=en&amp;geocode=&amp;q=-39.93866,176.58796</v>
      </c>
    </row>
    <row r="9113" spans="1:7" ht="15" x14ac:dyDescent="0.3">
      <c r="A9113">
        <v>55.25911</v>
      </c>
      <c r="B9113">
        <v>11.59831</v>
      </c>
      <c r="C9113" t="s">
        <v>41</v>
      </c>
      <c r="D9113" t="s">
        <v>2080</v>
      </c>
      <c r="F9113" s="21"/>
      <c r="G9113" s="16" t="str">
        <f>HYPERLINK("http://maps.google.com/maps?f=q&amp;hl=en&amp;geocode=&amp;q=55.25911,11.59831")</f>
        <v>http://maps.google.com/maps?f=q&amp;hl=en&amp;geocode=&amp;q=55.25911,11.59831</v>
      </c>
    </row>
    <row r="9114" spans="1:7" ht="15" x14ac:dyDescent="0.3">
      <c r="A9114">
        <v>53.813331604003899</v>
      </c>
      <c r="B9114">
        <v>-1.7124999761581401</v>
      </c>
      <c r="C9114" t="s">
        <v>41</v>
      </c>
      <c r="D9114" t="s">
        <v>5298</v>
      </c>
      <c r="F9114" s="21"/>
      <c r="G9114" s="16" t="str">
        <f>HYPERLINK("http://maps.google.com/maps?f=q&amp;hl=en&amp;geocode=&amp;q=53.8133316040039,-1.71249997615814")</f>
        <v>http://maps.google.com/maps?f=q&amp;hl=en&amp;geocode=&amp;q=53.8133316040039,-1.71249997615814</v>
      </c>
    </row>
    <row r="9115" spans="1:7" ht="15" x14ac:dyDescent="0.3">
      <c r="A9115">
        <v>40.044989999999999</v>
      </c>
      <c r="B9115">
        <v>-75.009439999999998</v>
      </c>
      <c r="C9115" t="s">
        <v>42</v>
      </c>
      <c r="D9115" t="s">
        <v>5299</v>
      </c>
      <c r="F9115" s="21"/>
      <c r="G9115" s="16" t="str">
        <f>HYPERLINK("http://maps.google.com/maps?f=q&amp;hl=en&amp;geocode=&amp;q=40.04499,-75.00944")</f>
        <v>http://maps.google.com/maps?f=q&amp;hl=en&amp;geocode=&amp;q=40.04499,-75.00944</v>
      </c>
    </row>
    <row r="9116" spans="1:7" ht="15" x14ac:dyDescent="0.3">
      <c r="A9116">
        <v>-34.873579900000003</v>
      </c>
      <c r="B9116">
        <v>138.51150000000001</v>
      </c>
      <c r="C9116" t="s">
        <v>43</v>
      </c>
      <c r="D9116" t="s">
        <v>5300</v>
      </c>
      <c r="F9116" s="21"/>
      <c r="G9116" s="16" t="str">
        <f>HYPERLINK("http://maps.google.com/maps?f=q&amp;hl=en&amp;geocode=&amp;q=-34.8735799,138.5115")</f>
        <v>http://maps.google.com/maps?f=q&amp;hl=en&amp;geocode=&amp;q=-34.8735799,138.5115</v>
      </c>
    </row>
    <row r="9117" spans="1:7" ht="15" x14ac:dyDescent="0.3">
      <c r="A9117">
        <v>40.015997549603</v>
      </c>
      <c r="B9117">
        <v>-75.089932918071696</v>
      </c>
      <c r="C9117" t="s">
        <v>41</v>
      </c>
      <c r="D9117" t="s">
        <v>5301</v>
      </c>
      <c r="F9117" s="21"/>
      <c r="G9117" s="16" t="str">
        <f>HYPERLINK("http://maps.google.com/maps?f=q&amp;hl=en&amp;geocode=&amp;q=40.015997549603,-75.0899329180717")</f>
        <v>http://maps.google.com/maps?f=q&amp;hl=en&amp;geocode=&amp;q=40.015997549603,-75.0899329180717</v>
      </c>
    </row>
    <row r="9118" spans="1:7" ht="15" x14ac:dyDescent="0.3">
      <c r="A9118">
        <v>40.015997549603</v>
      </c>
      <c r="B9118">
        <v>-75.089932918071696</v>
      </c>
      <c r="C9118" t="s">
        <v>41</v>
      </c>
      <c r="D9118" t="s">
        <v>5301</v>
      </c>
      <c r="F9118" s="21"/>
      <c r="G9118" s="16" t="str">
        <f>HYPERLINK("http://maps.google.com/maps?f=q&amp;hl=en&amp;geocode=&amp;q=40.015997549603,-75.0899329180717")</f>
        <v>http://maps.google.com/maps?f=q&amp;hl=en&amp;geocode=&amp;q=40.015997549603,-75.0899329180717</v>
      </c>
    </row>
    <row r="9119" spans="1:7" ht="15" x14ac:dyDescent="0.3">
      <c r="A9119">
        <v>50.068752288818402</v>
      </c>
      <c r="B9119">
        <v>-85.828125</v>
      </c>
      <c r="C9119" t="s">
        <v>41</v>
      </c>
      <c r="D9119" t="s">
        <v>4832</v>
      </c>
      <c r="F9119" s="21"/>
      <c r="G9119" s="16" t="str">
        <f>HYPERLINK("http://maps.google.com/maps?f=q&amp;hl=en&amp;geocode=&amp;q=50.0687522888184,-85.828125")</f>
        <v>http://maps.google.com/maps?f=q&amp;hl=en&amp;geocode=&amp;q=50.0687522888184,-85.828125</v>
      </c>
    </row>
    <row r="9120" spans="1:7" ht="15" x14ac:dyDescent="0.3">
      <c r="A9120">
        <v>39.900760650634801</v>
      </c>
      <c r="B9120">
        <v>-76.606178283691406</v>
      </c>
      <c r="C9120" t="s">
        <v>43</v>
      </c>
      <c r="D9120" t="s">
        <v>5302</v>
      </c>
      <c r="F9120" s="21"/>
      <c r="G9120" s="16" t="str">
        <f>HYPERLINK("http://maps.google.com/maps?f=q&amp;hl=en&amp;geocode=&amp;q=39.9007606506348,-76.6061782836914")</f>
        <v>http://maps.google.com/maps?f=q&amp;hl=en&amp;geocode=&amp;q=39.9007606506348,-76.6061782836914</v>
      </c>
    </row>
    <row r="9121" spans="1:7" ht="15" x14ac:dyDescent="0.3">
      <c r="A9121">
        <v>27.27985</v>
      </c>
      <c r="B9121">
        <v>-82.521039999999999</v>
      </c>
      <c r="C9121" t="s">
        <v>41</v>
      </c>
      <c r="D9121" t="s">
        <v>5303</v>
      </c>
      <c r="F9121" s="21"/>
      <c r="G9121" s="16" t="str">
        <f>HYPERLINK("http://maps.google.com/maps?f=q&amp;hl=en&amp;geocode=&amp;q=27.27985,-82.52104")</f>
        <v>http://maps.google.com/maps?f=q&amp;hl=en&amp;geocode=&amp;q=27.27985,-82.52104</v>
      </c>
    </row>
    <row r="9122" spans="1:7" ht="15" x14ac:dyDescent="0.3">
      <c r="A9122">
        <v>34.2636958097941</v>
      </c>
      <c r="B9122">
        <v>-83.844349649414198</v>
      </c>
      <c r="C9122" t="s">
        <v>43</v>
      </c>
      <c r="D9122" t="s">
        <v>5304</v>
      </c>
      <c r="F9122" s="21"/>
      <c r="G9122" s="16" t="str">
        <f>HYPERLINK("http://maps.google.com/maps?f=q&amp;hl=en&amp;geocode=&amp;q=34.2636958097941,-83.8443496494142")</f>
        <v>http://maps.google.com/maps?f=q&amp;hl=en&amp;geocode=&amp;q=34.2636958097941,-83.8443496494142</v>
      </c>
    </row>
    <row r="9123" spans="1:7" ht="15" x14ac:dyDescent="0.3">
      <c r="A9123">
        <v>40.402369043342297</v>
      </c>
      <c r="B9123">
        <v>-75.284348264955995</v>
      </c>
      <c r="C9123" t="s">
        <v>41</v>
      </c>
      <c r="D9123" t="s">
        <v>5280</v>
      </c>
      <c r="F9123" s="21"/>
      <c r="G9123" s="16" t="str">
        <f>HYPERLINK("http://maps.google.com/maps?f=q&amp;hl=en&amp;geocode=&amp;q=40.4023690433423,-75.284348264956")</f>
        <v>http://maps.google.com/maps?f=q&amp;hl=en&amp;geocode=&amp;q=40.4023690433423,-75.284348264956</v>
      </c>
    </row>
    <row r="9124" spans="1:7" ht="15" x14ac:dyDescent="0.3">
      <c r="A9124">
        <v>43.096909823569597</v>
      </c>
      <c r="B9124">
        <v>-78.873910995161694</v>
      </c>
      <c r="C9124" t="s">
        <v>41</v>
      </c>
      <c r="D9124" t="s">
        <v>1669</v>
      </c>
      <c r="F9124" s="21"/>
      <c r="G9124" s="16" t="str">
        <f>HYPERLINK("http://maps.google.com/maps?f=q&amp;hl=en&amp;geocode=&amp;q=43.0969098235696,-78.8739109951617")</f>
        <v>http://maps.google.com/maps?f=q&amp;hl=en&amp;geocode=&amp;q=43.0969098235696,-78.8739109951617</v>
      </c>
    </row>
    <row r="9125" spans="1:7" ht="15" x14ac:dyDescent="0.3">
      <c r="A9125">
        <v>-26.034427642822301</v>
      </c>
      <c r="B9125">
        <v>28.5431098937988</v>
      </c>
      <c r="C9125" t="s">
        <v>43</v>
      </c>
      <c r="D9125" t="s">
        <v>2999</v>
      </c>
      <c r="F9125" s="21"/>
      <c r="G9125" s="16" t="str">
        <f>HYPERLINK("http://maps.google.com/maps?f=q&amp;hl=en&amp;geocode=&amp;q=-26.0344276428223,28.5431098937988")</f>
        <v>http://maps.google.com/maps?f=q&amp;hl=en&amp;geocode=&amp;q=-26.0344276428223,28.5431098937988</v>
      </c>
    </row>
    <row r="9126" spans="1:7" ht="15" x14ac:dyDescent="0.3">
      <c r="A9126" t="s">
        <v>44</v>
      </c>
      <c r="B9126" t="s">
        <v>44</v>
      </c>
      <c r="C9126" t="s">
        <v>44</v>
      </c>
      <c r="D9126" t="s">
        <v>1004</v>
      </c>
      <c r="F9126" s="21"/>
      <c r="G9126" s="16"/>
    </row>
    <row r="9127" spans="1:7" ht="15" x14ac:dyDescent="0.3">
      <c r="A9127">
        <v>35.912851874818202</v>
      </c>
      <c r="B9127">
        <v>-87.3827199517211</v>
      </c>
      <c r="C9127" t="s">
        <v>41</v>
      </c>
      <c r="D9127" t="s">
        <v>565</v>
      </c>
      <c r="F9127" s="21"/>
      <c r="G9127" s="16" t="str">
        <f>HYPERLINK("http://maps.google.com/maps?f=q&amp;hl=en&amp;geocode=&amp;q=35.9128518748182,-87.3827199517211")</f>
        <v>http://maps.google.com/maps?f=q&amp;hl=en&amp;geocode=&amp;q=35.9128518748182,-87.3827199517211</v>
      </c>
    </row>
    <row r="9128" spans="1:7" ht="15" x14ac:dyDescent="0.3">
      <c r="A9128">
        <v>29.94772</v>
      </c>
      <c r="B9128">
        <v>-93.937799999999996</v>
      </c>
      <c r="C9128" t="s">
        <v>41</v>
      </c>
      <c r="D9128" t="s">
        <v>772</v>
      </c>
      <c r="F9128" s="21"/>
      <c r="G9128" s="16" t="str">
        <f>HYPERLINK("http://maps.google.com/maps?f=q&amp;hl=en&amp;geocode=&amp;q=29.94772,-93.9378")</f>
        <v>http://maps.google.com/maps?f=q&amp;hl=en&amp;geocode=&amp;q=29.94772,-93.9378</v>
      </c>
    </row>
    <row r="9129" spans="1:7" ht="15" x14ac:dyDescent="0.3">
      <c r="A9129">
        <v>40.008940000000003</v>
      </c>
      <c r="B9129">
        <v>-75.163309999999996</v>
      </c>
      <c r="C9129" t="s">
        <v>41</v>
      </c>
      <c r="D9129" t="s">
        <v>5305</v>
      </c>
      <c r="F9129" s="21"/>
      <c r="G9129" s="16" t="str">
        <f>HYPERLINK("http://maps.google.com/maps?f=q&amp;hl=en&amp;geocode=&amp;q=40.00894,-75.16331")</f>
        <v>http://maps.google.com/maps?f=q&amp;hl=en&amp;geocode=&amp;q=40.00894,-75.16331</v>
      </c>
    </row>
    <row r="9130" spans="1:7" ht="15" x14ac:dyDescent="0.3">
      <c r="A9130">
        <v>39.930199999999999</v>
      </c>
      <c r="B9130">
        <v>-75.166240000000002</v>
      </c>
      <c r="C9130" t="s">
        <v>43</v>
      </c>
      <c r="D9130" t="s">
        <v>5306</v>
      </c>
      <c r="F9130" s="21"/>
      <c r="G9130" s="16" t="str">
        <f>HYPERLINK("http://maps.google.com/maps?f=q&amp;hl=en&amp;geocode=&amp;q=39.9302,-75.16624")</f>
        <v>http://maps.google.com/maps?f=q&amp;hl=en&amp;geocode=&amp;q=39.9302,-75.16624</v>
      </c>
    </row>
    <row r="9131" spans="1:7" ht="15" x14ac:dyDescent="0.3">
      <c r="A9131">
        <v>-35.921607971191399</v>
      </c>
      <c r="B9131">
        <v>145.64855957031301</v>
      </c>
      <c r="C9131" t="s">
        <v>41</v>
      </c>
      <c r="D9131" t="s">
        <v>5307</v>
      </c>
      <c r="F9131" s="21"/>
      <c r="G9131" s="16" t="str">
        <f>HYPERLINK("http://maps.google.com/maps?f=q&amp;hl=en&amp;geocode=&amp;q=-35.9216079711914,145.648559570313")</f>
        <v>http://maps.google.com/maps?f=q&amp;hl=en&amp;geocode=&amp;q=-35.9216079711914,145.648559570313</v>
      </c>
    </row>
    <row r="9132" spans="1:7" ht="15" x14ac:dyDescent="0.3">
      <c r="A9132">
        <v>39.916739999999997</v>
      </c>
      <c r="B9132">
        <v>-75.231570000000005</v>
      </c>
      <c r="C9132" t="s">
        <v>41</v>
      </c>
      <c r="D9132" t="s">
        <v>928</v>
      </c>
      <c r="F9132" s="21"/>
      <c r="G9132" s="16" t="str">
        <f>HYPERLINK("http://maps.google.com/maps?f=q&amp;hl=en&amp;geocode=&amp;q=39.91674,-75.23157")</f>
        <v>http://maps.google.com/maps?f=q&amp;hl=en&amp;geocode=&amp;q=39.91674,-75.23157</v>
      </c>
    </row>
    <row r="9133" spans="1:7" ht="15" x14ac:dyDescent="0.3">
      <c r="A9133">
        <v>42.8890991210938</v>
      </c>
      <c r="B9133">
        <v>-0.115970000624657</v>
      </c>
      <c r="C9133" t="s">
        <v>41</v>
      </c>
      <c r="D9133" t="s">
        <v>5308</v>
      </c>
      <c r="F9133" s="21"/>
      <c r="G9133" s="16" t="str">
        <f>HYPERLINK("http://maps.google.com/maps?f=q&amp;hl=en&amp;geocode=&amp;q=42.8890991210938,-0.115970000624657")</f>
        <v>http://maps.google.com/maps?f=q&amp;hl=en&amp;geocode=&amp;q=42.8890991210938,-0.115970000624657</v>
      </c>
    </row>
    <row r="9134" spans="1:7" ht="15" x14ac:dyDescent="0.3">
      <c r="A9134">
        <v>40.767669677734403</v>
      </c>
      <c r="B9134">
        <v>-73.973373413085895</v>
      </c>
      <c r="C9134" t="s">
        <v>43</v>
      </c>
      <c r="D9134" t="s">
        <v>5309</v>
      </c>
      <c r="F9134" s="21"/>
      <c r="G9134" s="16" t="str">
        <f>HYPERLINK("http://maps.google.com/maps?f=q&amp;hl=en&amp;geocode=&amp;q=40.7676696777344,-73.9733734130859")</f>
        <v>http://maps.google.com/maps?f=q&amp;hl=en&amp;geocode=&amp;q=40.7676696777344,-73.9733734130859</v>
      </c>
    </row>
    <row r="9135" spans="1:7" ht="15" x14ac:dyDescent="0.3">
      <c r="A9135" t="s">
        <v>44</v>
      </c>
      <c r="B9135" t="s">
        <v>44</v>
      </c>
      <c r="C9135" t="s">
        <v>44</v>
      </c>
      <c r="D9135" t="s">
        <v>5310</v>
      </c>
      <c r="F9135" s="21"/>
      <c r="G9135" s="16"/>
    </row>
    <row r="9136" spans="1:7" ht="15" x14ac:dyDescent="0.3">
      <c r="A9136">
        <v>35.9615450457948</v>
      </c>
      <c r="B9136">
        <v>-80.769828364600599</v>
      </c>
      <c r="C9136" t="s">
        <v>41</v>
      </c>
      <c r="D9136" t="s">
        <v>5311</v>
      </c>
      <c r="F9136" s="21"/>
      <c r="G9136" s="16" t="str">
        <f>HYPERLINK("http://maps.google.com/maps?f=q&amp;hl=en&amp;geocode=&amp;q=35.9615450457948,-80.7698283646006")</f>
        <v>http://maps.google.com/maps?f=q&amp;hl=en&amp;geocode=&amp;q=35.9615450457948,-80.7698283646006</v>
      </c>
    </row>
    <row r="9137" spans="1:7" ht="15" x14ac:dyDescent="0.3">
      <c r="A9137">
        <v>39.987545783524702</v>
      </c>
      <c r="B9137">
        <v>-75.102129317114404</v>
      </c>
      <c r="C9137" t="s">
        <v>41</v>
      </c>
      <c r="D9137" t="s">
        <v>5312</v>
      </c>
      <c r="F9137" s="21"/>
      <c r="G9137" s="16" t="str">
        <f>HYPERLINK("http://maps.google.com/maps?f=q&amp;hl=en&amp;geocode=&amp;q=39.9875457835247,-75.1021293171144")</f>
        <v>http://maps.google.com/maps?f=q&amp;hl=en&amp;geocode=&amp;q=39.9875457835247,-75.1021293171144</v>
      </c>
    </row>
    <row r="9138" spans="1:7" ht="15" x14ac:dyDescent="0.3">
      <c r="A9138" t="s">
        <v>44</v>
      </c>
      <c r="B9138" t="s">
        <v>44</v>
      </c>
      <c r="C9138" t="s">
        <v>44</v>
      </c>
      <c r="D9138" t="s">
        <v>5313</v>
      </c>
      <c r="F9138" s="21"/>
      <c r="G9138" s="16"/>
    </row>
    <row r="9139" spans="1:7" ht="15" x14ac:dyDescent="0.3">
      <c r="A9139">
        <v>32.990949999999998</v>
      </c>
      <c r="B9139">
        <v>-97.446380000000005</v>
      </c>
      <c r="C9139" t="s">
        <v>43</v>
      </c>
      <c r="D9139" t="s">
        <v>5314</v>
      </c>
      <c r="F9139" s="21"/>
      <c r="G9139" s="16" t="str">
        <f>HYPERLINK("http://maps.google.com/maps?f=q&amp;hl=en&amp;geocode=&amp;q=32.99095,-97.44638")</f>
        <v>http://maps.google.com/maps?f=q&amp;hl=en&amp;geocode=&amp;q=32.99095,-97.44638</v>
      </c>
    </row>
    <row r="9140" spans="1:7" ht="15" x14ac:dyDescent="0.3">
      <c r="A9140">
        <v>39.920034553313897</v>
      </c>
      <c r="B9140">
        <v>-75.230253062950098</v>
      </c>
      <c r="C9140" t="s">
        <v>43</v>
      </c>
      <c r="D9140" t="s">
        <v>1426</v>
      </c>
      <c r="F9140" s="21"/>
      <c r="G9140" s="16" t="str">
        <f>HYPERLINK("http://maps.google.com/maps?f=q&amp;hl=en&amp;geocode=&amp;q=39.9200345533139,-75.2302530629501")</f>
        <v>http://maps.google.com/maps?f=q&amp;hl=en&amp;geocode=&amp;q=39.9200345533139,-75.2302530629501</v>
      </c>
    </row>
    <row r="9141" spans="1:7" ht="15" x14ac:dyDescent="0.3">
      <c r="A9141">
        <v>39.9180449215484</v>
      </c>
      <c r="B9141">
        <v>-75.233103899088604</v>
      </c>
      <c r="C9141" t="s">
        <v>43</v>
      </c>
      <c r="D9141" t="s">
        <v>792</v>
      </c>
      <c r="F9141" s="21"/>
      <c r="G9141" s="16" t="str">
        <f>HYPERLINK("http://maps.google.com/maps?f=q&amp;hl=en&amp;geocode=&amp;q=39.9180449215484,-75.2331038990886")</f>
        <v>http://maps.google.com/maps?f=q&amp;hl=en&amp;geocode=&amp;q=39.9180449215484,-75.2331038990886</v>
      </c>
    </row>
    <row r="9142" spans="1:7" ht="15" x14ac:dyDescent="0.3">
      <c r="A9142">
        <v>39.9180449215484</v>
      </c>
      <c r="B9142">
        <v>-75.233103899088604</v>
      </c>
      <c r="C9142" t="s">
        <v>43</v>
      </c>
      <c r="D9142" t="s">
        <v>792</v>
      </c>
      <c r="F9142" s="21"/>
      <c r="G9142" s="16" t="str">
        <f>HYPERLINK("http://maps.google.com/maps?f=q&amp;hl=en&amp;geocode=&amp;q=39.9180449215484,-75.2331038990886")</f>
        <v>http://maps.google.com/maps?f=q&amp;hl=en&amp;geocode=&amp;q=39.9180449215484,-75.2331038990886</v>
      </c>
    </row>
    <row r="9143" spans="1:7" ht="15" x14ac:dyDescent="0.3">
      <c r="A9143">
        <v>35.898525026815697</v>
      </c>
      <c r="B9143">
        <v>-87.184728671744907</v>
      </c>
      <c r="C9143" t="s">
        <v>41</v>
      </c>
      <c r="D9143" t="s">
        <v>5315</v>
      </c>
      <c r="F9143" s="21"/>
      <c r="G9143" s="16" t="str">
        <f>HYPERLINK("http://maps.google.com/maps?f=q&amp;hl=en&amp;geocode=&amp;q=35.8985250268157,-87.1847286717449")</f>
        <v>http://maps.google.com/maps?f=q&amp;hl=en&amp;geocode=&amp;q=35.8985250268157,-87.1847286717449</v>
      </c>
    </row>
    <row r="9144" spans="1:7" ht="15" x14ac:dyDescent="0.3">
      <c r="A9144">
        <v>40.033090000000001</v>
      </c>
      <c r="B9144">
        <v>-75.031289999999998</v>
      </c>
      <c r="C9144" t="s">
        <v>41</v>
      </c>
      <c r="D9144" t="s">
        <v>5316</v>
      </c>
      <c r="F9144" s="21"/>
      <c r="G9144" s="16" t="str">
        <f>HYPERLINK("http://maps.google.com/maps?f=q&amp;hl=en&amp;geocode=&amp;q=40.03309,-75.03129")</f>
        <v>http://maps.google.com/maps?f=q&amp;hl=en&amp;geocode=&amp;q=40.03309,-75.03129</v>
      </c>
    </row>
    <row r="9145" spans="1:7" ht="15" x14ac:dyDescent="0.3">
      <c r="A9145">
        <v>40.612789154052699</v>
      </c>
      <c r="B9145">
        <v>-75.592453002929702</v>
      </c>
      <c r="C9145" t="s">
        <v>41</v>
      </c>
      <c r="D9145" t="s">
        <v>4199</v>
      </c>
      <c r="F9145" s="21"/>
      <c r="G9145" s="16" t="str">
        <f>HYPERLINK("http://maps.google.com/maps?f=q&amp;hl=en&amp;geocode=&amp;q=40.6127891540527,-75.5924530029297")</f>
        <v>http://maps.google.com/maps?f=q&amp;hl=en&amp;geocode=&amp;q=40.6127891540527,-75.5924530029297</v>
      </c>
    </row>
    <row r="9146" spans="1:7" ht="15" x14ac:dyDescent="0.3">
      <c r="A9146" t="s">
        <v>44</v>
      </c>
      <c r="B9146" t="s">
        <v>44</v>
      </c>
      <c r="C9146" t="s">
        <v>44</v>
      </c>
      <c r="D9146" t="s">
        <v>5136</v>
      </c>
      <c r="F9146" s="21"/>
      <c r="G9146" s="16"/>
    </row>
    <row r="9147" spans="1:7" ht="15" x14ac:dyDescent="0.3">
      <c r="A9147">
        <v>40.10877</v>
      </c>
      <c r="B9147">
        <v>-75.026759999999996</v>
      </c>
      <c r="C9147" t="s">
        <v>41</v>
      </c>
      <c r="D9147" t="s">
        <v>778</v>
      </c>
      <c r="F9147" s="21"/>
      <c r="G9147" s="16" t="str">
        <f>HYPERLINK("http://maps.google.com/maps?f=q&amp;hl=en&amp;geocode=&amp;q=40.10877,-75.02676")</f>
        <v>http://maps.google.com/maps?f=q&amp;hl=en&amp;geocode=&amp;q=40.10877,-75.02676</v>
      </c>
    </row>
    <row r="9148" spans="1:7" ht="15" x14ac:dyDescent="0.3">
      <c r="A9148">
        <v>40.10877</v>
      </c>
      <c r="B9148">
        <v>-75.026759999999996</v>
      </c>
      <c r="C9148" t="s">
        <v>41</v>
      </c>
      <c r="D9148" t="s">
        <v>778</v>
      </c>
      <c r="F9148" s="21"/>
      <c r="G9148" s="16" t="str">
        <f>HYPERLINK("http://maps.google.com/maps?f=q&amp;hl=en&amp;geocode=&amp;q=40.10877,-75.02676")</f>
        <v>http://maps.google.com/maps?f=q&amp;hl=en&amp;geocode=&amp;q=40.10877,-75.02676</v>
      </c>
    </row>
    <row r="9149" spans="1:7" ht="15" x14ac:dyDescent="0.3">
      <c r="A9149">
        <v>40.097898392061701</v>
      </c>
      <c r="B9149">
        <v>-89.083076848455306</v>
      </c>
      <c r="C9149" t="s">
        <v>41</v>
      </c>
      <c r="D9149" t="s">
        <v>5317</v>
      </c>
      <c r="F9149" s="21"/>
      <c r="G9149" s="16" t="str">
        <f>HYPERLINK("http://maps.google.com/maps?f=q&amp;hl=en&amp;geocode=&amp;q=40.0978983920617,-89.0830768484553")</f>
        <v>http://maps.google.com/maps?f=q&amp;hl=en&amp;geocode=&amp;q=40.0978983920617,-89.0830768484553</v>
      </c>
    </row>
    <row r="9150" spans="1:7" ht="15" x14ac:dyDescent="0.3">
      <c r="A9150">
        <v>40.097898392061701</v>
      </c>
      <c r="B9150">
        <v>-89.083076848455306</v>
      </c>
      <c r="C9150" t="s">
        <v>41</v>
      </c>
      <c r="D9150" t="s">
        <v>5317</v>
      </c>
      <c r="F9150" s="21"/>
      <c r="G9150" s="16" t="str">
        <f>HYPERLINK("http://maps.google.com/maps?f=q&amp;hl=en&amp;geocode=&amp;q=40.0978983920617,-89.0830768484553")</f>
        <v>http://maps.google.com/maps?f=q&amp;hl=en&amp;geocode=&amp;q=40.0978983920617,-89.0830768484553</v>
      </c>
    </row>
    <row r="9151" spans="1:7" ht="15" x14ac:dyDescent="0.3">
      <c r="A9151">
        <v>40.612789154052699</v>
      </c>
      <c r="B9151">
        <v>-75.592453002929702</v>
      </c>
      <c r="C9151" t="s">
        <v>41</v>
      </c>
      <c r="D9151" t="s">
        <v>4199</v>
      </c>
      <c r="F9151" s="21"/>
      <c r="G9151" s="16" t="str">
        <f>HYPERLINK("http://maps.google.com/maps?f=q&amp;hl=en&amp;geocode=&amp;q=40.6127891540527,-75.5924530029297")</f>
        <v>http://maps.google.com/maps?f=q&amp;hl=en&amp;geocode=&amp;q=40.6127891540527,-75.5924530029297</v>
      </c>
    </row>
    <row r="9152" spans="1:7" ht="15" x14ac:dyDescent="0.3">
      <c r="A9152">
        <v>46.976370000000003</v>
      </c>
      <c r="B9152">
        <v>7.45669</v>
      </c>
      <c r="C9152" t="s">
        <v>41</v>
      </c>
      <c r="D9152" t="s">
        <v>3140</v>
      </c>
      <c r="F9152" s="21"/>
      <c r="G9152" s="16" t="str">
        <f>HYPERLINK("http://maps.google.com/maps?f=q&amp;hl=en&amp;geocode=&amp;q=46.97637,7.45669")</f>
        <v>http://maps.google.com/maps?f=q&amp;hl=en&amp;geocode=&amp;q=46.97637,7.45669</v>
      </c>
    </row>
    <row r="9153" spans="1:7" ht="15" x14ac:dyDescent="0.3">
      <c r="A9153">
        <v>9.8145465850830096</v>
      </c>
      <c r="B9153">
        <v>-84.303115844726605</v>
      </c>
      <c r="C9153" t="s">
        <v>43</v>
      </c>
      <c r="D9153" t="s">
        <v>5318</v>
      </c>
      <c r="F9153" s="21"/>
      <c r="G9153" s="16" t="str">
        <f>HYPERLINK("http://maps.google.com/maps?f=q&amp;hl=en&amp;geocode=&amp;q=9.81454658508301,-84.3031158447266")</f>
        <v>http://maps.google.com/maps?f=q&amp;hl=en&amp;geocode=&amp;q=9.81454658508301,-84.3031158447266</v>
      </c>
    </row>
    <row r="9154" spans="1:7" ht="15" x14ac:dyDescent="0.3">
      <c r="A9154" t="s">
        <v>44</v>
      </c>
      <c r="B9154" t="s">
        <v>44</v>
      </c>
      <c r="C9154" t="s">
        <v>44</v>
      </c>
      <c r="D9154" t="s">
        <v>5319</v>
      </c>
      <c r="F9154" s="21"/>
      <c r="G9154" s="16"/>
    </row>
    <row r="9155" spans="1:7" ht="15" x14ac:dyDescent="0.3">
      <c r="A9155">
        <v>48.89501953125</v>
      </c>
      <c r="B9155">
        <v>8.1058301925659197</v>
      </c>
      <c r="C9155" t="s">
        <v>41</v>
      </c>
      <c r="D9155" t="s">
        <v>5320</v>
      </c>
      <c r="F9155" s="21"/>
      <c r="G9155" s="16" t="str">
        <f>HYPERLINK("http://maps.google.com/maps?f=q&amp;hl=en&amp;geocode=&amp;q=48.89501953125,8.10583019256592")</f>
        <v>http://maps.google.com/maps?f=q&amp;hl=en&amp;geocode=&amp;q=48.89501953125,8.10583019256592</v>
      </c>
    </row>
    <row r="9156" spans="1:7" ht="15" x14ac:dyDescent="0.3">
      <c r="A9156">
        <v>29.692519437645899</v>
      </c>
      <c r="B9156">
        <v>-95.353246797063704</v>
      </c>
      <c r="C9156" t="s">
        <v>41</v>
      </c>
      <c r="D9156" t="s">
        <v>5321</v>
      </c>
      <c r="F9156" s="21"/>
      <c r="G9156" s="16" t="str">
        <f>HYPERLINK("http://maps.google.com/maps?f=q&amp;hl=en&amp;geocode=&amp;q=29.6925194376459,-95.3532467970637")</f>
        <v>http://maps.google.com/maps?f=q&amp;hl=en&amp;geocode=&amp;q=29.6925194376459,-95.3532467970637</v>
      </c>
    </row>
    <row r="9157" spans="1:7" ht="15" x14ac:dyDescent="0.3">
      <c r="A9157">
        <v>40.113320000000002</v>
      </c>
      <c r="B9157">
        <v>-75.02561</v>
      </c>
      <c r="C9157" t="s">
        <v>41</v>
      </c>
      <c r="D9157" t="s">
        <v>3998</v>
      </c>
      <c r="F9157" s="21"/>
      <c r="G9157" s="16" t="str">
        <f>HYPERLINK("http://maps.google.com/maps?f=q&amp;hl=en&amp;geocode=&amp;q=40.11332,-75.02561")</f>
        <v>http://maps.google.com/maps?f=q&amp;hl=en&amp;geocode=&amp;q=40.11332,-75.02561</v>
      </c>
    </row>
    <row r="9158" spans="1:7" ht="15" x14ac:dyDescent="0.3">
      <c r="A9158">
        <v>38.491455035432701</v>
      </c>
      <c r="B9158">
        <v>-89.817895222618702</v>
      </c>
      <c r="C9158" t="s">
        <v>41</v>
      </c>
      <c r="D9158" t="s">
        <v>2570</v>
      </c>
      <c r="F9158" s="21"/>
      <c r="G9158" s="16" t="str">
        <f>HYPERLINK("http://maps.google.com/maps?f=q&amp;hl=en&amp;geocode=&amp;q=38.4914550354327,-89.8178952226187")</f>
        <v>http://maps.google.com/maps?f=q&amp;hl=en&amp;geocode=&amp;q=38.4914550354327,-89.8178952226187</v>
      </c>
    </row>
    <row r="9159" spans="1:7" ht="15" x14ac:dyDescent="0.3">
      <c r="A9159">
        <v>43.301578521728501</v>
      </c>
      <c r="B9159">
        <v>-103.825149536133</v>
      </c>
      <c r="C9159" t="s">
        <v>41</v>
      </c>
      <c r="D9159" t="s">
        <v>5322</v>
      </c>
      <c r="F9159" s="21"/>
      <c r="G9159" s="16" t="str">
        <f>HYPERLINK("http://maps.google.com/maps?f=q&amp;hl=en&amp;geocode=&amp;q=43.3015785217285,-103.825149536133")</f>
        <v>http://maps.google.com/maps?f=q&amp;hl=en&amp;geocode=&amp;q=43.3015785217285,-103.825149536133</v>
      </c>
    </row>
    <row r="9160" spans="1:7" ht="15" x14ac:dyDescent="0.3">
      <c r="A9160">
        <v>47.919094085693402</v>
      </c>
      <c r="B9160">
        <v>1.97410404682159</v>
      </c>
      <c r="C9160" t="s">
        <v>41</v>
      </c>
      <c r="D9160" t="s">
        <v>5323</v>
      </c>
      <c r="F9160" s="21"/>
      <c r="G9160" s="16" t="str">
        <f>HYPERLINK("http://maps.google.com/maps?f=q&amp;hl=en&amp;geocode=&amp;q=47.9190940856934,1.97410404682159")</f>
        <v>http://maps.google.com/maps?f=q&amp;hl=en&amp;geocode=&amp;q=47.9190940856934,1.97410404682159</v>
      </c>
    </row>
    <row r="9161" spans="1:7" ht="15" x14ac:dyDescent="0.3">
      <c r="A9161">
        <v>30.013597252129799</v>
      </c>
      <c r="B9161">
        <v>-90.178112333309699</v>
      </c>
      <c r="C9161" t="s">
        <v>41</v>
      </c>
      <c r="D9161" t="s">
        <v>176</v>
      </c>
      <c r="F9161" s="21"/>
      <c r="G9161" s="16" t="str">
        <f>HYPERLINK("http://maps.google.com/maps?f=q&amp;hl=en&amp;geocode=&amp;q=30.0135972521298,-90.1781123333097")</f>
        <v>http://maps.google.com/maps?f=q&amp;hl=en&amp;geocode=&amp;q=30.0135972521298,-90.1781123333097</v>
      </c>
    </row>
    <row r="9162" spans="1:7" ht="15" x14ac:dyDescent="0.3">
      <c r="A9162">
        <v>37.860075757426102</v>
      </c>
      <c r="B9162">
        <v>-82.804839478177499</v>
      </c>
      <c r="C9162" t="s">
        <v>41</v>
      </c>
      <c r="D9162" t="s">
        <v>5324</v>
      </c>
      <c r="F9162" s="21"/>
      <c r="G9162" s="16" t="str">
        <f>HYPERLINK("http://maps.google.com/maps?f=q&amp;hl=en&amp;geocode=&amp;q=37.8600757574261,-82.8048394781775")</f>
        <v>http://maps.google.com/maps?f=q&amp;hl=en&amp;geocode=&amp;q=37.8600757574261,-82.8048394781775</v>
      </c>
    </row>
    <row r="9163" spans="1:7" ht="15" x14ac:dyDescent="0.3">
      <c r="A9163">
        <v>48.672306060791001</v>
      </c>
      <c r="B9163">
        <v>7.5540661811828604</v>
      </c>
      <c r="C9163" t="s">
        <v>43</v>
      </c>
      <c r="D9163" t="s">
        <v>5325</v>
      </c>
      <c r="F9163" s="21"/>
      <c r="G9163" s="16" t="str">
        <f>HYPERLINK("http://maps.google.com/maps?f=q&amp;hl=en&amp;geocode=&amp;q=48.672306060791,7.55406618118286")</f>
        <v>http://maps.google.com/maps?f=q&amp;hl=en&amp;geocode=&amp;q=48.672306060791,7.55406618118286</v>
      </c>
    </row>
    <row r="9164" spans="1:7" ht="15" x14ac:dyDescent="0.3">
      <c r="A9164" t="s">
        <v>44</v>
      </c>
      <c r="B9164" t="s">
        <v>44</v>
      </c>
      <c r="C9164" t="s">
        <v>44</v>
      </c>
      <c r="D9164" t="s">
        <v>5326</v>
      </c>
      <c r="F9164" s="21"/>
      <c r="G9164" s="16"/>
    </row>
    <row r="9165" spans="1:7" ht="15" x14ac:dyDescent="0.3">
      <c r="A9165">
        <v>40.0595</v>
      </c>
      <c r="B9165">
        <v>-75.075140000000005</v>
      </c>
      <c r="C9165" t="s">
        <v>41</v>
      </c>
      <c r="D9165" t="s">
        <v>5327</v>
      </c>
      <c r="F9165" s="21"/>
      <c r="G9165" s="16" t="str">
        <f>HYPERLINK("http://maps.google.com/maps?f=q&amp;hl=en&amp;geocode=&amp;q=40.0595,-75.07514")</f>
        <v>http://maps.google.com/maps?f=q&amp;hl=en&amp;geocode=&amp;q=40.0595,-75.07514</v>
      </c>
    </row>
    <row r="9166" spans="1:7" ht="15" x14ac:dyDescent="0.3">
      <c r="A9166" t="s">
        <v>44</v>
      </c>
      <c r="B9166" t="s">
        <v>44</v>
      </c>
      <c r="C9166" t="s">
        <v>44</v>
      </c>
      <c r="D9166" t="s">
        <v>254</v>
      </c>
      <c r="F9166" s="21"/>
      <c r="G9166" s="16"/>
    </row>
    <row r="9167" spans="1:7" ht="15" x14ac:dyDescent="0.3">
      <c r="A9167">
        <v>41.0294380187988</v>
      </c>
      <c r="B9167">
        <v>-73.780471801757798</v>
      </c>
      <c r="C9167" t="s">
        <v>41</v>
      </c>
      <c r="D9167" t="s">
        <v>5328</v>
      </c>
      <c r="F9167" s="21"/>
      <c r="G9167" s="16" t="str">
        <f>HYPERLINK("http://maps.google.com/maps?f=q&amp;hl=en&amp;geocode=&amp;q=41.0294380187988,-73.7804718017578")</f>
        <v>http://maps.google.com/maps?f=q&amp;hl=en&amp;geocode=&amp;q=41.0294380187988,-73.7804718017578</v>
      </c>
    </row>
    <row r="9168" spans="1:7" ht="15" x14ac:dyDescent="0.3">
      <c r="A9168" t="s">
        <v>44</v>
      </c>
      <c r="B9168" t="s">
        <v>44</v>
      </c>
      <c r="C9168" t="s">
        <v>44</v>
      </c>
      <c r="D9168" t="s">
        <v>5329</v>
      </c>
      <c r="F9168" s="21"/>
      <c r="G9168" s="16"/>
    </row>
    <row r="9169" spans="1:7" ht="15" x14ac:dyDescent="0.3">
      <c r="A9169">
        <v>28.445260000000001</v>
      </c>
      <c r="B9169">
        <v>-82.54504</v>
      </c>
      <c r="C9169" t="s">
        <v>42</v>
      </c>
      <c r="D9169" t="s">
        <v>5330</v>
      </c>
      <c r="F9169" s="21"/>
      <c r="G9169" s="16" t="str">
        <f>HYPERLINK("http://maps.google.com/maps?f=q&amp;hl=en&amp;geocode=&amp;q=28.44526,-82.54504")</f>
        <v>http://maps.google.com/maps?f=q&amp;hl=en&amp;geocode=&amp;q=28.44526,-82.54504</v>
      </c>
    </row>
    <row r="9170" spans="1:7" ht="15" x14ac:dyDescent="0.3">
      <c r="A9170">
        <v>39.99091</v>
      </c>
      <c r="B9170">
        <v>-75.165120000000002</v>
      </c>
      <c r="C9170" t="s">
        <v>41</v>
      </c>
      <c r="D9170" t="s">
        <v>5331</v>
      </c>
      <c r="F9170" s="21"/>
      <c r="G9170" s="16" t="str">
        <f>HYPERLINK("http://maps.google.com/maps?f=q&amp;hl=en&amp;geocode=&amp;q=39.99091,-75.16512")</f>
        <v>http://maps.google.com/maps?f=q&amp;hl=en&amp;geocode=&amp;q=39.99091,-75.16512</v>
      </c>
    </row>
    <row r="9171" spans="1:7" ht="15" x14ac:dyDescent="0.3">
      <c r="A9171">
        <v>40.006599999999999</v>
      </c>
      <c r="B9171">
        <v>-75.077740000000006</v>
      </c>
      <c r="C9171" t="s">
        <v>41</v>
      </c>
      <c r="D9171" t="s">
        <v>5332</v>
      </c>
      <c r="F9171" s="21"/>
      <c r="G9171" s="16" t="str">
        <f>HYPERLINK("http://maps.google.com/maps?f=q&amp;hl=en&amp;geocode=&amp;q=40.0066,-75.07774")</f>
        <v>http://maps.google.com/maps?f=q&amp;hl=en&amp;geocode=&amp;q=40.0066,-75.07774</v>
      </c>
    </row>
    <row r="9172" spans="1:7" ht="15" x14ac:dyDescent="0.3">
      <c r="A9172">
        <v>37.469075495073</v>
      </c>
      <c r="B9172">
        <v>-120.921613540813</v>
      </c>
      <c r="C9172" t="s">
        <v>41</v>
      </c>
      <c r="D9172" t="s">
        <v>5333</v>
      </c>
      <c r="F9172" s="21"/>
      <c r="G9172" s="16" t="str">
        <f>HYPERLINK("http://maps.google.com/maps?f=q&amp;hl=en&amp;geocode=&amp;q=37.469075495073,-120.921613540813")</f>
        <v>http://maps.google.com/maps?f=q&amp;hl=en&amp;geocode=&amp;q=37.469075495073,-120.921613540813</v>
      </c>
    </row>
    <row r="9173" spans="1:7" ht="15" x14ac:dyDescent="0.3">
      <c r="A9173">
        <v>37.469075495073</v>
      </c>
      <c r="B9173">
        <v>-120.921613540813</v>
      </c>
      <c r="C9173" t="s">
        <v>41</v>
      </c>
      <c r="D9173" t="s">
        <v>5333</v>
      </c>
      <c r="F9173" s="21"/>
      <c r="G9173" s="16" t="str">
        <f>HYPERLINK("http://maps.google.com/maps?f=q&amp;hl=en&amp;geocode=&amp;q=37.469075495073,-120.921613540813")</f>
        <v>http://maps.google.com/maps?f=q&amp;hl=en&amp;geocode=&amp;q=37.469075495073,-120.921613540813</v>
      </c>
    </row>
    <row r="9174" spans="1:7" ht="15" x14ac:dyDescent="0.3">
      <c r="A9174">
        <v>40.041731789762302</v>
      </c>
      <c r="B9174">
        <v>-75.192249216796995</v>
      </c>
      <c r="C9174" t="s">
        <v>41</v>
      </c>
      <c r="D9174" t="s">
        <v>5145</v>
      </c>
      <c r="F9174" s="21"/>
      <c r="G9174" s="16" t="str">
        <f>HYPERLINK("http://maps.google.com/maps?f=q&amp;hl=en&amp;geocode=&amp;q=40.0417317897623,-75.192249216797")</f>
        <v>http://maps.google.com/maps?f=q&amp;hl=en&amp;geocode=&amp;q=40.0417317897623,-75.192249216797</v>
      </c>
    </row>
    <row r="9175" spans="1:7" ht="15" x14ac:dyDescent="0.3">
      <c r="A9175">
        <v>40.041731789762302</v>
      </c>
      <c r="B9175">
        <v>-75.192249216796995</v>
      </c>
      <c r="C9175" t="s">
        <v>41</v>
      </c>
      <c r="D9175" t="s">
        <v>5145</v>
      </c>
      <c r="F9175" s="21"/>
      <c r="G9175" s="16" t="str">
        <f>HYPERLINK("http://maps.google.com/maps?f=q&amp;hl=en&amp;geocode=&amp;q=40.0417317897623,-75.192249216797")</f>
        <v>http://maps.google.com/maps?f=q&amp;hl=en&amp;geocode=&amp;q=40.0417317897623,-75.192249216797</v>
      </c>
    </row>
    <row r="9176" spans="1:7" ht="15" x14ac:dyDescent="0.3">
      <c r="A9176">
        <v>48.612396240234403</v>
      </c>
      <c r="B9176">
        <v>7.8016338348388699</v>
      </c>
      <c r="C9176" t="s">
        <v>41</v>
      </c>
      <c r="D9176" t="s">
        <v>5334</v>
      </c>
      <c r="F9176" s="21"/>
      <c r="G9176" s="16" t="str">
        <f>HYPERLINK("http://maps.google.com/maps?f=q&amp;hl=en&amp;geocode=&amp;q=48.6123962402344,7.80163383483887")</f>
        <v>http://maps.google.com/maps?f=q&amp;hl=en&amp;geocode=&amp;q=48.6123962402344,7.80163383483887</v>
      </c>
    </row>
    <row r="9177" spans="1:7" ht="15" x14ac:dyDescent="0.3">
      <c r="A9177">
        <v>39.977789999999999</v>
      </c>
      <c r="B9177">
        <v>-75.184430000000006</v>
      </c>
      <c r="C9177" t="s">
        <v>43</v>
      </c>
      <c r="D9177" t="s">
        <v>5335</v>
      </c>
      <c r="F9177" s="21"/>
      <c r="G9177" s="16" t="str">
        <f>HYPERLINK("http://maps.google.com/maps?f=q&amp;hl=en&amp;geocode=&amp;q=39.97779,-75.18443")</f>
        <v>http://maps.google.com/maps?f=q&amp;hl=en&amp;geocode=&amp;q=39.97779,-75.18443</v>
      </c>
    </row>
    <row r="9178" spans="1:7" ht="15" x14ac:dyDescent="0.3">
      <c r="A9178">
        <v>44.909632524397402</v>
      </c>
      <c r="B9178">
        <v>-90.315794753488007</v>
      </c>
      <c r="C9178" t="s">
        <v>41</v>
      </c>
      <c r="D9178" t="s">
        <v>5336</v>
      </c>
      <c r="F9178" s="21"/>
      <c r="G9178" s="16" t="str">
        <f>HYPERLINK("http://maps.google.com/maps?f=q&amp;hl=en&amp;geocode=&amp;q=44.9096325243974,-90.315794753488")</f>
        <v>http://maps.google.com/maps?f=q&amp;hl=en&amp;geocode=&amp;q=44.9096325243974,-90.315794753488</v>
      </c>
    </row>
    <row r="9179" spans="1:7" ht="15" x14ac:dyDescent="0.3">
      <c r="A9179">
        <v>30.898099999999999</v>
      </c>
      <c r="B9179">
        <v>-94.014420000000001</v>
      </c>
      <c r="C9179" t="s">
        <v>42</v>
      </c>
      <c r="D9179" t="s">
        <v>5337</v>
      </c>
      <c r="F9179" s="21"/>
      <c r="G9179" s="16" t="str">
        <f>HYPERLINK("http://maps.google.com/maps?f=q&amp;hl=en&amp;geocode=&amp;q=30.8981,-94.01442")</f>
        <v>http://maps.google.com/maps?f=q&amp;hl=en&amp;geocode=&amp;q=30.8981,-94.01442</v>
      </c>
    </row>
    <row r="9180" spans="1:7" ht="15" x14ac:dyDescent="0.3">
      <c r="A9180">
        <v>31.151590694269601</v>
      </c>
      <c r="B9180">
        <v>-92.164835741367497</v>
      </c>
      <c r="C9180" t="s">
        <v>42</v>
      </c>
      <c r="D9180" t="s">
        <v>4929</v>
      </c>
      <c r="F9180" s="21"/>
      <c r="G9180" s="16" t="str">
        <f>HYPERLINK("http://maps.google.com/maps?f=q&amp;hl=en&amp;geocode=&amp;q=31.1515906942696,-92.1648357413675")</f>
        <v>http://maps.google.com/maps?f=q&amp;hl=en&amp;geocode=&amp;q=31.1515906942696,-92.1648357413675</v>
      </c>
    </row>
    <row r="9181" spans="1:7" ht="15" x14ac:dyDescent="0.3">
      <c r="A9181">
        <v>39.987336506266601</v>
      </c>
      <c r="B9181">
        <v>-75.098128812827298</v>
      </c>
      <c r="C9181" t="s">
        <v>41</v>
      </c>
      <c r="D9181" t="s">
        <v>1452</v>
      </c>
      <c r="F9181" s="21"/>
      <c r="G9181" s="16" t="str">
        <f>HYPERLINK("http://maps.google.com/maps?f=q&amp;hl=en&amp;geocode=&amp;q=39.9873365062666,-75.0981288128273")</f>
        <v>http://maps.google.com/maps?f=q&amp;hl=en&amp;geocode=&amp;q=39.9873365062666,-75.0981288128273</v>
      </c>
    </row>
    <row r="9182" spans="1:7" ht="15" x14ac:dyDescent="0.3">
      <c r="A9182">
        <v>42.832415529968998</v>
      </c>
      <c r="B9182">
        <v>-77.381095667409696</v>
      </c>
      <c r="C9182" t="s">
        <v>41</v>
      </c>
      <c r="D9182" t="s">
        <v>221</v>
      </c>
      <c r="F9182" s="21"/>
      <c r="G9182" s="16" t="str">
        <f>HYPERLINK("http://maps.google.com/maps?f=q&amp;hl=en&amp;geocode=&amp;q=42.832415529969,-77.3810956674097")</f>
        <v>http://maps.google.com/maps?f=q&amp;hl=en&amp;geocode=&amp;q=42.832415529969,-77.3810956674097</v>
      </c>
    </row>
    <row r="9183" spans="1:7" ht="15" x14ac:dyDescent="0.3">
      <c r="A9183">
        <v>38.758380000000002</v>
      </c>
      <c r="B9183">
        <v>-112.00269</v>
      </c>
      <c r="C9183" t="s">
        <v>43</v>
      </c>
      <c r="D9183" t="s">
        <v>5338</v>
      </c>
      <c r="F9183" s="21"/>
      <c r="G9183" s="16" t="str">
        <f>HYPERLINK("http://maps.google.com/maps?f=q&amp;hl=en&amp;geocode=&amp;q=38.75838,-112.00269")</f>
        <v>http://maps.google.com/maps?f=q&amp;hl=en&amp;geocode=&amp;q=38.75838,-112.00269</v>
      </c>
    </row>
    <row r="9184" spans="1:7" ht="15" x14ac:dyDescent="0.3">
      <c r="A9184">
        <v>39.953729590017403</v>
      </c>
      <c r="B9184">
        <v>-83.081732583046701</v>
      </c>
      <c r="C9184" t="s">
        <v>41</v>
      </c>
      <c r="D9184" t="s">
        <v>5339</v>
      </c>
      <c r="F9184" s="21"/>
      <c r="G9184" s="16" t="str">
        <f>HYPERLINK("http://maps.google.com/maps?f=q&amp;hl=en&amp;geocode=&amp;q=39.9537295900174,-83.0817325830467")</f>
        <v>http://maps.google.com/maps?f=q&amp;hl=en&amp;geocode=&amp;q=39.9537295900174,-83.0817325830467</v>
      </c>
    </row>
    <row r="9185" spans="1:7" ht="15" x14ac:dyDescent="0.3">
      <c r="A9185">
        <v>23.9262790679932</v>
      </c>
      <c r="B9185">
        <v>91.843841552734403</v>
      </c>
      <c r="C9185" t="s">
        <v>41</v>
      </c>
      <c r="D9185" t="s">
        <v>5340</v>
      </c>
      <c r="F9185" s="21"/>
      <c r="G9185" s="16" t="str">
        <f>HYPERLINK("http://maps.google.com/maps?f=q&amp;hl=en&amp;geocode=&amp;q=23.9262790679932,91.8438415527344")</f>
        <v>http://maps.google.com/maps?f=q&amp;hl=en&amp;geocode=&amp;q=23.9262790679932,91.8438415527344</v>
      </c>
    </row>
    <row r="9186" spans="1:7" ht="15" x14ac:dyDescent="0.3">
      <c r="A9186">
        <v>25.772040000000001</v>
      </c>
      <c r="B9186">
        <v>-80.132499999999993</v>
      </c>
      <c r="C9186" t="s">
        <v>42</v>
      </c>
      <c r="D9186" t="s">
        <v>5341</v>
      </c>
      <c r="F9186" s="21"/>
      <c r="G9186" s="16" t="str">
        <f>HYPERLINK("http://maps.google.com/maps?f=q&amp;hl=en&amp;geocode=&amp;q=25.77204,-80.1325")</f>
        <v>http://maps.google.com/maps?f=q&amp;hl=en&amp;geocode=&amp;q=25.77204,-80.1325</v>
      </c>
    </row>
    <row r="9187" spans="1:7" ht="15" x14ac:dyDescent="0.3">
      <c r="A9187">
        <v>25.772040000000001</v>
      </c>
      <c r="B9187">
        <v>-80.132499999999993</v>
      </c>
      <c r="C9187" t="s">
        <v>42</v>
      </c>
      <c r="D9187" t="s">
        <v>5341</v>
      </c>
      <c r="F9187" s="21"/>
      <c r="G9187" s="16" t="str">
        <f>HYPERLINK("http://maps.google.com/maps?f=q&amp;hl=en&amp;geocode=&amp;q=25.77204,-80.1325")</f>
        <v>http://maps.google.com/maps?f=q&amp;hl=en&amp;geocode=&amp;q=25.77204,-80.1325</v>
      </c>
    </row>
    <row r="9188" spans="1:7" ht="15" x14ac:dyDescent="0.3">
      <c r="A9188">
        <v>46.362678527832003</v>
      </c>
      <c r="B9188">
        <v>-1.2427899837493901</v>
      </c>
      <c r="C9188" t="s">
        <v>41</v>
      </c>
      <c r="D9188" t="s">
        <v>5342</v>
      </c>
      <c r="F9188" s="21"/>
      <c r="G9188" s="16" t="str">
        <f>HYPERLINK("http://maps.google.com/maps?f=q&amp;hl=en&amp;geocode=&amp;q=46.362678527832,-1.24278998374939")</f>
        <v>http://maps.google.com/maps?f=q&amp;hl=en&amp;geocode=&amp;q=46.362678527832,-1.24278998374939</v>
      </c>
    </row>
    <row r="9189" spans="1:7" ht="15" x14ac:dyDescent="0.3">
      <c r="A9189" t="s">
        <v>44</v>
      </c>
      <c r="B9189" t="s">
        <v>44</v>
      </c>
      <c r="C9189" t="s">
        <v>44</v>
      </c>
      <c r="D9189" t="s">
        <v>1004</v>
      </c>
      <c r="F9189" s="21"/>
      <c r="G9189" s="16"/>
    </row>
    <row r="9190" spans="1:7" ht="15" x14ac:dyDescent="0.3">
      <c r="A9190" t="s">
        <v>44</v>
      </c>
      <c r="B9190" t="s">
        <v>44</v>
      </c>
      <c r="C9190" t="s">
        <v>44</v>
      </c>
      <c r="D9190" t="s">
        <v>3255</v>
      </c>
      <c r="F9190" s="21"/>
      <c r="G9190" s="16"/>
    </row>
    <row r="9191" spans="1:7" ht="15" x14ac:dyDescent="0.3">
      <c r="A9191">
        <v>41.093879999999999</v>
      </c>
      <c r="B9191">
        <v>-111.98774</v>
      </c>
      <c r="C9191" t="s">
        <v>43</v>
      </c>
      <c r="D9191" t="s">
        <v>5343</v>
      </c>
      <c r="F9191" s="21"/>
      <c r="G9191" s="16" t="str">
        <f>HYPERLINK("http://maps.google.com/maps?f=q&amp;hl=en&amp;geocode=&amp;q=41.09388,-111.98774")</f>
        <v>http://maps.google.com/maps?f=q&amp;hl=en&amp;geocode=&amp;q=41.09388,-111.98774</v>
      </c>
    </row>
    <row r="9192" spans="1:7" ht="15" x14ac:dyDescent="0.3">
      <c r="A9192">
        <v>35.960046077557699</v>
      </c>
      <c r="B9192">
        <v>-83.884917972529195</v>
      </c>
      <c r="C9192" t="s">
        <v>43</v>
      </c>
      <c r="D9192" t="s">
        <v>5344</v>
      </c>
      <c r="F9192" s="21"/>
      <c r="G9192" s="16" t="str">
        <f>HYPERLINK("http://maps.google.com/maps?f=q&amp;hl=en&amp;geocode=&amp;q=35.9600460775577,-83.8849179725292")</f>
        <v>http://maps.google.com/maps?f=q&amp;hl=en&amp;geocode=&amp;q=35.9600460775577,-83.8849179725292</v>
      </c>
    </row>
    <row r="9193" spans="1:7" ht="15" x14ac:dyDescent="0.3">
      <c r="A9193">
        <v>40.020488446909397</v>
      </c>
      <c r="B9193">
        <v>-75.207376093174105</v>
      </c>
      <c r="C9193" t="s">
        <v>41</v>
      </c>
      <c r="D9193" t="s">
        <v>838</v>
      </c>
      <c r="F9193" s="21"/>
      <c r="G9193" s="16" t="str">
        <f>HYPERLINK("http://maps.google.com/maps?f=q&amp;hl=en&amp;geocode=&amp;q=40.0204884469094,-75.2073760931741")</f>
        <v>http://maps.google.com/maps?f=q&amp;hl=en&amp;geocode=&amp;q=40.0204884469094,-75.2073760931741</v>
      </c>
    </row>
    <row r="9194" spans="1:7" ht="15" x14ac:dyDescent="0.3">
      <c r="A9194">
        <v>40.027709999999999</v>
      </c>
      <c r="B9194">
        <v>-75.182519999999997</v>
      </c>
      <c r="C9194" t="s">
        <v>43</v>
      </c>
      <c r="D9194" t="s">
        <v>5345</v>
      </c>
      <c r="F9194" s="21"/>
      <c r="G9194" s="16" t="str">
        <f>HYPERLINK("http://maps.google.com/maps?f=q&amp;hl=en&amp;geocode=&amp;q=40.02771,-75.18252")</f>
        <v>http://maps.google.com/maps?f=q&amp;hl=en&amp;geocode=&amp;q=40.02771,-75.18252</v>
      </c>
    </row>
    <row r="9195" spans="1:7" ht="15" x14ac:dyDescent="0.3">
      <c r="A9195">
        <v>40.028979999999997</v>
      </c>
      <c r="B9195">
        <v>-75.181349999999995</v>
      </c>
      <c r="C9195" t="s">
        <v>43</v>
      </c>
      <c r="D9195" t="s">
        <v>5346</v>
      </c>
      <c r="F9195" s="21"/>
      <c r="G9195" s="16" t="str">
        <f>HYPERLINK("http://maps.google.com/maps?f=q&amp;hl=en&amp;geocode=&amp;q=40.02898,-75.18135")</f>
        <v>http://maps.google.com/maps?f=q&amp;hl=en&amp;geocode=&amp;q=40.02898,-75.18135</v>
      </c>
    </row>
    <row r="9196" spans="1:7" ht="15" x14ac:dyDescent="0.3">
      <c r="A9196" t="s">
        <v>44</v>
      </c>
      <c r="B9196" t="s">
        <v>44</v>
      </c>
      <c r="C9196" t="s">
        <v>44</v>
      </c>
      <c r="D9196" t="s">
        <v>5347</v>
      </c>
      <c r="F9196" s="21"/>
      <c r="G9196" s="16"/>
    </row>
    <row r="9197" spans="1:7" ht="15" x14ac:dyDescent="0.3">
      <c r="A9197">
        <v>49.4582328796387</v>
      </c>
      <c r="B9197">
        <v>6.0349712371826199</v>
      </c>
      <c r="C9197" t="s">
        <v>41</v>
      </c>
      <c r="D9197" t="s">
        <v>5348</v>
      </c>
      <c r="F9197" s="21"/>
      <c r="G9197" s="16" t="str">
        <f>HYPERLINK("http://maps.google.com/maps?f=q&amp;hl=en&amp;geocode=&amp;q=49.4582328796387,6.03497123718262")</f>
        <v>http://maps.google.com/maps?f=q&amp;hl=en&amp;geocode=&amp;q=49.4582328796387,6.03497123718262</v>
      </c>
    </row>
    <row r="9198" spans="1:7" ht="15" x14ac:dyDescent="0.3">
      <c r="A9198">
        <v>42.822775595264297</v>
      </c>
      <c r="B9198">
        <v>-74.475350031150896</v>
      </c>
      <c r="C9198" t="s">
        <v>41</v>
      </c>
      <c r="D9198" t="s">
        <v>3136</v>
      </c>
      <c r="F9198" s="21"/>
      <c r="G9198" s="16" t="str">
        <f>HYPERLINK("http://maps.google.com/maps?f=q&amp;hl=en&amp;geocode=&amp;q=42.8227755952643,-74.4753500311509")</f>
        <v>http://maps.google.com/maps?f=q&amp;hl=en&amp;geocode=&amp;q=42.8227755952643,-74.4753500311509</v>
      </c>
    </row>
    <row r="9199" spans="1:7" ht="15" x14ac:dyDescent="0.3">
      <c r="A9199">
        <v>47.5884399414063</v>
      </c>
      <c r="B9199">
        <v>14.140211105346699</v>
      </c>
      <c r="C9199" t="s">
        <v>43</v>
      </c>
      <c r="D9199" t="s">
        <v>5349</v>
      </c>
      <c r="F9199" s="21"/>
      <c r="G9199" s="16" t="str">
        <f>HYPERLINK("http://maps.google.com/maps?f=q&amp;hl=en&amp;geocode=&amp;q=47.5884399414063,14.1402111053467")</f>
        <v>http://maps.google.com/maps?f=q&amp;hl=en&amp;geocode=&amp;q=47.5884399414063,14.1402111053467</v>
      </c>
    </row>
    <row r="9200" spans="1:7" ht="15" x14ac:dyDescent="0.3">
      <c r="A9200" t="s">
        <v>44</v>
      </c>
      <c r="B9200" t="s">
        <v>44</v>
      </c>
      <c r="C9200" t="s">
        <v>44</v>
      </c>
      <c r="D9200" t="s">
        <v>5350</v>
      </c>
      <c r="F9200" s="21"/>
      <c r="G9200" s="16"/>
    </row>
    <row r="9201" spans="1:7" ht="15" x14ac:dyDescent="0.3">
      <c r="A9201">
        <v>39.414085388183601</v>
      </c>
      <c r="B9201">
        <v>-78.005714416503906</v>
      </c>
      <c r="C9201" t="s">
        <v>43</v>
      </c>
      <c r="D9201" t="s">
        <v>5351</v>
      </c>
      <c r="F9201" s="21"/>
      <c r="G9201" s="16" t="str">
        <f>HYPERLINK("http://maps.google.com/maps?f=q&amp;hl=en&amp;geocode=&amp;q=39.4140853881836,-78.0057144165039")</f>
        <v>http://maps.google.com/maps?f=q&amp;hl=en&amp;geocode=&amp;q=39.4140853881836,-78.0057144165039</v>
      </c>
    </row>
    <row r="9202" spans="1:7" ht="15" x14ac:dyDescent="0.3">
      <c r="A9202" t="s">
        <v>44</v>
      </c>
      <c r="B9202" t="s">
        <v>44</v>
      </c>
      <c r="C9202" t="s">
        <v>44</v>
      </c>
      <c r="D9202" t="s">
        <v>5352</v>
      </c>
      <c r="F9202" s="21"/>
      <c r="G9202" s="16"/>
    </row>
    <row r="9203" spans="1:7" ht="15" x14ac:dyDescent="0.3">
      <c r="A9203" t="s">
        <v>44</v>
      </c>
      <c r="B9203" t="s">
        <v>44</v>
      </c>
      <c r="C9203" t="s">
        <v>44</v>
      </c>
      <c r="D9203" t="s">
        <v>235</v>
      </c>
      <c r="F9203" s="21"/>
      <c r="G9203" s="16"/>
    </row>
    <row r="9204" spans="1:7" ht="15" x14ac:dyDescent="0.3">
      <c r="A9204" t="s">
        <v>44</v>
      </c>
      <c r="B9204" t="s">
        <v>44</v>
      </c>
      <c r="C9204" t="s">
        <v>44</v>
      </c>
      <c r="D9204" t="s">
        <v>235</v>
      </c>
      <c r="F9204" s="21"/>
      <c r="G9204" s="16"/>
    </row>
    <row r="9205" spans="1:7" ht="15" x14ac:dyDescent="0.3">
      <c r="A9205" t="s">
        <v>44</v>
      </c>
      <c r="B9205" t="s">
        <v>44</v>
      </c>
      <c r="C9205" t="s">
        <v>44</v>
      </c>
      <c r="D9205" t="s">
        <v>235</v>
      </c>
      <c r="F9205" s="21"/>
      <c r="G9205" s="16"/>
    </row>
    <row r="9206" spans="1:7" ht="15" x14ac:dyDescent="0.3">
      <c r="A9206" t="s">
        <v>44</v>
      </c>
      <c r="B9206" t="s">
        <v>44</v>
      </c>
      <c r="C9206" t="s">
        <v>44</v>
      </c>
      <c r="D9206" t="s">
        <v>235</v>
      </c>
      <c r="F9206" s="21"/>
      <c r="G9206" s="16"/>
    </row>
    <row r="9207" spans="1:7" ht="15" x14ac:dyDescent="0.3">
      <c r="A9207">
        <v>41.4069210126898</v>
      </c>
      <c r="B9207">
        <v>-81.788758187149796</v>
      </c>
      <c r="C9207" t="s">
        <v>41</v>
      </c>
      <c r="D9207" t="s">
        <v>2290</v>
      </c>
      <c r="F9207" s="21"/>
      <c r="G9207" s="16" t="str">
        <f>HYPERLINK("http://maps.google.com/maps?f=q&amp;hl=en&amp;geocode=&amp;q=41.4069210126898,-81.7887581871498")</f>
        <v>http://maps.google.com/maps?f=q&amp;hl=en&amp;geocode=&amp;q=41.4069210126898,-81.7887581871498</v>
      </c>
    </row>
    <row r="9208" spans="1:7" ht="15" x14ac:dyDescent="0.3">
      <c r="A9208" t="s">
        <v>44</v>
      </c>
      <c r="B9208" t="s">
        <v>44</v>
      </c>
      <c r="C9208" t="s">
        <v>44</v>
      </c>
      <c r="D9208" t="s">
        <v>235</v>
      </c>
      <c r="F9208" s="21"/>
      <c r="G9208" s="16"/>
    </row>
    <row r="9209" spans="1:7" ht="15" x14ac:dyDescent="0.3">
      <c r="A9209">
        <v>41.406639678847299</v>
      </c>
      <c r="B9209">
        <v>-81.788901933267894</v>
      </c>
      <c r="C9209" t="s">
        <v>41</v>
      </c>
      <c r="D9209" t="s">
        <v>4904</v>
      </c>
      <c r="F9209" s="21"/>
      <c r="G9209" s="16" t="str">
        <f>HYPERLINK("http://maps.google.com/maps?f=q&amp;hl=en&amp;geocode=&amp;q=41.4066396788473,-81.7889019332679")</f>
        <v>http://maps.google.com/maps?f=q&amp;hl=en&amp;geocode=&amp;q=41.4066396788473,-81.7889019332679</v>
      </c>
    </row>
    <row r="9210" spans="1:7" ht="15" x14ac:dyDescent="0.3">
      <c r="A9210">
        <v>-31.950477600097699</v>
      </c>
      <c r="B9210">
        <v>115.86053466796901</v>
      </c>
      <c r="C9210" t="s">
        <v>43</v>
      </c>
      <c r="D9210" t="s">
        <v>5353</v>
      </c>
      <c r="F9210" s="21"/>
      <c r="G9210" s="16" t="str">
        <f>HYPERLINK("http://maps.google.com/maps?f=q&amp;hl=en&amp;geocode=&amp;q=-31.9504776000977,115.860534667969")</f>
        <v>http://maps.google.com/maps?f=q&amp;hl=en&amp;geocode=&amp;q=-31.9504776000977,115.860534667969</v>
      </c>
    </row>
    <row r="9211" spans="1:7" ht="15" x14ac:dyDescent="0.3">
      <c r="A9211" t="s">
        <v>44</v>
      </c>
      <c r="B9211" t="s">
        <v>44</v>
      </c>
      <c r="C9211" t="s">
        <v>44</v>
      </c>
      <c r="D9211" t="s">
        <v>4532</v>
      </c>
      <c r="F9211" s="21"/>
      <c r="G9211" s="16"/>
    </row>
    <row r="9212" spans="1:7" ht="15" x14ac:dyDescent="0.3">
      <c r="A9212">
        <v>40.534829999999999</v>
      </c>
      <c r="B9212">
        <v>-122.38979999999999</v>
      </c>
      <c r="C9212" t="s">
        <v>41</v>
      </c>
      <c r="D9212" t="s">
        <v>5354</v>
      </c>
      <c r="F9212" s="21"/>
      <c r="G9212" s="16" t="str">
        <f>HYPERLINK("http://maps.google.com/maps?f=q&amp;hl=en&amp;geocode=&amp;q=40.53483,-122.3898")</f>
        <v>http://maps.google.com/maps?f=q&amp;hl=en&amp;geocode=&amp;q=40.53483,-122.3898</v>
      </c>
    </row>
    <row r="9213" spans="1:7" ht="15" x14ac:dyDescent="0.3">
      <c r="A9213">
        <v>42.999576568603501</v>
      </c>
      <c r="B9213">
        <v>-107.551513671875</v>
      </c>
      <c r="C9213" t="s">
        <v>41</v>
      </c>
      <c r="D9213" t="s">
        <v>5355</v>
      </c>
      <c r="F9213" s="21"/>
      <c r="G9213" s="16" t="str">
        <f>HYPERLINK("http://maps.google.com/maps?f=q&amp;hl=en&amp;geocode=&amp;q=42.9995765686035,-107.551513671875")</f>
        <v>http://maps.google.com/maps?f=q&amp;hl=en&amp;geocode=&amp;q=42.9995765686035,-107.551513671875</v>
      </c>
    </row>
    <row r="9214" spans="1:7" ht="15" x14ac:dyDescent="0.3">
      <c r="A9214">
        <v>35.902349999999998</v>
      </c>
      <c r="B9214">
        <v>-78.442880000000002</v>
      </c>
      <c r="C9214" t="s">
        <v>41</v>
      </c>
      <c r="D9214" t="s">
        <v>4459</v>
      </c>
      <c r="F9214" s="21"/>
      <c r="G9214" s="16" t="str">
        <f>HYPERLINK("http://maps.google.com/maps?f=q&amp;hl=en&amp;geocode=&amp;q=35.90235,-78.44288")</f>
        <v>http://maps.google.com/maps?f=q&amp;hl=en&amp;geocode=&amp;q=35.90235,-78.44288</v>
      </c>
    </row>
    <row r="9215" spans="1:7" ht="15" x14ac:dyDescent="0.3">
      <c r="A9215">
        <v>44.641788482666001</v>
      </c>
      <c r="B9215">
        <v>-89.736740112304702</v>
      </c>
      <c r="C9215" t="s">
        <v>41</v>
      </c>
      <c r="D9215" t="s">
        <v>5356</v>
      </c>
      <c r="F9215" s="21"/>
      <c r="G9215" s="16" t="str">
        <f>HYPERLINK("http://maps.google.com/maps?f=q&amp;hl=en&amp;geocode=&amp;q=44.641788482666,-89.7367401123047")</f>
        <v>http://maps.google.com/maps?f=q&amp;hl=en&amp;geocode=&amp;q=44.641788482666,-89.7367401123047</v>
      </c>
    </row>
    <row r="9216" spans="1:7" ht="15" x14ac:dyDescent="0.3">
      <c r="A9216">
        <v>-34.89349</v>
      </c>
      <c r="B9216">
        <v>138.56632999999999</v>
      </c>
      <c r="C9216" t="s">
        <v>41</v>
      </c>
      <c r="D9216" t="s">
        <v>5357</v>
      </c>
      <c r="F9216" s="21"/>
      <c r="G9216" s="16" t="str">
        <f>HYPERLINK("http://maps.google.com/maps?f=q&amp;hl=en&amp;geocode=&amp;q=-34.89349,138.56633")</f>
        <v>http://maps.google.com/maps?f=q&amp;hl=en&amp;geocode=&amp;q=-34.89349,138.56633</v>
      </c>
    </row>
    <row r="9217" spans="1:7" ht="15" x14ac:dyDescent="0.3">
      <c r="A9217">
        <v>33.001736422719702</v>
      </c>
      <c r="B9217">
        <v>-96.801505934742394</v>
      </c>
      <c r="C9217" t="s">
        <v>41</v>
      </c>
      <c r="D9217" t="s">
        <v>5358</v>
      </c>
      <c r="F9217" s="21"/>
      <c r="G9217" s="16" t="str">
        <f>HYPERLINK("http://maps.google.com/maps?f=q&amp;hl=en&amp;geocode=&amp;q=33.0017364227197,-96.8015059347424")</f>
        <v>http://maps.google.com/maps?f=q&amp;hl=en&amp;geocode=&amp;q=33.0017364227197,-96.8015059347424</v>
      </c>
    </row>
    <row r="9218" spans="1:7" ht="15" x14ac:dyDescent="0.3">
      <c r="A9218">
        <v>33.046970000000002</v>
      </c>
      <c r="B9218">
        <v>-96.738510000000005</v>
      </c>
      <c r="C9218" t="s">
        <v>41</v>
      </c>
      <c r="D9218" t="s">
        <v>5359</v>
      </c>
      <c r="F9218" s="21"/>
      <c r="G9218" s="16" t="str">
        <f>HYPERLINK("http://maps.google.com/maps?f=q&amp;hl=en&amp;geocode=&amp;q=33.04697,-96.73851")</f>
        <v>http://maps.google.com/maps?f=q&amp;hl=en&amp;geocode=&amp;q=33.04697,-96.73851</v>
      </c>
    </row>
    <row r="9219" spans="1:7" ht="15" x14ac:dyDescent="0.3">
      <c r="A9219" t="s">
        <v>44</v>
      </c>
      <c r="B9219" t="s">
        <v>44</v>
      </c>
      <c r="C9219" t="s">
        <v>44</v>
      </c>
      <c r="D9219" t="s">
        <v>5360</v>
      </c>
      <c r="F9219" s="21"/>
      <c r="G9219" s="16"/>
    </row>
    <row r="9220" spans="1:7" ht="15" x14ac:dyDescent="0.3">
      <c r="A9220">
        <v>42.999576568603501</v>
      </c>
      <c r="B9220">
        <v>-107.551513671875</v>
      </c>
      <c r="C9220" t="s">
        <v>41</v>
      </c>
      <c r="D9220" t="s">
        <v>5361</v>
      </c>
      <c r="F9220" s="21"/>
      <c r="G9220" s="16" t="str">
        <f>HYPERLINK("http://maps.google.com/maps?f=q&amp;hl=en&amp;geocode=&amp;q=42.9995765686035,-107.551513671875")</f>
        <v>http://maps.google.com/maps?f=q&amp;hl=en&amp;geocode=&amp;q=42.9995765686035,-107.551513671875</v>
      </c>
    </row>
    <row r="9221" spans="1:7" ht="15" x14ac:dyDescent="0.3">
      <c r="A9221">
        <v>-26.761019900000001</v>
      </c>
      <c r="B9221">
        <v>153.11199999999999</v>
      </c>
      <c r="C9221" t="s">
        <v>41</v>
      </c>
      <c r="D9221" t="s">
        <v>5362</v>
      </c>
      <c r="F9221" s="21"/>
      <c r="G9221" s="16" t="str">
        <f>HYPERLINK("http://maps.google.com/maps?f=q&amp;hl=en&amp;geocode=&amp;q=-26.7610199,153.112")</f>
        <v>http://maps.google.com/maps?f=q&amp;hl=en&amp;geocode=&amp;q=-26.7610199,153.112</v>
      </c>
    </row>
    <row r="9222" spans="1:7" ht="15" x14ac:dyDescent="0.3">
      <c r="A9222">
        <v>40.018228698077003</v>
      </c>
      <c r="B9222">
        <v>-75.1099946963094</v>
      </c>
      <c r="C9222" t="s">
        <v>41</v>
      </c>
      <c r="D9222" t="s">
        <v>5363</v>
      </c>
      <c r="F9222" s="21"/>
      <c r="G9222" s="16" t="str">
        <f>HYPERLINK("http://maps.google.com/maps?f=q&amp;hl=en&amp;geocode=&amp;q=40.018228698077,-75.1099946963094")</f>
        <v>http://maps.google.com/maps?f=q&amp;hl=en&amp;geocode=&amp;q=40.018228698077,-75.1099946963094</v>
      </c>
    </row>
    <row r="9223" spans="1:7" ht="15" x14ac:dyDescent="0.3">
      <c r="A9223">
        <v>37.006450000000001</v>
      </c>
      <c r="B9223">
        <v>-85.395020000000002</v>
      </c>
      <c r="C9223" t="s">
        <v>42</v>
      </c>
      <c r="D9223" t="s">
        <v>5364</v>
      </c>
      <c r="F9223" s="21"/>
      <c r="G9223" s="16" t="str">
        <f>HYPERLINK("http://maps.google.com/maps?f=q&amp;hl=en&amp;geocode=&amp;q=37.00645,-85.39502")</f>
        <v>http://maps.google.com/maps?f=q&amp;hl=en&amp;geocode=&amp;q=37.00645,-85.39502</v>
      </c>
    </row>
    <row r="9224" spans="1:7" ht="15" x14ac:dyDescent="0.3">
      <c r="A9224">
        <v>39.998888209467196</v>
      </c>
      <c r="B9224">
        <v>-75.108665964130907</v>
      </c>
      <c r="C9224" t="s">
        <v>41</v>
      </c>
      <c r="D9224" t="s">
        <v>5365</v>
      </c>
      <c r="F9224" s="21"/>
      <c r="G9224" s="16" t="str">
        <f>HYPERLINK("http://maps.google.com/maps?f=q&amp;hl=en&amp;geocode=&amp;q=39.9988882094672,-75.1086659641309")</f>
        <v>http://maps.google.com/maps?f=q&amp;hl=en&amp;geocode=&amp;q=39.9988882094672,-75.1086659641309</v>
      </c>
    </row>
    <row r="9225" spans="1:7" ht="15" x14ac:dyDescent="0.3">
      <c r="A9225">
        <v>-34.934739999999998</v>
      </c>
      <c r="B9225">
        <v>138.59979989999999</v>
      </c>
      <c r="C9225" t="s">
        <v>41</v>
      </c>
      <c r="D9225" t="s">
        <v>5366</v>
      </c>
      <c r="F9225" s="21"/>
      <c r="G9225" s="16" t="str">
        <f>HYPERLINK("http://maps.google.com/maps?f=q&amp;hl=en&amp;geocode=&amp;q=-34.93474,138.5997999")</f>
        <v>http://maps.google.com/maps?f=q&amp;hl=en&amp;geocode=&amp;q=-34.93474,138.5997999</v>
      </c>
    </row>
    <row r="9226" spans="1:7" ht="15" x14ac:dyDescent="0.3">
      <c r="A9226">
        <v>39.922519999999999</v>
      </c>
      <c r="B9226">
        <v>-75.175070000000005</v>
      </c>
      <c r="C9226" t="s">
        <v>43</v>
      </c>
      <c r="D9226" t="s">
        <v>5367</v>
      </c>
      <c r="F9226" s="21"/>
      <c r="G9226" s="16" t="str">
        <f>HYPERLINK("http://maps.google.com/maps?f=q&amp;hl=en&amp;geocode=&amp;q=39.92252,-75.17507")</f>
        <v>http://maps.google.com/maps?f=q&amp;hl=en&amp;geocode=&amp;q=39.92252,-75.17507</v>
      </c>
    </row>
    <row r="9227" spans="1:7" ht="15" x14ac:dyDescent="0.3">
      <c r="A9227">
        <v>39.922519999999999</v>
      </c>
      <c r="B9227">
        <v>-75.175070000000005</v>
      </c>
      <c r="C9227" t="s">
        <v>43</v>
      </c>
      <c r="D9227" t="s">
        <v>5368</v>
      </c>
      <c r="F9227" s="21"/>
      <c r="G9227" s="16" t="str">
        <f>HYPERLINK("http://maps.google.com/maps?f=q&amp;hl=en&amp;geocode=&amp;q=39.92252,-75.17507")</f>
        <v>http://maps.google.com/maps?f=q&amp;hl=en&amp;geocode=&amp;q=39.92252,-75.17507</v>
      </c>
    </row>
    <row r="9228" spans="1:7" ht="15" x14ac:dyDescent="0.3">
      <c r="A9228">
        <v>43.210891723632798</v>
      </c>
      <c r="B9228">
        <v>-123.343231201172</v>
      </c>
      <c r="C9228" t="s">
        <v>43</v>
      </c>
      <c r="D9228" t="s">
        <v>4422</v>
      </c>
      <c r="F9228" s="21"/>
      <c r="G9228" s="16" t="str">
        <f>HYPERLINK("http://maps.google.com/maps?f=q&amp;hl=en&amp;geocode=&amp;q=43.2108917236328,-123.343231201172")</f>
        <v>http://maps.google.com/maps?f=q&amp;hl=en&amp;geocode=&amp;q=43.2108917236328,-123.343231201172</v>
      </c>
    </row>
    <row r="9229" spans="1:7" ht="15" x14ac:dyDescent="0.3">
      <c r="A9229">
        <v>46.782958984375</v>
      </c>
      <c r="B9229">
        <v>7.0637497901916504</v>
      </c>
      <c r="C9229" t="s">
        <v>41</v>
      </c>
      <c r="D9229" t="s">
        <v>3847</v>
      </c>
      <c r="F9229" s="21"/>
      <c r="G9229" s="16" t="str">
        <f>HYPERLINK("http://maps.google.com/maps?f=q&amp;hl=en&amp;geocode=&amp;q=46.782958984375,7.06374979019165")</f>
        <v>http://maps.google.com/maps?f=q&amp;hl=en&amp;geocode=&amp;q=46.782958984375,7.06374979019165</v>
      </c>
    </row>
    <row r="9230" spans="1:7" ht="15" x14ac:dyDescent="0.3">
      <c r="A9230">
        <v>33.845274645137003</v>
      </c>
      <c r="B9230">
        <v>-118.38155711971</v>
      </c>
      <c r="C9230" t="s">
        <v>41</v>
      </c>
      <c r="D9230" t="s">
        <v>5369</v>
      </c>
      <c r="F9230" s="21"/>
      <c r="G9230" s="16" t="str">
        <f>HYPERLINK("http://maps.google.com/maps?f=q&amp;hl=en&amp;geocode=&amp;q=33.845274645137,-118.38155711971")</f>
        <v>http://maps.google.com/maps?f=q&amp;hl=en&amp;geocode=&amp;q=33.845274645137,-118.38155711971</v>
      </c>
    </row>
    <row r="9231" spans="1:7" ht="15" x14ac:dyDescent="0.3">
      <c r="A9231">
        <v>-38.048560000000002</v>
      </c>
      <c r="B9231">
        <v>145.36967000000001</v>
      </c>
      <c r="C9231" t="s">
        <v>41</v>
      </c>
      <c r="D9231" t="s">
        <v>4647</v>
      </c>
      <c r="F9231" s="21"/>
      <c r="G9231" s="16" t="str">
        <f>HYPERLINK("http://maps.google.com/maps?f=q&amp;hl=en&amp;geocode=&amp;q=-38.04856,145.36967")</f>
        <v>http://maps.google.com/maps?f=q&amp;hl=en&amp;geocode=&amp;q=-38.04856,145.36967</v>
      </c>
    </row>
    <row r="9232" spans="1:7" ht="15" x14ac:dyDescent="0.3">
      <c r="A9232">
        <v>40.095723765527502</v>
      </c>
      <c r="B9232">
        <v>-111.606798151455</v>
      </c>
      <c r="C9232" t="s">
        <v>41</v>
      </c>
      <c r="D9232" t="s">
        <v>5370</v>
      </c>
      <c r="F9232" s="21"/>
      <c r="G9232" s="16" t="str">
        <f>HYPERLINK("http://maps.google.com/maps?f=q&amp;hl=en&amp;geocode=&amp;q=40.0957237655275,-111.606798151455")</f>
        <v>http://maps.google.com/maps?f=q&amp;hl=en&amp;geocode=&amp;q=40.0957237655275,-111.606798151455</v>
      </c>
    </row>
    <row r="9233" spans="1:7" ht="15" x14ac:dyDescent="0.3">
      <c r="A9233">
        <v>39.953850000000003</v>
      </c>
      <c r="B9233">
        <v>-75.246650000000002</v>
      </c>
      <c r="C9233" t="s">
        <v>41</v>
      </c>
      <c r="D9233" t="s">
        <v>740</v>
      </c>
      <c r="F9233" s="21"/>
      <c r="G9233" s="16" t="str">
        <f>HYPERLINK("http://maps.google.com/maps?f=q&amp;hl=en&amp;geocode=&amp;q=39.95385,-75.24665")</f>
        <v>http://maps.google.com/maps?f=q&amp;hl=en&amp;geocode=&amp;q=39.95385,-75.24665</v>
      </c>
    </row>
    <row r="9234" spans="1:7" ht="15" x14ac:dyDescent="0.3">
      <c r="A9234">
        <v>41.403591156005902</v>
      </c>
      <c r="B9234">
        <v>-94.888656616210895</v>
      </c>
      <c r="C9234" t="s">
        <v>41</v>
      </c>
      <c r="D9234" t="s">
        <v>4910</v>
      </c>
      <c r="F9234" s="21"/>
      <c r="G9234" s="16" t="str">
        <f>HYPERLINK("http://maps.google.com/maps?f=q&amp;hl=en&amp;geocode=&amp;q=41.4035911560059,-94.8886566162109")</f>
        <v>http://maps.google.com/maps?f=q&amp;hl=en&amp;geocode=&amp;q=41.4035911560059,-94.8886566162109</v>
      </c>
    </row>
    <row r="9235" spans="1:7" ht="15" x14ac:dyDescent="0.3">
      <c r="A9235">
        <v>35.122309999999999</v>
      </c>
      <c r="B9235">
        <v>-80.771550000000005</v>
      </c>
      <c r="C9235" t="s">
        <v>43</v>
      </c>
      <c r="D9235" t="s">
        <v>5371</v>
      </c>
      <c r="F9235" s="21"/>
      <c r="G9235" s="16" t="str">
        <f>HYPERLINK("http://maps.google.com/maps?f=q&amp;hl=en&amp;geocode=&amp;q=35.12231,-80.77155")</f>
        <v>http://maps.google.com/maps?f=q&amp;hl=en&amp;geocode=&amp;q=35.12231,-80.77155</v>
      </c>
    </row>
    <row r="9236" spans="1:7" ht="15" x14ac:dyDescent="0.3">
      <c r="A9236">
        <v>45.634151458740199</v>
      </c>
      <c r="B9236">
        <v>-84.782386779785199</v>
      </c>
      <c r="C9236" t="s">
        <v>43</v>
      </c>
      <c r="D9236" t="s">
        <v>1068</v>
      </c>
      <c r="F9236" s="21"/>
      <c r="G9236" s="16" t="str">
        <f>HYPERLINK("http://maps.google.com/maps?f=q&amp;hl=en&amp;geocode=&amp;q=45.6341514587402,-84.7823867797852")</f>
        <v>http://maps.google.com/maps?f=q&amp;hl=en&amp;geocode=&amp;q=45.6341514587402,-84.7823867797852</v>
      </c>
    </row>
    <row r="9237" spans="1:7" ht="15" x14ac:dyDescent="0.3">
      <c r="A9237">
        <v>39.973179999999999</v>
      </c>
      <c r="B9237">
        <v>-75.209850000000003</v>
      </c>
      <c r="C9237" t="s">
        <v>41</v>
      </c>
      <c r="D9237" t="s">
        <v>3179</v>
      </c>
      <c r="F9237" s="21"/>
      <c r="G9237" s="16" t="str">
        <f>HYPERLINK("http://maps.google.com/maps?f=q&amp;hl=en&amp;geocode=&amp;q=39.97318,-75.20985")</f>
        <v>http://maps.google.com/maps?f=q&amp;hl=en&amp;geocode=&amp;q=39.97318,-75.20985</v>
      </c>
    </row>
    <row r="9238" spans="1:7" ht="15" x14ac:dyDescent="0.3">
      <c r="A9238" t="s">
        <v>44</v>
      </c>
      <c r="B9238" t="s">
        <v>44</v>
      </c>
      <c r="C9238" t="s">
        <v>44</v>
      </c>
      <c r="D9238" t="s">
        <v>1485</v>
      </c>
      <c r="F9238" s="21"/>
      <c r="G9238" s="16"/>
    </row>
    <row r="9239" spans="1:7" ht="15" x14ac:dyDescent="0.3">
      <c r="A9239" t="s">
        <v>44</v>
      </c>
      <c r="B9239" t="s">
        <v>44</v>
      </c>
      <c r="C9239" t="s">
        <v>44</v>
      </c>
      <c r="D9239" t="s">
        <v>4514</v>
      </c>
      <c r="F9239" s="21"/>
      <c r="G9239" s="16"/>
    </row>
    <row r="9240" spans="1:7" ht="15" x14ac:dyDescent="0.3">
      <c r="A9240">
        <v>39.926000000000002</v>
      </c>
      <c r="B9240">
        <v>-75.172690000000003</v>
      </c>
      <c r="C9240" t="s">
        <v>43</v>
      </c>
      <c r="D9240" t="s">
        <v>3653</v>
      </c>
      <c r="F9240" s="21"/>
      <c r="G9240" s="16" t="str">
        <f>HYPERLINK("http://maps.google.com/maps?f=q&amp;hl=en&amp;geocode=&amp;q=39.926,-75.17269")</f>
        <v>http://maps.google.com/maps?f=q&amp;hl=en&amp;geocode=&amp;q=39.926,-75.17269</v>
      </c>
    </row>
    <row r="9241" spans="1:7" ht="15" x14ac:dyDescent="0.3">
      <c r="A9241">
        <v>40.217080000000003</v>
      </c>
      <c r="B9241">
        <v>-78.254660000000001</v>
      </c>
      <c r="C9241" t="s">
        <v>43</v>
      </c>
      <c r="D9241" t="s">
        <v>5372</v>
      </c>
      <c r="F9241" s="21"/>
      <c r="G9241" s="16" t="str">
        <f>HYPERLINK("http://maps.google.com/maps?f=q&amp;hl=en&amp;geocode=&amp;q=40.21708,-78.25466")</f>
        <v>http://maps.google.com/maps?f=q&amp;hl=en&amp;geocode=&amp;q=40.21708,-78.25466</v>
      </c>
    </row>
    <row r="9242" spans="1:7" ht="15" x14ac:dyDescent="0.3">
      <c r="A9242" t="s">
        <v>44</v>
      </c>
      <c r="B9242" t="s">
        <v>44</v>
      </c>
      <c r="C9242" t="s">
        <v>44</v>
      </c>
      <c r="D9242" t="s">
        <v>5373</v>
      </c>
      <c r="F9242" s="21"/>
      <c r="G9242" s="16"/>
    </row>
    <row r="9243" spans="1:7" ht="15" x14ac:dyDescent="0.3">
      <c r="A9243">
        <v>54.562068939208999</v>
      </c>
      <c r="B9243">
        <v>-125.10440063476599</v>
      </c>
      <c r="C9243" t="s">
        <v>41</v>
      </c>
      <c r="D9243" t="s">
        <v>5374</v>
      </c>
      <c r="F9243" s="21"/>
      <c r="G9243" s="16" t="str">
        <f>HYPERLINK("http://maps.google.com/maps?f=q&amp;hl=en&amp;geocode=&amp;q=54.562068939209,-125.104400634766")</f>
        <v>http://maps.google.com/maps?f=q&amp;hl=en&amp;geocode=&amp;q=54.562068939209,-125.104400634766</v>
      </c>
    </row>
    <row r="9244" spans="1:7" ht="15" x14ac:dyDescent="0.3">
      <c r="F9244" s="21"/>
      <c r="G9244" s="16"/>
    </row>
    <row r="9245" spans="1:7" ht="15" x14ac:dyDescent="0.3">
      <c r="A9245" t="s">
        <v>44</v>
      </c>
      <c r="B9245" t="s">
        <v>44</v>
      </c>
      <c r="C9245" t="s">
        <v>44</v>
      </c>
      <c r="D9245" t="s">
        <v>981</v>
      </c>
      <c r="F9245" s="21"/>
      <c r="G9245" s="16"/>
    </row>
    <row r="9246" spans="1:7" ht="15" x14ac:dyDescent="0.3">
      <c r="A9246" t="s">
        <v>44</v>
      </c>
      <c r="B9246" t="s">
        <v>44</v>
      </c>
      <c r="C9246" t="s">
        <v>44</v>
      </c>
      <c r="D9246" t="s">
        <v>4438</v>
      </c>
      <c r="F9246" s="21"/>
      <c r="G9246" s="16"/>
    </row>
    <row r="9247" spans="1:7" ht="15" x14ac:dyDescent="0.3">
      <c r="A9247">
        <v>48.672306060791001</v>
      </c>
      <c r="B9247">
        <v>7.5540661811828604</v>
      </c>
      <c r="C9247" t="s">
        <v>43</v>
      </c>
      <c r="D9247" t="s">
        <v>5375</v>
      </c>
      <c r="F9247" s="21"/>
      <c r="G9247" s="16" t="str">
        <f>HYPERLINK("http://maps.google.com/maps?f=q&amp;hl=en&amp;geocode=&amp;q=48.672306060791,7.55406618118286")</f>
        <v>http://maps.google.com/maps?f=q&amp;hl=en&amp;geocode=&amp;q=48.672306060791,7.55406618118286</v>
      </c>
    </row>
    <row r="9248" spans="1:7" ht="15" x14ac:dyDescent="0.3">
      <c r="A9248" t="s">
        <v>44</v>
      </c>
      <c r="B9248" t="s">
        <v>44</v>
      </c>
      <c r="C9248" t="s">
        <v>44</v>
      </c>
      <c r="D9248" t="s">
        <v>5376</v>
      </c>
      <c r="F9248" s="21"/>
      <c r="G9248" s="16"/>
    </row>
    <row r="9249" spans="1:7" ht="15" x14ac:dyDescent="0.3">
      <c r="A9249">
        <v>40.140203858915299</v>
      </c>
      <c r="B9249">
        <v>-87.385117217546096</v>
      </c>
      <c r="C9249" t="s">
        <v>41</v>
      </c>
      <c r="D9249" t="s">
        <v>5377</v>
      </c>
      <c r="F9249" s="21"/>
      <c r="G9249" s="16" t="str">
        <f>HYPERLINK("http://maps.google.com/maps?f=q&amp;hl=en&amp;geocode=&amp;q=40.1402038589153,-87.3851172175461")</f>
        <v>http://maps.google.com/maps?f=q&amp;hl=en&amp;geocode=&amp;q=40.1402038589153,-87.3851172175461</v>
      </c>
    </row>
    <row r="9250" spans="1:7" ht="15" x14ac:dyDescent="0.3">
      <c r="A9250">
        <v>40.905166253895999</v>
      </c>
      <c r="B9250">
        <v>-77.452244841612398</v>
      </c>
      <c r="C9250" t="s">
        <v>41</v>
      </c>
      <c r="D9250" t="s">
        <v>2402</v>
      </c>
      <c r="F9250" s="21"/>
      <c r="G9250" s="16" t="str">
        <f>HYPERLINK("http://maps.google.com/maps?f=q&amp;hl=en&amp;geocode=&amp;q=40.905166253896,-77.4522448416124")</f>
        <v>http://maps.google.com/maps?f=q&amp;hl=en&amp;geocode=&amp;q=40.905166253896,-77.4522448416124</v>
      </c>
    </row>
    <row r="9251" spans="1:7" ht="15" x14ac:dyDescent="0.3">
      <c r="A9251">
        <v>40.905166253895999</v>
      </c>
      <c r="B9251">
        <v>-77.452244841612398</v>
      </c>
      <c r="C9251" t="s">
        <v>41</v>
      </c>
      <c r="D9251" t="s">
        <v>2402</v>
      </c>
      <c r="F9251" s="21"/>
      <c r="G9251" s="16" t="str">
        <f>HYPERLINK("http://maps.google.com/maps?f=q&amp;hl=en&amp;geocode=&amp;q=40.905166253896,-77.4522448416124")</f>
        <v>http://maps.google.com/maps?f=q&amp;hl=en&amp;geocode=&amp;q=40.905166253896,-77.4522448416124</v>
      </c>
    </row>
    <row r="9252" spans="1:7" ht="15" x14ac:dyDescent="0.3">
      <c r="A9252">
        <v>49.515415191650398</v>
      </c>
      <c r="B9252">
        <v>5.9030418395996103</v>
      </c>
      <c r="C9252" t="s">
        <v>41</v>
      </c>
      <c r="D9252" t="s">
        <v>5378</v>
      </c>
      <c r="F9252" s="21"/>
      <c r="G9252" s="16" t="str">
        <f>HYPERLINK("http://maps.google.com/maps?f=q&amp;hl=en&amp;geocode=&amp;q=49.5154151916504,5.90304183959961")</f>
        <v>http://maps.google.com/maps?f=q&amp;hl=en&amp;geocode=&amp;q=49.5154151916504,5.90304183959961</v>
      </c>
    </row>
    <row r="9253" spans="1:7" ht="15" x14ac:dyDescent="0.3">
      <c r="A9253">
        <v>-31.943090000000002</v>
      </c>
      <c r="B9253">
        <v>115.87672000000001</v>
      </c>
      <c r="C9253" t="s">
        <v>41</v>
      </c>
      <c r="D9253" t="s">
        <v>5379</v>
      </c>
      <c r="F9253" s="21"/>
      <c r="G9253" s="16" t="str">
        <f>HYPERLINK("http://maps.google.com/maps?f=q&amp;hl=en&amp;geocode=&amp;q=-31.94309,115.87672")</f>
        <v>http://maps.google.com/maps?f=q&amp;hl=en&amp;geocode=&amp;q=-31.94309,115.87672</v>
      </c>
    </row>
    <row r="9254" spans="1:7" ht="15" x14ac:dyDescent="0.3">
      <c r="A9254">
        <v>39.992179999999998</v>
      </c>
      <c r="B9254">
        <v>-75.100999999999999</v>
      </c>
      <c r="C9254" t="s">
        <v>41</v>
      </c>
      <c r="D9254" t="s">
        <v>716</v>
      </c>
      <c r="F9254" s="21"/>
      <c r="G9254" s="16" t="str">
        <f>HYPERLINK("http://maps.google.com/maps?f=q&amp;hl=en&amp;geocode=&amp;q=39.99218,-75.101")</f>
        <v>http://maps.google.com/maps?f=q&amp;hl=en&amp;geocode=&amp;q=39.99218,-75.101</v>
      </c>
    </row>
    <row r="9255" spans="1:7" ht="15" x14ac:dyDescent="0.3">
      <c r="A9255">
        <v>34.119529999999997</v>
      </c>
      <c r="B9255">
        <v>-118.13061</v>
      </c>
      <c r="C9255" t="s">
        <v>42</v>
      </c>
      <c r="D9255" t="s">
        <v>5380</v>
      </c>
      <c r="F9255" s="21"/>
      <c r="G9255" s="16" t="str">
        <f>HYPERLINK("http://maps.google.com/maps?f=q&amp;hl=en&amp;geocode=&amp;q=34.11953,-118.13061")</f>
        <v>http://maps.google.com/maps?f=q&amp;hl=en&amp;geocode=&amp;q=34.11953,-118.13061</v>
      </c>
    </row>
    <row r="9256" spans="1:7" ht="15" x14ac:dyDescent="0.3">
      <c r="A9256">
        <v>41.016536227324401</v>
      </c>
      <c r="B9256">
        <v>-83.677931209680096</v>
      </c>
      <c r="C9256" t="s">
        <v>41</v>
      </c>
      <c r="D9256" t="s">
        <v>1523</v>
      </c>
      <c r="F9256" s="21"/>
      <c r="G9256" s="16" t="str">
        <f>HYPERLINK("http://maps.google.com/maps?f=q&amp;hl=en&amp;geocode=&amp;q=41.0165362273244,-83.6779312096801")</f>
        <v>http://maps.google.com/maps?f=q&amp;hl=en&amp;geocode=&amp;q=41.0165362273244,-83.6779312096801</v>
      </c>
    </row>
    <row r="9257" spans="1:7" ht="15" x14ac:dyDescent="0.3">
      <c r="A9257">
        <v>42.999576568603501</v>
      </c>
      <c r="B9257">
        <v>-107.551513671875</v>
      </c>
      <c r="C9257" t="s">
        <v>41</v>
      </c>
      <c r="D9257" t="s">
        <v>2245</v>
      </c>
      <c r="F9257" s="21"/>
      <c r="G9257" s="16" t="str">
        <f>HYPERLINK("http://maps.google.com/maps?f=q&amp;hl=en&amp;geocode=&amp;q=42.9995765686035,-107.551513671875")</f>
        <v>http://maps.google.com/maps?f=q&amp;hl=en&amp;geocode=&amp;q=42.9995765686035,-107.551513671875</v>
      </c>
    </row>
    <row r="9258" spans="1:7" ht="15" x14ac:dyDescent="0.3">
      <c r="A9258">
        <v>42.999576568603501</v>
      </c>
      <c r="B9258">
        <v>-107.551513671875</v>
      </c>
      <c r="C9258" t="s">
        <v>41</v>
      </c>
      <c r="D9258" t="s">
        <v>2245</v>
      </c>
      <c r="F9258" s="21"/>
      <c r="G9258" s="16" t="str">
        <f>HYPERLINK("http://maps.google.com/maps?f=q&amp;hl=en&amp;geocode=&amp;q=42.9995765686035,-107.551513671875")</f>
        <v>http://maps.google.com/maps?f=q&amp;hl=en&amp;geocode=&amp;q=42.9995765686035,-107.551513671875</v>
      </c>
    </row>
    <row r="9259" spans="1:7" ht="15" x14ac:dyDescent="0.3">
      <c r="A9259" t="s">
        <v>44</v>
      </c>
      <c r="B9259" t="s">
        <v>44</v>
      </c>
      <c r="C9259" t="s">
        <v>44</v>
      </c>
      <c r="D9259" t="s">
        <v>1004</v>
      </c>
      <c r="F9259" s="21"/>
      <c r="G9259" s="16"/>
    </row>
    <row r="9260" spans="1:7" ht="15" x14ac:dyDescent="0.3">
      <c r="A9260">
        <v>40.132370000000002</v>
      </c>
      <c r="B9260">
        <v>-75.007909999999995</v>
      </c>
      <c r="C9260" t="s">
        <v>41</v>
      </c>
      <c r="D9260" t="s">
        <v>55</v>
      </c>
      <c r="F9260" s="21"/>
      <c r="G9260" s="16" t="str">
        <f>HYPERLINK("http://maps.google.com/maps?f=q&amp;hl=en&amp;geocode=&amp;q=40.13237,-75.00791")</f>
        <v>http://maps.google.com/maps?f=q&amp;hl=en&amp;geocode=&amp;q=40.13237,-75.00791</v>
      </c>
    </row>
    <row r="9261" spans="1:7" ht="15" x14ac:dyDescent="0.3">
      <c r="A9261">
        <v>40.132370000000002</v>
      </c>
      <c r="B9261">
        <v>-75.007909999999995</v>
      </c>
      <c r="C9261" t="s">
        <v>41</v>
      </c>
      <c r="D9261" t="s">
        <v>55</v>
      </c>
      <c r="F9261" s="21"/>
      <c r="G9261" s="16" t="str">
        <f>HYPERLINK("http://maps.google.com/maps?f=q&amp;hl=en&amp;geocode=&amp;q=40.13237,-75.00791")</f>
        <v>http://maps.google.com/maps?f=q&amp;hl=en&amp;geocode=&amp;q=40.13237,-75.00791</v>
      </c>
    </row>
    <row r="9262" spans="1:7" ht="15" x14ac:dyDescent="0.3">
      <c r="A9262">
        <v>40.036191072455601</v>
      </c>
      <c r="B9262">
        <v>-75.074680177067705</v>
      </c>
      <c r="C9262" t="s">
        <v>41</v>
      </c>
      <c r="D9262" t="s">
        <v>5381</v>
      </c>
      <c r="F9262" s="21"/>
      <c r="G9262" s="16" t="str">
        <f>HYPERLINK("http://maps.google.com/maps?f=q&amp;hl=en&amp;geocode=&amp;q=40.0361910724556,-75.0746801770677")</f>
        <v>http://maps.google.com/maps?f=q&amp;hl=en&amp;geocode=&amp;q=40.0361910724556,-75.0746801770677</v>
      </c>
    </row>
    <row r="9263" spans="1:7" ht="15" x14ac:dyDescent="0.3">
      <c r="A9263">
        <v>39.996954737656701</v>
      </c>
      <c r="B9263">
        <v>-75.117221959843704</v>
      </c>
      <c r="C9263" t="s">
        <v>41</v>
      </c>
      <c r="D9263" t="s">
        <v>521</v>
      </c>
      <c r="F9263" s="21"/>
      <c r="G9263" s="16" t="str">
        <f>HYPERLINK("http://maps.google.com/maps?f=q&amp;hl=en&amp;geocode=&amp;q=39.9969547376567,-75.1172219598437")</f>
        <v>http://maps.google.com/maps?f=q&amp;hl=en&amp;geocode=&amp;q=39.9969547376567,-75.1172219598437</v>
      </c>
    </row>
    <row r="9264" spans="1:7" ht="15" x14ac:dyDescent="0.3">
      <c r="A9264">
        <v>38.470259810760297</v>
      </c>
      <c r="B9264">
        <v>-81.499467432929293</v>
      </c>
      <c r="C9264" t="s">
        <v>41</v>
      </c>
      <c r="D9264" t="s">
        <v>1175</v>
      </c>
      <c r="F9264" s="21"/>
      <c r="G9264" s="16" t="str">
        <f>HYPERLINK("http://maps.google.com/maps?f=q&amp;hl=en&amp;geocode=&amp;q=38.4702598107603,-81.4994674329293")</f>
        <v>http://maps.google.com/maps?f=q&amp;hl=en&amp;geocode=&amp;q=38.4702598107603,-81.4994674329293</v>
      </c>
    </row>
    <row r="9265" spans="1:7" ht="15" x14ac:dyDescent="0.3">
      <c r="A9265" t="s">
        <v>44</v>
      </c>
      <c r="B9265" t="s">
        <v>44</v>
      </c>
      <c r="C9265" t="s">
        <v>44</v>
      </c>
      <c r="D9265" t="s">
        <v>1004</v>
      </c>
      <c r="F9265" s="21"/>
      <c r="G9265" s="16"/>
    </row>
    <row r="9266" spans="1:7" ht="15" x14ac:dyDescent="0.3">
      <c r="A9266">
        <v>38.973060607910199</v>
      </c>
      <c r="B9266">
        <v>-95.236526489257798</v>
      </c>
      <c r="C9266" t="s">
        <v>43</v>
      </c>
      <c r="D9266" t="s">
        <v>1271</v>
      </c>
      <c r="F9266" s="21"/>
      <c r="G9266" s="16" t="str">
        <f>HYPERLINK("http://maps.google.com/maps?f=q&amp;hl=en&amp;geocode=&amp;q=38.9730606079102,-95.2365264892578")</f>
        <v>http://maps.google.com/maps?f=q&amp;hl=en&amp;geocode=&amp;q=38.9730606079102,-95.2365264892578</v>
      </c>
    </row>
    <row r="9267" spans="1:7" ht="15" x14ac:dyDescent="0.3">
      <c r="A9267">
        <v>39.694409560255203</v>
      </c>
      <c r="B9267">
        <v>-84.118646745103007</v>
      </c>
      <c r="C9267" t="s">
        <v>41</v>
      </c>
      <c r="D9267" t="s">
        <v>600</v>
      </c>
      <c r="F9267" s="21"/>
      <c r="G9267" s="16" t="str">
        <f>HYPERLINK("http://maps.google.com/maps?f=q&amp;hl=en&amp;geocode=&amp;q=39.6944095602552,-84.118646745103")</f>
        <v>http://maps.google.com/maps?f=q&amp;hl=en&amp;geocode=&amp;q=39.6944095602552,-84.118646745103</v>
      </c>
    </row>
    <row r="9268" spans="1:7" ht="15" x14ac:dyDescent="0.3">
      <c r="A9268">
        <v>39.694409560255203</v>
      </c>
      <c r="B9268">
        <v>-84.118646745103007</v>
      </c>
      <c r="C9268" t="s">
        <v>41</v>
      </c>
      <c r="D9268" t="s">
        <v>600</v>
      </c>
      <c r="F9268" s="21"/>
      <c r="G9268" s="16" t="str">
        <f>HYPERLINK("http://maps.google.com/maps?f=q&amp;hl=en&amp;geocode=&amp;q=39.6944095602552,-84.118646745103")</f>
        <v>http://maps.google.com/maps?f=q&amp;hl=en&amp;geocode=&amp;q=39.6944095602552,-84.118646745103</v>
      </c>
    </row>
    <row r="9269" spans="1:7" ht="15" x14ac:dyDescent="0.3">
      <c r="A9269">
        <v>41.079008650062399</v>
      </c>
      <c r="B9269">
        <v>-80.721013110627894</v>
      </c>
      <c r="C9269" t="s">
        <v>41</v>
      </c>
      <c r="D9269" t="s">
        <v>630</v>
      </c>
      <c r="F9269" s="21"/>
      <c r="G9269" s="16" t="str">
        <f>HYPERLINK("http://maps.google.com/maps?f=q&amp;hl=en&amp;geocode=&amp;q=41.0790086500624,-80.7210131106279")</f>
        <v>http://maps.google.com/maps?f=q&amp;hl=en&amp;geocode=&amp;q=41.0790086500624,-80.7210131106279</v>
      </c>
    </row>
    <row r="9270" spans="1:7" ht="15" x14ac:dyDescent="0.3">
      <c r="A9270">
        <v>41.079008650062399</v>
      </c>
      <c r="B9270">
        <v>-80.721013110627894</v>
      </c>
      <c r="C9270" t="s">
        <v>41</v>
      </c>
      <c r="D9270" t="s">
        <v>630</v>
      </c>
      <c r="F9270" s="21"/>
      <c r="G9270" s="16" t="str">
        <f>HYPERLINK("http://maps.google.com/maps?f=q&amp;hl=en&amp;geocode=&amp;q=41.0790086500624,-80.7210131106279")</f>
        <v>http://maps.google.com/maps?f=q&amp;hl=en&amp;geocode=&amp;q=41.0790086500624,-80.7210131106279</v>
      </c>
    </row>
    <row r="9271" spans="1:7" ht="15" x14ac:dyDescent="0.3">
      <c r="A9271">
        <v>41.079008650062399</v>
      </c>
      <c r="B9271">
        <v>-80.721013110627894</v>
      </c>
      <c r="C9271" t="s">
        <v>41</v>
      </c>
      <c r="D9271" t="s">
        <v>630</v>
      </c>
      <c r="F9271" s="21"/>
      <c r="G9271" s="16" t="str">
        <f>HYPERLINK("http://maps.google.com/maps?f=q&amp;hl=en&amp;geocode=&amp;q=41.0790086500624,-80.7210131106279")</f>
        <v>http://maps.google.com/maps?f=q&amp;hl=en&amp;geocode=&amp;q=41.0790086500624,-80.7210131106279</v>
      </c>
    </row>
    <row r="9272" spans="1:7" ht="15" x14ac:dyDescent="0.3">
      <c r="A9272">
        <v>41.079008650062399</v>
      </c>
      <c r="B9272">
        <v>-80.721013110627894</v>
      </c>
      <c r="C9272" t="s">
        <v>41</v>
      </c>
      <c r="D9272" t="s">
        <v>630</v>
      </c>
      <c r="F9272" s="21"/>
      <c r="G9272" s="16" t="str">
        <f>HYPERLINK("http://maps.google.com/maps?f=q&amp;hl=en&amp;geocode=&amp;q=41.0790086500624,-80.7210131106279")</f>
        <v>http://maps.google.com/maps?f=q&amp;hl=en&amp;geocode=&amp;q=41.0790086500624,-80.7210131106279</v>
      </c>
    </row>
    <row r="9273" spans="1:7" ht="15" x14ac:dyDescent="0.3">
      <c r="A9273">
        <v>41.079008650062399</v>
      </c>
      <c r="B9273">
        <v>-80.721013110627894</v>
      </c>
      <c r="C9273" t="s">
        <v>41</v>
      </c>
      <c r="D9273" t="s">
        <v>630</v>
      </c>
      <c r="F9273" s="21"/>
      <c r="G9273" s="16" t="str">
        <f>HYPERLINK("http://maps.google.com/maps?f=q&amp;hl=en&amp;geocode=&amp;q=41.0790086500624,-80.7210131106279")</f>
        <v>http://maps.google.com/maps?f=q&amp;hl=en&amp;geocode=&amp;q=41.0790086500624,-80.7210131106279</v>
      </c>
    </row>
    <row r="9274" spans="1:7" ht="15" x14ac:dyDescent="0.3">
      <c r="A9274">
        <v>41.079008650062399</v>
      </c>
      <c r="B9274">
        <v>-80.721013110627894</v>
      </c>
      <c r="C9274" t="s">
        <v>41</v>
      </c>
      <c r="D9274" t="s">
        <v>630</v>
      </c>
      <c r="F9274" s="21"/>
      <c r="G9274" s="16" t="str">
        <f>HYPERLINK("http://maps.google.com/maps?f=q&amp;hl=en&amp;geocode=&amp;q=41.0790086500624,-80.7210131106279")</f>
        <v>http://maps.google.com/maps?f=q&amp;hl=en&amp;geocode=&amp;q=41.0790086500624,-80.7210131106279</v>
      </c>
    </row>
    <row r="9275" spans="1:7" ht="15" x14ac:dyDescent="0.3">
      <c r="A9275">
        <v>47.294967651367202</v>
      </c>
      <c r="B9275">
        <v>-92.469055175781307</v>
      </c>
      <c r="C9275" t="s">
        <v>43</v>
      </c>
      <c r="D9275" t="s">
        <v>5382</v>
      </c>
      <c r="F9275" s="21"/>
      <c r="G9275" s="16" t="str">
        <f>HYPERLINK("http://maps.google.com/maps?f=q&amp;hl=en&amp;geocode=&amp;q=47.2949676513672,-92.4690551757813")</f>
        <v>http://maps.google.com/maps?f=q&amp;hl=en&amp;geocode=&amp;q=47.2949676513672,-92.4690551757813</v>
      </c>
    </row>
    <row r="9276" spans="1:7" ht="15" x14ac:dyDescent="0.3">
      <c r="A9276" t="s">
        <v>44</v>
      </c>
      <c r="B9276" t="s">
        <v>44</v>
      </c>
      <c r="C9276" t="s">
        <v>44</v>
      </c>
      <c r="D9276" t="s">
        <v>4532</v>
      </c>
      <c r="F9276" s="21"/>
      <c r="G9276" s="16"/>
    </row>
    <row r="9277" spans="1:7" ht="15" x14ac:dyDescent="0.3">
      <c r="A9277">
        <v>39.040599822997997</v>
      </c>
      <c r="B9277">
        <v>-120.63067626953099</v>
      </c>
      <c r="C9277" t="s">
        <v>43</v>
      </c>
      <c r="D9277" t="s">
        <v>3011</v>
      </c>
      <c r="F9277" s="21"/>
      <c r="G9277" s="16" t="str">
        <f>HYPERLINK("http://maps.google.com/maps?f=q&amp;hl=en&amp;geocode=&amp;q=39.040599822998,-120.630676269531")</f>
        <v>http://maps.google.com/maps?f=q&amp;hl=en&amp;geocode=&amp;q=39.040599822998,-120.630676269531</v>
      </c>
    </row>
    <row r="9278" spans="1:7" ht="15" x14ac:dyDescent="0.3">
      <c r="A9278">
        <v>-36.718856811523402</v>
      </c>
      <c r="B9278">
        <v>142.19622802734401</v>
      </c>
      <c r="C9278" t="s">
        <v>43</v>
      </c>
      <c r="D9278" t="s">
        <v>508</v>
      </c>
      <c r="F9278" s="21"/>
      <c r="G9278" s="16" t="str">
        <f>HYPERLINK("http://maps.google.com/maps?f=q&amp;hl=en&amp;geocode=&amp;q=-36.7188568115234,142.196228027344")</f>
        <v>http://maps.google.com/maps?f=q&amp;hl=en&amp;geocode=&amp;q=-36.7188568115234,142.196228027344</v>
      </c>
    </row>
    <row r="9279" spans="1:7" ht="15" x14ac:dyDescent="0.3">
      <c r="A9279">
        <v>37.241072477694097</v>
      </c>
      <c r="B9279">
        <v>-79.998654977856503</v>
      </c>
      <c r="C9279" t="s">
        <v>41</v>
      </c>
      <c r="D9279" t="s">
        <v>372</v>
      </c>
      <c r="F9279" s="21"/>
      <c r="G9279" s="16" t="str">
        <f>HYPERLINK("http://maps.google.com/maps?f=q&amp;hl=en&amp;geocode=&amp;q=37.2410724776941,-79.9986549778565")</f>
        <v>http://maps.google.com/maps?f=q&amp;hl=en&amp;geocode=&amp;q=37.2410724776941,-79.9986549778565</v>
      </c>
    </row>
    <row r="9280" spans="1:7" ht="15" x14ac:dyDescent="0.3">
      <c r="A9280">
        <v>50.450000762939503</v>
      </c>
      <c r="B9280">
        <v>-3.7000000476837198</v>
      </c>
      <c r="C9280" t="s">
        <v>43</v>
      </c>
      <c r="D9280" t="s">
        <v>5383</v>
      </c>
      <c r="F9280" s="21"/>
      <c r="G9280" s="16" t="str">
        <f>HYPERLINK("http://maps.google.com/maps?f=q&amp;hl=en&amp;geocode=&amp;q=50.4500007629395,-3.70000004768372")</f>
        <v>http://maps.google.com/maps?f=q&amp;hl=en&amp;geocode=&amp;q=50.4500007629395,-3.70000004768372</v>
      </c>
    </row>
    <row r="9281" spans="1:7" ht="15" x14ac:dyDescent="0.3">
      <c r="A9281">
        <v>44.551789999999997</v>
      </c>
      <c r="B9281">
        <v>-69.609859999999998</v>
      </c>
      <c r="C9281" t="s">
        <v>42</v>
      </c>
      <c r="D9281" t="s">
        <v>2852</v>
      </c>
      <c r="F9281" s="21"/>
      <c r="G9281" s="16" t="str">
        <f>HYPERLINK("http://maps.google.com/maps?f=q&amp;hl=en&amp;geocode=&amp;q=44.55179,-69.60986")</f>
        <v>http://maps.google.com/maps?f=q&amp;hl=en&amp;geocode=&amp;q=44.55179,-69.60986</v>
      </c>
    </row>
    <row r="9282" spans="1:7" ht="15" x14ac:dyDescent="0.3">
      <c r="A9282">
        <v>39.953762199844</v>
      </c>
      <c r="B9282">
        <v>-75.241817492707398</v>
      </c>
      <c r="C9282" t="s">
        <v>41</v>
      </c>
      <c r="D9282" t="s">
        <v>5384</v>
      </c>
      <c r="F9282" s="21"/>
      <c r="G9282" s="16" t="str">
        <f>HYPERLINK("http://maps.google.com/maps?f=q&amp;hl=en&amp;geocode=&amp;q=39.953762199844,-75.2418174927074")</f>
        <v>http://maps.google.com/maps?f=q&amp;hl=en&amp;geocode=&amp;q=39.953762199844,-75.2418174927074</v>
      </c>
    </row>
    <row r="9283" spans="1:7" ht="15" x14ac:dyDescent="0.3">
      <c r="A9283">
        <v>32.298690795898402</v>
      </c>
      <c r="B9283">
        <v>-90.180488586425795</v>
      </c>
      <c r="C9283" t="s">
        <v>41</v>
      </c>
      <c r="D9283" t="s">
        <v>4501</v>
      </c>
      <c r="F9283" s="21"/>
      <c r="G9283" s="16" t="str">
        <f>HYPERLINK("http://maps.google.com/maps?f=q&amp;hl=en&amp;geocode=&amp;q=32.2986907958984,-90.1804885864258")</f>
        <v>http://maps.google.com/maps?f=q&amp;hl=en&amp;geocode=&amp;q=32.2986907958984,-90.1804885864258</v>
      </c>
    </row>
    <row r="9284" spans="1:7" ht="15" x14ac:dyDescent="0.3">
      <c r="A9284">
        <v>39.950429999999997</v>
      </c>
      <c r="B9284">
        <v>-75.245199999999997</v>
      </c>
      <c r="C9284" t="s">
        <v>43</v>
      </c>
      <c r="D9284" t="s">
        <v>198</v>
      </c>
      <c r="F9284" s="21"/>
      <c r="G9284" s="16" t="str">
        <f>HYPERLINK("http://maps.google.com/maps?f=q&amp;hl=en&amp;geocode=&amp;q=39.95043,-75.2452")</f>
        <v>http://maps.google.com/maps?f=q&amp;hl=en&amp;geocode=&amp;q=39.95043,-75.2452</v>
      </c>
    </row>
    <row r="9285" spans="1:7" ht="15" x14ac:dyDescent="0.3">
      <c r="A9285">
        <v>39.950429999999997</v>
      </c>
      <c r="B9285">
        <v>-75.245199999999997</v>
      </c>
      <c r="C9285" t="s">
        <v>43</v>
      </c>
      <c r="D9285" t="s">
        <v>198</v>
      </c>
      <c r="F9285" s="21"/>
      <c r="G9285" s="16" t="str">
        <f>HYPERLINK("http://maps.google.com/maps?f=q&amp;hl=en&amp;geocode=&amp;q=39.95043,-75.2452")</f>
        <v>http://maps.google.com/maps?f=q&amp;hl=en&amp;geocode=&amp;q=39.95043,-75.2452</v>
      </c>
    </row>
    <row r="9286" spans="1:7" ht="15" x14ac:dyDescent="0.3">
      <c r="A9286">
        <v>40.494816129748102</v>
      </c>
      <c r="B9286">
        <v>-75.507676105499002</v>
      </c>
      <c r="C9286" t="s">
        <v>41</v>
      </c>
      <c r="D9286" t="s">
        <v>5385</v>
      </c>
      <c r="F9286" s="21"/>
      <c r="G9286" s="16" t="str">
        <f>HYPERLINK("http://maps.google.com/maps?f=q&amp;hl=en&amp;geocode=&amp;q=40.4948161297481,-75.507676105499")</f>
        <v>http://maps.google.com/maps?f=q&amp;hl=en&amp;geocode=&amp;q=40.4948161297481,-75.507676105499</v>
      </c>
    </row>
    <row r="9287" spans="1:7" ht="15" x14ac:dyDescent="0.3">
      <c r="A9287">
        <v>40.836547896446298</v>
      </c>
      <c r="B9287">
        <v>-73.930370476338993</v>
      </c>
      <c r="C9287" t="s">
        <v>41</v>
      </c>
      <c r="D9287" t="s">
        <v>5386</v>
      </c>
      <c r="F9287" s="21"/>
      <c r="G9287" s="16" t="str">
        <f>HYPERLINK("http://maps.google.com/maps?f=q&amp;hl=en&amp;geocode=&amp;q=40.8365478964463,-73.930370476339")</f>
        <v>http://maps.google.com/maps?f=q&amp;hl=en&amp;geocode=&amp;q=40.8365478964463,-73.930370476339</v>
      </c>
    </row>
    <row r="9288" spans="1:7" ht="15" x14ac:dyDescent="0.3">
      <c r="A9288">
        <v>40.040443352264099</v>
      </c>
      <c r="B9288">
        <v>-75.181967878970994</v>
      </c>
      <c r="C9288" t="s">
        <v>41</v>
      </c>
      <c r="D9288" t="s">
        <v>4433</v>
      </c>
      <c r="F9288" s="21"/>
      <c r="G9288" s="16" t="str">
        <f>HYPERLINK("http://maps.google.com/maps?f=q&amp;hl=en&amp;geocode=&amp;q=40.0404433522641,-75.181967878971")</f>
        <v>http://maps.google.com/maps?f=q&amp;hl=en&amp;geocode=&amp;q=40.0404433522641,-75.181967878971</v>
      </c>
    </row>
    <row r="9289" spans="1:7" ht="15" x14ac:dyDescent="0.3">
      <c r="A9289">
        <v>39.918750000000003</v>
      </c>
      <c r="B9289">
        <v>-75.175880000000006</v>
      </c>
      <c r="C9289" t="s">
        <v>43</v>
      </c>
      <c r="D9289" t="s">
        <v>3476</v>
      </c>
      <c r="F9289" s="21"/>
      <c r="G9289" s="16" t="str">
        <f>HYPERLINK("http://maps.google.com/maps?f=q&amp;hl=en&amp;geocode=&amp;q=39.91875,-75.17588")</f>
        <v>http://maps.google.com/maps?f=q&amp;hl=en&amp;geocode=&amp;q=39.91875,-75.17588</v>
      </c>
    </row>
    <row r="9290" spans="1:7" ht="15" x14ac:dyDescent="0.3">
      <c r="A9290">
        <v>40.040280000000003</v>
      </c>
      <c r="B9290">
        <v>-75.120570000000001</v>
      </c>
      <c r="C9290" t="s">
        <v>41</v>
      </c>
      <c r="D9290" t="s">
        <v>5387</v>
      </c>
      <c r="F9290" s="21"/>
      <c r="G9290" s="16" t="str">
        <f>HYPERLINK("http://maps.google.com/maps?f=q&amp;hl=en&amp;geocode=&amp;q=40.04028,-75.12057")</f>
        <v>http://maps.google.com/maps?f=q&amp;hl=en&amp;geocode=&amp;q=40.04028,-75.12057</v>
      </c>
    </row>
    <row r="9291" spans="1:7" ht="15" x14ac:dyDescent="0.3">
      <c r="A9291">
        <v>31.008949999999999</v>
      </c>
      <c r="B9291">
        <v>-86.337400000000002</v>
      </c>
      <c r="C9291" t="s">
        <v>42</v>
      </c>
      <c r="D9291" t="s">
        <v>4649</v>
      </c>
      <c r="F9291" s="21"/>
      <c r="G9291" s="16" t="str">
        <f>HYPERLINK("http://maps.google.com/maps?f=q&amp;hl=en&amp;geocode=&amp;q=31.00895,-86.3374")</f>
        <v>http://maps.google.com/maps?f=q&amp;hl=en&amp;geocode=&amp;q=31.00895,-86.3374</v>
      </c>
    </row>
    <row r="9292" spans="1:7" ht="15" x14ac:dyDescent="0.3">
      <c r="A9292">
        <v>30.013470000000002</v>
      </c>
      <c r="B9292">
        <v>-90.176649999999995</v>
      </c>
      <c r="C9292" t="s">
        <v>41</v>
      </c>
      <c r="D9292" t="s">
        <v>390</v>
      </c>
      <c r="F9292" s="21"/>
      <c r="G9292" s="16" t="str">
        <f>HYPERLINK("http://maps.google.com/maps?f=q&amp;hl=en&amp;geocode=&amp;q=30.01347,-90.17665")</f>
        <v>http://maps.google.com/maps?f=q&amp;hl=en&amp;geocode=&amp;q=30.01347,-90.17665</v>
      </c>
    </row>
    <row r="9293" spans="1:7" ht="15" x14ac:dyDescent="0.3">
      <c r="A9293">
        <v>30.013597252129799</v>
      </c>
      <c r="B9293">
        <v>-90.178112333309699</v>
      </c>
      <c r="C9293" t="s">
        <v>41</v>
      </c>
      <c r="D9293" t="s">
        <v>176</v>
      </c>
      <c r="F9293" s="21"/>
      <c r="G9293" s="16" t="str">
        <f>HYPERLINK("http://maps.google.com/maps?f=q&amp;hl=en&amp;geocode=&amp;q=30.0135972521298,-90.1781123333097")</f>
        <v>http://maps.google.com/maps?f=q&amp;hl=en&amp;geocode=&amp;q=30.0135972521298,-90.1781123333097</v>
      </c>
    </row>
    <row r="9294" spans="1:7" ht="15" x14ac:dyDescent="0.3">
      <c r="A9294">
        <v>40.656593987365099</v>
      </c>
      <c r="B9294">
        <v>-100.618899470504</v>
      </c>
      <c r="C9294" t="s">
        <v>41</v>
      </c>
      <c r="D9294" t="s">
        <v>5388</v>
      </c>
      <c r="F9294" s="21"/>
      <c r="G9294" s="16" t="str">
        <f>HYPERLINK("http://maps.google.com/maps?f=q&amp;hl=en&amp;geocode=&amp;q=40.6565939873651,-100.618899470504")</f>
        <v>http://maps.google.com/maps?f=q&amp;hl=en&amp;geocode=&amp;q=40.6565939873651,-100.618899470504</v>
      </c>
    </row>
    <row r="9295" spans="1:7" ht="15" x14ac:dyDescent="0.3">
      <c r="A9295">
        <v>40.043092157613003</v>
      </c>
      <c r="B9295">
        <v>-75.081831148769098</v>
      </c>
      <c r="C9295" t="s">
        <v>41</v>
      </c>
      <c r="D9295" t="s">
        <v>2293</v>
      </c>
      <c r="F9295" s="21"/>
      <c r="G9295" s="16" t="str">
        <f>HYPERLINK("http://maps.google.com/maps?f=q&amp;hl=en&amp;geocode=&amp;q=40.043092157613,-75.0818311487691")</f>
        <v>http://maps.google.com/maps?f=q&amp;hl=en&amp;geocode=&amp;q=40.043092157613,-75.0818311487691</v>
      </c>
    </row>
    <row r="9296" spans="1:7" ht="15" x14ac:dyDescent="0.3">
      <c r="A9296">
        <v>40.696859108627002</v>
      </c>
      <c r="B9296">
        <v>-74.286344192900103</v>
      </c>
      <c r="C9296" t="s">
        <v>41</v>
      </c>
      <c r="D9296" t="s">
        <v>5389</v>
      </c>
      <c r="F9296" s="21"/>
      <c r="G9296" s="16" t="str">
        <f>HYPERLINK("http://maps.google.com/maps?f=q&amp;hl=en&amp;geocode=&amp;q=40.696859108627,-74.2863441929001")</f>
        <v>http://maps.google.com/maps?f=q&amp;hl=en&amp;geocode=&amp;q=40.696859108627,-74.2863441929001</v>
      </c>
    </row>
    <row r="9297" spans="1:7" ht="15" x14ac:dyDescent="0.3">
      <c r="A9297">
        <v>36.502029418945298</v>
      </c>
      <c r="B9297">
        <v>-88.325889587402301</v>
      </c>
      <c r="C9297" t="s">
        <v>43</v>
      </c>
      <c r="D9297" t="s">
        <v>5390</v>
      </c>
      <c r="F9297" s="21"/>
      <c r="G9297" s="16" t="str">
        <f>HYPERLINK("http://maps.google.com/maps?f=q&amp;hl=en&amp;geocode=&amp;q=36.5020294189453,-88.3258895874023")</f>
        <v>http://maps.google.com/maps?f=q&amp;hl=en&amp;geocode=&amp;q=36.5020294189453,-88.3258895874023</v>
      </c>
    </row>
    <row r="9298" spans="1:7" ht="15" x14ac:dyDescent="0.3">
      <c r="A9298">
        <v>35.965989015210802</v>
      </c>
      <c r="B9298">
        <v>-94.232247053401494</v>
      </c>
      <c r="C9298" t="s">
        <v>41</v>
      </c>
      <c r="D9298" t="s">
        <v>2543</v>
      </c>
      <c r="F9298" s="21"/>
      <c r="G9298" s="16" t="str">
        <f>HYPERLINK("http://maps.google.com/maps?f=q&amp;hl=en&amp;geocode=&amp;q=35.9659890152108,-94.2322470534015")</f>
        <v>http://maps.google.com/maps?f=q&amp;hl=en&amp;geocode=&amp;q=35.9659890152108,-94.2322470534015</v>
      </c>
    </row>
    <row r="9299" spans="1:7" ht="15" x14ac:dyDescent="0.3">
      <c r="A9299">
        <v>40.090143336672199</v>
      </c>
      <c r="B9299">
        <v>-88.162334169822998</v>
      </c>
      <c r="C9299" t="s">
        <v>41</v>
      </c>
      <c r="D9299" t="s">
        <v>4553</v>
      </c>
      <c r="F9299" s="21"/>
      <c r="G9299" s="16" t="str">
        <f>HYPERLINK("http://maps.google.com/maps?f=q&amp;hl=en&amp;geocode=&amp;q=40.0901433366722,-88.162334169823")</f>
        <v>http://maps.google.com/maps?f=q&amp;hl=en&amp;geocode=&amp;q=40.0901433366722,-88.162334169823</v>
      </c>
    </row>
    <row r="9300" spans="1:7" ht="15" x14ac:dyDescent="0.3">
      <c r="A9300" t="s">
        <v>44</v>
      </c>
      <c r="B9300" t="s">
        <v>44</v>
      </c>
      <c r="C9300" t="s">
        <v>44</v>
      </c>
      <c r="D9300" t="s">
        <v>5391</v>
      </c>
      <c r="F9300" s="21"/>
      <c r="G9300" s="16"/>
    </row>
    <row r="9301" spans="1:7" ht="15" x14ac:dyDescent="0.3">
      <c r="A9301">
        <v>53.007888793945298</v>
      </c>
      <c r="B9301">
        <v>-70.9957275390625</v>
      </c>
      <c r="C9301" t="s">
        <v>41</v>
      </c>
      <c r="D9301" t="s">
        <v>2297</v>
      </c>
      <c r="F9301" s="21"/>
      <c r="G9301" s="16" t="str">
        <f>HYPERLINK("http://maps.google.com/maps?f=q&amp;hl=en&amp;geocode=&amp;q=53.0078887939453,-70.9957275390625")</f>
        <v>http://maps.google.com/maps?f=q&amp;hl=en&amp;geocode=&amp;q=53.0078887939453,-70.9957275390625</v>
      </c>
    </row>
    <row r="9302" spans="1:7" ht="15" x14ac:dyDescent="0.3">
      <c r="A9302">
        <v>40.037979125976598</v>
      </c>
      <c r="B9302">
        <v>-75.223060607910199</v>
      </c>
      <c r="C9302" t="s">
        <v>41</v>
      </c>
      <c r="D9302" t="s">
        <v>277</v>
      </c>
      <c r="F9302" s="21"/>
      <c r="G9302" s="16" t="str">
        <f>HYPERLINK("http://maps.google.com/maps?f=q&amp;hl=en&amp;geocode=&amp;q=40.0379791259766,-75.2230606079102")</f>
        <v>http://maps.google.com/maps?f=q&amp;hl=en&amp;geocode=&amp;q=40.0379791259766,-75.2230606079102</v>
      </c>
    </row>
    <row r="9303" spans="1:7" ht="15" x14ac:dyDescent="0.3">
      <c r="A9303">
        <v>37.995689329415498</v>
      </c>
      <c r="B9303">
        <v>-79.757088054686093</v>
      </c>
      <c r="C9303" t="s">
        <v>41</v>
      </c>
      <c r="D9303" t="s">
        <v>5392</v>
      </c>
      <c r="F9303" s="21"/>
      <c r="G9303" s="16" t="str">
        <f>HYPERLINK("http://maps.google.com/maps?f=q&amp;hl=en&amp;geocode=&amp;q=37.9956893294155,-79.7570880546861")</f>
        <v>http://maps.google.com/maps?f=q&amp;hl=en&amp;geocode=&amp;q=37.9956893294155,-79.7570880546861</v>
      </c>
    </row>
    <row r="9304" spans="1:7" ht="15" x14ac:dyDescent="0.3">
      <c r="A9304">
        <v>53.898918151855497</v>
      </c>
      <c r="B9304">
        <v>-1.97207999229431</v>
      </c>
      <c r="C9304" t="s">
        <v>41</v>
      </c>
      <c r="D9304" t="s">
        <v>5393</v>
      </c>
      <c r="F9304" s="21"/>
      <c r="G9304" s="16" t="str">
        <f>HYPERLINK("http://maps.google.com/maps?f=q&amp;hl=en&amp;geocode=&amp;q=53.8989181518555,-1.97207999229431")</f>
        <v>http://maps.google.com/maps?f=q&amp;hl=en&amp;geocode=&amp;q=53.8989181518555,-1.97207999229431</v>
      </c>
    </row>
    <row r="9305" spans="1:7" ht="15" x14ac:dyDescent="0.3">
      <c r="A9305">
        <v>51.756290435791001</v>
      </c>
      <c r="B9305">
        <v>-1.2595100402832</v>
      </c>
      <c r="C9305" t="s">
        <v>43</v>
      </c>
      <c r="D9305" t="s">
        <v>5394</v>
      </c>
      <c r="F9305" s="21"/>
      <c r="G9305" s="16" t="str">
        <f>HYPERLINK("http://maps.google.com/maps?f=q&amp;hl=en&amp;geocode=&amp;q=51.756290435791,-1.2595100402832")</f>
        <v>http://maps.google.com/maps?f=q&amp;hl=en&amp;geocode=&amp;q=51.756290435791,-1.2595100402832</v>
      </c>
    </row>
    <row r="9306" spans="1:7" ht="15" x14ac:dyDescent="0.3">
      <c r="A9306">
        <v>50.723228454589801</v>
      </c>
      <c r="B9306">
        <v>4.6152939796447798</v>
      </c>
      <c r="C9306" t="s">
        <v>43</v>
      </c>
      <c r="D9306" t="s">
        <v>5395</v>
      </c>
      <c r="F9306" s="21"/>
      <c r="G9306" s="16" t="str">
        <f>HYPERLINK("http://maps.google.com/maps?f=q&amp;hl=en&amp;geocode=&amp;q=50.7232284545898,4.61529397964478")</f>
        <v>http://maps.google.com/maps?f=q&amp;hl=en&amp;geocode=&amp;q=50.7232284545898,4.61529397964478</v>
      </c>
    </row>
    <row r="9307" spans="1:7" ht="15" x14ac:dyDescent="0.3">
      <c r="A9307">
        <v>31.010528755372398</v>
      </c>
      <c r="B9307">
        <v>-86.338259611026601</v>
      </c>
      <c r="C9307" t="s">
        <v>41</v>
      </c>
      <c r="D9307" t="s">
        <v>5396</v>
      </c>
      <c r="F9307" s="21"/>
      <c r="G9307" s="16" t="str">
        <f>HYPERLINK("http://maps.google.com/maps?f=q&amp;hl=en&amp;geocode=&amp;q=31.0105287553724,-86.3382596110266")</f>
        <v>http://maps.google.com/maps?f=q&amp;hl=en&amp;geocode=&amp;q=31.0105287553724,-86.3382596110266</v>
      </c>
    </row>
    <row r="9308" spans="1:7" ht="15" x14ac:dyDescent="0.3">
      <c r="A9308">
        <v>48.672306060791001</v>
      </c>
      <c r="B9308">
        <v>7.5540661811828604</v>
      </c>
      <c r="C9308" t="s">
        <v>43</v>
      </c>
      <c r="D9308" t="s">
        <v>5325</v>
      </c>
      <c r="F9308" s="21"/>
      <c r="G9308" s="16" t="str">
        <f>HYPERLINK("http://maps.google.com/maps?f=q&amp;hl=en&amp;geocode=&amp;q=48.672306060791,7.55406618118286")</f>
        <v>http://maps.google.com/maps?f=q&amp;hl=en&amp;geocode=&amp;q=48.672306060791,7.55406618118286</v>
      </c>
    </row>
    <row r="9309" spans="1:7" ht="15" x14ac:dyDescent="0.3">
      <c r="A9309">
        <v>-26.034427642822301</v>
      </c>
      <c r="B9309">
        <v>28.5431098937988</v>
      </c>
      <c r="C9309" t="s">
        <v>43</v>
      </c>
      <c r="D9309" t="s">
        <v>3002</v>
      </c>
      <c r="F9309" s="21"/>
      <c r="G9309" s="16" t="str">
        <f>HYPERLINK("http://maps.google.com/maps?f=q&amp;hl=en&amp;geocode=&amp;q=-26.0344276428223,28.5431098937988")</f>
        <v>http://maps.google.com/maps?f=q&amp;hl=en&amp;geocode=&amp;q=-26.0344276428223,28.5431098937988</v>
      </c>
    </row>
    <row r="9310" spans="1:7" ht="15" x14ac:dyDescent="0.3">
      <c r="A9310">
        <v>32.658671019085503</v>
      </c>
      <c r="B9310">
        <v>-96.727802463276902</v>
      </c>
      <c r="C9310" t="s">
        <v>41</v>
      </c>
      <c r="D9310" t="s">
        <v>5397</v>
      </c>
      <c r="F9310" s="21"/>
      <c r="G9310" s="16" t="str">
        <f>HYPERLINK("http://maps.google.com/maps?f=q&amp;hl=en&amp;geocode=&amp;q=32.6586710190855,-96.7278024632769")</f>
        <v>http://maps.google.com/maps?f=q&amp;hl=en&amp;geocode=&amp;q=32.6586710190855,-96.7278024632769</v>
      </c>
    </row>
    <row r="9311" spans="1:7" ht="15" x14ac:dyDescent="0.3">
      <c r="A9311">
        <v>39.4432563781738</v>
      </c>
      <c r="B9311">
        <v>-98.957336425781307</v>
      </c>
      <c r="C9311" t="s">
        <v>43</v>
      </c>
      <c r="D9311" t="s">
        <v>5398</v>
      </c>
      <c r="F9311" s="21"/>
      <c r="G9311" s="16" t="str">
        <f>HYPERLINK("http://maps.google.com/maps?f=q&amp;hl=en&amp;geocode=&amp;q=39.4432563781738,-98.9573364257813")</f>
        <v>http://maps.google.com/maps?f=q&amp;hl=en&amp;geocode=&amp;q=39.4432563781738,-98.9573364257813</v>
      </c>
    </row>
    <row r="9312" spans="1:7" ht="15" x14ac:dyDescent="0.3">
      <c r="A9312">
        <v>49.518180847167997</v>
      </c>
      <c r="B9312">
        <v>5.8978409767150897</v>
      </c>
      <c r="C9312" t="s">
        <v>41</v>
      </c>
      <c r="D9312" t="s">
        <v>2510</v>
      </c>
      <c r="F9312" s="21"/>
      <c r="G9312" s="16" t="str">
        <f>HYPERLINK("http://maps.google.com/maps?f=q&amp;hl=en&amp;geocode=&amp;q=49.518180847168,5.89784097671509")</f>
        <v>http://maps.google.com/maps?f=q&amp;hl=en&amp;geocode=&amp;q=49.518180847168,5.89784097671509</v>
      </c>
    </row>
    <row r="9313" spans="1:7" ht="15" x14ac:dyDescent="0.3">
      <c r="A9313">
        <v>49.518180847167997</v>
      </c>
      <c r="B9313">
        <v>5.8978409767150897</v>
      </c>
      <c r="C9313" t="s">
        <v>41</v>
      </c>
      <c r="D9313" t="s">
        <v>2510</v>
      </c>
      <c r="F9313" s="21"/>
      <c r="G9313" s="16" t="str">
        <f>HYPERLINK("http://maps.google.com/maps?f=q&amp;hl=en&amp;geocode=&amp;q=49.518180847168,5.89784097671509")</f>
        <v>http://maps.google.com/maps?f=q&amp;hl=en&amp;geocode=&amp;q=49.518180847168,5.89784097671509</v>
      </c>
    </row>
    <row r="9314" spans="1:7" ht="15" x14ac:dyDescent="0.3">
      <c r="A9314">
        <v>49.518180847167997</v>
      </c>
      <c r="B9314">
        <v>5.8978409767150897</v>
      </c>
      <c r="C9314" t="s">
        <v>41</v>
      </c>
      <c r="D9314" t="s">
        <v>2510</v>
      </c>
      <c r="F9314" s="21"/>
      <c r="G9314" s="16" t="str">
        <f>HYPERLINK("http://maps.google.com/maps?f=q&amp;hl=en&amp;geocode=&amp;q=49.518180847168,5.89784097671509")</f>
        <v>http://maps.google.com/maps?f=q&amp;hl=en&amp;geocode=&amp;q=49.518180847168,5.89784097671509</v>
      </c>
    </row>
    <row r="9315" spans="1:7" ht="15" x14ac:dyDescent="0.3">
      <c r="A9315">
        <v>40.412074788097499</v>
      </c>
      <c r="B9315">
        <v>-75.279244038039806</v>
      </c>
      <c r="C9315" t="s">
        <v>41</v>
      </c>
      <c r="D9315" t="s">
        <v>5399</v>
      </c>
      <c r="F9315" s="21"/>
      <c r="G9315" s="16" t="str">
        <f>HYPERLINK("http://maps.google.com/maps?f=q&amp;hl=en&amp;geocode=&amp;q=40.4120747880975,-75.2792440380398")</f>
        <v>http://maps.google.com/maps?f=q&amp;hl=en&amp;geocode=&amp;q=40.4120747880975,-75.2792440380398</v>
      </c>
    </row>
    <row r="9316" spans="1:7" ht="15" x14ac:dyDescent="0.3">
      <c r="A9316">
        <v>36.0435027075658</v>
      </c>
      <c r="B9316">
        <v>-83.881813849224599</v>
      </c>
      <c r="C9316" t="s">
        <v>43</v>
      </c>
      <c r="D9316" t="s">
        <v>4369</v>
      </c>
      <c r="F9316" s="21"/>
      <c r="G9316" s="16" t="str">
        <f>HYPERLINK("http://maps.google.com/maps?f=q&amp;hl=en&amp;geocode=&amp;q=36.0435027075658,-83.8818138492246")</f>
        <v>http://maps.google.com/maps?f=q&amp;hl=en&amp;geocode=&amp;q=36.0435027075658,-83.8818138492246</v>
      </c>
    </row>
    <row r="9317" spans="1:7" ht="15" x14ac:dyDescent="0.3">
      <c r="A9317">
        <v>31.603788551611899</v>
      </c>
      <c r="B9317">
        <v>-106.208616694848</v>
      </c>
      <c r="C9317" t="s">
        <v>41</v>
      </c>
      <c r="D9317" t="s">
        <v>5400</v>
      </c>
      <c r="F9317" s="21"/>
      <c r="G9317" s="16" t="str">
        <f>HYPERLINK("http://maps.google.com/maps?f=q&amp;hl=en&amp;geocode=&amp;q=31.6037885516119,-106.208616694848")</f>
        <v>http://maps.google.com/maps?f=q&amp;hl=en&amp;geocode=&amp;q=31.6037885516119,-106.208616694848</v>
      </c>
    </row>
    <row r="9318" spans="1:7" ht="15" x14ac:dyDescent="0.3">
      <c r="A9318">
        <v>49.518180847167997</v>
      </c>
      <c r="B9318">
        <v>5.8978409767150897</v>
      </c>
      <c r="C9318" t="s">
        <v>41</v>
      </c>
      <c r="D9318" t="s">
        <v>2510</v>
      </c>
      <c r="F9318" s="21"/>
      <c r="G9318" s="16" t="str">
        <f>HYPERLINK("http://maps.google.com/maps?f=q&amp;hl=en&amp;geocode=&amp;q=49.518180847168,5.89784097671509")</f>
        <v>http://maps.google.com/maps?f=q&amp;hl=en&amp;geocode=&amp;q=49.518180847168,5.89784097671509</v>
      </c>
    </row>
    <row r="9319" spans="1:7" ht="15" x14ac:dyDescent="0.3">
      <c r="A9319">
        <v>35.150889999999997</v>
      </c>
      <c r="B9319">
        <v>-86.567070000000001</v>
      </c>
      <c r="C9319" t="s">
        <v>42</v>
      </c>
      <c r="D9319" t="s">
        <v>5401</v>
      </c>
      <c r="F9319" s="21"/>
      <c r="G9319" s="16" t="str">
        <f>HYPERLINK("http://maps.google.com/maps?f=q&amp;hl=en&amp;geocode=&amp;q=35.15089,-86.56707")</f>
        <v>http://maps.google.com/maps?f=q&amp;hl=en&amp;geocode=&amp;q=35.15089,-86.56707</v>
      </c>
    </row>
    <row r="9320" spans="1:7" ht="15" x14ac:dyDescent="0.3">
      <c r="A9320">
        <v>28.585625200739099</v>
      </c>
      <c r="B9320">
        <v>-80.844059913393707</v>
      </c>
      <c r="C9320" t="s">
        <v>43</v>
      </c>
      <c r="D9320" t="s">
        <v>5402</v>
      </c>
      <c r="F9320" s="21"/>
      <c r="G9320" s="16" t="str">
        <f>HYPERLINK("http://maps.google.com/maps?f=q&amp;hl=en&amp;geocode=&amp;q=28.5856252007391,-80.8440599133937")</f>
        <v>http://maps.google.com/maps?f=q&amp;hl=en&amp;geocode=&amp;q=28.5856252007391,-80.8440599133937</v>
      </c>
    </row>
    <row r="9321" spans="1:7" ht="15" x14ac:dyDescent="0.3">
      <c r="A9321">
        <v>29.94772</v>
      </c>
      <c r="B9321">
        <v>-93.937799999999996</v>
      </c>
      <c r="C9321" t="s">
        <v>41</v>
      </c>
      <c r="D9321" t="s">
        <v>772</v>
      </c>
      <c r="F9321" s="21"/>
      <c r="G9321" s="16" t="str">
        <f>HYPERLINK("http://maps.google.com/maps?f=q&amp;hl=en&amp;geocode=&amp;q=29.94772,-93.9378")</f>
        <v>http://maps.google.com/maps?f=q&amp;hl=en&amp;geocode=&amp;q=29.94772,-93.9378</v>
      </c>
    </row>
    <row r="9322" spans="1:7" ht="15" x14ac:dyDescent="0.3">
      <c r="A9322">
        <v>40.040390000000002</v>
      </c>
      <c r="B9322">
        <v>-75.109629999999996</v>
      </c>
      <c r="C9322" t="s">
        <v>43</v>
      </c>
      <c r="D9322" t="s">
        <v>777</v>
      </c>
      <c r="F9322" s="21"/>
      <c r="G9322" s="16" t="str">
        <f>HYPERLINK("http://maps.google.com/maps?f=q&amp;hl=en&amp;geocode=&amp;q=40.04039,-75.10963")</f>
        <v>http://maps.google.com/maps?f=q&amp;hl=en&amp;geocode=&amp;q=40.04039,-75.10963</v>
      </c>
    </row>
    <row r="9323" spans="1:7" ht="15" x14ac:dyDescent="0.3">
      <c r="A9323">
        <v>-33.904598236083999</v>
      </c>
      <c r="B9323">
        <v>151.085037231445</v>
      </c>
      <c r="C9323" t="s">
        <v>41</v>
      </c>
      <c r="D9323" t="s">
        <v>5403</v>
      </c>
      <c r="F9323" s="21"/>
      <c r="G9323" s="16" t="str">
        <f>HYPERLINK("http://maps.google.com/maps?f=q&amp;hl=en&amp;geocode=&amp;q=-33.904598236084,151.085037231445")</f>
        <v>http://maps.google.com/maps?f=q&amp;hl=en&amp;geocode=&amp;q=-33.904598236084,151.085037231445</v>
      </c>
    </row>
    <row r="9324" spans="1:7" ht="15" x14ac:dyDescent="0.3">
      <c r="A9324">
        <v>41.217081324749003</v>
      </c>
      <c r="B9324">
        <v>-79.758092826147106</v>
      </c>
      <c r="C9324" t="s">
        <v>43</v>
      </c>
      <c r="D9324" t="s">
        <v>4542</v>
      </c>
      <c r="F9324" s="21"/>
      <c r="G9324" s="16" t="str">
        <f>HYPERLINK("http://maps.google.com/maps?f=q&amp;hl=en&amp;geocode=&amp;q=41.217081324749,-79.7580928261471")</f>
        <v>http://maps.google.com/maps?f=q&amp;hl=en&amp;geocode=&amp;q=41.217081324749,-79.7580928261471</v>
      </c>
    </row>
    <row r="9325" spans="1:7" ht="15" x14ac:dyDescent="0.3">
      <c r="A9325">
        <v>38.491455035432701</v>
      </c>
      <c r="B9325">
        <v>-89.817895222618702</v>
      </c>
      <c r="C9325" t="s">
        <v>41</v>
      </c>
      <c r="D9325" t="s">
        <v>2570</v>
      </c>
      <c r="F9325" s="21"/>
      <c r="G9325" s="16" t="str">
        <f>HYPERLINK("http://maps.google.com/maps?f=q&amp;hl=en&amp;geocode=&amp;q=38.4914550354327,-89.8178952226187")</f>
        <v>http://maps.google.com/maps?f=q&amp;hl=en&amp;geocode=&amp;q=38.4914550354327,-89.8178952226187</v>
      </c>
    </row>
    <row r="9326" spans="1:7" ht="15" x14ac:dyDescent="0.3">
      <c r="A9326">
        <v>-37.742469999999997</v>
      </c>
      <c r="B9326">
        <v>142.02804</v>
      </c>
      <c r="C9326" t="s">
        <v>41</v>
      </c>
      <c r="D9326" t="s">
        <v>5404</v>
      </c>
      <c r="F9326" s="21"/>
      <c r="G9326" s="16" t="str">
        <f>HYPERLINK("http://maps.google.com/maps?f=q&amp;hl=en&amp;geocode=&amp;q=-37.74247,142.02804")</f>
        <v>http://maps.google.com/maps?f=q&amp;hl=en&amp;geocode=&amp;q=-37.74247,142.02804</v>
      </c>
    </row>
    <row r="9327" spans="1:7" ht="15" x14ac:dyDescent="0.3">
      <c r="A9327" t="s">
        <v>44</v>
      </c>
      <c r="B9327" t="s">
        <v>44</v>
      </c>
      <c r="C9327" t="s">
        <v>44</v>
      </c>
      <c r="D9327" t="s">
        <v>5245</v>
      </c>
      <c r="F9327" s="21"/>
      <c r="G9327" s="16"/>
    </row>
    <row r="9328" spans="1:7" ht="15" x14ac:dyDescent="0.3">
      <c r="A9328">
        <v>40.025460000000002</v>
      </c>
      <c r="B9328">
        <v>-75.131270000000001</v>
      </c>
      <c r="C9328" t="s">
        <v>41</v>
      </c>
      <c r="D9328" t="s">
        <v>5405</v>
      </c>
      <c r="F9328" s="21"/>
      <c r="G9328" s="16" t="str">
        <f>HYPERLINK("http://maps.google.com/maps?f=q&amp;hl=en&amp;geocode=&amp;q=40.02546,-75.13127")</f>
        <v>http://maps.google.com/maps?f=q&amp;hl=en&amp;geocode=&amp;q=40.02546,-75.13127</v>
      </c>
    </row>
    <row r="9329" spans="1:7" ht="15" x14ac:dyDescent="0.3">
      <c r="A9329">
        <v>43.641646454311498</v>
      </c>
      <c r="B9329">
        <v>-73.848759884642504</v>
      </c>
      <c r="C9329" t="s">
        <v>41</v>
      </c>
      <c r="D9329" t="s">
        <v>5406</v>
      </c>
      <c r="F9329" s="21"/>
      <c r="G9329" s="16" t="str">
        <f>HYPERLINK("http://maps.google.com/maps?f=q&amp;hl=en&amp;geocode=&amp;q=43.6416464543115,-73.8487598846425")</f>
        <v>http://maps.google.com/maps?f=q&amp;hl=en&amp;geocode=&amp;q=43.6416464543115,-73.8487598846425</v>
      </c>
    </row>
    <row r="9330" spans="1:7" ht="15" x14ac:dyDescent="0.3">
      <c r="A9330">
        <v>35.122309999999999</v>
      </c>
      <c r="B9330">
        <v>-80.771550000000005</v>
      </c>
      <c r="C9330" t="s">
        <v>43</v>
      </c>
      <c r="D9330" t="s">
        <v>5371</v>
      </c>
      <c r="F9330" s="21"/>
      <c r="G9330" s="16" t="str">
        <f>HYPERLINK("http://maps.google.com/maps?f=q&amp;hl=en&amp;geocode=&amp;q=35.12231,-80.77155")</f>
        <v>http://maps.google.com/maps?f=q&amp;hl=en&amp;geocode=&amp;q=35.12231,-80.77155</v>
      </c>
    </row>
    <row r="9331" spans="1:7" ht="15" x14ac:dyDescent="0.3">
      <c r="A9331">
        <v>42.997422656800801</v>
      </c>
      <c r="B9331">
        <v>-95.623939346082395</v>
      </c>
      <c r="C9331" t="s">
        <v>41</v>
      </c>
      <c r="D9331" t="s">
        <v>71</v>
      </c>
      <c r="F9331" s="21"/>
      <c r="G9331" s="16" t="str">
        <f>HYPERLINK("http://maps.google.com/maps?f=q&amp;hl=en&amp;geocode=&amp;q=42.9974226568008,-95.6239393460824")</f>
        <v>http://maps.google.com/maps?f=q&amp;hl=en&amp;geocode=&amp;q=42.9974226568008,-95.6239393460824</v>
      </c>
    </row>
    <row r="9332" spans="1:7" ht="15" x14ac:dyDescent="0.3">
      <c r="A9332">
        <v>58.133331298828097</v>
      </c>
      <c r="B9332">
        <v>-92.849998474121094</v>
      </c>
      <c r="C9332" t="s">
        <v>43</v>
      </c>
      <c r="D9332" t="s">
        <v>4236</v>
      </c>
      <c r="F9332" s="21"/>
      <c r="G9332" s="16" t="str">
        <f>HYPERLINK("http://maps.google.com/maps?f=q&amp;hl=en&amp;geocode=&amp;q=58.1333312988281,-92.8499984741211")</f>
        <v>http://maps.google.com/maps?f=q&amp;hl=en&amp;geocode=&amp;q=58.1333312988281,-92.8499984741211</v>
      </c>
    </row>
    <row r="9333" spans="1:7" ht="15" x14ac:dyDescent="0.3">
      <c r="A9333">
        <v>43.957116528995002</v>
      </c>
      <c r="B9333">
        <v>-88.102414977433696</v>
      </c>
      <c r="C9333" t="s">
        <v>41</v>
      </c>
      <c r="D9333" t="s">
        <v>5407</v>
      </c>
      <c r="F9333" s="21"/>
      <c r="G9333" s="16" t="str">
        <f>HYPERLINK("http://maps.google.com/maps?f=q&amp;hl=en&amp;geocode=&amp;q=43.957116528995,-88.1024149774337")</f>
        <v>http://maps.google.com/maps?f=q&amp;hl=en&amp;geocode=&amp;q=43.957116528995,-88.1024149774337</v>
      </c>
    </row>
    <row r="9334" spans="1:7" ht="15" x14ac:dyDescent="0.3">
      <c r="A9334">
        <v>43.957116528995002</v>
      </c>
      <c r="B9334">
        <v>-88.102414977433696</v>
      </c>
      <c r="C9334" t="s">
        <v>41</v>
      </c>
      <c r="D9334" t="s">
        <v>5407</v>
      </c>
      <c r="F9334" s="21"/>
      <c r="G9334" s="16" t="str">
        <f>HYPERLINK("http://maps.google.com/maps?f=q&amp;hl=en&amp;geocode=&amp;q=43.957116528995,-88.1024149774337")</f>
        <v>http://maps.google.com/maps?f=q&amp;hl=en&amp;geocode=&amp;q=43.957116528995,-88.1024149774337</v>
      </c>
    </row>
    <row r="9335" spans="1:7" ht="15" x14ac:dyDescent="0.3">
      <c r="A9335">
        <v>46.487715799999997</v>
      </c>
      <c r="B9335">
        <v>-80.921067300000004</v>
      </c>
      <c r="C9335" t="s">
        <v>41</v>
      </c>
      <c r="D9335" t="s">
        <v>5408</v>
      </c>
      <c r="F9335" s="21"/>
      <c r="G9335" s="16" t="str">
        <f>HYPERLINK("http://maps.google.com/maps?f=q&amp;hl=en&amp;geocode=&amp;q=46.4877158,-80.9210673")</f>
        <v>http://maps.google.com/maps?f=q&amp;hl=en&amp;geocode=&amp;q=46.4877158,-80.9210673</v>
      </c>
    </row>
    <row r="9336" spans="1:7" ht="15" x14ac:dyDescent="0.3">
      <c r="A9336">
        <v>40.040443352264099</v>
      </c>
      <c r="B9336">
        <v>-75.181967878970994</v>
      </c>
      <c r="C9336" t="s">
        <v>41</v>
      </c>
      <c r="D9336" t="s">
        <v>4433</v>
      </c>
      <c r="F9336" s="21"/>
      <c r="G9336" s="16" t="str">
        <f>HYPERLINK("http://maps.google.com/maps?f=q&amp;hl=en&amp;geocode=&amp;q=40.0404433522641,-75.181967878971")</f>
        <v>http://maps.google.com/maps?f=q&amp;hl=en&amp;geocode=&amp;q=40.0404433522641,-75.181967878971</v>
      </c>
    </row>
    <row r="9337" spans="1:7" ht="15" x14ac:dyDescent="0.3">
      <c r="A9337">
        <v>30.3366794586182</v>
      </c>
      <c r="B9337">
        <v>-81.641181945800795</v>
      </c>
      <c r="C9337" t="s">
        <v>43</v>
      </c>
      <c r="D9337" t="s">
        <v>4302</v>
      </c>
      <c r="F9337" s="21"/>
      <c r="G9337" s="16" t="str">
        <f>HYPERLINK("http://maps.google.com/maps?f=q&amp;hl=en&amp;geocode=&amp;q=30.3366794586182,-81.6411819458008")</f>
        <v>http://maps.google.com/maps?f=q&amp;hl=en&amp;geocode=&amp;q=30.3366794586182,-81.6411819458008</v>
      </c>
    </row>
    <row r="9338" spans="1:7" ht="15" x14ac:dyDescent="0.3">
      <c r="A9338">
        <v>40.071249999999999</v>
      </c>
      <c r="B9338">
        <v>-75.053129999999996</v>
      </c>
      <c r="C9338" t="s">
        <v>41</v>
      </c>
      <c r="D9338" t="s">
        <v>2395</v>
      </c>
      <c r="F9338" s="21"/>
      <c r="G9338" s="16" t="str">
        <f>HYPERLINK("http://maps.google.com/maps?f=q&amp;hl=en&amp;geocode=&amp;q=40.07125,-75.05313")</f>
        <v>http://maps.google.com/maps?f=q&amp;hl=en&amp;geocode=&amp;q=40.07125,-75.05313</v>
      </c>
    </row>
    <row r="9339" spans="1:7" ht="15" x14ac:dyDescent="0.3">
      <c r="A9339">
        <v>-36.718856811523402</v>
      </c>
      <c r="B9339">
        <v>142.19622802734401</v>
      </c>
      <c r="C9339" t="s">
        <v>43</v>
      </c>
      <c r="D9339" t="s">
        <v>508</v>
      </c>
      <c r="F9339" s="21"/>
      <c r="G9339" s="16" t="str">
        <f>HYPERLINK("http://maps.google.com/maps?f=q&amp;hl=en&amp;geocode=&amp;q=-36.7188568115234,142.196228027344")</f>
        <v>http://maps.google.com/maps?f=q&amp;hl=en&amp;geocode=&amp;q=-36.7188568115234,142.196228027344</v>
      </c>
    </row>
    <row r="9340" spans="1:7" ht="15" x14ac:dyDescent="0.3">
      <c r="A9340">
        <v>37.241072477694097</v>
      </c>
      <c r="B9340">
        <v>-79.998654977856503</v>
      </c>
      <c r="C9340" t="s">
        <v>41</v>
      </c>
      <c r="D9340" t="s">
        <v>372</v>
      </c>
      <c r="F9340" s="21"/>
      <c r="G9340" s="16" t="str">
        <f>HYPERLINK("http://maps.google.com/maps?f=q&amp;hl=en&amp;geocode=&amp;q=37.2410724776941,-79.9986549778565")</f>
        <v>http://maps.google.com/maps?f=q&amp;hl=en&amp;geocode=&amp;q=37.2410724776941,-79.9986549778565</v>
      </c>
    </row>
    <row r="9341" spans="1:7" ht="15" x14ac:dyDescent="0.3">
      <c r="A9341" t="s">
        <v>44</v>
      </c>
      <c r="B9341" t="s">
        <v>44</v>
      </c>
      <c r="C9341" t="s">
        <v>44</v>
      </c>
      <c r="D9341" t="s">
        <v>5409</v>
      </c>
      <c r="F9341" s="21"/>
      <c r="G9341" s="16"/>
    </row>
    <row r="9342" spans="1:7" ht="15" x14ac:dyDescent="0.3">
      <c r="A9342">
        <v>29.320360183715799</v>
      </c>
      <c r="B9342">
        <v>-96.099159240722699</v>
      </c>
      <c r="C9342" t="s">
        <v>43</v>
      </c>
      <c r="D9342" t="s">
        <v>5410</v>
      </c>
      <c r="F9342" s="21"/>
      <c r="G9342" s="16" t="str">
        <f>HYPERLINK("http://maps.google.com/maps?f=q&amp;hl=en&amp;geocode=&amp;q=29.3203601837158,-96.0991592407227")</f>
        <v>http://maps.google.com/maps?f=q&amp;hl=en&amp;geocode=&amp;q=29.3203601837158,-96.0991592407227</v>
      </c>
    </row>
    <row r="9343" spans="1:7" ht="15" x14ac:dyDescent="0.3">
      <c r="A9343">
        <v>52.950611114502003</v>
      </c>
      <c r="B9343">
        <v>-0.95639002323150601</v>
      </c>
      <c r="C9343" t="s">
        <v>41</v>
      </c>
      <c r="D9343" t="s">
        <v>1909</v>
      </c>
      <c r="F9343" s="21"/>
      <c r="G9343" s="16" t="str">
        <f>HYPERLINK("http://maps.google.com/maps?f=q&amp;hl=en&amp;geocode=&amp;q=52.950611114502,-0.956390023231506")</f>
        <v>http://maps.google.com/maps?f=q&amp;hl=en&amp;geocode=&amp;q=52.950611114502,-0.956390023231506</v>
      </c>
    </row>
    <row r="9344" spans="1:7" ht="15" x14ac:dyDescent="0.3">
      <c r="A9344">
        <v>-15.792110443115201</v>
      </c>
      <c r="B9344">
        <v>-47.897750854492202</v>
      </c>
      <c r="C9344" t="s">
        <v>41</v>
      </c>
      <c r="D9344" t="s">
        <v>5411</v>
      </c>
      <c r="F9344" s="21"/>
      <c r="G9344" s="16" t="str">
        <f>HYPERLINK("http://maps.google.com/maps?f=q&amp;hl=en&amp;geocode=&amp;q=-15.7921104431152,-47.8977508544922")</f>
        <v>http://maps.google.com/maps?f=q&amp;hl=en&amp;geocode=&amp;q=-15.7921104431152,-47.8977508544922</v>
      </c>
    </row>
    <row r="9345" spans="1:7" ht="15" x14ac:dyDescent="0.3">
      <c r="A9345" t="s">
        <v>44</v>
      </c>
      <c r="B9345" t="s">
        <v>44</v>
      </c>
      <c r="C9345" t="s">
        <v>44</v>
      </c>
      <c r="D9345" t="s">
        <v>3076</v>
      </c>
      <c r="F9345" s="21"/>
      <c r="G9345" s="16"/>
    </row>
    <row r="9346" spans="1:7" ht="15" x14ac:dyDescent="0.3">
      <c r="A9346">
        <v>31.008949999999999</v>
      </c>
      <c r="B9346">
        <v>-86.337400000000002</v>
      </c>
      <c r="C9346" t="s">
        <v>42</v>
      </c>
      <c r="D9346" t="s">
        <v>4650</v>
      </c>
      <c r="F9346" s="21"/>
      <c r="G9346" s="16" t="str">
        <f>HYPERLINK("http://maps.google.com/maps?f=q&amp;hl=en&amp;geocode=&amp;q=31.00895,-86.3374")</f>
        <v>http://maps.google.com/maps?f=q&amp;hl=en&amp;geocode=&amp;q=31.00895,-86.3374</v>
      </c>
    </row>
    <row r="9347" spans="1:7" ht="15" x14ac:dyDescent="0.3">
      <c r="A9347">
        <v>31.008949999999999</v>
      </c>
      <c r="B9347">
        <v>-86.337400000000002</v>
      </c>
      <c r="C9347" t="s">
        <v>42</v>
      </c>
      <c r="D9347" t="s">
        <v>4649</v>
      </c>
      <c r="F9347" s="21"/>
      <c r="G9347" s="16" t="str">
        <f>HYPERLINK("http://maps.google.com/maps?f=q&amp;hl=en&amp;geocode=&amp;q=31.00895,-86.3374")</f>
        <v>http://maps.google.com/maps?f=q&amp;hl=en&amp;geocode=&amp;q=31.00895,-86.3374</v>
      </c>
    </row>
    <row r="9348" spans="1:7" ht="15" x14ac:dyDescent="0.3">
      <c r="A9348">
        <v>39.976695999999997</v>
      </c>
      <c r="B9348">
        <v>-75.127547000000007</v>
      </c>
      <c r="C9348" t="s">
        <v>41</v>
      </c>
      <c r="D9348" t="s">
        <v>2869</v>
      </c>
      <c r="F9348" s="21"/>
      <c r="G9348" s="16" t="str">
        <f>HYPERLINK("http://maps.google.com/maps?f=q&amp;hl=en&amp;geocode=&amp;q=39.976696,-75.127547")</f>
        <v>http://maps.google.com/maps?f=q&amp;hl=en&amp;geocode=&amp;q=39.976696,-75.127547</v>
      </c>
    </row>
    <row r="9349" spans="1:7" ht="15" x14ac:dyDescent="0.3">
      <c r="A9349">
        <v>49.4110107421875</v>
      </c>
      <c r="B9349">
        <v>14.675889968872101</v>
      </c>
      <c r="C9349" t="s">
        <v>41</v>
      </c>
      <c r="D9349" t="s">
        <v>5412</v>
      </c>
      <c r="F9349" s="21"/>
      <c r="G9349" s="16" t="str">
        <f>HYPERLINK("http://maps.google.com/maps?f=q&amp;hl=en&amp;geocode=&amp;q=49.4110107421875,14.6758899688721")</f>
        <v>http://maps.google.com/maps?f=q&amp;hl=en&amp;geocode=&amp;q=49.4110107421875,14.6758899688721</v>
      </c>
    </row>
    <row r="9350" spans="1:7" ht="15" x14ac:dyDescent="0.3">
      <c r="A9350">
        <v>52.478668212890597</v>
      </c>
      <c r="B9350">
        <v>-1.90848004817963</v>
      </c>
      <c r="C9350" t="s">
        <v>43</v>
      </c>
      <c r="D9350" t="s">
        <v>5413</v>
      </c>
      <c r="F9350" s="21"/>
      <c r="G9350" s="16" t="str">
        <f>HYPERLINK("http://maps.google.com/maps?f=q&amp;hl=en&amp;geocode=&amp;q=52.4786682128906,-1.90848004817963")</f>
        <v>http://maps.google.com/maps?f=q&amp;hl=en&amp;geocode=&amp;q=52.4786682128906,-1.90848004817963</v>
      </c>
    </row>
    <row r="9351" spans="1:7" ht="15" x14ac:dyDescent="0.3">
      <c r="A9351">
        <v>40.0635973510363</v>
      </c>
      <c r="B9351">
        <v>-75.048832068213201</v>
      </c>
      <c r="C9351" t="s">
        <v>41</v>
      </c>
      <c r="D9351" t="s">
        <v>2669</v>
      </c>
      <c r="F9351" s="21"/>
      <c r="G9351" s="16" t="str">
        <f>HYPERLINK("http://maps.google.com/maps?f=q&amp;hl=en&amp;geocode=&amp;q=40.0635973510363,-75.0488320682132")</f>
        <v>http://maps.google.com/maps?f=q&amp;hl=en&amp;geocode=&amp;q=40.0635973510363,-75.0488320682132</v>
      </c>
    </row>
    <row r="9352" spans="1:7" ht="15" x14ac:dyDescent="0.3">
      <c r="A9352">
        <v>44.938899993896499</v>
      </c>
      <c r="B9352">
        <v>-117.176879882813</v>
      </c>
      <c r="C9352" t="s">
        <v>41</v>
      </c>
      <c r="D9352" t="s">
        <v>341</v>
      </c>
      <c r="F9352" s="21"/>
      <c r="G9352" s="16" t="str">
        <f>HYPERLINK("http://maps.google.com/maps?f=q&amp;hl=en&amp;geocode=&amp;q=44.9388999938965,-117.176879882813")</f>
        <v>http://maps.google.com/maps?f=q&amp;hl=en&amp;geocode=&amp;q=44.9388999938965,-117.176879882813</v>
      </c>
    </row>
    <row r="9353" spans="1:7" ht="15" x14ac:dyDescent="0.3">
      <c r="A9353">
        <v>29.320360183715799</v>
      </c>
      <c r="B9353">
        <v>-96.099159240722699</v>
      </c>
      <c r="C9353" t="s">
        <v>43</v>
      </c>
      <c r="D9353" t="s">
        <v>5414</v>
      </c>
      <c r="F9353" s="21"/>
      <c r="G9353" s="16" t="str">
        <f>HYPERLINK("http://maps.google.com/maps?f=q&amp;hl=en&amp;geocode=&amp;q=29.3203601837158,-96.0991592407227")</f>
        <v>http://maps.google.com/maps?f=q&amp;hl=en&amp;geocode=&amp;q=29.3203601837158,-96.0991592407227</v>
      </c>
    </row>
    <row r="9354" spans="1:7" ht="15" x14ac:dyDescent="0.3">
      <c r="A9354">
        <v>31.356929999999998</v>
      </c>
      <c r="B9354">
        <v>-89.800349999999995</v>
      </c>
      <c r="C9354" t="s">
        <v>43</v>
      </c>
      <c r="D9354" t="s">
        <v>3143</v>
      </c>
      <c r="F9354" s="21"/>
      <c r="G9354" s="16" t="str">
        <f>HYPERLINK("http://maps.google.com/maps?f=q&amp;hl=en&amp;geocode=&amp;q=31.35693,-89.80035")</f>
        <v>http://maps.google.com/maps?f=q&amp;hl=en&amp;geocode=&amp;q=31.35693,-89.80035</v>
      </c>
    </row>
    <row r="9355" spans="1:7" ht="15" x14ac:dyDescent="0.3">
      <c r="A9355">
        <v>31.356929999999998</v>
      </c>
      <c r="B9355">
        <v>-89.800349999999995</v>
      </c>
      <c r="C9355" t="s">
        <v>43</v>
      </c>
      <c r="D9355" t="s">
        <v>3143</v>
      </c>
      <c r="F9355" s="21"/>
      <c r="G9355" s="16" t="str">
        <f>HYPERLINK("http://maps.google.com/maps?f=q&amp;hl=en&amp;geocode=&amp;q=31.35693,-89.80035")</f>
        <v>http://maps.google.com/maps?f=q&amp;hl=en&amp;geocode=&amp;q=31.35693,-89.80035</v>
      </c>
    </row>
    <row r="9356" spans="1:7" ht="15" x14ac:dyDescent="0.3">
      <c r="A9356">
        <v>61.750911712646499</v>
      </c>
      <c r="B9356">
        <v>-150.04513549804699</v>
      </c>
      <c r="C9356" t="s">
        <v>43</v>
      </c>
      <c r="D9356" t="s">
        <v>5415</v>
      </c>
      <c r="F9356" s="21"/>
      <c r="G9356" s="16" t="str">
        <f>HYPERLINK("http://maps.google.com/maps?f=q&amp;hl=en&amp;geocode=&amp;q=61.7509117126465,-150.045135498047")</f>
        <v>http://maps.google.com/maps?f=q&amp;hl=en&amp;geocode=&amp;q=61.7509117126465,-150.045135498047</v>
      </c>
    </row>
    <row r="9357" spans="1:7" ht="15" x14ac:dyDescent="0.3">
      <c r="A9357">
        <v>30.428531229755599</v>
      </c>
      <c r="B9357">
        <v>-86.909382939318206</v>
      </c>
      <c r="C9357" t="s">
        <v>41</v>
      </c>
      <c r="D9357" t="s">
        <v>5416</v>
      </c>
      <c r="F9357" s="21"/>
      <c r="G9357" s="16" t="str">
        <f>HYPERLINK("http://maps.google.com/maps?f=q&amp;hl=en&amp;geocode=&amp;q=30.4285312297556,-86.9093829393182")</f>
        <v>http://maps.google.com/maps?f=q&amp;hl=en&amp;geocode=&amp;q=30.4285312297556,-86.9093829393182</v>
      </c>
    </row>
    <row r="9358" spans="1:7" ht="15" x14ac:dyDescent="0.3">
      <c r="A9358">
        <v>30.428531229755599</v>
      </c>
      <c r="B9358">
        <v>-86.909382939318206</v>
      </c>
      <c r="C9358" t="s">
        <v>41</v>
      </c>
      <c r="D9358" t="s">
        <v>5416</v>
      </c>
      <c r="F9358" s="21"/>
      <c r="G9358" s="16" t="str">
        <f>HYPERLINK("http://maps.google.com/maps?f=q&amp;hl=en&amp;geocode=&amp;q=30.4285312297556,-86.9093829393182")</f>
        <v>http://maps.google.com/maps?f=q&amp;hl=en&amp;geocode=&amp;q=30.4285312297556,-86.9093829393182</v>
      </c>
    </row>
    <row r="9359" spans="1:7" ht="15" x14ac:dyDescent="0.3">
      <c r="A9359">
        <v>40.749822924816598</v>
      </c>
      <c r="B9359">
        <v>-91.129157240300302</v>
      </c>
      <c r="C9359" t="s">
        <v>41</v>
      </c>
      <c r="D9359" t="s">
        <v>5417</v>
      </c>
      <c r="F9359" s="21"/>
      <c r="G9359" s="16" t="str">
        <f>HYPERLINK("http://maps.google.com/maps?f=q&amp;hl=en&amp;geocode=&amp;q=40.7498229248166,-91.1291572403003")</f>
        <v>http://maps.google.com/maps?f=q&amp;hl=en&amp;geocode=&amp;q=40.7498229248166,-91.1291572403003</v>
      </c>
    </row>
    <row r="9360" spans="1:7" ht="15" x14ac:dyDescent="0.3">
      <c r="A9360" t="s">
        <v>44</v>
      </c>
      <c r="B9360" t="s">
        <v>44</v>
      </c>
      <c r="C9360" t="s">
        <v>44</v>
      </c>
      <c r="D9360" t="s">
        <v>5418</v>
      </c>
      <c r="F9360" s="21"/>
      <c r="G9360" s="16"/>
    </row>
    <row r="9361" spans="1:7" ht="15" x14ac:dyDescent="0.3">
      <c r="A9361">
        <v>32.9852581192145</v>
      </c>
      <c r="B9361">
        <v>-96.801636084177403</v>
      </c>
      <c r="C9361" t="s">
        <v>41</v>
      </c>
      <c r="D9361" t="s">
        <v>4154</v>
      </c>
      <c r="F9361" s="21"/>
      <c r="G9361" s="16" t="str">
        <f>HYPERLINK("http://maps.google.com/maps?f=q&amp;hl=en&amp;geocode=&amp;q=32.9852581192145,-96.8016360841774")</f>
        <v>http://maps.google.com/maps?f=q&amp;hl=en&amp;geocode=&amp;q=32.9852581192145,-96.8016360841774</v>
      </c>
    </row>
    <row r="9362" spans="1:7" ht="15" x14ac:dyDescent="0.3">
      <c r="A9362">
        <v>-31.972069999999999</v>
      </c>
      <c r="B9362">
        <v>115.88377</v>
      </c>
      <c r="C9362" t="s">
        <v>41</v>
      </c>
      <c r="D9362" t="s">
        <v>5419</v>
      </c>
      <c r="F9362" s="21"/>
      <c r="G9362" s="16" t="str">
        <f>HYPERLINK("http://maps.google.com/maps?f=q&amp;hl=en&amp;geocode=&amp;q=-31.97207,115.88377")</f>
        <v>http://maps.google.com/maps?f=q&amp;hl=en&amp;geocode=&amp;q=-31.97207,115.88377</v>
      </c>
    </row>
    <row r="9363" spans="1:7" ht="15" x14ac:dyDescent="0.3">
      <c r="A9363">
        <v>38.815968116725898</v>
      </c>
      <c r="B9363">
        <v>-76.022427252873001</v>
      </c>
      <c r="C9363" t="s">
        <v>41</v>
      </c>
      <c r="D9363" t="s">
        <v>5420</v>
      </c>
      <c r="F9363" s="21"/>
      <c r="G9363" s="16" t="str">
        <f>HYPERLINK("http://maps.google.com/maps?f=q&amp;hl=en&amp;geocode=&amp;q=38.8159681167259,-76.022427252873")</f>
        <v>http://maps.google.com/maps?f=q&amp;hl=en&amp;geocode=&amp;q=38.8159681167259,-76.022427252873</v>
      </c>
    </row>
    <row r="9364" spans="1:7" ht="15" x14ac:dyDescent="0.3">
      <c r="A9364">
        <v>23.7733478546143</v>
      </c>
      <c r="B9364">
        <v>87.994697570800795</v>
      </c>
      <c r="C9364" t="s">
        <v>41</v>
      </c>
      <c r="D9364" t="s">
        <v>4994</v>
      </c>
      <c r="F9364" s="21"/>
      <c r="G9364" s="16" t="str">
        <f>HYPERLINK("http://maps.google.com/maps?f=q&amp;hl=en&amp;geocode=&amp;q=23.7733478546143,87.9946975708008")</f>
        <v>http://maps.google.com/maps?f=q&amp;hl=en&amp;geocode=&amp;q=23.7733478546143,87.9946975708008</v>
      </c>
    </row>
    <row r="9365" spans="1:7" ht="15" x14ac:dyDescent="0.3">
      <c r="A9365">
        <v>39.008125305175803</v>
      </c>
      <c r="B9365">
        <v>-75.467475891113295</v>
      </c>
      <c r="C9365" t="s">
        <v>43</v>
      </c>
      <c r="D9365" t="s">
        <v>5421</v>
      </c>
      <c r="F9365" s="21"/>
      <c r="G9365" s="16" t="str">
        <f>HYPERLINK("http://maps.google.com/maps?f=q&amp;hl=en&amp;geocode=&amp;q=39.0081253051758,-75.4674758911133")</f>
        <v>http://maps.google.com/maps?f=q&amp;hl=en&amp;geocode=&amp;q=39.0081253051758,-75.4674758911133</v>
      </c>
    </row>
    <row r="9366" spans="1:7" ht="15" x14ac:dyDescent="0.3">
      <c r="A9366">
        <v>39.136638858653498</v>
      </c>
      <c r="B9366">
        <v>-76.486475355245702</v>
      </c>
      <c r="C9366" t="s">
        <v>41</v>
      </c>
      <c r="D9366" t="s">
        <v>2301</v>
      </c>
      <c r="F9366" s="21"/>
      <c r="G9366" s="16" t="str">
        <f>HYPERLINK("http://maps.google.com/maps?f=q&amp;hl=en&amp;geocode=&amp;q=39.1366388586535,-76.4864753552457")</f>
        <v>http://maps.google.com/maps?f=q&amp;hl=en&amp;geocode=&amp;q=39.1366388586535,-76.4864753552457</v>
      </c>
    </row>
    <row r="9367" spans="1:7" ht="15" x14ac:dyDescent="0.3">
      <c r="A9367">
        <v>48.672306060791001</v>
      </c>
      <c r="B9367">
        <v>7.5540661811828604</v>
      </c>
      <c r="C9367" t="s">
        <v>43</v>
      </c>
      <c r="D9367" t="s">
        <v>5375</v>
      </c>
      <c r="F9367" s="21"/>
      <c r="G9367" s="16" t="str">
        <f>HYPERLINK("http://maps.google.com/maps?f=q&amp;hl=en&amp;geocode=&amp;q=48.672306060791,7.55406618118286")</f>
        <v>http://maps.google.com/maps?f=q&amp;hl=en&amp;geocode=&amp;q=48.672306060791,7.55406618118286</v>
      </c>
    </row>
    <row r="9368" spans="1:7" ht="15" x14ac:dyDescent="0.3">
      <c r="A9368">
        <v>55.670021057128899</v>
      </c>
      <c r="B9368">
        <v>12.120795249939</v>
      </c>
      <c r="C9368" t="s">
        <v>43</v>
      </c>
      <c r="D9368" t="s">
        <v>5422</v>
      </c>
      <c r="F9368" s="21"/>
      <c r="G9368" s="16" t="str">
        <f>HYPERLINK("http://maps.google.com/maps?f=q&amp;hl=en&amp;geocode=&amp;q=55.6700210571289,12.120795249939")</f>
        <v>http://maps.google.com/maps?f=q&amp;hl=en&amp;geocode=&amp;q=55.6700210571289,12.120795249939</v>
      </c>
    </row>
    <row r="9369" spans="1:7" ht="15" x14ac:dyDescent="0.3">
      <c r="A9369">
        <v>35.111273606166499</v>
      </c>
      <c r="B9369">
        <v>-90.025889620762896</v>
      </c>
      <c r="C9369" t="s">
        <v>41</v>
      </c>
      <c r="D9369" t="s">
        <v>5423</v>
      </c>
      <c r="F9369" s="21"/>
      <c r="G9369" s="16" t="str">
        <f>HYPERLINK("http://maps.google.com/maps?f=q&amp;hl=en&amp;geocode=&amp;q=35.1112736061665,-90.0258896207629")</f>
        <v>http://maps.google.com/maps?f=q&amp;hl=en&amp;geocode=&amp;q=35.1112736061665,-90.0258896207629</v>
      </c>
    </row>
    <row r="9370" spans="1:7" ht="15" x14ac:dyDescent="0.3">
      <c r="A9370">
        <v>36.103721421692299</v>
      </c>
      <c r="B9370">
        <v>-79.479061934919201</v>
      </c>
      <c r="C9370" t="s">
        <v>43</v>
      </c>
      <c r="D9370" t="s">
        <v>5424</v>
      </c>
      <c r="F9370" s="21"/>
      <c r="G9370" s="16" t="str">
        <f>HYPERLINK("http://maps.google.com/maps?f=q&amp;hl=en&amp;geocode=&amp;q=36.1037214216923,-79.4790619349192")</f>
        <v>http://maps.google.com/maps?f=q&amp;hl=en&amp;geocode=&amp;q=36.1037214216923,-79.4790619349192</v>
      </c>
    </row>
    <row r="9371" spans="1:7" ht="15" x14ac:dyDescent="0.3">
      <c r="A9371">
        <v>35.111273606166499</v>
      </c>
      <c r="B9371">
        <v>-90.025889620762896</v>
      </c>
      <c r="C9371" t="s">
        <v>41</v>
      </c>
      <c r="D9371" t="s">
        <v>5423</v>
      </c>
      <c r="F9371" s="21"/>
      <c r="G9371" s="16" t="str">
        <f>HYPERLINK("http://maps.google.com/maps?f=q&amp;hl=en&amp;geocode=&amp;q=35.1112736061665,-90.0258896207629")</f>
        <v>http://maps.google.com/maps?f=q&amp;hl=en&amp;geocode=&amp;q=35.1112736061665,-90.0258896207629</v>
      </c>
    </row>
    <row r="9372" spans="1:7" ht="15" x14ac:dyDescent="0.3">
      <c r="A9372" t="s">
        <v>44</v>
      </c>
      <c r="B9372" t="s">
        <v>44</v>
      </c>
      <c r="C9372" t="s">
        <v>44</v>
      </c>
      <c r="D9372" t="s">
        <v>5418</v>
      </c>
      <c r="F9372" s="21"/>
      <c r="G9372" s="16"/>
    </row>
    <row r="9373" spans="1:7" ht="15" x14ac:dyDescent="0.3">
      <c r="A9373">
        <v>48.672306060791001</v>
      </c>
      <c r="B9373">
        <v>7.5540661811828604</v>
      </c>
      <c r="C9373" t="s">
        <v>43</v>
      </c>
      <c r="D9373" t="s">
        <v>5375</v>
      </c>
      <c r="F9373" s="21"/>
      <c r="G9373" s="16" t="str">
        <f>HYPERLINK("http://maps.google.com/maps?f=q&amp;hl=en&amp;geocode=&amp;q=48.672306060791,7.55406618118286")</f>
        <v>http://maps.google.com/maps?f=q&amp;hl=en&amp;geocode=&amp;q=48.672306060791,7.55406618118286</v>
      </c>
    </row>
    <row r="9374" spans="1:7" ht="15" x14ac:dyDescent="0.3">
      <c r="A9374" t="s">
        <v>44</v>
      </c>
      <c r="B9374" t="s">
        <v>44</v>
      </c>
      <c r="C9374" t="s">
        <v>44</v>
      </c>
      <c r="D9374" t="s">
        <v>4438</v>
      </c>
      <c r="F9374" s="21"/>
      <c r="G9374" s="16"/>
    </row>
    <row r="9375" spans="1:7" ht="15" x14ac:dyDescent="0.3">
      <c r="A9375">
        <v>39.008125305175803</v>
      </c>
      <c r="B9375">
        <v>-75.467475891113295</v>
      </c>
      <c r="C9375" t="s">
        <v>43</v>
      </c>
      <c r="D9375" t="s">
        <v>5421</v>
      </c>
      <c r="F9375" s="21"/>
      <c r="G9375" s="16" t="str">
        <f>HYPERLINK("http://maps.google.com/maps?f=q&amp;hl=en&amp;geocode=&amp;q=39.0081253051758,-75.4674758911133")</f>
        <v>http://maps.google.com/maps?f=q&amp;hl=en&amp;geocode=&amp;q=39.0081253051758,-75.4674758911133</v>
      </c>
    </row>
    <row r="9376" spans="1:7" ht="15" x14ac:dyDescent="0.3">
      <c r="A9376">
        <v>39.220829010009801</v>
      </c>
      <c r="B9376">
        <v>-87.636940002441406</v>
      </c>
      <c r="C9376" t="s">
        <v>43</v>
      </c>
      <c r="D9376" t="s">
        <v>2716</v>
      </c>
      <c r="F9376" s="21"/>
      <c r="G9376" s="16" t="str">
        <f>HYPERLINK("http://maps.google.com/maps?f=q&amp;hl=en&amp;geocode=&amp;q=39.2208290100098,-87.6369400024414")</f>
        <v>http://maps.google.com/maps?f=q&amp;hl=en&amp;geocode=&amp;q=39.2208290100098,-87.6369400024414</v>
      </c>
    </row>
    <row r="9377" spans="1:7" ht="15" x14ac:dyDescent="0.3">
      <c r="A9377">
        <v>-26.034427642822301</v>
      </c>
      <c r="B9377">
        <v>28.5431098937988</v>
      </c>
      <c r="C9377" t="s">
        <v>43</v>
      </c>
      <c r="D9377" t="s">
        <v>2999</v>
      </c>
      <c r="F9377" s="21"/>
      <c r="G9377" s="16" t="str">
        <f>HYPERLINK("http://maps.google.com/maps?f=q&amp;hl=en&amp;geocode=&amp;q=-26.0344276428223,28.5431098937988")</f>
        <v>http://maps.google.com/maps?f=q&amp;hl=en&amp;geocode=&amp;q=-26.0344276428223,28.5431098937988</v>
      </c>
    </row>
    <row r="9378" spans="1:7" ht="15" x14ac:dyDescent="0.3">
      <c r="A9378">
        <v>49.518180847167997</v>
      </c>
      <c r="B9378">
        <v>5.8978409767150897</v>
      </c>
      <c r="C9378" t="s">
        <v>41</v>
      </c>
      <c r="D9378" t="s">
        <v>2510</v>
      </c>
      <c r="F9378" s="21"/>
      <c r="G9378" s="16" t="str">
        <f>HYPERLINK("http://maps.google.com/maps?f=q&amp;hl=en&amp;geocode=&amp;q=49.518180847168,5.89784097671509")</f>
        <v>http://maps.google.com/maps?f=q&amp;hl=en&amp;geocode=&amp;q=49.518180847168,5.89784097671509</v>
      </c>
    </row>
    <row r="9379" spans="1:7" ht="15" x14ac:dyDescent="0.3">
      <c r="A9379">
        <v>49.518180847167997</v>
      </c>
      <c r="B9379">
        <v>5.8978409767150897</v>
      </c>
      <c r="C9379" t="s">
        <v>41</v>
      </c>
      <c r="D9379" t="s">
        <v>2510</v>
      </c>
      <c r="F9379" s="21"/>
      <c r="G9379" s="16" t="str">
        <f>HYPERLINK("http://maps.google.com/maps?f=q&amp;hl=en&amp;geocode=&amp;q=49.518180847168,5.89784097671509")</f>
        <v>http://maps.google.com/maps?f=q&amp;hl=en&amp;geocode=&amp;q=49.518180847168,5.89784097671509</v>
      </c>
    </row>
    <row r="9380" spans="1:7" ht="15" x14ac:dyDescent="0.3">
      <c r="A9380" t="s">
        <v>44</v>
      </c>
      <c r="B9380" t="s">
        <v>44</v>
      </c>
      <c r="C9380" t="s">
        <v>44</v>
      </c>
      <c r="D9380" t="s">
        <v>5418</v>
      </c>
      <c r="F9380" s="21"/>
      <c r="G9380" s="16"/>
    </row>
    <row r="9381" spans="1:7" ht="15" x14ac:dyDescent="0.3">
      <c r="A9381">
        <v>49.518180847167997</v>
      </c>
      <c r="B9381">
        <v>5.8978409767150897</v>
      </c>
      <c r="C9381" t="s">
        <v>41</v>
      </c>
      <c r="D9381" t="s">
        <v>2510</v>
      </c>
      <c r="F9381" s="21"/>
      <c r="G9381" s="16" t="str">
        <f>HYPERLINK("http://maps.google.com/maps?f=q&amp;hl=en&amp;geocode=&amp;q=49.518180847168,5.89784097671509")</f>
        <v>http://maps.google.com/maps?f=q&amp;hl=en&amp;geocode=&amp;q=49.518180847168,5.89784097671509</v>
      </c>
    </row>
    <row r="9382" spans="1:7" ht="15" x14ac:dyDescent="0.3">
      <c r="A9382">
        <v>49.518180847167997</v>
      </c>
      <c r="B9382">
        <v>5.8978409767150897</v>
      </c>
      <c r="C9382" t="s">
        <v>41</v>
      </c>
      <c r="D9382" t="s">
        <v>2510</v>
      </c>
      <c r="F9382" s="21"/>
      <c r="G9382" s="16" t="str">
        <f>HYPERLINK("http://maps.google.com/maps?f=q&amp;hl=en&amp;geocode=&amp;q=49.518180847168,5.89784097671509")</f>
        <v>http://maps.google.com/maps?f=q&amp;hl=en&amp;geocode=&amp;q=49.518180847168,5.89784097671509</v>
      </c>
    </row>
    <row r="9383" spans="1:7" ht="15" x14ac:dyDescent="0.3">
      <c r="A9383">
        <v>39.985076403831201</v>
      </c>
      <c r="B9383">
        <v>-75.106754449039101</v>
      </c>
      <c r="C9383" t="s">
        <v>41</v>
      </c>
      <c r="D9383" t="s">
        <v>3814</v>
      </c>
      <c r="F9383" s="21"/>
      <c r="G9383" s="16" t="str">
        <f>HYPERLINK("http://maps.google.com/maps?f=q&amp;hl=en&amp;geocode=&amp;q=39.9850764038312,-75.1067544490391")</f>
        <v>http://maps.google.com/maps?f=q&amp;hl=en&amp;geocode=&amp;q=39.9850764038312,-75.1067544490391</v>
      </c>
    </row>
    <row r="9384" spans="1:7" ht="15" x14ac:dyDescent="0.3">
      <c r="A9384" t="s">
        <v>44</v>
      </c>
      <c r="B9384" t="s">
        <v>44</v>
      </c>
      <c r="C9384" t="s">
        <v>44</v>
      </c>
      <c r="D9384" t="s">
        <v>5425</v>
      </c>
      <c r="F9384" s="21"/>
      <c r="G9384" s="16"/>
    </row>
    <row r="9385" spans="1:7" ht="15" x14ac:dyDescent="0.3">
      <c r="A9385">
        <v>39.220829010009801</v>
      </c>
      <c r="B9385">
        <v>-87.636940002441406</v>
      </c>
      <c r="C9385" t="s">
        <v>43</v>
      </c>
      <c r="D9385" t="s">
        <v>3244</v>
      </c>
      <c r="F9385" s="21"/>
      <c r="G9385" s="16" t="str">
        <f>HYPERLINK("http://maps.google.com/maps?f=q&amp;hl=en&amp;geocode=&amp;q=39.2208290100098,-87.6369400024414")</f>
        <v>http://maps.google.com/maps?f=q&amp;hl=en&amp;geocode=&amp;q=39.2208290100098,-87.6369400024414</v>
      </c>
    </row>
    <row r="9386" spans="1:7" ht="15" x14ac:dyDescent="0.3">
      <c r="A9386">
        <v>39.220829010009801</v>
      </c>
      <c r="B9386">
        <v>-87.636940002441406</v>
      </c>
      <c r="C9386" t="s">
        <v>43</v>
      </c>
      <c r="D9386" t="s">
        <v>2716</v>
      </c>
      <c r="F9386" s="21"/>
      <c r="G9386" s="16" t="str">
        <f>HYPERLINK("http://maps.google.com/maps?f=q&amp;hl=en&amp;geocode=&amp;q=39.2208290100098,-87.6369400024414")</f>
        <v>http://maps.google.com/maps?f=q&amp;hl=en&amp;geocode=&amp;q=39.2208290100098,-87.6369400024414</v>
      </c>
    </row>
    <row r="9387" spans="1:7" ht="15" x14ac:dyDescent="0.3">
      <c r="A9387">
        <v>41.268006956112998</v>
      </c>
      <c r="B9387">
        <v>-75.922767201810998</v>
      </c>
      <c r="C9387" t="s">
        <v>41</v>
      </c>
      <c r="D9387" t="s">
        <v>5426</v>
      </c>
      <c r="F9387" s="21"/>
      <c r="G9387" s="16" t="str">
        <f>HYPERLINK("http://maps.google.com/maps?f=q&amp;hl=en&amp;geocode=&amp;q=41.268006956113,-75.922767201811")</f>
        <v>http://maps.google.com/maps?f=q&amp;hl=en&amp;geocode=&amp;q=41.268006956113,-75.922767201811</v>
      </c>
    </row>
    <row r="9388" spans="1:7" ht="15" x14ac:dyDescent="0.3">
      <c r="A9388">
        <v>41.268006956112998</v>
      </c>
      <c r="B9388">
        <v>-75.922767201810998</v>
      </c>
      <c r="C9388" t="s">
        <v>41</v>
      </c>
      <c r="D9388" t="s">
        <v>5426</v>
      </c>
      <c r="F9388" s="21"/>
      <c r="G9388" s="16" t="str">
        <f>HYPERLINK("http://maps.google.com/maps?f=q&amp;hl=en&amp;geocode=&amp;q=41.268006956113,-75.922767201811")</f>
        <v>http://maps.google.com/maps?f=q&amp;hl=en&amp;geocode=&amp;q=41.268006956113,-75.922767201811</v>
      </c>
    </row>
    <row r="9389" spans="1:7" ht="15" x14ac:dyDescent="0.3">
      <c r="A9389">
        <v>-37.742469999999997</v>
      </c>
      <c r="B9389">
        <v>142.02804</v>
      </c>
      <c r="C9389" t="s">
        <v>41</v>
      </c>
      <c r="D9389" t="s">
        <v>5404</v>
      </c>
      <c r="F9389" s="21"/>
      <c r="G9389" s="16" t="str">
        <f>HYPERLINK("http://maps.google.com/maps?f=q&amp;hl=en&amp;geocode=&amp;q=-37.74247,142.02804")</f>
        <v>http://maps.google.com/maps?f=q&amp;hl=en&amp;geocode=&amp;q=-37.74247,142.02804</v>
      </c>
    </row>
    <row r="9390" spans="1:7" ht="15" x14ac:dyDescent="0.3">
      <c r="A9390">
        <v>33.675014967169098</v>
      </c>
      <c r="B9390">
        <v>-90.950445199897601</v>
      </c>
      <c r="C9390" t="s">
        <v>41</v>
      </c>
      <c r="D9390" t="s">
        <v>3884</v>
      </c>
      <c r="F9390" s="21"/>
      <c r="G9390" s="16" t="str">
        <f>HYPERLINK("http://maps.google.com/maps?f=q&amp;hl=en&amp;geocode=&amp;q=33.6750149671691,-90.9504451998976")</f>
        <v>http://maps.google.com/maps?f=q&amp;hl=en&amp;geocode=&amp;q=33.6750149671691,-90.9504451998976</v>
      </c>
    </row>
    <row r="9391" spans="1:7" ht="15" x14ac:dyDescent="0.3">
      <c r="A9391">
        <v>32.032176393463899</v>
      </c>
      <c r="B9391">
        <v>-81.064254996345298</v>
      </c>
      <c r="C9391" t="s">
        <v>41</v>
      </c>
      <c r="D9391" t="s">
        <v>5427</v>
      </c>
      <c r="F9391" s="21"/>
      <c r="G9391" s="16" t="str">
        <f>HYPERLINK("http://maps.google.com/maps?f=q&amp;hl=en&amp;geocode=&amp;q=32.0321763934639,-81.0642549963453")</f>
        <v>http://maps.google.com/maps?f=q&amp;hl=en&amp;geocode=&amp;q=32.0321763934639,-81.0642549963453</v>
      </c>
    </row>
    <row r="9392" spans="1:7" ht="15" x14ac:dyDescent="0.3">
      <c r="A9392">
        <v>41.261953903056799</v>
      </c>
      <c r="B9392">
        <v>-79.715838900365398</v>
      </c>
      <c r="C9392" t="s">
        <v>41</v>
      </c>
      <c r="D9392" t="s">
        <v>5239</v>
      </c>
      <c r="F9392" s="21"/>
      <c r="G9392" s="16" t="str">
        <f>HYPERLINK("http://maps.google.com/maps?f=q&amp;hl=en&amp;geocode=&amp;q=41.2619539030568,-79.7158389003654")</f>
        <v>http://maps.google.com/maps?f=q&amp;hl=en&amp;geocode=&amp;q=41.2619539030568,-79.7158389003654</v>
      </c>
    </row>
    <row r="9393" spans="1:7" ht="15" x14ac:dyDescent="0.3">
      <c r="A9393">
        <v>43.626708618584303</v>
      </c>
      <c r="B9393">
        <v>-84.221211850120199</v>
      </c>
      <c r="C9393" t="s">
        <v>41</v>
      </c>
      <c r="D9393" t="s">
        <v>5428</v>
      </c>
      <c r="F9393" s="21"/>
      <c r="G9393" s="16" t="str">
        <f>HYPERLINK("http://maps.google.com/maps?f=q&amp;hl=en&amp;geocode=&amp;q=43.6267086185843,-84.2212118501202")</f>
        <v>http://maps.google.com/maps?f=q&amp;hl=en&amp;geocode=&amp;q=43.6267086185843,-84.2212118501202</v>
      </c>
    </row>
    <row r="9394" spans="1:7" ht="15" x14ac:dyDescent="0.3">
      <c r="A9394">
        <v>-37.815635681152301</v>
      </c>
      <c r="B9394">
        <v>144.96734619140599</v>
      </c>
      <c r="C9394" t="s">
        <v>43</v>
      </c>
      <c r="D9394" t="s">
        <v>4845</v>
      </c>
      <c r="F9394" s="21"/>
      <c r="G9394" s="16" t="str">
        <f>HYPERLINK("http://maps.google.com/maps?f=q&amp;hl=en&amp;geocode=&amp;q=-37.8156356811523,144.967346191406")</f>
        <v>http://maps.google.com/maps?f=q&amp;hl=en&amp;geocode=&amp;q=-37.8156356811523,144.967346191406</v>
      </c>
    </row>
    <row r="9395" spans="1:7" ht="15" x14ac:dyDescent="0.3">
      <c r="A9395">
        <v>39.921869999999998</v>
      </c>
      <c r="B9395">
        <v>-75.180040000000005</v>
      </c>
      <c r="C9395" t="s">
        <v>43</v>
      </c>
      <c r="D9395" t="s">
        <v>5429</v>
      </c>
      <c r="F9395" s="21"/>
      <c r="G9395" s="16" t="str">
        <f>HYPERLINK("http://maps.google.com/maps?f=q&amp;hl=en&amp;geocode=&amp;q=39.92187,-75.18004")</f>
        <v>http://maps.google.com/maps?f=q&amp;hl=en&amp;geocode=&amp;q=39.92187,-75.18004</v>
      </c>
    </row>
    <row r="9396" spans="1:7" ht="15" x14ac:dyDescent="0.3">
      <c r="A9396">
        <v>28.652539999999998</v>
      </c>
      <c r="B9396">
        <v>-81.468000000000004</v>
      </c>
      <c r="C9396" t="s">
        <v>42</v>
      </c>
      <c r="D9396" t="s">
        <v>5430</v>
      </c>
      <c r="F9396" s="21"/>
      <c r="G9396" s="16" t="str">
        <f>HYPERLINK("http://maps.google.com/maps?f=q&amp;hl=en&amp;geocode=&amp;q=28.65254,-81.468")</f>
        <v>http://maps.google.com/maps?f=q&amp;hl=en&amp;geocode=&amp;q=28.65254,-81.468</v>
      </c>
    </row>
    <row r="9397" spans="1:7" ht="15" x14ac:dyDescent="0.3">
      <c r="A9397">
        <v>-26.034427642822301</v>
      </c>
      <c r="B9397">
        <v>28.5431098937988</v>
      </c>
      <c r="C9397" t="s">
        <v>43</v>
      </c>
      <c r="D9397" t="s">
        <v>3749</v>
      </c>
      <c r="F9397" s="21"/>
      <c r="G9397" s="16" t="str">
        <f>HYPERLINK("http://maps.google.com/maps?f=q&amp;hl=en&amp;geocode=&amp;q=-26.0344276428223,28.5431098937988")</f>
        <v>http://maps.google.com/maps?f=q&amp;hl=en&amp;geocode=&amp;q=-26.0344276428223,28.5431098937988</v>
      </c>
    </row>
    <row r="9398" spans="1:7" ht="15" x14ac:dyDescent="0.3">
      <c r="A9398">
        <v>39.923360000000002</v>
      </c>
      <c r="B9398">
        <v>-75.17165</v>
      </c>
      <c r="C9398" t="s">
        <v>41</v>
      </c>
      <c r="D9398" t="s">
        <v>5431</v>
      </c>
      <c r="F9398" s="21"/>
      <c r="G9398" s="16" t="str">
        <f>HYPERLINK("http://maps.google.com/maps?f=q&amp;hl=en&amp;geocode=&amp;q=39.92336,-75.17165")</f>
        <v>http://maps.google.com/maps?f=q&amp;hl=en&amp;geocode=&amp;q=39.92336,-75.17165</v>
      </c>
    </row>
    <row r="9399" spans="1:7" ht="15" x14ac:dyDescent="0.3">
      <c r="A9399">
        <v>44.5414009094238</v>
      </c>
      <c r="B9399">
        <v>-68.424308776855497</v>
      </c>
      <c r="C9399" t="s">
        <v>43</v>
      </c>
      <c r="D9399" t="s">
        <v>5432</v>
      </c>
      <c r="F9399" s="21"/>
      <c r="G9399" s="16" t="str">
        <f>HYPERLINK("http://maps.google.com/maps?f=q&amp;hl=en&amp;geocode=&amp;q=44.5414009094238,-68.4243087768555")</f>
        <v>http://maps.google.com/maps?f=q&amp;hl=en&amp;geocode=&amp;q=44.5414009094238,-68.4243087768555</v>
      </c>
    </row>
    <row r="9400" spans="1:7" ht="15" x14ac:dyDescent="0.3">
      <c r="A9400">
        <v>40.00611</v>
      </c>
      <c r="B9400">
        <v>-75.07817</v>
      </c>
      <c r="C9400" t="s">
        <v>41</v>
      </c>
      <c r="D9400" t="s">
        <v>5433</v>
      </c>
      <c r="F9400" s="21"/>
      <c r="G9400" s="16" t="str">
        <f>HYPERLINK("http://maps.google.com/maps?f=q&amp;hl=en&amp;geocode=&amp;q=40.00611,-75.07817")</f>
        <v>http://maps.google.com/maps?f=q&amp;hl=en&amp;geocode=&amp;q=40.00611,-75.07817</v>
      </c>
    </row>
    <row r="9401" spans="1:7" ht="15" x14ac:dyDescent="0.3">
      <c r="A9401">
        <v>40.017766826784701</v>
      </c>
      <c r="B9401">
        <v>-75.082533043290795</v>
      </c>
      <c r="C9401" t="s">
        <v>41</v>
      </c>
      <c r="D9401" t="s">
        <v>2702</v>
      </c>
      <c r="F9401" s="21"/>
      <c r="G9401" s="16" t="str">
        <f>HYPERLINK("http://maps.google.com/maps?f=q&amp;hl=en&amp;geocode=&amp;q=40.0177668267847,-75.0825330432908")</f>
        <v>http://maps.google.com/maps?f=q&amp;hl=en&amp;geocode=&amp;q=40.0177668267847,-75.0825330432908</v>
      </c>
    </row>
    <row r="9402" spans="1:7" ht="15" x14ac:dyDescent="0.3">
      <c r="A9402">
        <v>40.299199999999999</v>
      </c>
      <c r="B9402">
        <v>-90.921360000000007</v>
      </c>
      <c r="C9402" t="s">
        <v>43</v>
      </c>
      <c r="D9402" t="s">
        <v>5434</v>
      </c>
      <c r="F9402" s="21"/>
      <c r="G9402" s="16" t="str">
        <f>HYPERLINK("http://maps.google.com/maps?f=q&amp;hl=en&amp;geocode=&amp;q=40.2992,-90.92136")</f>
        <v>http://maps.google.com/maps?f=q&amp;hl=en&amp;geocode=&amp;q=40.2992,-90.92136</v>
      </c>
    </row>
    <row r="9403" spans="1:7" ht="15" x14ac:dyDescent="0.3">
      <c r="A9403">
        <v>39.973179999999999</v>
      </c>
      <c r="B9403">
        <v>-75.209850000000003</v>
      </c>
      <c r="C9403" t="s">
        <v>41</v>
      </c>
      <c r="D9403" t="s">
        <v>3179</v>
      </c>
      <c r="F9403" s="21"/>
      <c r="G9403" s="16" t="str">
        <f>HYPERLINK("http://maps.google.com/maps?f=q&amp;hl=en&amp;geocode=&amp;q=39.97318,-75.20985")</f>
        <v>http://maps.google.com/maps?f=q&amp;hl=en&amp;geocode=&amp;q=39.97318,-75.20985</v>
      </c>
    </row>
    <row r="9404" spans="1:7" ht="15" x14ac:dyDescent="0.3">
      <c r="A9404">
        <v>34.272004742409102</v>
      </c>
      <c r="B9404">
        <v>-116.935170361676</v>
      </c>
      <c r="C9404" t="s">
        <v>43</v>
      </c>
      <c r="D9404" t="s">
        <v>4820</v>
      </c>
      <c r="F9404" s="21"/>
      <c r="G9404" s="16" t="str">
        <f>HYPERLINK("http://maps.google.com/maps?f=q&amp;hl=en&amp;geocode=&amp;q=34.2720047424091,-116.935170361676")</f>
        <v>http://maps.google.com/maps?f=q&amp;hl=en&amp;geocode=&amp;q=34.2720047424091,-116.935170361676</v>
      </c>
    </row>
    <row r="9405" spans="1:7" ht="15" x14ac:dyDescent="0.3">
      <c r="A9405">
        <v>49.5926322937012</v>
      </c>
      <c r="B9405">
        <v>6.1470780372619602</v>
      </c>
      <c r="C9405" t="s">
        <v>41</v>
      </c>
      <c r="D9405" t="s">
        <v>5435</v>
      </c>
      <c r="F9405" s="21"/>
      <c r="G9405" s="16" t="str">
        <f>HYPERLINK("http://maps.google.com/maps?f=q&amp;hl=en&amp;geocode=&amp;q=49.5926322937012,6.14707803726196")</f>
        <v>http://maps.google.com/maps?f=q&amp;hl=en&amp;geocode=&amp;q=49.5926322937012,6.14707803726196</v>
      </c>
    </row>
    <row r="9406" spans="1:7" ht="15" x14ac:dyDescent="0.3">
      <c r="A9406">
        <v>33.456614982324801</v>
      </c>
      <c r="B9406">
        <v>-81.0654263235906</v>
      </c>
      <c r="C9406" t="s">
        <v>41</v>
      </c>
      <c r="D9406" t="s">
        <v>5436</v>
      </c>
      <c r="F9406" s="21"/>
      <c r="G9406" s="16" t="str">
        <f>HYPERLINK("http://maps.google.com/maps?f=q&amp;hl=en&amp;geocode=&amp;q=33.4566149823248,-81.0654263235906")</f>
        <v>http://maps.google.com/maps?f=q&amp;hl=en&amp;geocode=&amp;q=33.4566149823248,-81.0654263235906</v>
      </c>
    </row>
    <row r="9407" spans="1:7" ht="15" x14ac:dyDescent="0.3">
      <c r="A9407">
        <v>37.4213578105499</v>
      </c>
      <c r="B9407">
        <v>-97.205059795622404</v>
      </c>
      <c r="C9407" t="s">
        <v>41</v>
      </c>
      <c r="D9407" t="s">
        <v>5437</v>
      </c>
      <c r="F9407" s="21"/>
      <c r="G9407" s="16" t="str">
        <f>HYPERLINK("http://maps.google.com/maps?f=q&amp;hl=en&amp;geocode=&amp;q=37.4213578105499,-97.2050597956224")</f>
        <v>http://maps.google.com/maps?f=q&amp;hl=en&amp;geocode=&amp;q=37.4213578105499,-97.2050597956224</v>
      </c>
    </row>
    <row r="9408" spans="1:7" ht="15" x14ac:dyDescent="0.3">
      <c r="A9408">
        <v>18.236000061035199</v>
      </c>
      <c r="B9408">
        <v>-77.363998413085895</v>
      </c>
      <c r="C9408" t="s">
        <v>41</v>
      </c>
      <c r="D9408" t="s">
        <v>5438</v>
      </c>
      <c r="F9408" s="21"/>
      <c r="G9408" s="16" t="str">
        <f>HYPERLINK("http://maps.google.com/maps?f=q&amp;hl=en&amp;geocode=&amp;q=18.2360000610352,-77.3639984130859")</f>
        <v>http://maps.google.com/maps?f=q&amp;hl=en&amp;geocode=&amp;q=18.2360000610352,-77.3639984130859</v>
      </c>
    </row>
    <row r="9409" spans="1:7" ht="15" x14ac:dyDescent="0.3">
      <c r="A9409">
        <v>40.024738311767599</v>
      </c>
      <c r="B9409">
        <v>-75.213882446289105</v>
      </c>
      <c r="C9409" t="s">
        <v>43</v>
      </c>
      <c r="D9409" t="s">
        <v>3588</v>
      </c>
      <c r="F9409" s="21"/>
      <c r="G9409" s="16" t="str">
        <f>HYPERLINK("http://maps.google.com/maps?f=q&amp;hl=en&amp;geocode=&amp;q=40.0247383117676,-75.2138824462891")</f>
        <v>http://maps.google.com/maps?f=q&amp;hl=en&amp;geocode=&amp;q=40.0247383117676,-75.2138824462891</v>
      </c>
    </row>
    <row r="9410" spans="1:7" ht="15" x14ac:dyDescent="0.3">
      <c r="A9410">
        <v>7.3835182189941397</v>
      </c>
      <c r="B9410">
        <v>-12.2588081359863</v>
      </c>
      <c r="C9410" t="s">
        <v>41</v>
      </c>
      <c r="D9410" t="s">
        <v>202</v>
      </c>
      <c r="F9410" s="21"/>
      <c r="G9410" s="16" t="str">
        <f>HYPERLINK("http://maps.google.com/maps?f=q&amp;hl=en&amp;geocode=&amp;q=7.38351821899414,-12.2588081359863")</f>
        <v>http://maps.google.com/maps?f=q&amp;hl=en&amp;geocode=&amp;q=7.38351821899414,-12.2588081359863</v>
      </c>
    </row>
    <row r="9411" spans="1:7" ht="15" x14ac:dyDescent="0.3">
      <c r="A9411">
        <v>33.516559600830099</v>
      </c>
      <c r="B9411">
        <v>36.317081451416001</v>
      </c>
      <c r="C9411" t="s">
        <v>43</v>
      </c>
      <c r="D9411" t="s">
        <v>3912</v>
      </c>
      <c r="F9411" s="21"/>
      <c r="G9411" s="16" t="str">
        <f>HYPERLINK("http://maps.google.com/maps?f=q&amp;hl=en&amp;geocode=&amp;q=33.5165596008301,36.317081451416")</f>
        <v>http://maps.google.com/maps?f=q&amp;hl=en&amp;geocode=&amp;q=33.5165596008301,36.317081451416</v>
      </c>
    </row>
    <row r="9412" spans="1:7" ht="15" x14ac:dyDescent="0.3">
      <c r="A9412" t="s">
        <v>44</v>
      </c>
      <c r="B9412" t="s">
        <v>44</v>
      </c>
      <c r="C9412" t="s">
        <v>44</v>
      </c>
      <c r="D9412" t="s">
        <v>3225</v>
      </c>
      <c r="F9412" s="21"/>
      <c r="G9412" s="16"/>
    </row>
    <row r="9413" spans="1:7" ht="15" x14ac:dyDescent="0.3">
      <c r="A9413" t="s">
        <v>44</v>
      </c>
      <c r="B9413" t="s">
        <v>44</v>
      </c>
      <c r="C9413" t="s">
        <v>44</v>
      </c>
      <c r="D9413" t="s">
        <v>5439</v>
      </c>
      <c r="F9413" s="21"/>
      <c r="G9413" s="16"/>
    </row>
    <row r="9414" spans="1:7" ht="15" x14ac:dyDescent="0.3">
      <c r="A9414">
        <v>27.612159999999999</v>
      </c>
      <c r="B9414">
        <v>-81.560389999999998</v>
      </c>
      <c r="C9414" t="s">
        <v>43</v>
      </c>
      <c r="D9414" t="s">
        <v>5440</v>
      </c>
      <c r="F9414" s="21"/>
      <c r="G9414" s="16" t="str">
        <f>HYPERLINK("http://maps.google.com/maps?f=q&amp;hl=en&amp;geocode=&amp;q=27.61216,-81.56039")</f>
        <v>http://maps.google.com/maps?f=q&amp;hl=en&amp;geocode=&amp;q=27.61216,-81.56039</v>
      </c>
    </row>
    <row r="9415" spans="1:7" ht="15" x14ac:dyDescent="0.3">
      <c r="A9415">
        <v>29.7082328796387</v>
      </c>
      <c r="B9415">
        <v>-90.006401062011705</v>
      </c>
      <c r="C9415" t="s">
        <v>43</v>
      </c>
      <c r="D9415" t="s">
        <v>98</v>
      </c>
      <c r="F9415" s="21"/>
      <c r="G9415" s="16" t="str">
        <f>HYPERLINK("http://maps.google.com/maps?f=q&amp;hl=en&amp;geocode=&amp;q=29.7082328796387,-90.0064010620117")</f>
        <v>http://maps.google.com/maps?f=q&amp;hl=en&amp;geocode=&amp;q=29.7082328796387,-90.0064010620117</v>
      </c>
    </row>
    <row r="9416" spans="1:7" ht="15" x14ac:dyDescent="0.3">
      <c r="A9416">
        <v>29.7082328796387</v>
      </c>
      <c r="B9416">
        <v>-90.006401062011705</v>
      </c>
      <c r="C9416" t="s">
        <v>43</v>
      </c>
      <c r="D9416" t="s">
        <v>98</v>
      </c>
      <c r="F9416" s="21"/>
      <c r="G9416" s="16" t="str">
        <f>HYPERLINK("http://maps.google.com/maps?f=q&amp;hl=en&amp;geocode=&amp;q=29.7082328796387,-90.0064010620117")</f>
        <v>http://maps.google.com/maps?f=q&amp;hl=en&amp;geocode=&amp;q=29.7082328796387,-90.0064010620117</v>
      </c>
    </row>
    <row r="9417" spans="1:7" ht="15" x14ac:dyDescent="0.3">
      <c r="A9417">
        <v>49.518180847167997</v>
      </c>
      <c r="B9417">
        <v>5.8978409767150897</v>
      </c>
      <c r="C9417" t="s">
        <v>41</v>
      </c>
      <c r="D9417" t="s">
        <v>2510</v>
      </c>
      <c r="F9417" s="21"/>
      <c r="G9417" s="16" t="str">
        <f>HYPERLINK("http://maps.google.com/maps?f=q&amp;hl=en&amp;geocode=&amp;q=49.518180847168,5.89784097671509")</f>
        <v>http://maps.google.com/maps?f=q&amp;hl=en&amp;geocode=&amp;q=49.518180847168,5.89784097671509</v>
      </c>
    </row>
    <row r="9418" spans="1:7" ht="15" x14ac:dyDescent="0.3">
      <c r="A9418">
        <v>49.518180847167997</v>
      </c>
      <c r="B9418">
        <v>5.8978409767150897</v>
      </c>
      <c r="C9418" t="s">
        <v>41</v>
      </c>
      <c r="D9418" t="s">
        <v>2510</v>
      </c>
      <c r="F9418" s="21"/>
      <c r="G9418" s="16" t="str">
        <f>HYPERLINK("http://maps.google.com/maps?f=q&amp;hl=en&amp;geocode=&amp;q=49.518180847168,5.89784097671509")</f>
        <v>http://maps.google.com/maps?f=q&amp;hl=en&amp;geocode=&amp;q=49.518180847168,5.89784097671509</v>
      </c>
    </row>
    <row r="9419" spans="1:7" ht="15" x14ac:dyDescent="0.3">
      <c r="A9419">
        <v>35.644151533729001</v>
      </c>
      <c r="B9419">
        <v>-101.451423614281</v>
      </c>
      <c r="C9419" t="s">
        <v>41</v>
      </c>
      <c r="D9419" t="s">
        <v>3148</v>
      </c>
      <c r="F9419" s="21"/>
      <c r="G9419" s="16" t="str">
        <f>HYPERLINK("http://maps.google.com/maps?f=q&amp;hl=en&amp;geocode=&amp;q=35.644151533729,-101.451423614281")</f>
        <v>http://maps.google.com/maps?f=q&amp;hl=en&amp;geocode=&amp;q=35.644151533729,-101.451423614281</v>
      </c>
    </row>
    <row r="9420" spans="1:7" ht="15" x14ac:dyDescent="0.3">
      <c r="A9420">
        <v>54.562068939208999</v>
      </c>
      <c r="B9420">
        <v>-125.10440063476599</v>
      </c>
      <c r="C9420" t="s">
        <v>41</v>
      </c>
      <c r="D9420" t="s">
        <v>5441</v>
      </c>
      <c r="F9420" s="21"/>
      <c r="G9420" s="16" t="str">
        <f>HYPERLINK("http://maps.google.com/maps?f=q&amp;hl=en&amp;geocode=&amp;q=54.562068939209,-125.104400634766")</f>
        <v>http://maps.google.com/maps?f=q&amp;hl=en&amp;geocode=&amp;q=54.562068939209,-125.104400634766</v>
      </c>
    </row>
    <row r="9421" spans="1:7" ht="15" x14ac:dyDescent="0.3">
      <c r="A9421">
        <v>40.239060000000002</v>
      </c>
      <c r="B9421">
        <v>-76.787999999999997</v>
      </c>
      <c r="C9421" t="s">
        <v>42</v>
      </c>
      <c r="D9421" t="s">
        <v>5442</v>
      </c>
      <c r="F9421" s="21"/>
      <c r="G9421" s="16" t="str">
        <f>HYPERLINK("http://maps.google.com/maps?f=q&amp;hl=en&amp;geocode=&amp;q=40.23906,-76.788")</f>
        <v>http://maps.google.com/maps?f=q&amp;hl=en&amp;geocode=&amp;q=40.23906,-76.788</v>
      </c>
    </row>
    <row r="9422" spans="1:7" ht="15" x14ac:dyDescent="0.3">
      <c r="A9422">
        <v>-31.265367507934599</v>
      </c>
      <c r="B9422">
        <v>150.99690246582</v>
      </c>
      <c r="C9422" t="s">
        <v>41</v>
      </c>
      <c r="D9422" t="s">
        <v>5443</v>
      </c>
      <c r="F9422" s="21"/>
      <c r="G9422" s="16" t="str">
        <f>HYPERLINK("http://maps.google.com/maps?f=q&amp;hl=en&amp;geocode=&amp;q=-31.2653675079346,150.99690246582")</f>
        <v>http://maps.google.com/maps?f=q&amp;hl=en&amp;geocode=&amp;q=-31.2653675079346,150.99690246582</v>
      </c>
    </row>
    <row r="9423" spans="1:7" ht="15" x14ac:dyDescent="0.3">
      <c r="A9423">
        <v>38.464189937125496</v>
      </c>
      <c r="B9423">
        <v>-81.4991527516529</v>
      </c>
      <c r="C9423" t="s">
        <v>43</v>
      </c>
      <c r="D9423" t="s">
        <v>5444</v>
      </c>
      <c r="F9423" s="21"/>
      <c r="G9423" s="16" t="str">
        <f>HYPERLINK("http://maps.google.com/maps?f=q&amp;hl=en&amp;geocode=&amp;q=38.4641899371255,-81.4991527516529")</f>
        <v>http://maps.google.com/maps?f=q&amp;hl=en&amp;geocode=&amp;q=38.4641899371255,-81.4991527516529</v>
      </c>
    </row>
    <row r="9424" spans="1:7" ht="15" x14ac:dyDescent="0.3">
      <c r="A9424" t="s">
        <v>44</v>
      </c>
      <c r="B9424" t="s">
        <v>44</v>
      </c>
      <c r="C9424" t="s">
        <v>44</v>
      </c>
      <c r="D9424" t="s">
        <v>4310</v>
      </c>
      <c r="F9424" s="21"/>
      <c r="G9424" s="16"/>
    </row>
    <row r="9425" spans="1:7" ht="15" x14ac:dyDescent="0.3">
      <c r="A9425">
        <v>39.992179999999998</v>
      </c>
      <c r="B9425">
        <v>-75.100999999999999</v>
      </c>
      <c r="C9425" t="s">
        <v>41</v>
      </c>
      <c r="D9425" t="s">
        <v>716</v>
      </c>
      <c r="F9425" s="21"/>
      <c r="G9425" s="16" t="str">
        <f>HYPERLINK("http://maps.google.com/maps?f=q&amp;hl=en&amp;geocode=&amp;q=39.99218,-75.101")</f>
        <v>http://maps.google.com/maps?f=q&amp;hl=en&amp;geocode=&amp;q=39.99218,-75.101</v>
      </c>
    </row>
    <row r="9426" spans="1:7" ht="15" x14ac:dyDescent="0.3">
      <c r="A9426">
        <v>40.017139999999998</v>
      </c>
      <c r="B9426">
        <v>-75.06277</v>
      </c>
      <c r="C9426" t="s">
        <v>41</v>
      </c>
      <c r="D9426" t="s">
        <v>5445</v>
      </c>
      <c r="F9426" s="21"/>
      <c r="G9426" s="16" t="str">
        <f>HYPERLINK("http://maps.google.com/maps?f=q&amp;hl=en&amp;geocode=&amp;q=40.01714,-75.06277")</f>
        <v>http://maps.google.com/maps?f=q&amp;hl=en&amp;geocode=&amp;q=40.01714,-75.06277</v>
      </c>
    </row>
    <row r="9427" spans="1:7" ht="15" x14ac:dyDescent="0.3">
      <c r="A9427">
        <v>34.682781219482401</v>
      </c>
      <c r="B9427">
        <v>50.188331604003899</v>
      </c>
      <c r="C9427" t="s">
        <v>41</v>
      </c>
      <c r="D9427" t="s">
        <v>5446</v>
      </c>
      <c r="F9427" s="21"/>
      <c r="G9427" s="16" t="str">
        <f>HYPERLINK("http://maps.google.com/maps?f=q&amp;hl=en&amp;geocode=&amp;q=34.6827812194824,50.1883316040039")</f>
        <v>http://maps.google.com/maps?f=q&amp;hl=en&amp;geocode=&amp;q=34.6827812194824,50.1883316040039</v>
      </c>
    </row>
    <row r="9428" spans="1:7" ht="15" x14ac:dyDescent="0.3">
      <c r="A9428">
        <v>38.758380000000002</v>
      </c>
      <c r="B9428">
        <v>-112.00269</v>
      </c>
      <c r="C9428" t="s">
        <v>43</v>
      </c>
      <c r="D9428" t="s">
        <v>5338</v>
      </c>
      <c r="F9428" s="21"/>
      <c r="G9428" s="16" t="str">
        <f>HYPERLINK("http://maps.google.com/maps?f=q&amp;hl=en&amp;geocode=&amp;q=38.75838,-112.00269")</f>
        <v>http://maps.google.com/maps?f=q&amp;hl=en&amp;geocode=&amp;q=38.75838,-112.00269</v>
      </c>
    </row>
    <row r="9429" spans="1:7" ht="15" x14ac:dyDescent="0.3">
      <c r="A9429">
        <v>40.040390000000002</v>
      </c>
      <c r="B9429">
        <v>-75.109629999999996</v>
      </c>
      <c r="C9429" t="s">
        <v>43</v>
      </c>
      <c r="D9429" t="s">
        <v>777</v>
      </c>
      <c r="F9429" s="21"/>
      <c r="G9429" s="16" t="str">
        <f>HYPERLINK("http://maps.google.com/maps?f=q&amp;hl=en&amp;geocode=&amp;q=40.04039,-75.10963")</f>
        <v>http://maps.google.com/maps?f=q&amp;hl=en&amp;geocode=&amp;q=40.04039,-75.10963</v>
      </c>
    </row>
    <row r="9430" spans="1:7" ht="15" x14ac:dyDescent="0.3">
      <c r="A9430">
        <v>40.040390000000002</v>
      </c>
      <c r="B9430">
        <v>-75.109629999999996</v>
      </c>
      <c r="C9430" t="s">
        <v>43</v>
      </c>
      <c r="D9430" t="s">
        <v>777</v>
      </c>
      <c r="F9430" s="21"/>
      <c r="G9430" s="16" t="str">
        <f>HYPERLINK("http://maps.google.com/maps?f=q&amp;hl=en&amp;geocode=&amp;q=40.04039,-75.10963")</f>
        <v>http://maps.google.com/maps?f=q&amp;hl=en&amp;geocode=&amp;q=40.04039,-75.10963</v>
      </c>
    </row>
    <row r="9431" spans="1:7" ht="15" x14ac:dyDescent="0.3">
      <c r="A9431">
        <v>39.282820000000001</v>
      </c>
      <c r="B9431">
        <v>-76.522769999999994</v>
      </c>
      <c r="C9431" t="s">
        <v>41</v>
      </c>
      <c r="D9431" t="s">
        <v>5447</v>
      </c>
      <c r="F9431" s="21"/>
      <c r="G9431" s="16" t="str">
        <f>HYPERLINK("http://maps.google.com/maps?f=q&amp;hl=en&amp;geocode=&amp;q=39.28282,-76.52277")</f>
        <v>http://maps.google.com/maps?f=q&amp;hl=en&amp;geocode=&amp;q=39.28282,-76.52277</v>
      </c>
    </row>
    <row r="9432" spans="1:7" ht="15" x14ac:dyDescent="0.3">
      <c r="A9432">
        <v>45.837741851806598</v>
      </c>
      <c r="B9432">
        <v>25.005935668945298</v>
      </c>
      <c r="C9432" t="s">
        <v>41</v>
      </c>
      <c r="D9432" t="s">
        <v>2819</v>
      </c>
      <c r="F9432" s="21"/>
      <c r="G9432" s="16" t="str">
        <f>HYPERLINK("http://maps.google.com/maps?f=q&amp;hl=en&amp;geocode=&amp;q=45.8377418518066,25.0059356689453")</f>
        <v>http://maps.google.com/maps?f=q&amp;hl=en&amp;geocode=&amp;q=45.8377418518066,25.0059356689453</v>
      </c>
    </row>
    <row r="9433" spans="1:7" ht="15" x14ac:dyDescent="0.3">
      <c r="A9433">
        <v>44.2920950428678</v>
      </c>
      <c r="B9433">
        <v>-83.481263771316407</v>
      </c>
      <c r="C9433" t="s">
        <v>41</v>
      </c>
      <c r="D9433" t="s">
        <v>823</v>
      </c>
      <c r="F9433" s="21"/>
      <c r="G9433" s="16" t="str">
        <f>HYPERLINK("http://maps.google.com/maps?f=q&amp;hl=en&amp;geocode=&amp;q=44.2920950428678,-83.4812637713164")</f>
        <v>http://maps.google.com/maps?f=q&amp;hl=en&amp;geocode=&amp;q=44.2920950428678,-83.4812637713164</v>
      </c>
    </row>
    <row r="9434" spans="1:7" ht="15" x14ac:dyDescent="0.3">
      <c r="A9434">
        <v>33.348657504925399</v>
      </c>
      <c r="B9434">
        <v>-98.606133829563106</v>
      </c>
      <c r="C9434" t="s">
        <v>41</v>
      </c>
      <c r="D9434" t="s">
        <v>774</v>
      </c>
      <c r="F9434" s="21"/>
      <c r="G9434" s="16" t="str">
        <f>HYPERLINK("http://maps.google.com/maps?f=q&amp;hl=en&amp;geocode=&amp;q=33.3486575049254,-98.6061338295631")</f>
        <v>http://maps.google.com/maps?f=q&amp;hl=en&amp;geocode=&amp;q=33.3486575049254,-98.6061338295631</v>
      </c>
    </row>
    <row r="9435" spans="1:7" ht="15" x14ac:dyDescent="0.3">
      <c r="A9435">
        <v>32.748863033110801</v>
      </c>
      <c r="B9435">
        <v>-84.554415304551796</v>
      </c>
      <c r="C9435" t="s">
        <v>41</v>
      </c>
      <c r="D9435" t="s">
        <v>5448</v>
      </c>
      <c r="F9435" s="21"/>
      <c r="G9435" s="16" t="str">
        <f>HYPERLINK("http://maps.google.com/maps?f=q&amp;hl=en&amp;geocode=&amp;q=32.7488630331108,-84.5544153045518")</f>
        <v>http://maps.google.com/maps?f=q&amp;hl=en&amp;geocode=&amp;q=32.7488630331108,-84.5544153045518</v>
      </c>
    </row>
    <row r="9436" spans="1:7" ht="15" x14ac:dyDescent="0.3">
      <c r="A9436">
        <v>47.339530000000003</v>
      </c>
      <c r="B9436">
        <v>-122.93443000000001</v>
      </c>
      <c r="C9436" t="s">
        <v>43</v>
      </c>
      <c r="D9436" t="s">
        <v>5449</v>
      </c>
      <c r="F9436" s="21"/>
      <c r="G9436" s="16" t="str">
        <f>HYPERLINK("http://maps.google.com/maps?f=q&amp;hl=en&amp;geocode=&amp;q=47.33953,-122.93443")</f>
        <v>http://maps.google.com/maps?f=q&amp;hl=en&amp;geocode=&amp;q=47.33953,-122.93443</v>
      </c>
    </row>
    <row r="9437" spans="1:7" ht="15" x14ac:dyDescent="0.3">
      <c r="A9437" t="s">
        <v>44</v>
      </c>
      <c r="B9437" t="s">
        <v>44</v>
      </c>
      <c r="C9437" t="s">
        <v>44</v>
      </c>
      <c r="D9437" t="s">
        <v>1004</v>
      </c>
      <c r="F9437" s="21"/>
      <c r="G9437" s="16"/>
    </row>
    <row r="9438" spans="1:7" ht="15" x14ac:dyDescent="0.3">
      <c r="A9438">
        <v>32.732010000000002</v>
      </c>
      <c r="B9438">
        <v>-83.64376</v>
      </c>
      <c r="C9438" t="s">
        <v>42</v>
      </c>
      <c r="D9438" t="s">
        <v>5450</v>
      </c>
      <c r="F9438" s="21"/>
      <c r="G9438" s="16" t="str">
        <f>HYPERLINK("http://maps.google.com/maps?f=q&amp;hl=en&amp;geocode=&amp;q=32.73201,-83.64376")</f>
        <v>http://maps.google.com/maps?f=q&amp;hl=en&amp;geocode=&amp;q=32.73201,-83.64376</v>
      </c>
    </row>
    <row r="9439" spans="1:7" ht="15" x14ac:dyDescent="0.3">
      <c r="A9439">
        <v>39.967385</v>
      </c>
      <c r="B9439">
        <v>-75.216790000000003</v>
      </c>
      <c r="C9439" t="s">
        <v>43</v>
      </c>
      <c r="D9439" t="s">
        <v>5451</v>
      </c>
      <c r="F9439" s="21"/>
      <c r="G9439" s="16" t="str">
        <f>HYPERLINK("http://maps.google.com/maps?f=q&amp;hl=en&amp;geocode=&amp;q=39.967385,-75.21679")</f>
        <v>http://maps.google.com/maps?f=q&amp;hl=en&amp;geocode=&amp;q=39.967385,-75.21679</v>
      </c>
    </row>
    <row r="9440" spans="1:7" ht="15" x14ac:dyDescent="0.3">
      <c r="A9440">
        <v>39.923269187443601</v>
      </c>
      <c r="B9440">
        <v>-75.237350479138897</v>
      </c>
      <c r="C9440" t="s">
        <v>41</v>
      </c>
      <c r="D9440" t="s">
        <v>5452</v>
      </c>
      <c r="F9440" s="21"/>
      <c r="G9440" s="16" t="str">
        <f>HYPERLINK("http://maps.google.com/maps?f=q&amp;hl=en&amp;geocode=&amp;q=39.9232691874436,-75.2373504791389")</f>
        <v>http://maps.google.com/maps?f=q&amp;hl=en&amp;geocode=&amp;q=39.9232691874436,-75.2373504791389</v>
      </c>
    </row>
    <row r="9441" spans="1:7" ht="15" x14ac:dyDescent="0.3">
      <c r="A9441">
        <v>37.765682765872498</v>
      </c>
      <c r="B9441">
        <v>-113.70655195049299</v>
      </c>
      <c r="C9441" t="s">
        <v>41</v>
      </c>
      <c r="D9441" t="s">
        <v>5453</v>
      </c>
      <c r="F9441" s="21"/>
      <c r="G9441" s="16" t="str">
        <f>HYPERLINK("http://maps.google.com/maps?f=q&amp;hl=en&amp;geocode=&amp;q=37.7656827658725,-113.706551950493")</f>
        <v>http://maps.google.com/maps?f=q&amp;hl=en&amp;geocode=&amp;q=37.7656827658725,-113.706551950493</v>
      </c>
    </row>
    <row r="9442" spans="1:7" ht="15" x14ac:dyDescent="0.3">
      <c r="A9442">
        <v>37.765682765872498</v>
      </c>
      <c r="B9442">
        <v>-113.70655195049299</v>
      </c>
      <c r="C9442" t="s">
        <v>41</v>
      </c>
      <c r="D9442" t="s">
        <v>5453</v>
      </c>
      <c r="F9442" s="21"/>
      <c r="G9442" s="16" t="str">
        <f>HYPERLINK("http://maps.google.com/maps?f=q&amp;hl=en&amp;geocode=&amp;q=37.7656827658725,-113.706551950493")</f>
        <v>http://maps.google.com/maps?f=q&amp;hl=en&amp;geocode=&amp;q=37.7656827658725,-113.706551950493</v>
      </c>
    </row>
    <row r="9443" spans="1:7" ht="15" x14ac:dyDescent="0.3">
      <c r="A9443">
        <v>36.902555965944998</v>
      </c>
      <c r="B9443">
        <v>-78.8948882131007</v>
      </c>
      <c r="C9443" t="s">
        <v>43</v>
      </c>
      <c r="D9443" t="s">
        <v>3748</v>
      </c>
      <c r="F9443" s="21"/>
      <c r="G9443" s="16" t="str">
        <f>HYPERLINK("http://maps.google.com/maps?f=q&amp;hl=en&amp;geocode=&amp;q=36.902555965945,-78.8948882131007")</f>
        <v>http://maps.google.com/maps?f=q&amp;hl=en&amp;geocode=&amp;q=36.902555965945,-78.8948882131007</v>
      </c>
    </row>
    <row r="9444" spans="1:7" ht="15" x14ac:dyDescent="0.3">
      <c r="A9444">
        <v>36.902555965944998</v>
      </c>
      <c r="B9444">
        <v>-78.8948882131007</v>
      </c>
      <c r="C9444" t="s">
        <v>43</v>
      </c>
      <c r="D9444" t="s">
        <v>3748</v>
      </c>
      <c r="F9444" s="21"/>
      <c r="G9444" s="16" t="str">
        <f>HYPERLINK("http://maps.google.com/maps?f=q&amp;hl=en&amp;geocode=&amp;q=36.902555965945,-78.8948882131007")</f>
        <v>http://maps.google.com/maps?f=q&amp;hl=en&amp;geocode=&amp;q=36.902555965945,-78.8948882131007</v>
      </c>
    </row>
    <row r="9445" spans="1:7" ht="15" x14ac:dyDescent="0.3">
      <c r="A9445">
        <v>36.902555965944998</v>
      </c>
      <c r="B9445">
        <v>-78.8948882131007</v>
      </c>
      <c r="C9445" t="s">
        <v>43</v>
      </c>
      <c r="D9445" t="s">
        <v>3748</v>
      </c>
      <c r="F9445" s="21"/>
      <c r="G9445" s="16" t="str">
        <f>HYPERLINK("http://maps.google.com/maps?f=q&amp;hl=en&amp;geocode=&amp;q=36.902555965945,-78.8948882131007")</f>
        <v>http://maps.google.com/maps?f=q&amp;hl=en&amp;geocode=&amp;q=36.902555965945,-78.8948882131007</v>
      </c>
    </row>
    <row r="9446" spans="1:7" ht="15" x14ac:dyDescent="0.3">
      <c r="A9446">
        <v>36.902555965944998</v>
      </c>
      <c r="B9446">
        <v>-78.8948882131007</v>
      </c>
      <c r="C9446" t="s">
        <v>43</v>
      </c>
      <c r="D9446" t="s">
        <v>3748</v>
      </c>
      <c r="F9446" s="21"/>
      <c r="G9446" s="16" t="str">
        <f>HYPERLINK("http://maps.google.com/maps?f=q&amp;hl=en&amp;geocode=&amp;q=36.902555965945,-78.8948882131007")</f>
        <v>http://maps.google.com/maps?f=q&amp;hl=en&amp;geocode=&amp;q=36.902555965945,-78.8948882131007</v>
      </c>
    </row>
    <row r="9447" spans="1:7" ht="15" x14ac:dyDescent="0.3">
      <c r="A9447" t="s">
        <v>44</v>
      </c>
      <c r="B9447" t="s">
        <v>44</v>
      </c>
      <c r="C9447" t="s">
        <v>44</v>
      </c>
      <c r="D9447" t="s">
        <v>5454</v>
      </c>
      <c r="F9447" s="21"/>
      <c r="G9447" s="16"/>
    </row>
    <row r="9448" spans="1:7" ht="15" x14ac:dyDescent="0.3">
      <c r="A9448">
        <v>34.673618437005601</v>
      </c>
      <c r="B9448">
        <v>-92.303690255229498</v>
      </c>
      <c r="C9448" t="s">
        <v>41</v>
      </c>
      <c r="D9448" t="s">
        <v>5455</v>
      </c>
      <c r="F9448" s="21"/>
      <c r="G9448" s="16" t="str">
        <f>HYPERLINK("http://maps.google.com/maps?f=q&amp;hl=en&amp;geocode=&amp;q=34.6736184370056,-92.3036902552295")</f>
        <v>http://maps.google.com/maps?f=q&amp;hl=en&amp;geocode=&amp;q=34.6736184370056,-92.3036902552295</v>
      </c>
    </row>
    <row r="9449" spans="1:7" ht="15" x14ac:dyDescent="0.3">
      <c r="A9449">
        <v>40.019866273022203</v>
      </c>
      <c r="B9449">
        <v>-75.213727585046598</v>
      </c>
      <c r="C9449" t="s">
        <v>43</v>
      </c>
      <c r="D9449" t="s">
        <v>5456</v>
      </c>
      <c r="F9449" s="21"/>
      <c r="G9449" s="16" t="str">
        <f>HYPERLINK("http://maps.google.com/maps?f=q&amp;hl=en&amp;geocode=&amp;q=40.0198662730222,-75.2137275850466")</f>
        <v>http://maps.google.com/maps?f=q&amp;hl=en&amp;geocode=&amp;q=40.0198662730222,-75.2137275850466</v>
      </c>
    </row>
    <row r="9450" spans="1:7" ht="15" x14ac:dyDescent="0.3">
      <c r="A9450" t="s">
        <v>44</v>
      </c>
      <c r="B9450" t="s">
        <v>44</v>
      </c>
      <c r="C9450" t="s">
        <v>44</v>
      </c>
      <c r="D9450" t="s">
        <v>227</v>
      </c>
      <c r="F9450" s="21"/>
      <c r="G9450" s="16"/>
    </row>
    <row r="9451" spans="1:7" ht="15" x14ac:dyDescent="0.3">
      <c r="A9451" t="s">
        <v>44</v>
      </c>
      <c r="B9451" t="s">
        <v>44</v>
      </c>
      <c r="C9451" t="s">
        <v>44</v>
      </c>
      <c r="D9451" t="s">
        <v>227</v>
      </c>
      <c r="F9451" s="21"/>
      <c r="G9451" s="16"/>
    </row>
    <row r="9452" spans="1:7" ht="15" x14ac:dyDescent="0.3">
      <c r="A9452">
        <v>30.3366794586182</v>
      </c>
      <c r="B9452">
        <v>-81.641181945800795</v>
      </c>
      <c r="C9452" t="s">
        <v>43</v>
      </c>
      <c r="D9452" t="s">
        <v>4302</v>
      </c>
      <c r="F9452" s="21"/>
      <c r="G9452" s="16" t="str">
        <f>HYPERLINK("http://maps.google.com/maps?f=q&amp;hl=en&amp;geocode=&amp;q=30.3366794586182,-81.6411819458008")</f>
        <v>http://maps.google.com/maps?f=q&amp;hl=en&amp;geocode=&amp;q=30.3366794586182,-81.6411819458008</v>
      </c>
    </row>
    <row r="9453" spans="1:7" ht="15" x14ac:dyDescent="0.3">
      <c r="A9453">
        <v>46.344470977783203</v>
      </c>
      <c r="B9453">
        <v>-83.921478271484403</v>
      </c>
      <c r="C9453" t="s">
        <v>43</v>
      </c>
      <c r="D9453" t="s">
        <v>5457</v>
      </c>
      <c r="F9453" s="21"/>
      <c r="G9453" s="16" t="str">
        <f>HYPERLINK("http://maps.google.com/maps?f=q&amp;hl=en&amp;geocode=&amp;q=46.3444709777832,-83.9214782714844")</f>
        <v>http://maps.google.com/maps?f=q&amp;hl=en&amp;geocode=&amp;q=46.3444709777832,-83.9214782714844</v>
      </c>
    </row>
    <row r="9454" spans="1:7" ht="15" x14ac:dyDescent="0.3">
      <c r="A9454">
        <v>39.964120000000001</v>
      </c>
      <c r="B9454">
        <v>-75.2303</v>
      </c>
      <c r="C9454" t="s">
        <v>41</v>
      </c>
      <c r="D9454" t="s">
        <v>827</v>
      </c>
      <c r="F9454" s="21"/>
      <c r="G9454" s="16" t="str">
        <f>HYPERLINK("http://maps.google.com/maps?f=q&amp;hl=en&amp;geocode=&amp;q=39.96412,-75.2303")</f>
        <v>http://maps.google.com/maps?f=q&amp;hl=en&amp;geocode=&amp;q=39.96412,-75.2303</v>
      </c>
    </row>
    <row r="9455" spans="1:7" ht="15" x14ac:dyDescent="0.3">
      <c r="A9455">
        <v>39.974420000000002</v>
      </c>
      <c r="B9455">
        <v>-75.18374</v>
      </c>
      <c r="C9455" t="s">
        <v>41</v>
      </c>
      <c r="D9455" t="s">
        <v>5458</v>
      </c>
      <c r="F9455" s="21"/>
      <c r="G9455" s="16" t="str">
        <f>HYPERLINK("http://maps.google.com/maps?f=q&amp;hl=en&amp;geocode=&amp;q=39.97442,-75.18374")</f>
        <v>http://maps.google.com/maps?f=q&amp;hl=en&amp;geocode=&amp;q=39.97442,-75.18374</v>
      </c>
    </row>
    <row r="9456" spans="1:7" ht="15" x14ac:dyDescent="0.3">
      <c r="A9456">
        <v>-37.818040000000003</v>
      </c>
      <c r="B9456">
        <v>144.96095</v>
      </c>
      <c r="C9456" t="s">
        <v>41</v>
      </c>
      <c r="D9456" t="s">
        <v>4582</v>
      </c>
      <c r="F9456" s="21"/>
      <c r="G9456" s="16" t="str">
        <f>HYPERLINK("http://maps.google.com/maps?f=q&amp;hl=en&amp;geocode=&amp;q=-37.81804,144.96095")</f>
        <v>http://maps.google.com/maps?f=q&amp;hl=en&amp;geocode=&amp;q=-37.81804,144.96095</v>
      </c>
    </row>
    <row r="9457" spans="1:7" ht="15" x14ac:dyDescent="0.3">
      <c r="A9457">
        <v>39.9180449215484</v>
      </c>
      <c r="B9457">
        <v>-75.233103899088604</v>
      </c>
      <c r="C9457" t="s">
        <v>43</v>
      </c>
      <c r="D9457" t="s">
        <v>792</v>
      </c>
      <c r="F9457" s="21"/>
      <c r="G9457" s="16" t="str">
        <f>HYPERLINK("http://maps.google.com/maps?f=q&amp;hl=en&amp;geocode=&amp;q=39.9180449215484,-75.2331038990886")</f>
        <v>http://maps.google.com/maps?f=q&amp;hl=en&amp;geocode=&amp;q=39.9180449215484,-75.2331038990886</v>
      </c>
    </row>
    <row r="9458" spans="1:7" ht="15" x14ac:dyDescent="0.3">
      <c r="A9458">
        <v>31.028939999999999</v>
      </c>
      <c r="B9458">
        <v>-87.526110000000003</v>
      </c>
      <c r="C9458" t="s">
        <v>41</v>
      </c>
      <c r="D9458" t="s">
        <v>3474</v>
      </c>
      <c r="F9458" s="21"/>
      <c r="G9458" s="16" t="str">
        <f>HYPERLINK("http://maps.google.com/maps?f=q&amp;hl=en&amp;geocode=&amp;q=31.02894,-87.52611")</f>
        <v>http://maps.google.com/maps?f=q&amp;hl=en&amp;geocode=&amp;q=31.02894,-87.52611</v>
      </c>
    </row>
    <row r="9459" spans="1:7" ht="15" x14ac:dyDescent="0.3">
      <c r="A9459">
        <v>35.780697571294397</v>
      </c>
      <c r="B9459">
        <v>-81.763800742903001</v>
      </c>
      <c r="C9459" t="s">
        <v>41</v>
      </c>
      <c r="D9459" t="s">
        <v>4777</v>
      </c>
      <c r="F9459" s="21"/>
      <c r="G9459" s="16" t="str">
        <f>HYPERLINK("http://maps.google.com/maps?f=q&amp;hl=en&amp;geocode=&amp;q=35.7806975712944,-81.763800742903")</f>
        <v>http://maps.google.com/maps?f=q&amp;hl=en&amp;geocode=&amp;q=35.7806975712944,-81.763800742903</v>
      </c>
    </row>
    <row r="9460" spans="1:7" ht="15" x14ac:dyDescent="0.3">
      <c r="A9460">
        <v>-22.578420000000001</v>
      </c>
      <c r="B9460">
        <v>148.35229000000001</v>
      </c>
      <c r="C9460" t="s">
        <v>41</v>
      </c>
      <c r="D9460" t="s">
        <v>5459</v>
      </c>
      <c r="F9460" s="21"/>
      <c r="G9460" s="16" t="str">
        <f>HYPERLINK("http://maps.google.com/maps?f=q&amp;hl=en&amp;geocode=&amp;q=-22.57842,148.35229")</f>
        <v>http://maps.google.com/maps?f=q&amp;hl=en&amp;geocode=&amp;q=-22.57842,148.35229</v>
      </c>
    </row>
    <row r="9461" spans="1:7" ht="15" x14ac:dyDescent="0.3">
      <c r="A9461">
        <v>40.723880767822301</v>
      </c>
      <c r="B9461">
        <v>-73.703208923339801</v>
      </c>
      <c r="C9461" t="s">
        <v>43</v>
      </c>
      <c r="D9461" t="s">
        <v>1555</v>
      </c>
      <c r="F9461" s="21"/>
      <c r="G9461" s="16" t="str">
        <f>HYPERLINK("http://maps.google.com/maps?f=q&amp;hl=en&amp;geocode=&amp;q=40.7238807678223,-73.7032089233398")</f>
        <v>http://maps.google.com/maps?f=q&amp;hl=en&amp;geocode=&amp;q=40.7238807678223,-73.7032089233398</v>
      </c>
    </row>
    <row r="9462" spans="1:7" ht="15" x14ac:dyDescent="0.3">
      <c r="A9462">
        <v>39.947907920740697</v>
      </c>
      <c r="B9462">
        <v>-75.239816049633902</v>
      </c>
      <c r="C9462" t="s">
        <v>41</v>
      </c>
      <c r="D9462" t="s">
        <v>825</v>
      </c>
      <c r="F9462" s="21"/>
      <c r="G9462" s="16" t="str">
        <f>HYPERLINK("http://maps.google.com/maps?f=q&amp;hl=en&amp;geocode=&amp;q=39.9479079207407,-75.2398160496339")</f>
        <v>http://maps.google.com/maps?f=q&amp;hl=en&amp;geocode=&amp;q=39.9479079207407,-75.2398160496339</v>
      </c>
    </row>
    <row r="9463" spans="1:7" ht="15" x14ac:dyDescent="0.3">
      <c r="A9463">
        <v>40.037979125976598</v>
      </c>
      <c r="B9463">
        <v>-75.223060607910199</v>
      </c>
      <c r="C9463" t="s">
        <v>41</v>
      </c>
      <c r="D9463" t="s">
        <v>5460</v>
      </c>
      <c r="F9463" s="21"/>
      <c r="G9463" s="16" t="str">
        <f>HYPERLINK("http://maps.google.com/maps?f=q&amp;hl=en&amp;geocode=&amp;q=40.0379791259766,-75.2230606079102")</f>
        <v>http://maps.google.com/maps?f=q&amp;hl=en&amp;geocode=&amp;q=40.0379791259766,-75.2230606079102</v>
      </c>
    </row>
    <row r="9464" spans="1:7" ht="15" x14ac:dyDescent="0.3">
      <c r="A9464">
        <v>40.460018157958999</v>
      </c>
      <c r="B9464">
        <v>-78.591552734375</v>
      </c>
      <c r="C9464" t="s">
        <v>43</v>
      </c>
      <c r="D9464" t="s">
        <v>2978</v>
      </c>
      <c r="F9464" s="21"/>
      <c r="G9464" s="16" t="str">
        <f>HYPERLINK("http://maps.google.com/maps?f=q&amp;hl=en&amp;geocode=&amp;q=40.460018157959,-78.591552734375")</f>
        <v>http://maps.google.com/maps?f=q&amp;hl=en&amp;geocode=&amp;q=40.460018157959,-78.591552734375</v>
      </c>
    </row>
    <row r="9465" spans="1:7" ht="15" x14ac:dyDescent="0.3">
      <c r="A9465">
        <v>40.07208</v>
      </c>
      <c r="B9465">
        <v>-75.053759999999997</v>
      </c>
      <c r="C9465" t="s">
        <v>41</v>
      </c>
      <c r="D9465" t="s">
        <v>5461</v>
      </c>
      <c r="F9465" s="21"/>
      <c r="G9465" s="16" t="str">
        <f>HYPERLINK("http://maps.google.com/maps?f=q&amp;hl=en&amp;geocode=&amp;q=40.07208,-75.05376")</f>
        <v>http://maps.google.com/maps?f=q&amp;hl=en&amp;geocode=&amp;q=40.07208,-75.05376</v>
      </c>
    </row>
    <row r="9466" spans="1:7" ht="15" x14ac:dyDescent="0.3">
      <c r="A9466">
        <v>45.634151458740199</v>
      </c>
      <c r="B9466">
        <v>-84.782386779785199</v>
      </c>
      <c r="C9466" t="s">
        <v>43</v>
      </c>
      <c r="D9466" t="s">
        <v>1380</v>
      </c>
      <c r="F9466" s="21"/>
      <c r="G9466" s="16" t="str">
        <f>HYPERLINK("http://maps.google.com/maps?f=q&amp;hl=en&amp;geocode=&amp;q=45.6341514587402,-84.7823867797852")</f>
        <v>http://maps.google.com/maps?f=q&amp;hl=en&amp;geocode=&amp;q=45.6341514587402,-84.7823867797852</v>
      </c>
    </row>
    <row r="9467" spans="1:7" ht="15" x14ac:dyDescent="0.3">
      <c r="A9467" t="s">
        <v>44</v>
      </c>
      <c r="B9467" t="s">
        <v>44</v>
      </c>
      <c r="C9467" t="s">
        <v>44</v>
      </c>
      <c r="D9467" t="s">
        <v>3777</v>
      </c>
      <c r="F9467" s="21"/>
      <c r="G9467" s="16"/>
    </row>
    <row r="9468" spans="1:7" ht="15" x14ac:dyDescent="0.3">
      <c r="A9468">
        <v>40.024738311767599</v>
      </c>
      <c r="B9468">
        <v>-75.213882446289105</v>
      </c>
      <c r="C9468" t="s">
        <v>43</v>
      </c>
      <c r="D9468" t="s">
        <v>2343</v>
      </c>
      <c r="F9468" s="21"/>
      <c r="G9468" s="16" t="str">
        <f>HYPERLINK("http://maps.google.com/maps?f=q&amp;hl=en&amp;geocode=&amp;q=40.0247383117676,-75.2138824462891")</f>
        <v>http://maps.google.com/maps?f=q&amp;hl=en&amp;geocode=&amp;q=40.0247383117676,-75.2138824462891</v>
      </c>
    </row>
    <row r="9469" spans="1:7" ht="15" x14ac:dyDescent="0.3">
      <c r="A9469" t="s">
        <v>44</v>
      </c>
      <c r="B9469" t="s">
        <v>44</v>
      </c>
      <c r="C9469" t="s">
        <v>44</v>
      </c>
      <c r="D9469" t="s">
        <v>5462</v>
      </c>
      <c r="F9469" s="21"/>
      <c r="G9469" s="16"/>
    </row>
    <row r="9470" spans="1:7" ht="15" x14ac:dyDescent="0.3">
      <c r="A9470">
        <v>-26.188575744628899</v>
      </c>
      <c r="B9470">
        <v>27.929327011108398</v>
      </c>
      <c r="C9470" t="s">
        <v>43</v>
      </c>
      <c r="D9470" t="s">
        <v>5463</v>
      </c>
      <c r="F9470" s="21"/>
      <c r="G9470" s="16" t="str">
        <f>HYPERLINK("http://maps.google.com/maps?f=q&amp;hl=en&amp;geocode=&amp;q=-26.1885757446289,27.9293270111084")</f>
        <v>http://maps.google.com/maps?f=q&amp;hl=en&amp;geocode=&amp;q=-26.1885757446289,27.9293270111084</v>
      </c>
    </row>
    <row r="9471" spans="1:7" ht="15" x14ac:dyDescent="0.3">
      <c r="A9471">
        <v>53.757888793945298</v>
      </c>
      <c r="B9471">
        <v>-2.7057199478149401</v>
      </c>
      <c r="C9471" t="s">
        <v>43</v>
      </c>
      <c r="D9471" t="s">
        <v>984</v>
      </c>
      <c r="F9471" s="21"/>
      <c r="G9471" s="16" t="str">
        <f>HYPERLINK("http://maps.google.com/maps?f=q&amp;hl=en&amp;geocode=&amp;q=53.7578887939453,-2.70571994781494")</f>
        <v>http://maps.google.com/maps?f=q&amp;hl=en&amp;geocode=&amp;q=53.7578887939453,-2.70571994781494</v>
      </c>
    </row>
    <row r="9472" spans="1:7" ht="15" x14ac:dyDescent="0.3">
      <c r="A9472">
        <v>32.990949999999998</v>
      </c>
      <c r="B9472">
        <v>-97.446380000000005</v>
      </c>
      <c r="C9472" t="s">
        <v>43</v>
      </c>
      <c r="D9472" t="s">
        <v>3190</v>
      </c>
      <c r="F9472" s="21"/>
      <c r="G9472" s="16" t="str">
        <f>HYPERLINK("http://maps.google.com/maps?f=q&amp;hl=en&amp;geocode=&amp;q=32.99095,-97.44638")</f>
        <v>http://maps.google.com/maps?f=q&amp;hl=en&amp;geocode=&amp;q=32.99095,-97.44638</v>
      </c>
    </row>
    <row r="9473" spans="1:7" ht="15" x14ac:dyDescent="0.3">
      <c r="F9473" s="21"/>
      <c r="G9473" s="16"/>
    </row>
    <row r="9474" spans="1:7" ht="15" x14ac:dyDescent="0.3">
      <c r="A9474">
        <v>54.562068939208999</v>
      </c>
      <c r="B9474">
        <v>-125.10440063476599</v>
      </c>
      <c r="C9474" t="s">
        <v>41</v>
      </c>
      <c r="D9474" t="s">
        <v>5228</v>
      </c>
      <c r="F9474" s="21"/>
      <c r="G9474" s="16" t="str">
        <f>HYPERLINK("http://maps.google.com/maps?f=q&amp;hl=en&amp;geocode=&amp;q=54.562068939209,-125.104400634766")</f>
        <v>http://maps.google.com/maps?f=q&amp;hl=en&amp;geocode=&amp;q=54.562068939209,-125.104400634766</v>
      </c>
    </row>
    <row r="9475" spans="1:7" ht="15" x14ac:dyDescent="0.3">
      <c r="A9475">
        <v>34.995820000000002</v>
      </c>
      <c r="B9475">
        <v>-81.136610000000005</v>
      </c>
      <c r="C9475" t="s">
        <v>42</v>
      </c>
      <c r="D9475" t="s">
        <v>3198</v>
      </c>
      <c r="F9475" s="21"/>
      <c r="G9475" s="16" t="str">
        <f>HYPERLINK("http://maps.google.com/maps?f=q&amp;hl=en&amp;geocode=&amp;q=34.99582,-81.13661")</f>
        <v>http://maps.google.com/maps?f=q&amp;hl=en&amp;geocode=&amp;q=34.99582,-81.13661</v>
      </c>
    </row>
    <row r="9476" spans="1:7" ht="15" x14ac:dyDescent="0.3">
      <c r="A9476">
        <v>51.756290435791001</v>
      </c>
      <c r="B9476">
        <v>-1.2595100402832</v>
      </c>
      <c r="C9476" t="s">
        <v>43</v>
      </c>
      <c r="D9476" t="s">
        <v>5464</v>
      </c>
      <c r="F9476" s="21"/>
      <c r="G9476" s="16" t="str">
        <f>HYPERLINK("http://maps.google.com/maps?f=q&amp;hl=en&amp;geocode=&amp;q=51.756290435791,-1.2595100402832")</f>
        <v>http://maps.google.com/maps?f=q&amp;hl=en&amp;geocode=&amp;q=51.756290435791,-1.2595100402832</v>
      </c>
    </row>
    <row r="9477" spans="1:7" ht="15" x14ac:dyDescent="0.3">
      <c r="A9477">
        <v>34.995820000000002</v>
      </c>
      <c r="B9477">
        <v>-81.136610000000005</v>
      </c>
      <c r="C9477" t="s">
        <v>42</v>
      </c>
      <c r="D9477" t="s">
        <v>3198</v>
      </c>
      <c r="F9477" s="21"/>
      <c r="G9477" s="16" t="str">
        <f>HYPERLINK("http://maps.google.com/maps?f=q&amp;hl=en&amp;geocode=&amp;q=34.99582,-81.13661")</f>
        <v>http://maps.google.com/maps?f=q&amp;hl=en&amp;geocode=&amp;q=34.99582,-81.13661</v>
      </c>
    </row>
    <row r="9478" spans="1:7" ht="15" x14ac:dyDescent="0.3">
      <c r="A9478">
        <v>59.898780822753899</v>
      </c>
      <c r="B9478">
        <v>15.560899734497101</v>
      </c>
      <c r="C9478" t="s">
        <v>43</v>
      </c>
      <c r="D9478" t="s">
        <v>4475</v>
      </c>
      <c r="F9478" s="21"/>
      <c r="G9478" s="16" t="str">
        <f>HYPERLINK("http://maps.google.com/maps?f=q&amp;hl=en&amp;geocode=&amp;q=59.8987808227539,15.5608997344971")</f>
        <v>http://maps.google.com/maps?f=q&amp;hl=en&amp;geocode=&amp;q=59.8987808227539,15.5608997344971</v>
      </c>
    </row>
    <row r="9479" spans="1:7" ht="15" x14ac:dyDescent="0.3">
      <c r="A9479">
        <v>47.116134643554702</v>
      </c>
      <c r="B9479">
        <v>6.8440089225768999</v>
      </c>
      <c r="C9479" t="s">
        <v>43</v>
      </c>
      <c r="D9479" t="s">
        <v>5465</v>
      </c>
      <c r="F9479" s="21"/>
      <c r="G9479" s="16" t="str">
        <f>HYPERLINK("http://maps.google.com/maps?f=q&amp;hl=en&amp;geocode=&amp;q=47.1161346435547,6.8440089225769")</f>
        <v>http://maps.google.com/maps?f=q&amp;hl=en&amp;geocode=&amp;q=47.1161346435547,6.8440089225769</v>
      </c>
    </row>
    <row r="9480" spans="1:7" ht="15" x14ac:dyDescent="0.3">
      <c r="A9480">
        <v>41.479734422346297</v>
      </c>
      <c r="B9480">
        <v>-93.177987210067201</v>
      </c>
      <c r="C9480" t="s">
        <v>41</v>
      </c>
      <c r="D9480" t="s">
        <v>4352</v>
      </c>
      <c r="F9480" s="21"/>
      <c r="G9480" s="16" t="str">
        <f>HYPERLINK("http://maps.google.com/maps?f=q&amp;hl=en&amp;geocode=&amp;q=41.4797344223463,-93.1779872100672")</f>
        <v>http://maps.google.com/maps?f=q&amp;hl=en&amp;geocode=&amp;q=41.4797344223463,-93.1779872100672</v>
      </c>
    </row>
    <row r="9481" spans="1:7" ht="15" x14ac:dyDescent="0.3">
      <c r="A9481">
        <v>59.898780822753899</v>
      </c>
      <c r="B9481">
        <v>15.560899734497101</v>
      </c>
      <c r="C9481" t="s">
        <v>43</v>
      </c>
      <c r="D9481" t="s">
        <v>4475</v>
      </c>
      <c r="F9481" s="21"/>
      <c r="G9481" s="16" t="str">
        <f>HYPERLINK("http://maps.google.com/maps?f=q&amp;hl=en&amp;geocode=&amp;q=59.8987808227539,15.5608997344971")</f>
        <v>http://maps.google.com/maps?f=q&amp;hl=en&amp;geocode=&amp;q=59.8987808227539,15.5608997344971</v>
      </c>
    </row>
    <row r="9482" spans="1:7" ht="15" x14ac:dyDescent="0.3">
      <c r="A9482" t="s">
        <v>44</v>
      </c>
      <c r="B9482" t="s">
        <v>44</v>
      </c>
      <c r="C9482" t="s">
        <v>44</v>
      </c>
      <c r="D9482" t="s">
        <v>5466</v>
      </c>
      <c r="F9482" s="21"/>
      <c r="G9482" s="16"/>
    </row>
    <row r="9483" spans="1:7" ht="15" x14ac:dyDescent="0.3">
      <c r="A9483" t="s">
        <v>44</v>
      </c>
      <c r="B9483" t="s">
        <v>44</v>
      </c>
      <c r="C9483" t="s">
        <v>44</v>
      </c>
      <c r="D9483" t="s">
        <v>5466</v>
      </c>
      <c r="F9483" s="21"/>
      <c r="G9483" s="16"/>
    </row>
    <row r="9484" spans="1:7" ht="15" x14ac:dyDescent="0.3">
      <c r="A9484" t="s">
        <v>44</v>
      </c>
      <c r="B9484" t="s">
        <v>44</v>
      </c>
      <c r="C9484" t="s">
        <v>44</v>
      </c>
      <c r="D9484" t="s">
        <v>5466</v>
      </c>
      <c r="F9484" s="21"/>
      <c r="G9484" s="16"/>
    </row>
    <row r="9485" spans="1:7" ht="15" x14ac:dyDescent="0.3">
      <c r="A9485" t="s">
        <v>44</v>
      </c>
      <c r="B9485" t="s">
        <v>44</v>
      </c>
      <c r="C9485" t="s">
        <v>44</v>
      </c>
      <c r="D9485" t="s">
        <v>5466</v>
      </c>
      <c r="F9485" s="21"/>
      <c r="G9485" s="16"/>
    </row>
    <row r="9486" spans="1:7" ht="15" x14ac:dyDescent="0.3">
      <c r="A9486">
        <v>41.016536227324401</v>
      </c>
      <c r="B9486">
        <v>-83.677931209680096</v>
      </c>
      <c r="C9486" t="s">
        <v>41</v>
      </c>
      <c r="D9486" t="s">
        <v>1523</v>
      </c>
      <c r="F9486" s="21"/>
      <c r="G9486" s="16" t="str">
        <f>HYPERLINK("http://maps.google.com/maps?f=q&amp;hl=en&amp;geocode=&amp;q=41.0165362273244,-83.6779312096801")</f>
        <v>http://maps.google.com/maps?f=q&amp;hl=en&amp;geocode=&amp;q=41.0165362273244,-83.6779312096801</v>
      </c>
    </row>
    <row r="9487" spans="1:7" ht="15" x14ac:dyDescent="0.3">
      <c r="A9487">
        <v>39.149498897886602</v>
      </c>
      <c r="B9487">
        <v>-84.631118530584502</v>
      </c>
      <c r="C9487" t="s">
        <v>41</v>
      </c>
      <c r="D9487" t="s">
        <v>5467</v>
      </c>
      <c r="F9487" s="21"/>
      <c r="G9487" s="16" t="str">
        <f>HYPERLINK("http://maps.google.com/maps?f=q&amp;hl=en&amp;geocode=&amp;q=39.1494988978866,-84.6311185305845")</f>
        <v>http://maps.google.com/maps?f=q&amp;hl=en&amp;geocode=&amp;q=39.1494988978866,-84.6311185305845</v>
      </c>
    </row>
    <row r="9488" spans="1:7" ht="15" x14ac:dyDescent="0.3">
      <c r="A9488" t="s">
        <v>44</v>
      </c>
      <c r="B9488" t="s">
        <v>44</v>
      </c>
      <c r="C9488" t="s">
        <v>44</v>
      </c>
      <c r="D9488" t="s">
        <v>5466</v>
      </c>
      <c r="F9488" s="21"/>
      <c r="G9488" s="16"/>
    </row>
    <row r="9489" spans="1:7" ht="15" x14ac:dyDescent="0.3">
      <c r="A9489" t="s">
        <v>44</v>
      </c>
      <c r="B9489" t="s">
        <v>44</v>
      </c>
      <c r="C9489" t="s">
        <v>44</v>
      </c>
      <c r="D9489" t="s">
        <v>5466</v>
      </c>
      <c r="F9489" s="21"/>
      <c r="G9489" s="16"/>
    </row>
    <row r="9490" spans="1:7" ht="15" x14ac:dyDescent="0.3">
      <c r="A9490">
        <v>39.99588</v>
      </c>
      <c r="B9490">
        <v>-75.167929999999998</v>
      </c>
      <c r="C9490" t="s">
        <v>41</v>
      </c>
      <c r="D9490" t="s">
        <v>4143</v>
      </c>
      <c r="F9490" s="21"/>
      <c r="G9490" s="16" t="str">
        <f>HYPERLINK("http://maps.google.com/maps?f=q&amp;hl=en&amp;geocode=&amp;q=39.99588,-75.16793")</f>
        <v>http://maps.google.com/maps?f=q&amp;hl=en&amp;geocode=&amp;q=39.99588,-75.16793</v>
      </c>
    </row>
    <row r="9491" spans="1:7" ht="15" x14ac:dyDescent="0.3">
      <c r="A9491">
        <v>39.996290000000002</v>
      </c>
      <c r="B9491">
        <v>-75.171109999999999</v>
      </c>
      <c r="C9491" t="s">
        <v>41</v>
      </c>
      <c r="D9491" t="s">
        <v>5468</v>
      </c>
      <c r="F9491" s="21"/>
      <c r="G9491" s="16" t="str">
        <f>HYPERLINK("http://maps.google.com/maps?f=q&amp;hl=en&amp;geocode=&amp;q=39.99629,-75.17111")</f>
        <v>http://maps.google.com/maps?f=q&amp;hl=en&amp;geocode=&amp;q=39.99629,-75.17111</v>
      </c>
    </row>
    <row r="9492" spans="1:7" ht="15" x14ac:dyDescent="0.3">
      <c r="A9492">
        <v>33.70975</v>
      </c>
      <c r="B9492">
        <v>-84.757279999999994</v>
      </c>
      <c r="C9492" t="s">
        <v>43</v>
      </c>
      <c r="D9492" t="s">
        <v>5469</v>
      </c>
      <c r="F9492" s="21"/>
      <c r="G9492" s="16" t="str">
        <f>HYPERLINK("http://maps.google.com/maps?f=q&amp;hl=en&amp;geocode=&amp;q=33.70975,-84.75728")</f>
        <v>http://maps.google.com/maps?f=q&amp;hl=en&amp;geocode=&amp;q=33.70975,-84.75728</v>
      </c>
    </row>
    <row r="9493" spans="1:7" ht="15" x14ac:dyDescent="0.3">
      <c r="A9493" t="s">
        <v>44</v>
      </c>
      <c r="B9493" t="s">
        <v>44</v>
      </c>
      <c r="C9493" t="s">
        <v>44</v>
      </c>
      <c r="D9493" t="s">
        <v>5466</v>
      </c>
      <c r="F9493" s="21"/>
      <c r="G9493" s="16"/>
    </row>
    <row r="9494" spans="1:7" ht="15" x14ac:dyDescent="0.3">
      <c r="A9494">
        <v>41.514603980943299</v>
      </c>
      <c r="B9494">
        <v>-78.246476854448403</v>
      </c>
      <c r="C9494" t="s">
        <v>41</v>
      </c>
      <c r="D9494" t="s">
        <v>5470</v>
      </c>
      <c r="F9494" s="21"/>
      <c r="G9494" s="16" t="str">
        <f>HYPERLINK("http://maps.google.com/maps?f=q&amp;hl=en&amp;geocode=&amp;q=41.5146039809433,-78.2464768544484")</f>
        <v>http://maps.google.com/maps?f=q&amp;hl=en&amp;geocode=&amp;q=41.5146039809433,-78.2464768544484</v>
      </c>
    </row>
    <row r="9495" spans="1:7" ht="15" x14ac:dyDescent="0.3">
      <c r="A9495" t="s">
        <v>44</v>
      </c>
      <c r="B9495" t="s">
        <v>44</v>
      </c>
      <c r="C9495" t="s">
        <v>44</v>
      </c>
      <c r="D9495" t="s">
        <v>5466</v>
      </c>
      <c r="F9495" s="21"/>
      <c r="G9495" s="16"/>
    </row>
    <row r="9496" spans="1:7" ht="15" x14ac:dyDescent="0.3">
      <c r="A9496" t="s">
        <v>44</v>
      </c>
      <c r="B9496" t="s">
        <v>44</v>
      </c>
      <c r="C9496" t="s">
        <v>44</v>
      </c>
      <c r="D9496" t="s">
        <v>5466</v>
      </c>
      <c r="F9496" s="21"/>
      <c r="G9496" s="16"/>
    </row>
    <row r="9497" spans="1:7" ht="15" x14ac:dyDescent="0.3">
      <c r="F9497" s="21"/>
      <c r="G9497" s="16"/>
    </row>
    <row r="9498" spans="1:7" ht="15" x14ac:dyDescent="0.3">
      <c r="A9498">
        <v>36.7413234390499</v>
      </c>
      <c r="B9498">
        <v>-119.736139519993</v>
      </c>
      <c r="C9498" t="s">
        <v>41</v>
      </c>
      <c r="D9498" t="s">
        <v>2631</v>
      </c>
      <c r="F9498" s="21"/>
      <c r="G9498" s="16" t="str">
        <f>HYPERLINK("http://maps.google.com/maps?f=q&amp;hl=en&amp;geocode=&amp;q=36.7413234390499,-119.736139519993")</f>
        <v>http://maps.google.com/maps?f=q&amp;hl=en&amp;geocode=&amp;q=36.7413234390499,-119.736139519993</v>
      </c>
    </row>
    <row r="9499" spans="1:7" ht="15" x14ac:dyDescent="0.3">
      <c r="A9499">
        <v>36.7413234390499</v>
      </c>
      <c r="B9499">
        <v>-119.736139519993</v>
      </c>
      <c r="C9499" t="s">
        <v>41</v>
      </c>
      <c r="D9499" t="s">
        <v>2631</v>
      </c>
      <c r="F9499" s="21"/>
      <c r="G9499" s="16" t="str">
        <f>HYPERLINK("http://maps.google.com/maps?f=q&amp;hl=en&amp;geocode=&amp;q=36.7413234390499,-119.736139519993")</f>
        <v>http://maps.google.com/maps?f=q&amp;hl=en&amp;geocode=&amp;q=36.7413234390499,-119.736139519993</v>
      </c>
    </row>
    <row r="9500" spans="1:7" ht="15" x14ac:dyDescent="0.3">
      <c r="A9500" t="s">
        <v>44</v>
      </c>
      <c r="B9500" t="s">
        <v>44</v>
      </c>
      <c r="C9500" t="s">
        <v>44</v>
      </c>
      <c r="D9500" t="s">
        <v>5466</v>
      </c>
      <c r="F9500" s="21"/>
      <c r="G9500" s="16"/>
    </row>
    <row r="9501" spans="1:7" ht="15" x14ac:dyDescent="0.3">
      <c r="A9501" t="s">
        <v>44</v>
      </c>
      <c r="B9501" t="s">
        <v>44</v>
      </c>
      <c r="C9501" t="s">
        <v>44</v>
      </c>
      <c r="D9501" t="s">
        <v>5471</v>
      </c>
      <c r="F9501" s="21"/>
      <c r="G9501" s="16"/>
    </row>
    <row r="9502" spans="1:7" ht="15" x14ac:dyDescent="0.3">
      <c r="A9502" t="s">
        <v>44</v>
      </c>
      <c r="B9502" t="s">
        <v>44</v>
      </c>
      <c r="C9502" t="s">
        <v>44</v>
      </c>
      <c r="D9502" t="s">
        <v>5466</v>
      </c>
      <c r="F9502" s="21"/>
      <c r="G9502" s="16"/>
    </row>
    <row r="9503" spans="1:7" ht="15" x14ac:dyDescent="0.3">
      <c r="A9503" t="s">
        <v>44</v>
      </c>
      <c r="B9503" t="s">
        <v>44</v>
      </c>
      <c r="C9503" t="s">
        <v>44</v>
      </c>
      <c r="D9503" t="s">
        <v>5472</v>
      </c>
      <c r="F9503" s="21"/>
      <c r="G9503" s="16"/>
    </row>
    <row r="9504" spans="1:7" ht="15" x14ac:dyDescent="0.3">
      <c r="A9504" t="s">
        <v>44</v>
      </c>
      <c r="B9504" t="s">
        <v>44</v>
      </c>
      <c r="C9504" t="s">
        <v>44</v>
      </c>
      <c r="D9504" t="s">
        <v>5466</v>
      </c>
      <c r="F9504" s="21"/>
      <c r="G9504" s="16"/>
    </row>
    <row r="9505" spans="1:7" ht="15" x14ac:dyDescent="0.3">
      <c r="A9505" t="s">
        <v>44</v>
      </c>
      <c r="B9505" t="s">
        <v>44</v>
      </c>
      <c r="C9505" t="s">
        <v>44</v>
      </c>
      <c r="D9505" t="s">
        <v>5466</v>
      </c>
      <c r="F9505" s="21"/>
      <c r="G9505" s="16"/>
    </row>
    <row r="9506" spans="1:7" ht="15" x14ac:dyDescent="0.3">
      <c r="A9506" t="s">
        <v>44</v>
      </c>
      <c r="B9506" t="s">
        <v>44</v>
      </c>
      <c r="C9506" t="s">
        <v>44</v>
      </c>
      <c r="D9506" t="s">
        <v>1004</v>
      </c>
      <c r="F9506" s="21"/>
      <c r="G9506" s="16"/>
    </row>
    <row r="9507" spans="1:7" ht="15" x14ac:dyDescent="0.3">
      <c r="A9507" t="s">
        <v>44</v>
      </c>
      <c r="B9507" t="s">
        <v>44</v>
      </c>
      <c r="C9507" t="s">
        <v>44</v>
      </c>
      <c r="D9507" t="s">
        <v>5466</v>
      </c>
      <c r="F9507" s="21"/>
      <c r="G9507" s="16"/>
    </row>
    <row r="9508" spans="1:7" ht="15" x14ac:dyDescent="0.3">
      <c r="A9508">
        <v>-26.034427642822301</v>
      </c>
      <c r="B9508">
        <v>28.5431098937988</v>
      </c>
      <c r="C9508" t="s">
        <v>43</v>
      </c>
      <c r="D9508" t="s">
        <v>5473</v>
      </c>
      <c r="F9508" s="21"/>
      <c r="G9508" s="16" t="str">
        <f>HYPERLINK("http://maps.google.com/maps?f=q&amp;hl=en&amp;geocode=&amp;q=-26.0344276428223,28.5431098937988")</f>
        <v>http://maps.google.com/maps?f=q&amp;hl=en&amp;geocode=&amp;q=-26.0344276428223,28.5431098937988</v>
      </c>
    </row>
    <row r="9509" spans="1:7" ht="15" x14ac:dyDescent="0.3">
      <c r="A9509">
        <v>40.035719999999998</v>
      </c>
      <c r="B9509">
        <v>-75.070629999999994</v>
      </c>
      <c r="C9509" t="s">
        <v>41</v>
      </c>
      <c r="D9509" t="s">
        <v>760</v>
      </c>
      <c r="F9509" s="21"/>
      <c r="G9509" s="16" t="str">
        <f>HYPERLINK("http://maps.google.com/maps?f=q&amp;hl=en&amp;geocode=&amp;q=40.03572,-75.07063")</f>
        <v>http://maps.google.com/maps?f=q&amp;hl=en&amp;geocode=&amp;q=40.03572,-75.07063</v>
      </c>
    </row>
    <row r="9510" spans="1:7" ht="15" x14ac:dyDescent="0.3">
      <c r="A9510">
        <v>41.419273210671001</v>
      </c>
      <c r="B9510">
        <v>-87.187212073928194</v>
      </c>
      <c r="C9510" t="s">
        <v>41</v>
      </c>
      <c r="D9510" t="s">
        <v>5142</v>
      </c>
      <c r="F9510" s="21"/>
      <c r="G9510" s="16" t="str">
        <f>HYPERLINK("http://maps.google.com/maps?f=q&amp;hl=en&amp;geocode=&amp;q=41.419273210671,-87.1872120739282")</f>
        <v>http://maps.google.com/maps?f=q&amp;hl=en&amp;geocode=&amp;q=41.419273210671,-87.1872120739282</v>
      </c>
    </row>
    <row r="9511" spans="1:7" ht="15" x14ac:dyDescent="0.3">
      <c r="A9511" t="s">
        <v>44</v>
      </c>
      <c r="B9511" t="s">
        <v>44</v>
      </c>
      <c r="C9511" t="s">
        <v>44</v>
      </c>
      <c r="D9511" t="s">
        <v>5466</v>
      </c>
      <c r="F9511" s="21"/>
      <c r="G9511" s="16"/>
    </row>
    <row r="9512" spans="1:7" ht="15" x14ac:dyDescent="0.3">
      <c r="F9512" s="21"/>
      <c r="G9512" s="16"/>
    </row>
    <row r="9513" spans="1:7" ht="15" x14ac:dyDescent="0.3">
      <c r="A9513">
        <v>-33.897659301757798</v>
      </c>
      <c r="B9513">
        <v>23.515382766723601</v>
      </c>
      <c r="C9513" t="s">
        <v>43</v>
      </c>
      <c r="D9513" t="s">
        <v>5474</v>
      </c>
      <c r="F9513" s="21"/>
      <c r="G9513" s="16" t="str">
        <f>HYPERLINK("http://maps.google.com/maps?f=q&amp;hl=en&amp;geocode=&amp;q=-33.8976593017578,23.5153827667236")</f>
        <v>http://maps.google.com/maps?f=q&amp;hl=en&amp;geocode=&amp;q=-33.8976593017578,23.5153827667236</v>
      </c>
    </row>
    <row r="9514" spans="1:7" ht="15" x14ac:dyDescent="0.3">
      <c r="A9514">
        <v>40.014712534890798</v>
      </c>
      <c r="B9514">
        <v>-75.178592922272401</v>
      </c>
      <c r="C9514" t="s">
        <v>41</v>
      </c>
      <c r="D9514" t="s">
        <v>5475</v>
      </c>
      <c r="F9514" s="21"/>
      <c r="G9514" s="16" t="str">
        <f>HYPERLINK("http://maps.google.com/maps?f=q&amp;hl=en&amp;geocode=&amp;q=40.0147125348908,-75.1785929222724")</f>
        <v>http://maps.google.com/maps?f=q&amp;hl=en&amp;geocode=&amp;q=40.0147125348908,-75.1785929222724</v>
      </c>
    </row>
    <row r="9515" spans="1:7" ht="15" x14ac:dyDescent="0.3">
      <c r="A9515">
        <v>-34.171680000000002</v>
      </c>
      <c r="B9515">
        <v>142.1524</v>
      </c>
      <c r="C9515" t="s">
        <v>41</v>
      </c>
      <c r="D9515" t="s">
        <v>5476</v>
      </c>
      <c r="F9515" s="21"/>
      <c r="G9515" s="16" t="str">
        <f>HYPERLINK("http://maps.google.com/maps?f=q&amp;hl=en&amp;geocode=&amp;q=-34.17168,142.1524")</f>
        <v>http://maps.google.com/maps?f=q&amp;hl=en&amp;geocode=&amp;q=-34.17168,142.1524</v>
      </c>
    </row>
    <row r="9516" spans="1:7" ht="15" x14ac:dyDescent="0.3">
      <c r="A9516">
        <v>39.951270000000001</v>
      </c>
      <c r="B9516">
        <v>-75.239069999999998</v>
      </c>
      <c r="C9516" t="s">
        <v>41</v>
      </c>
      <c r="D9516" t="s">
        <v>5477</v>
      </c>
      <c r="F9516" s="21"/>
      <c r="G9516" s="16" t="str">
        <f>HYPERLINK("http://maps.google.com/maps?f=q&amp;hl=en&amp;geocode=&amp;q=39.95127,-75.23907")</f>
        <v>http://maps.google.com/maps?f=q&amp;hl=en&amp;geocode=&amp;q=39.95127,-75.23907</v>
      </c>
    </row>
    <row r="9517" spans="1:7" ht="15" x14ac:dyDescent="0.3">
      <c r="A9517">
        <v>40.7256299180196</v>
      </c>
      <c r="B9517">
        <v>-89.589970903376695</v>
      </c>
      <c r="C9517" t="s">
        <v>41</v>
      </c>
      <c r="D9517" t="s">
        <v>5478</v>
      </c>
      <c r="F9517" s="21"/>
      <c r="G9517" s="16" t="str">
        <f>HYPERLINK("http://maps.google.com/maps?f=q&amp;hl=en&amp;geocode=&amp;q=40.7256299180196,-89.5899709033767")</f>
        <v>http://maps.google.com/maps?f=q&amp;hl=en&amp;geocode=&amp;q=40.7256299180196,-89.5899709033767</v>
      </c>
    </row>
    <row r="9518" spans="1:7" ht="15" x14ac:dyDescent="0.3">
      <c r="A9518">
        <v>39.927799999999998</v>
      </c>
      <c r="B9518">
        <v>-75.177130000000005</v>
      </c>
      <c r="C9518" t="s">
        <v>43</v>
      </c>
      <c r="D9518" t="s">
        <v>5479</v>
      </c>
      <c r="F9518" s="21"/>
      <c r="G9518" s="16" t="str">
        <f>HYPERLINK("http://maps.google.com/maps?f=q&amp;hl=en&amp;geocode=&amp;q=39.9278,-75.17713")</f>
        <v>http://maps.google.com/maps?f=q&amp;hl=en&amp;geocode=&amp;q=39.9278,-75.17713</v>
      </c>
    </row>
    <row r="9519" spans="1:7" ht="15" x14ac:dyDescent="0.3">
      <c r="A9519">
        <v>39.927799999999998</v>
      </c>
      <c r="B9519">
        <v>-75.177130000000005</v>
      </c>
      <c r="C9519" t="s">
        <v>43</v>
      </c>
      <c r="D9519" t="s">
        <v>5479</v>
      </c>
      <c r="F9519" s="21"/>
      <c r="G9519" s="16" t="str">
        <f>HYPERLINK("http://maps.google.com/maps?f=q&amp;hl=en&amp;geocode=&amp;q=39.9278,-75.17713")</f>
        <v>http://maps.google.com/maps?f=q&amp;hl=en&amp;geocode=&amp;q=39.9278,-75.17713</v>
      </c>
    </row>
    <row r="9520" spans="1:7" ht="15" x14ac:dyDescent="0.3">
      <c r="A9520">
        <v>33.674744261134201</v>
      </c>
      <c r="B9520">
        <v>-90.985315075340495</v>
      </c>
      <c r="C9520" t="s">
        <v>41</v>
      </c>
      <c r="D9520" t="s">
        <v>5480</v>
      </c>
      <c r="F9520" s="21"/>
      <c r="G9520" s="16" t="str">
        <f>HYPERLINK("http://maps.google.com/maps?f=q&amp;hl=en&amp;geocode=&amp;q=33.6747442611342,-90.9853150753405")</f>
        <v>http://maps.google.com/maps?f=q&amp;hl=en&amp;geocode=&amp;q=33.6747442611342,-90.9853150753405</v>
      </c>
    </row>
    <row r="9521" spans="1:7" ht="15" x14ac:dyDescent="0.3">
      <c r="A9521">
        <v>43.528829999999999</v>
      </c>
      <c r="B9521">
        <v>-116.5654</v>
      </c>
      <c r="C9521" t="s">
        <v>42</v>
      </c>
      <c r="D9521" t="s">
        <v>909</v>
      </c>
      <c r="F9521" s="21"/>
      <c r="G9521" s="16" t="str">
        <f>HYPERLINK("http://maps.google.com/maps?f=q&amp;hl=en&amp;geocode=&amp;q=43.52883,-116.5654")</f>
        <v>http://maps.google.com/maps?f=q&amp;hl=en&amp;geocode=&amp;q=43.52883,-116.5654</v>
      </c>
    </row>
    <row r="9522" spans="1:7" ht="15" x14ac:dyDescent="0.3">
      <c r="A9522">
        <v>34.026931762695298</v>
      </c>
      <c r="B9522">
        <v>-117.84049987793</v>
      </c>
      <c r="C9522" t="s">
        <v>43</v>
      </c>
      <c r="D9522" t="s">
        <v>5481</v>
      </c>
      <c r="F9522" s="21"/>
      <c r="G9522" s="16" t="str">
        <f>HYPERLINK("http://maps.google.com/maps?f=q&amp;hl=en&amp;geocode=&amp;q=34.0269317626953,-117.84049987793")</f>
        <v>http://maps.google.com/maps?f=q&amp;hl=en&amp;geocode=&amp;q=34.0269317626953,-117.84049987793</v>
      </c>
    </row>
    <row r="9523" spans="1:7" ht="15" x14ac:dyDescent="0.3">
      <c r="A9523">
        <v>39.931820000000002</v>
      </c>
      <c r="B9523">
        <v>-75.159409999999994</v>
      </c>
      <c r="C9523" t="s">
        <v>43</v>
      </c>
      <c r="D9523" t="s">
        <v>5482</v>
      </c>
      <c r="F9523" s="21"/>
      <c r="G9523" s="16" t="str">
        <f>HYPERLINK("http://maps.google.com/maps?f=q&amp;hl=en&amp;geocode=&amp;q=39.93182,-75.15941")</f>
        <v>http://maps.google.com/maps?f=q&amp;hl=en&amp;geocode=&amp;q=39.93182,-75.15941</v>
      </c>
    </row>
    <row r="9524" spans="1:7" ht="15" x14ac:dyDescent="0.3">
      <c r="A9524">
        <v>40.045299999999997</v>
      </c>
      <c r="B9524">
        <v>-75.108239999999995</v>
      </c>
      <c r="C9524" t="s">
        <v>41</v>
      </c>
      <c r="D9524" t="s">
        <v>5483</v>
      </c>
      <c r="F9524" s="21"/>
      <c r="G9524" s="16" t="str">
        <f>HYPERLINK("http://maps.google.com/maps?f=q&amp;hl=en&amp;geocode=&amp;q=40.0453,-75.10824")</f>
        <v>http://maps.google.com/maps?f=q&amp;hl=en&amp;geocode=&amp;q=40.0453,-75.10824</v>
      </c>
    </row>
    <row r="9525" spans="1:7" ht="15" x14ac:dyDescent="0.3">
      <c r="A9525">
        <v>39.937958825259898</v>
      </c>
      <c r="B9525">
        <v>-75.227761483261006</v>
      </c>
      <c r="C9525" t="s">
        <v>41</v>
      </c>
      <c r="D9525" t="s">
        <v>1097</v>
      </c>
      <c r="F9525" s="21"/>
      <c r="G9525" s="16" t="str">
        <f>HYPERLINK("http://maps.google.com/maps?f=q&amp;hl=en&amp;geocode=&amp;q=39.9379588252599,-75.227761483261")</f>
        <v>http://maps.google.com/maps?f=q&amp;hl=en&amp;geocode=&amp;q=39.9379588252599,-75.227761483261</v>
      </c>
    </row>
    <row r="9526" spans="1:7" ht="15" x14ac:dyDescent="0.3">
      <c r="A9526">
        <v>45.634151458740199</v>
      </c>
      <c r="B9526">
        <v>-84.782386779785199</v>
      </c>
      <c r="C9526" t="s">
        <v>43</v>
      </c>
      <c r="D9526" t="s">
        <v>1380</v>
      </c>
      <c r="F9526" s="21"/>
      <c r="G9526" s="16" t="str">
        <f>HYPERLINK("http://maps.google.com/maps?f=q&amp;hl=en&amp;geocode=&amp;q=45.6341514587402,-84.7823867797852")</f>
        <v>http://maps.google.com/maps?f=q&amp;hl=en&amp;geocode=&amp;q=45.6341514587402,-84.7823867797852</v>
      </c>
    </row>
    <row r="9527" spans="1:7" ht="15" x14ac:dyDescent="0.3">
      <c r="A9527">
        <v>45.634151458740199</v>
      </c>
      <c r="B9527">
        <v>-84.782386779785199</v>
      </c>
      <c r="C9527" t="s">
        <v>43</v>
      </c>
      <c r="D9527" t="s">
        <v>1380</v>
      </c>
      <c r="F9527" s="21"/>
      <c r="G9527" s="16" t="str">
        <f>HYPERLINK("http://maps.google.com/maps?f=q&amp;hl=en&amp;geocode=&amp;q=45.6341514587402,-84.7823867797852")</f>
        <v>http://maps.google.com/maps?f=q&amp;hl=en&amp;geocode=&amp;q=45.6341514587402,-84.7823867797852</v>
      </c>
    </row>
    <row r="9528" spans="1:7" ht="15" x14ac:dyDescent="0.3">
      <c r="A9528" t="s">
        <v>44</v>
      </c>
      <c r="B9528" t="s">
        <v>44</v>
      </c>
      <c r="C9528" t="s">
        <v>44</v>
      </c>
      <c r="D9528" t="s">
        <v>3668</v>
      </c>
      <c r="F9528" s="21"/>
      <c r="G9528" s="16"/>
    </row>
    <row r="9529" spans="1:7" ht="15" x14ac:dyDescent="0.3">
      <c r="A9529">
        <v>43.942901611328097</v>
      </c>
      <c r="B9529">
        <v>11.0881233215332</v>
      </c>
      <c r="C9529" t="s">
        <v>43</v>
      </c>
      <c r="D9529" t="s">
        <v>5484</v>
      </c>
      <c r="F9529" s="21"/>
      <c r="G9529" s="16" t="str">
        <f>HYPERLINK("http://maps.google.com/maps?f=q&amp;hl=en&amp;geocode=&amp;q=43.9429016113281,11.0881233215332")</f>
        <v>http://maps.google.com/maps?f=q&amp;hl=en&amp;geocode=&amp;q=43.9429016113281,11.0881233215332</v>
      </c>
    </row>
    <row r="9530" spans="1:7" ht="15" x14ac:dyDescent="0.3">
      <c r="A9530">
        <v>39.936729999999997</v>
      </c>
      <c r="B9530">
        <v>-75.167010000000005</v>
      </c>
      <c r="C9530" t="s">
        <v>43</v>
      </c>
      <c r="D9530" t="s">
        <v>5485</v>
      </c>
      <c r="F9530" s="21"/>
      <c r="G9530" s="16" t="str">
        <f>HYPERLINK("http://maps.google.com/maps?f=q&amp;hl=en&amp;geocode=&amp;q=39.93673,-75.16701")</f>
        <v>http://maps.google.com/maps?f=q&amp;hl=en&amp;geocode=&amp;q=39.93673,-75.16701</v>
      </c>
    </row>
    <row r="9531" spans="1:7" ht="15" x14ac:dyDescent="0.3">
      <c r="A9531" t="s">
        <v>44</v>
      </c>
      <c r="B9531" t="s">
        <v>44</v>
      </c>
      <c r="C9531" t="s">
        <v>44</v>
      </c>
      <c r="D9531" t="s">
        <v>101</v>
      </c>
      <c r="F9531" s="21"/>
      <c r="G9531" s="16"/>
    </row>
    <row r="9532" spans="1:7" ht="15" x14ac:dyDescent="0.3">
      <c r="A9532">
        <v>47.301040649414098</v>
      </c>
      <c r="B9532">
        <v>9.1766700744628906</v>
      </c>
      <c r="C9532" t="s">
        <v>41</v>
      </c>
      <c r="D9532" t="s">
        <v>5486</v>
      </c>
      <c r="F9532" s="21"/>
      <c r="G9532" s="16" t="str">
        <f>HYPERLINK("http://maps.google.com/maps?f=q&amp;hl=en&amp;geocode=&amp;q=47.3010406494141,9.17667007446289")</f>
        <v>http://maps.google.com/maps?f=q&amp;hl=en&amp;geocode=&amp;q=47.3010406494141,9.17667007446289</v>
      </c>
    </row>
    <row r="9533" spans="1:7" ht="15" x14ac:dyDescent="0.3">
      <c r="A9533">
        <v>39.2883453822012</v>
      </c>
      <c r="B9533">
        <v>-87.444837345755403</v>
      </c>
      <c r="C9533" t="s">
        <v>41</v>
      </c>
      <c r="D9533" t="s">
        <v>5487</v>
      </c>
      <c r="F9533" s="21"/>
      <c r="G9533" s="16" t="str">
        <f>HYPERLINK("http://maps.google.com/maps?f=q&amp;hl=en&amp;geocode=&amp;q=39.2883453822012,-87.4448373457554")</f>
        <v>http://maps.google.com/maps?f=q&amp;hl=en&amp;geocode=&amp;q=39.2883453822012,-87.4448373457554</v>
      </c>
    </row>
    <row r="9534" spans="1:7" ht="15" x14ac:dyDescent="0.3">
      <c r="A9534" t="s">
        <v>44</v>
      </c>
      <c r="B9534" t="s">
        <v>44</v>
      </c>
      <c r="C9534" t="s">
        <v>44</v>
      </c>
      <c r="D9534" t="s">
        <v>5488</v>
      </c>
      <c r="F9534" s="21"/>
      <c r="G9534" s="16"/>
    </row>
    <row r="9535" spans="1:7" ht="15" x14ac:dyDescent="0.3">
      <c r="A9535" t="s">
        <v>44</v>
      </c>
      <c r="B9535" t="s">
        <v>44</v>
      </c>
      <c r="C9535" t="s">
        <v>44</v>
      </c>
      <c r="D9535" t="s">
        <v>5489</v>
      </c>
      <c r="F9535" s="21"/>
      <c r="G9535" s="16"/>
    </row>
    <row r="9536" spans="1:7" ht="15" x14ac:dyDescent="0.3">
      <c r="A9536">
        <v>19.3844299316406</v>
      </c>
      <c r="B9536">
        <v>74.604660034179702</v>
      </c>
      <c r="C9536" t="s">
        <v>43</v>
      </c>
      <c r="D9536" t="s">
        <v>5490</v>
      </c>
      <c r="F9536" s="21"/>
      <c r="G9536" s="16" t="str">
        <f>HYPERLINK("http://maps.google.com/maps?f=q&amp;hl=en&amp;geocode=&amp;q=19.3844299316406,74.6046600341797")</f>
        <v>http://maps.google.com/maps?f=q&amp;hl=en&amp;geocode=&amp;q=19.3844299316406,74.6046600341797</v>
      </c>
    </row>
    <row r="9537" spans="1:7" ht="15" x14ac:dyDescent="0.3">
      <c r="A9537">
        <v>39.926810000000003</v>
      </c>
      <c r="B9537">
        <v>-75.178960000000004</v>
      </c>
      <c r="C9537" t="s">
        <v>43</v>
      </c>
      <c r="D9537" t="s">
        <v>5491</v>
      </c>
      <c r="F9537" s="21"/>
      <c r="G9537" s="16" t="str">
        <f>HYPERLINK("http://maps.google.com/maps?f=q&amp;hl=en&amp;geocode=&amp;q=39.92681,-75.17896")</f>
        <v>http://maps.google.com/maps?f=q&amp;hl=en&amp;geocode=&amp;q=39.92681,-75.17896</v>
      </c>
    </row>
    <row r="9538" spans="1:7" ht="15" x14ac:dyDescent="0.3">
      <c r="A9538">
        <v>37.519280000000002</v>
      </c>
      <c r="B9538">
        <v>-77.451049999999995</v>
      </c>
      <c r="C9538" t="s">
        <v>43</v>
      </c>
      <c r="D9538" t="s">
        <v>4421</v>
      </c>
      <c r="F9538" s="21"/>
      <c r="G9538" s="16" t="str">
        <f>HYPERLINK("http://maps.google.com/maps?f=q&amp;hl=en&amp;geocode=&amp;q=37.51928,-77.45105")</f>
        <v>http://maps.google.com/maps?f=q&amp;hl=en&amp;geocode=&amp;q=37.51928,-77.45105</v>
      </c>
    </row>
    <row r="9539" spans="1:7" ht="15" x14ac:dyDescent="0.3">
      <c r="A9539">
        <v>54.781295776367202</v>
      </c>
      <c r="B9539">
        <v>11.962433815002401</v>
      </c>
      <c r="C9539" t="s">
        <v>41</v>
      </c>
      <c r="D9539" t="s">
        <v>5492</v>
      </c>
      <c r="F9539" s="21"/>
      <c r="G9539" s="16" t="str">
        <f>HYPERLINK("http://maps.google.com/maps?f=q&amp;hl=en&amp;geocode=&amp;q=54.7812957763672,11.9624338150024")</f>
        <v>http://maps.google.com/maps?f=q&amp;hl=en&amp;geocode=&amp;q=54.7812957763672,11.9624338150024</v>
      </c>
    </row>
    <row r="9540" spans="1:7" ht="15" x14ac:dyDescent="0.3">
      <c r="A9540">
        <v>40.027979999999999</v>
      </c>
      <c r="B9540">
        <v>-75.133210000000005</v>
      </c>
      <c r="C9540" t="s">
        <v>41</v>
      </c>
      <c r="D9540" t="s">
        <v>4446</v>
      </c>
      <c r="F9540" s="21"/>
      <c r="G9540" s="16" t="str">
        <f>HYPERLINK("http://maps.google.com/maps?f=q&amp;hl=en&amp;geocode=&amp;q=40.02798,-75.13321")</f>
        <v>http://maps.google.com/maps?f=q&amp;hl=en&amp;geocode=&amp;q=40.02798,-75.13321</v>
      </c>
    </row>
    <row r="9541" spans="1:7" ht="15" x14ac:dyDescent="0.3">
      <c r="F9541" s="21"/>
      <c r="G9541" s="16"/>
    </row>
    <row r="9542" spans="1:7" ht="15" x14ac:dyDescent="0.3">
      <c r="A9542">
        <v>40.024738311767599</v>
      </c>
      <c r="B9542">
        <v>-75.213882446289105</v>
      </c>
      <c r="C9542" t="s">
        <v>43</v>
      </c>
      <c r="D9542" t="s">
        <v>1126</v>
      </c>
      <c r="F9542" s="21"/>
      <c r="G9542" s="16" t="str">
        <f>HYPERLINK("http://maps.google.com/maps?f=q&amp;hl=en&amp;geocode=&amp;q=40.0247383117676,-75.2138824462891")</f>
        <v>http://maps.google.com/maps?f=q&amp;hl=en&amp;geocode=&amp;q=40.0247383117676,-75.2138824462891</v>
      </c>
    </row>
    <row r="9543" spans="1:7" ht="15" x14ac:dyDescent="0.3">
      <c r="A9543">
        <v>42.999576568603501</v>
      </c>
      <c r="B9543">
        <v>-107.551513671875</v>
      </c>
      <c r="C9543" t="s">
        <v>41</v>
      </c>
      <c r="D9543" t="s">
        <v>5493</v>
      </c>
      <c r="F9543" s="21"/>
      <c r="G9543" s="16" t="str">
        <f>HYPERLINK("http://maps.google.com/maps?f=q&amp;hl=en&amp;geocode=&amp;q=42.9995765686035,-107.551513671875")</f>
        <v>http://maps.google.com/maps?f=q&amp;hl=en&amp;geocode=&amp;q=42.9995765686035,-107.551513671875</v>
      </c>
    </row>
    <row r="9544" spans="1:7" ht="15" x14ac:dyDescent="0.3">
      <c r="A9544">
        <v>40.024738311767599</v>
      </c>
      <c r="B9544">
        <v>-75.213882446289105</v>
      </c>
      <c r="C9544" t="s">
        <v>43</v>
      </c>
      <c r="D9544" t="s">
        <v>5494</v>
      </c>
      <c r="F9544" s="21"/>
      <c r="G9544" s="16" t="str">
        <f>HYPERLINK("http://maps.google.com/maps?f=q&amp;hl=en&amp;geocode=&amp;q=40.0247383117676,-75.2138824462891")</f>
        <v>http://maps.google.com/maps?f=q&amp;hl=en&amp;geocode=&amp;q=40.0247383117676,-75.2138824462891</v>
      </c>
    </row>
    <row r="9545" spans="1:7" ht="15" x14ac:dyDescent="0.3">
      <c r="A9545">
        <v>43.746551513671903</v>
      </c>
      <c r="B9545">
        <v>5.3137397766113299</v>
      </c>
      <c r="C9545" t="s">
        <v>43</v>
      </c>
      <c r="D9545" t="s">
        <v>5116</v>
      </c>
      <c r="F9545" s="21"/>
      <c r="G9545" s="16" t="str">
        <f>HYPERLINK("http://maps.google.com/maps?f=q&amp;hl=en&amp;geocode=&amp;q=43.7465515136719,5.31373977661133")</f>
        <v>http://maps.google.com/maps?f=q&amp;hl=en&amp;geocode=&amp;q=43.7465515136719,5.31373977661133</v>
      </c>
    </row>
    <row r="9546" spans="1:7" ht="15" x14ac:dyDescent="0.3">
      <c r="A9546">
        <v>-11.8669996261597</v>
      </c>
      <c r="B9546">
        <v>43.382999420166001</v>
      </c>
      <c r="C9546" t="s">
        <v>43</v>
      </c>
      <c r="D9546" t="s">
        <v>2986</v>
      </c>
      <c r="F9546" s="21"/>
      <c r="G9546" s="16" t="str">
        <f>HYPERLINK("http://maps.google.com/maps?f=q&amp;hl=en&amp;geocode=&amp;q=-11.8669996261597,43.382999420166")</f>
        <v>http://maps.google.com/maps?f=q&amp;hl=en&amp;geocode=&amp;q=-11.8669996261597,43.382999420166</v>
      </c>
    </row>
    <row r="9547" spans="1:7" ht="15" x14ac:dyDescent="0.3">
      <c r="A9547">
        <v>-11.8669996261597</v>
      </c>
      <c r="B9547">
        <v>43.382999420166001</v>
      </c>
      <c r="C9547" t="s">
        <v>43</v>
      </c>
      <c r="D9547" t="s">
        <v>2986</v>
      </c>
      <c r="F9547" s="21"/>
      <c r="G9547" s="16" t="str">
        <f>HYPERLINK("http://maps.google.com/maps?f=q&amp;hl=en&amp;geocode=&amp;q=-11.8669996261597,43.382999420166")</f>
        <v>http://maps.google.com/maps?f=q&amp;hl=en&amp;geocode=&amp;q=-11.8669996261597,43.382999420166</v>
      </c>
    </row>
    <row r="9548" spans="1:7" ht="15" x14ac:dyDescent="0.3">
      <c r="A9548">
        <v>40.056107514723301</v>
      </c>
      <c r="B9548">
        <v>-75.677522945375998</v>
      </c>
      <c r="C9548" t="s">
        <v>41</v>
      </c>
      <c r="D9548" t="s">
        <v>5495</v>
      </c>
      <c r="F9548" s="21"/>
      <c r="G9548" s="16" t="str">
        <f>HYPERLINK("http://maps.google.com/maps?f=q&amp;hl=en&amp;geocode=&amp;q=40.0561075147233,-75.677522945376")</f>
        <v>http://maps.google.com/maps?f=q&amp;hl=en&amp;geocode=&amp;q=40.0561075147233,-75.677522945376</v>
      </c>
    </row>
    <row r="9549" spans="1:7" ht="15" x14ac:dyDescent="0.3">
      <c r="A9549">
        <v>42.997422656800801</v>
      </c>
      <c r="B9549">
        <v>-95.623939346082395</v>
      </c>
      <c r="C9549" t="s">
        <v>41</v>
      </c>
      <c r="D9549" t="s">
        <v>71</v>
      </c>
      <c r="F9549" s="21"/>
      <c r="G9549" s="16" t="str">
        <f>HYPERLINK("http://maps.google.com/maps?f=q&amp;hl=en&amp;geocode=&amp;q=42.9974226568008,-95.6239393460824")</f>
        <v>http://maps.google.com/maps?f=q&amp;hl=en&amp;geocode=&amp;q=42.9974226568008,-95.6239393460824</v>
      </c>
    </row>
    <row r="9550" spans="1:7" ht="15" x14ac:dyDescent="0.3">
      <c r="A9550">
        <v>31.0106773186406</v>
      </c>
      <c r="B9550">
        <v>-86.338380566299705</v>
      </c>
      <c r="C9550" t="s">
        <v>41</v>
      </c>
      <c r="D9550" t="s">
        <v>4184</v>
      </c>
      <c r="F9550" s="21"/>
      <c r="G9550" s="16" t="str">
        <f>HYPERLINK("http://maps.google.com/maps?f=q&amp;hl=en&amp;geocode=&amp;q=31.0106773186406,-86.3383805662997")</f>
        <v>http://maps.google.com/maps?f=q&amp;hl=en&amp;geocode=&amp;q=31.0106773186406,-86.3383805662997</v>
      </c>
    </row>
    <row r="9551" spans="1:7" ht="15" x14ac:dyDescent="0.3">
      <c r="A9551">
        <v>40.119689999999999</v>
      </c>
      <c r="B9551">
        <v>-74.799180000000007</v>
      </c>
      <c r="C9551" t="s">
        <v>42</v>
      </c>
      <c r="D9551" t="s">
        <v>5496</v>
      </c>
      <c r="F9551" s="21"/>
      <c r="G9551" s="16" t="str">
        <f>HYPERLINK("http://maps.google.com/maps?f=q&amp;hl=en&amp;geocode=&amp;q=40.11969,-74.79918")</f>
        <v>http://maps.google.com/maps?f=q&amp;hl=en&amp;geocode=&amp;q=40.11969,-74.79918</v>
      </c>
    </row>
    <row r="9552" spans="1:7" ht="15" x14ac:dyDescent="0.3">
      <c r="A9552">
        <v>32.990949999999998</v>
      </c>
      <c r="B9552">
        <v>-97.446380000000005</v>
      </c>
      <c r="C9552" t="s">
        <v>43</v>
      </c>
      <c r="D9552" t="s">
        <v>5497</v>
      </c>
      <c r="F9552" s="21"/>
      <c r="G9552" s="16" t="str">
        <f>HYPERLINK("http://maps.google.com/maps?f=q&amp;hl=en&amp;geocode=&amp;q=32.99095,-97.44638")</f>
        <v>http://maps.google.com/maps?f=q&amp;hl=en&amp;geocode=&amp;q=32.99095,-97.44638</v>
      </c>
    </row>
    <row r="9553" spans="1:7" ht="15" x14ac:dyDescent="0.3">
      <c r="A9553">
        <v>42.362480163574197</v>
      </c>
      <c r="B9553">
        <v>23.375675201416001</v>
      </c>
      <c r="C9553" t="s">
        <v>43</v>
      </c>
      <c r="D9553" t="s">
        <v>5498</v>
      </c>
      <c r="F9553" s="21"/>
      <c r="G9553" s="16" t="str">
        <f>HYPERLINK("http://maps.google.com/maps?f=q&amp;hl=en&amp;geocode=&amp;q=42.3624801635742,23.375675201416")</f>
        <v>http://maps.google.com/maps?f=q&amp;hl=en&amp;geocode=&amp;q=42.3624801635742,23.375675201416</v>
      </c>
    </row>
    <row r="9554" spans="1:7" ht="15" x14ac:dyDescent="0.3">
      <c r="A9554">
        <v>40.693229675292997</v>
      </c>
      <c r="B9554">
        <v>-78.9222412109375</v>
      </c>
      <c r="C9554" t="s">
        <v>43</v>
      </c>
      <c r="D9554" t="s">
        <v>5499</v>
      </c>
      <c r="F9554" s="21"/>
      <c r="G9554" s="16" t="str">
        <f>HYPERLINK("http://maps.google.com/maps?f=q&amp;hl=en&amp;geocode=&amp;q=40.693229675293,-78.9222412109375")</f>
        <v>http://maps.google.com/maps?f=q&amp;hl=en&amp;geocode=&amp;q=40.693229675293,-78.9222412109375</v>
      </c>
    </row>
    <row r="9555" spans="1:7" ht="15" x14ac:dyDescent="0.3">
      <c r="A9555">
        <v>34.088929999999998</v>
      </c>
      <c r="B9555">
        <v>-117.94454</v>
      </c>
      <c r="C9555" t="s">
        <v>42</v>
      </c>
      <c r="D9555" t="s">
        <v>5500</v>
      </c>
      <c r="F9555" s="21"/>
      <c r="G9555" s="16" t="str">
        <f>HYPERLINK("http://maps.google.com/maps?f=q&amp;hl=en&amp;geocode=&amp;q=34.08893,-117.94454")</f>
        <v>http://maps.google.com/maps?f=q&amp;hl=en&amp;geocode=&amp;q=34.08893,-117.94454</v>
      </c>
    </row>
    <row r="9556" spans="1:7" ht="15" x14ac:dyDescent="0.3">
      <c r="A9556">
        <v>40.781711578369098</v>
      </c>
      <c r="B9556">
        <v>-73.951248168945298</v>
      </c>
      <c r="C9556" t="s">
        <v>43</v>
      </c>
      <c r="D9556" t="s">
        <v>5501</v>
      </c>
      <c r="F9556" s="21"/>
      <c r="G9556" s="16" t="str">
        <f>HYPERLINK("http://maps.google.com/maps?f=q&amp;hl=en&amp;geocode=&amp;q=40.7817115783691,-73.9512481689453")</f>
        <v>http://maps.google.com/maps?f=q&amp;hl=en&amp;geocode=&amp;q=40.7817115783691,-73.9512481689453</v>
      </c>
    </row>
    <row r="9557" spans="1:7" ht="15" x14ac:dyDescent="0.3">
      <c r="A9557">
        <v>48.672306060791001</v>
      </c>
      <c r="B9557">
        <v>7.5540661811828604</v>
      </c>
      <c r="C9557" t="s">
        <v>43</v>
      </c>
      <c r="D9557" t="s">
        <v>5375</v>
      </c>
      <c r="F9557" s="21"/>
      <c r="G9557" s="16" t="str">
        <f>HYPERLINK("http://maps.google.com/maps?f=q&amp;hl=en&amp;geocode=&amp;q=48.672306060791,7.55406618118286")</f>
        <v>http://maps.google.com/maps?f=q&amp;hl=en&amp;geocode=&amp;q=48.672306060791,7.55406618118286</v>
      </c>
    </row>
    <row r="9558" spans="1:7" ht="15" x14ac:dyDescent="0.3">
      <c r="A9558">
        <v>60.554500579833999</v>
      </c>
      <c r="B9558">
        <v>4.8449001312255904</v>
      </c>
      <c r="C9558" t="s">
        <v>43</v>
      </c>
      <c r="D9558" t="s">
        <v>5502</v>
      </c>
      <c r="F9558" s="21"/>
      <c r="G9558" s="16" t="str">
        <f>HYPERLINK("http://maps.google.com/maps?f=q&amp;hl=en&amp;geocode=&amp;q=60.554500579834,4.84490013122559")</f>
        <v>http://maps.google.com/maps?f=q&amp;hl=en&amp;geocode=&amp;q=60.554500579834,4.84490013122559</v>
      </c>
    </row>
    <row r="9559" spans="1:7" ht="15" x14ac:dyDescent="0.3">
      <c r="A9559">
        <v>33.626209259033203</v>
      </c>
      <c r="B9559">
        <v>-117.66159820556599</v>
      </c>
      <c r="C9559" t="s">
        <v>43</v>
      </c>
      <c r="D9559" t="s">
        <v>5503</v>
      </c>
      <c r="F9559" s="21"/>
      <c r="G9559" s="16" t="str">
        <f>HYPERLINK("http://maps.google.com/maps?f=q&amp;hl=en&amp;geocode=&amp;q=33.6262092590332,-117.661598205566")</f>
        <v>http://maps.google.com/maps?f=q&amp;hl=en&amp;geocode=&amp;q=33.6262092590332,-117.661598205566</v>
      </c>
    </row>
    <row r="9560" spans="1:7" ht="15" x14ac:dyDescent="0.3">
      <c r="A9560" t="s">
        <v>44</v>
      </c>
      <c r="B9560" t="s">
        <v>44</v>
      </c>
      <c r="C9560" t="s">
        <v>44</v>
      </c>
      <c r="D9560" t="s">
        <v>4438</v>
      </c>
      <c r="F9560" s="21"/>
      <c r="G9560" s="16"/>
    </row>
    <row r="9561" spans="1:7" ht="15" x14ac:dyDescent="0.3">
      <c r="A9561">
        <v>39.987698044043299</v>
      </c>
      <c r="B9561">
        <v>-75.101836286224398</v>
      </c>
      <c r="C9561" t="s">
        <v>41</v>
      </c>
      <c r="D9561" t="s">
        <v>5504</v>
      </c>
      <c r="F9561" s="21"/>
      <c r="G9561" s="16" t="str">
        <f>HYPERLINK("http://maps.google.com/maps?f=q&amp;hl=en&amp;geocode=&amp;q=39.9876980440433,-75.1018362862244")</f>
        <v>http://maps.google.com/maps?f=q&amp;hl=en&amp;geocode=&amp;q=39.9876980440433,-75.1018362862244</v>
      </c>
    </row>
    <row r="9562" spans="1:7" ht="15" x14ac:dyDescent="0.3">
      <c r="A9562">
        <v>29.94772</v>
      </c>
      <c r="B9562">
        <v>-93.937799999999996</v>
      </c>
      <c r="C9562" t="s">
        <v>41</v>
      </c>
      <c r="D9562" t="s">
        <v>772</v>
      </c>
      <c r="F9562" s="21"/>
      <c r="G9562" s="16" t="str">
        <f>HYPERLINK("http://maps.google.com/maps?f=q&amp;hl=en&amp;geocode=&amp;q=29.94772,-93.9378")</f>
        <v>http://maps.google.com/maps?f=q&amp;hl=en&amp;geocode=&amp;q=29.94772,-93.9378</v>
      </c>
    </row>
    <row r="9563" spans="1:7" ht="15" x14ac:dyDescent="0.3">
      <c r="A9563">
        <v>54.6253662109375</v>
      </c>
      <c r="B9563">
        <v>-5.9220995903015101</v>
      </c>
      <c r="C9563" t="s">
        <v>43</v>
      </c>
      <c r="D9563" t="s">
        <v>5505</v>
      </c>
      <c r="F9563" s="21"/>
      <c r="G9563" s="16" t="str">
        <f>HYPERLINK("http://maps.google.com/maps?f=q&amp;hl=en&amp;geocode=&amp;q=54.6253662109375,-5.92209959030151")</f>
        <v>http://maps.google.com/maps?f=q&amp;hl=en&amp;geocode=&amp;q=54.6253662109375,-5.92209959030151</v>
      </c>
    </row>
    <row r="9564" spans="1:7" ht="15" x14ac:dyDescent="0.3">
      <c r="A9564">
        <v>39.940771505032501</v>
      </c>
      <c r="B9564">
        <v>-75.166985727087194</v>
      </c>
      <c r="C9564" t="s">
        <v>41</v>
      </c>
      <c r="D9564" t="s">
        <v>5506</v>
      </c>
      <c r="F9564" s="21"/>
      <c r="G9564" s="16" t="str">
        <f>HYPERLINK("http://maps.google.com/maps?f=q&amp;hl=en&amp;geocode=&amp;q=39.9407715050325,-75.1669857270872")</f>
        <v>http://maps.google.com/maps?f=q&amp;hl=en&amp;geocode=&amp;q=39.9407715050325,-75.1669857270872</v>
      </c>
    </row>
    <row r="9565" spans="1:7" ht="15" x14ac:dyDescent="0.3">
      <c r="A9565">
        <v>39.940771505032501</v>
      </c>
      <c r="B9565">
        <v>-75.166985727087194</v>
      </c>
      <c r="C9565" t="s">
        <v>41</v>
      </c>
      <c r="D9565" t="s">
        <v>5506</v>
      </c>
      <c r="F9565" s="21"/>
      <c r="G9565" s="16" t="str">
        <f>HYPERLINK("http://maps.google.com/maps?f=q&amp;hl=en&amp;geocode=&amp;q=39.9407715050325,-75.1669857270872")</f>
        <v>http://maps.google.com/maps?f=q&amp;hl=en&amp;geocode=&amp;q=39.9407715050325,-75.1669857270872</v>
      </c>
    </row>
    <row r="9566" spans="1:7" ht="15" x14ac:dyDescent="0.3">
      <c r="A9566" t="s">
        <v>44</v>
      </c>
      <c r="B9566" t="s">
        <v>44</v>
      </c>
      <c r="C9566" t="s">
        <v>44</v>
      </c>
      <c r="D9566" t="s">
        <v>1004</v>
      </c>
      <c r="F9566" s="21"/>
      <c r="G9566" s="16"/>
    </row>
    <row r="9567" spans="1:7" ht="15" x14ac:dyDescent="0.3">
      <c r="A9567">
        <v>30.044313264676202</v>
      </c>
      <c r="B9567">
        <v>-81.909798656975099</v>
      </c>
      <c r="C9567" t="s">
        <v>43</v>
      </c>
      <c r="D9567" t="s">
        <v>5507</v>
      </c>
      <c r="F9567" s="21"/>
      <c r="G9567" s="16" t="str">
        <f>HYPERLINK("http://maps.google.com/maps?f=q&amp;hl=en&amp;geocode=&amp;q=30.0443132646762,-81.9097986569751")</f>
        <v>http://maps.google.com/maps?f=q&amp;hl=en&amp;geocode=&amp;q=30.0443132646762,-81.9097986569751</v>
      </c>
    </row>
    <row r="9568" spans="1:7" ht="15" x14ac:dyDescent="0.3">
      <c r="A9568">
        <v>45.837741851806598</v>
      </c>
      <c r="B9568">
        <v>25.005935668945298</v>
      </c>
      <c r="C9568" t="s">
        <v>41</v>
      </c>
      <c r="D9568" t="s">
        <v>2819</v>
      </c>
      <c r="F9568" s="21"/>
      <c r="G9568" s="16" t="str">
        <f>HYPERLINK("http://maps.google.com/maps?f=q&amp;hl=en&amp;geocode=&amp;q=45.8377418518066,25.0059356689453")</f>
        <v>http://maps.google.com/maps?f=q&amp;hl=en&amp;geocode=&amp;q=45.8377418518066,25.0059356689453</v>
      </c>
    </row>
    <row r="9569" spans="1:7" ht="15" x14ac:dyDescent="0.3">
      <c r="A9569" t="s">
        <v>44</v>
      </c>
      <c r="B9569" t="s">
        <v>44</v>
      </c>
      <c r="C9569" t="s">
        <v>44</v>
      </c>
      <c r="D9569" t="s">
        <v>235</v>
      </c>
      <c r="F9569" s="21"/>
      <c r="G9569" s="16"/>
    </row>
    <row r="9570" spans="1:7" ht="15" x14ac:dyDescent="0.3">
      <c r="A9570" t="s">
        <v>44</v>
      </c>
      <c r="B9570" t="s">
        <v>44</v>
      </c>
      <c r="C9570" t="s">
        <v>44</v>
      </c>
      <c r="D9570" t="s">
        <v>235</v>
      </c>
      <c r="F9570" s="21"/>
      <c r="G9570" s="16"/>
    </row>
    <row r="9571" spans="1:7" ht="15" x14ac:dyDescent="0.3">
      <c r="A9571">
        <v>39.996290000000002</v>
      </c>
      <c r="B9571">
        <v>-75.171109999999999</v>
      </c>
      <c r="C9571" t="s">
        <v>41</v>
      </c>
      <c r="D9571" t="s">
        <v>5468</v>
      </c>
      <c r="F9571" s="21"/>
      <c r="G9571" s="16" t="str">
        <f>HYPERLINK("http://maps.google.com/maps?f=q&amp;hl=en&amp;geocode=&amp;q=39.99629,-75.17111")</f>
        <v>http://maps.google.com/maps?f=q&amp;hl=en&amp;geocode=&amp;q=39.99629,-75.17111</v>
      </c>
    </row>
    <row r="9572" spans="1:7" ht="15" x14ac:dyDescent="0.3">
      <c r="A9572">
        <v>42.829670306309502</v>
      </c>
      <c r="B9572">
        <v>-74.490945996129</v>
      </c>
      <c r="C9572" t="s">
        <v>41</v>
      </c>
      <c r="D9572" t="s">
        <v>5508</v>
      </c>
      <c r="F9572" s="21"/>
      <c r="G9572" s="16" t="str">
        <f>HYPERLINK("http://maps.google.com/maps?f=q&amp;hl=en&amp;geocode=&amp;q=42.8296703063095,-74.490945996129")</f>
        <v>http://maps.google.com/maps?f=q&amp;hl=en&amp;geocode=&amp;q=42.8296703063095,-74.490945996129</v>
      </c>
    </row>
    <row r="9573" spans="1:7" ht="15" x14ac:dyDescent="0.3">
      <c r="A9573">
        <v>44.2935879834613</v>
      </c>
      <c r="B9573">
        <v>-83.481255797510002</v>
      </c>
      <c r="C9573" t="s">
        <v>41</v>
      </c>
      <c r="D9573" t="s">
        <v>5509</v>
      </c>
      <c r="F9573" s="21"/>
      <c r="G9573" s="16" t="str">
        <f>HYPERLINK("http://maps.google.com/maps?f=q&amp;hl=en&amp;geocode=&amp;q=44.2935879834613,-83.48125579751")</f>
        <v>http://maps.google.com/maps?f=q&amp;hl=en&amp;geocode=&amp;q=44.2935879834613,-83.48125579751</v>
      </c>
    </row>
    <row r="9574" spans="1:7" ht="15" x14ac:dyDescent="0.3">
      <c r="A9574">
        <v>44.2924218194307</v>
      </c>
      <c r="B9574">
        <v>-83.4812649017056</v>
      </c>
      <c r="C9574" t="s">
        <v>41</v>
      </c>
      <c r="D9574" t="s">
        <v>1358</v>
      </c>
      <c r="F9574" s="21"/>
      <c r="G9574" s="16" t="str">
        <f>HYPERLINK("http://maps.google.com/maps?f=q&amp;hl=en&amp;geocode=&amp;q=44.2924218194307,-83.4812649017056")</f>
        <v>http://maps.google.com/maps?f=q&amp;hl=en&amp;geocode=&amp;q=44.2924218194307,-83.4812649017056</v>
      </c>
    </row>
    <row r="9575" spans="1:7" ht="15" x14ac:dyDescent="0.3">
      <c r="A9575">
        <v>44.292328454461497</v>
      </c>
      <c r="B9575">
        <v>-83.481264578735093</v>
      </c>
      <c r="C9575" t="s">
        <v>41</v>
      </c>
      <c r="D9575" t="s">
        <v>5510</v>
      </c>
      <c r="F9575" s="21"/>
      <c r="G9575" s="16" t="str">
        <f>HYPERLINK("http://maps.google.com/maps?f=q&amp;hl=en&amp;geocode=&amp;q=44.2923284544615,-83.4812645787351")</f>
        <v>http://maps.google.com/maps?f=q&amp;hl=en&amp;geocode=&amp;q=44.2923284544615,-83.4812645787351</v>
      </c>
    </row>
    <row r="9576" spans="1:7" ht="15" x14ac:dyDescent="0.3">
      <c r="A9576">
        <v>40.132370000000002</v>
      </c>
      <c r="B9576">
        <v>-75.007909999999995</v>
      </c>
      <c r="C9576" t="s">
        <v>41</v>
      </c>
      <c r="D9576" t="s">
        <v>55</v>
      </c>
      <c r="F9576" s="21"/>
      <c r="G9576" s="16" t="str">
        <f>HYPERLINK("http://maps.google.com/maps?f=q&amp;hl=en&amp;geocode=&amp;q=40.13237,-75.00791")</f>
        <v>http://maps.google.com/maps?f=q&amp;hl=en&amp;geocode=&amp;q=40.13237,-75.00791</v>
      </c>
    </row>
    <row r="9577" spans="1:7" ht="15" x14ac:dyDescent="0.3">
      <c r="A9577">
        <v>42.443455648065402</v>
      </c>
      <c r="B9577">
        <v>-85.700303879752596</v>
      </c>
      <c r="C9577" t="s">
        <v>41</v>
      </c>
      <c r="D9577" t="s">
        <v>5511</v>
      </c>
      <c r="F9577" s="21"/>
      <c r="G9577" s="16" t="str">
        <f>HYPERLINK("http://maps.google.com/maps?f=q&amp;hl=en&amp;geocode=&amp;q=42.4434556480654,-85.7003038797526")</f>
        <v>http://maps.google.com/maps?f=q&amp;hl=en&amp;geocode=&amp;q=42.4434556480654,-85.7003038797526</v>
      </c>
    </row>
    <row r="9578" spans="1:7" ht="15" x14ac:dyDescent="0.3">
      <c r="A9578">
        <v>42.7791938781738</v>
      </c>
      <c r="B9578">
        <v>-73.691421508789105</v>
      </c>
      <c r="C9578" t="s">
        <v>43</v>
      </c>
      <c r="D9578" t="s">
        <v>5512</v>
      </c>
      <c r="F9578" s="21"/>
      <c r="G9578" s="16" t="str">
        <f>HYPERLINK("http://maps.google.com/maps?f=q&amp;hl=en&amp;geocode=&amp;q=42.7791938781738,-73.6914215087891")</f>
        <v>http://maps.google.com/maps?f=q&amp;hl=en&amp;geocode=&amp;q=42.7791938781738,-73.6914215087891</v>
      </c>
    </row>
    <row r="9579" spans="1:7" ht="15" x14ac:dyDescent="0.3">
      <c r="A9579">
        <v>39.4432563781738</v>
      </c>
      <c r="B9579">
        <v>-98.957336425781307</v>
      </c>
      <c r="C9579" t="s">
        <v>43</v>
      </c>
      <c r="D9579" t="s">
        <v>5513</v>
      </c>
      <c r="F9579" s="21"/>
      <c r="G9579" s="16" t="str">
        <f>HYPERLINK("http://maps.google.com/maps?f=q&amp;hl=en&amp;geocode=&amp;q=39.4432563781738,-98.9573364257813")</f>
        <v>http://maps.google.com/maps?f=q&amp;hl=en&amp;geocode=&amp;q=39.4432563781738,-98.9573364257813</v>
      </c>
    </row>
    <row r="9580" spans="1:7" ht="15" x14ac:dyDescent="0.3">
      <c r="A9580">
        <v>40.024738311767599</v>
      </c>
      <c r="B9580">
        <v>-75.213882446289105</v>
      </c>
      <c r="C9580" t="s">
        <v>43</v>
      </c>
      <c r="D9580" t="s">
        <v>5514</v>
      </c>
      <c r="F9580" s="21"/>
      <c r="G9580" s="16" t="str">
        <f>HYPERLINK("http://maps.google.com/maps?f=q&amp;hl=en&amp;geocode=&amp;q=40.0247383117676,-75.2138824462891")</f>
        <v>http://maps.google.com/maps?f=q&amp;hl=en&amp;geocode=&amp;q=40.0247383117676,-75.2138824462891</v>
      </c>
    </row>
    <row r="9581" spans="1:7" ht="15" x14ac:dyDescent="0.3">
      <c r="A9581">
        <v>39.944629999999997</v>
      </c>
      <c r="B9581">
        <v>-75.177080000000004</v>
      </c>
      <c r="C9581" t="s">
        <v>43</v>
      </c>
      <c r="D9581" t="s">
        <v>5515</v>
      </c>
      <c r="F9581" s="21"/>
      <c r="G9581" s="16" t="str">
        <f>HYPERLINK("http://maps.google.com/maps?f=q&amp;hl=en&amp;geocode=&amp;q=39.94463,-75.17708")</f>
        <v>http://maps.google.com/maps?f=q&amp;hl=en&amp;geocode=&amp;q=39.94463,-75.17708</v>
      </c>
    </row>
    <row r="9582" spans="1:7" ht="15" x14ac:dyDescent="0.3">
      <c r="A9582">
        <v>39.859144687642299</v>
      </c>
      <c r="B9582">
        <v>-88.982905782504204</v>
      </c>
      <c r="C9582" t="s">
        <v>41</v>
      </c>
      <c r="D9582" t="s">
        <v>3339</v>
      </c>
      <c r="F9582" s="21"/>
      <c r="G9582" s="16" t="str">
        <f>HYPERLINK("http://maps.google.com/maps?f=q&amp;hl=en&amp;geocode=&amp;q=39.8591446876423,-88.9829057825042")</f>
        <v>http://maps.google.com/maps?f=q&amp;hl=en&amp;geocode=&amp;q=39.8591446876423,-88.9829057825042</v>
      </c>
    </row>
    <row r="9583" spans="1:7" ht="15" x14ac:dyDescent="0.3">
      <c r="A9583">
        <v>39.859144687642299</v>
      </c>
      <c r="B9583">
        <v>-88.982905782504204</v>
      </c>
      <c r="C9583" t="s">
        <v>41</v>
      </c>
      <c r="D9583" t="s">
        <v>3339</v>
      </c>
      <c r="F9583" s="21"/>
      <c r="G9583" s="16" t="str">
        <f>HYPERLINK("http://maps.google.com/maps?f=q&amp;hl=en&amp;geocode=&amp;q=39.8591446876423,-88.9829057825042")</f>
        <v>http://maps.google.com/maps?f=q&amp;hl=en&amp;geocode=&amp;q=39.8591446876423,-88.9829057825042</v>
      </c>
    </row>
    <row r="9584" spans="1:7" ht="15" x14ac:dyDescent="0.3">
      <c r="F9584" s="21"/>
      <c r="G9584" s="16"/>
    </row>
    <row r="9585" spans="1:7" ht="15" x14ac:dyDescent="0.3">
      <c r="F9585" s="21"/>
      <c r="G9585" s="16"/>
    </row>
    <row r="9586" spans="1:7" ht="15" x14ac:dyDescent="0.3">
      <c r="F9586" s="21"/>
      <c r="G9586" s="16"/>
    </row>
    <row r="9587" spans="1:7" ht="15" x14ac:dyDescent="0.3">
      <c r="A9587">
        <v>37.589829468078399</v>
      </c>
      <c r="B9587">
        <v>-87.730712250391804</v>
      </c>
      <c r="C9587" t="s">
        <v>41</v>
      </c>
      <c r="D9587" t="s">
        <v>5516</v>
      </c>
      <c r="F9587" s="21"/>
      <c r="G9587" s="16" t="str">
        <f>HYPERLINK("http://maps.google.com/maps?f=q&amp;hl=en&amp;geocode=&amp;q=37.5898294680784,-87.7307122503918")</f>
        <v>http://maps.google.com/maps?f=q&amp;hl=en&amp;geocode=&amp;q=37.5898294680784,-87.7307122503918</v>
      </c>
    </row>
    <row r="9588" spans="1:7" ht="15" x14ac:dyDescent="0.3">
      <c r="A9588">
        <v>41.149993206539698</v>
      </c>
      <c r="B9588">
        <v>-111.913570873949</v>
      </c>
      <c r="C9588" t="s">
        <v>41</v>
      </c>
      <c r="D9588" t="s">
        <v>782</v>
      </c>
      <c r="F9588" s="21"/>
      <c r="G9588" s="16" t="str">
        <f>HYPERLINK("http://maps.google.com/maps?f=q&amp;hl=en&amp;geocode=&amp;q=41.1499932065397,-111.913570873949")</f>
        <v>http://maps.google.com/maps?f=q&amp;hl=en&amp;geocode=&amp;q=41.1499932065397,-111.913570873949</v>
      </c>
    </row>
    <row r="9589" spans="1:7" ht="15" x14ac:dyDescent="0.3">
      <c r="A9589">
        <v>32.298690795898402</v>
      </c>
      <c r="B9589">
        <v>-90.180488586425795</v>
      </c>
      <c r="C9589" t="s">
        <v>41</v>
      </c>
      <c r="D9589" t="s">
        <v>5517</v>
      </c>
      <c r="F9589" s="21"/>
      <c r="G9589" s="16" t="str">
        <f>HYPERLINK("http://maps.google.com/maps?f=q&amp;hl=en&amp;geocode=&amp;q=32.2986907958984,-90.1804885864258")</f>
        <v>http://maps.google.com/maps?f=q&amp;hl=en&amp;geocode=&amp;q=32.2986907958984,-90.1804885864258</v>
      </c>
    </row>
    <row r="9590" spans="1:7" ht="15" x14ac:dyDescent="0.3">
      <c r="A9590">
        <v>32.298690795898402</v>
      </c>
      <c r="B9590">
        <v>-90.180488586425795</v>
      </c>
      <c r="C9590" t="s">
        <v>41</v>
      </c>
      <c r="D9590" t="s">
        <v>5517</v>
      </c>
      <c r="F9590" s="21"/>
      <c r="G9590" s="16" t="str">
        <f>HYPERLINK("http://maps.google.com/maps?f=q&amp;hl=en&amp;geocode=&amp;q=32.2986907958984,-90.1804885864258")</f>
        <v>http://maps.google.com/maps?f=q&amp;hl=en&amp;geocode=&amp;q=32.2986907958984,-90.1804885864258</v>
      </c>
    </row>
    <row r="9591" spans="1:7" ht="15" x14ac:dyDescent="0.3">
      <c r="A9591">
        <v>40.049819999999997</v>
      </c>
      <c r="B9591">
        <v>-75.095699999999994</v>
      </c>
      <c r="C9591" t="s">
        <v>43</v>
      </c>
      <c r="D9591" t="s">
        <v>2496</v>
      </c>
      <c r="F9591" s="21"/>
      <c r="G9591" s="16" t="str">
        <f>HYPERLINK("http://maps.google.com/maps?f=q&amp;hl=en&amp;geocode=&amp;q=40.04982,-75.0957")</f>
        <v>http://maps.google.com/maps?f=q&amp;hl=en&amp;geocode=&amp;q=40.04982,-75.0957</v>
      </c>
    </row>
    <row r="9592" spans="1:7" ht="15" x14ac:dyDescent="0.3">
      <c r="A9592">
        <v>39.92454</v>
      </c>
      <c r="B9592">
        <v>-75.174610000000001</v>
      </c>
      <c r="C9592" t="s">
        <v>43</v>
      </c>
      <c r="D9592" t="s">
        <v>5213</v>
      </c>
      <c r="F9592" s="21"/>
      <c r="G9592" s="16" t="str">
        <f>HYPERLINK("http://maps.google.com/maps?f=q&amp;hl=en&amp;geocode=&amp;q=39.92454,-75.17461")</f>
        <v>http://maps.google.com/maps?f=q&amp;hl=en&amp;geocode=&amp;q=39.92454,-75.17461</v>
      </c>
    </row>
    <row r="9593" spans="1:7" ht="15" x14ac:dyDescent="0.3">
      <c r="A9593">
        <v>40.5925179513399</v>
      </c>
      <c r="B9593">
        <v>-73.970653658628706</v>
      </c>
      <c r="C9593" t="s">
        <v>41</v>
      </c>
      <c r="D9593" t="s">
        <v>5518</v>
      </c>
      <c r="F9593" s="21"/>
      <c r="G9593" s="16" t="str">
        <f>HYPERLINK("http://maps.google.com/maps?f=q&amp;hl=en&amp;geocode=&amp;q=40.5925179513399,-73.9706536586287")</f>
        <v>http://maps.google.com/maps?f=q&amp;hl=en&amp;geocode=&amp;q=40.5925179513399,-73.9706536586287</v>
      </c>
    </row>
    <row r="9594" spans="1:7" ht="15" x14ac:dyDescent="0.3">
      <c r="A9594">
        <v>40.042020000000001</v>
      </c>
      <c r="B9594">
        <v>-75.080160000000006</v>
      </c>
      <c r="C9594" t="s">
        <v>41</v>
      </c>
      <c r="D9594" t="s">
        <v>1506</v>
      </c>
      <c r="F9594" s="21"/>
      <c r="G9594" s="16" t="str">
        <f>HYPERLINK("http://maps.google.com/maps?f=q&amp;hl=en&amp;geocode=&amp;q=40.04202,-75.08016")</f>
        <v>http://maps.google.com/maps?f=q&amp;hl=en&amp;geocode=&amp;q=40.04202,-75.08016</v>
      </c>
    </row>
    <row r="9595" spans="1:7" ht="15" x14ac:dyDescent="0.3">
      <c r="A9595">
        <v>40.219416000000002</v>
      </c>
      <c r="B9595">
        <v>-75.369495999999998</v>
      </c>
      <c r="C9595" t="s">
        <v>41</v>
      </c>
      <c r="D9595" t="s">
        <v>923</v>
      </c>
      <c r="F9595" s="21"/>
      <c r="G9595" s="16" t="str">
        <f>HYPERLINK("http://maps.google.com/maps?f=q&amp;hl=en&amp;geocode=&amp;q=40.219416,-75.369496")</f>
        <v>http://maps.google.com/maps?f=q&amp;hl=en&amp;geocode=&amp;q=40.219416,-75.369496</v>
      </c>
    </row>
    <row r="9596" spans="1:7" ht="15" x14ac:dyDescent="0.3">
      <c r="A9596">
        <v>43.569853074228199</v>
      </c>
      <c r="B9596">
        <v>-83.133199407053894</v>
      </c>
      <c r="C9596" t="s">
        <v>41</v>
      </c>
      <c r="D9596" t="s">
        <v>5519</v>
      </c>
      <c r="F9596" s="21"/>
      <c r="G9596" s="16" t="str">
        <f>HYPERLINK("http://maps.google.com/maps?f=q&amp;hl=en&amp;geocode=&amp;q=43.5698530742282,-83.1331994070539")</f>
        <v>http://maps.google.com/maps?f=q&amp;hl=en&amp;geocode=&amp;q=43.5698530742282,-83.1331994070539</v>
      </c>
    </row>
    <row r="9597" spans="1:7" ht="15" x14ac:dyDescent="0.3">
      <c r="A9597">
        <v>42.716317363300597</v>
      </c>
      <c r="B9597">
        <v>-77.648978471410402</v>
      </c>
      <c r="C9597" t="s">
        <v>41</v>
      </c>
      <c r="D9597" t="s">
        <v>5520</v>
      </c>
      <c r="F9597" s="21"/>
      <c r="G9597" s="16" t="str">
        <f>HYPERLINK("http://maps.google.com/maps?f=q&amp;hl=en&amp;geocode=&amp;q=42.7163173633006,-77.6489784714104")</f>
        <v>http://maps.google.com/maps?f=q&amp;hl=en&amp;geocode=&amp;q=42.7163173633006,-77.6489784714104</v>
      </c>
    </row>
    <row r="9598" spans="1:7" ht="15" x14ac:dyDescent="0.3">
      <c r="A9598">
        <v>27.516309738159201</v>
      </c>
      <c r="B9598">
        <v>-82.572959899902301</v>
      </c>
      <c r="C9598" t="s">
        <v>43</v>
      </c>
      <c r="D9598" t="s">
        <v>5521</v>
      </c>
      <c r="F9598" s="21"/>
      <c r="G9598" s="16" t="str">
        <f>HYPERLINK("http://maps.google.com/maps?f=q&amp;hl=en&amp;geocode=&amp;q=27.5163097381592,-82.5729598999023")</f>
        <v>http://maps.google.com/maps?f=q&amp;hl=en&amp;geocode=&amp;q=27.5163097381592,-82.5729598999023</v>
      </c>
    </row>
    <row r="9599" spans="1:7" ht="15" x14ac:dyDescent="0.3">
      <c r="A9599">
        <v>-36.715000000000003</v>
      </c>
      <c r="B9599">
        <v>142.19383999999999</v>
      </c>
      <c r="C9599" t="s">
        <v>43</v>
      </c>
      <c r="D9599" t="s">
        <v>5522</v>
      </c>
      <c r="F9599" s="21"/>
      <c r="G9599" s="16" t="str">
        <f>HYPERLINK("http://maps.google.com/maps?f=q&amp;hl=en&amp;geocode=&amp;q=-36.715,142.19384")</f>
        <v>http://maps.google.com/maps?f=q&amp;hl=en&amp;geocode=&amp;q=-36.715,142.19384</v>
      </c>
    </row>
    <row r="9600" spans="1:7" ht="15" x14ac:dyDescent="0.3">
      <c r="A9600">
        <v>38.798560000000002</v>
      </c>
      <c r="B9600">
        <v>-90.20908</v>
      </c>
      <c r="C9600" t="s">
        <v>43</v>
      </c>
      <c r="D9600" t="s">
        <v>413</v>
      </c>
      <c r="F9600" s="21"/>
      <c r="G9600" s="16" t="str">
        <f>HYPERLINK("http://maps.google.com/maps?f=q&amp;hl=en&amp;geocode=&amp;q=38.79856,-90.20908")</f>
        <v>http://maps.google.com/maps?f=q&amp;hl=en&amp;geocode=&amp;q=38.79856,-90.20908</v>
      </c>
    </row>
    <row r="9601" spans="1:7" ht="15" x14ac:dyDescent="0.3">
      <c r="A9601">
        <v>38.798560000000002</v>
      </c>
      <c r="B9601">
        <v>-90.20908</v>
      </c>
      <c r="C9601" t="s">
        <v>43</v>
      </c>
      <c r="D9601" t="s">
        <v>5523</v>
      </c>
      <c r="F9601" s="21"/>
      <c r="G9601" s="16" t="str">
        <f>HYPERLINK("http://maps.google.com/maps?f=q&amp;hl=en&amp;geocode=&amp;q=38.79856,-90.20908")</f>
        <v>http://maps.google.com/maps?f=q&amp;hl=en&amp;geocode=&amp;q=38.79856,-90.20908</v>
      </c>
    </row>
    <row r="9602" spans="1:7" ht="15" x14ac:dyDescent="0.3">
      <c r="A9602">
        <v>40.612789154052699</v>
      </c>
      <c r="B9602">
        <v>-75.592453002929702</v>
      </c>
      <c r="C9602" t="s">
        <v>41</v>
      </c>
      <c r="D9602" t="s">
        <v>4199</v>
      </c>
      <c r="F9602" s="21"/>
      <c r="G9602" s="16" t="str">
        <f>HYPERLINK("http://maps.google.com/maps?f=q&amp;hl=en&amp;geocode=&amp;q=40.6127891540527,-75.5924530029297")</f>
        <v>http://maps.google.com/maps?f=q&amp;hl=en&amp;geocode=&amp;q=40.6127891540527,-75.5924530029297</v>
      </c>
    </row>
    <row r="9603" spans="1:7" ht="15" x14ac:dyDescent="0.3">
      <c r="A9603">
        <v>40.460018157958999</v>
      </c>
      <c r="B9603">
        <v>-78.591552734375</v>
      </c>
      <c r="C9603" t="s">
        <v>43</v>
      </c>
      <c r="D9603" t="s">
        <v>2983</v>
      </c>
      <c r="F9603" s="21"/>
      <c r="G9603" s="16" t="str">
        <f>HYPERLINK("http://maps.google.com/maps?f=q&amp;hl=en&amp;geocode=&amp;q=40.460018157959,-78.591552734375")</f>
        <v>http://maps.google.com/maps?f=q&amp;hl=en&amp;geocode=&amp;q=40.460018157959,-78.591552734375</v>
      </c>
    </row>
    <row r="9604" spans="1:7" ht="15" x14ac:dyDescent="0.3">
      <c r="A9604">
        <v>40.015439999999998</v>
      </c>
      <c r="B9604">
        <v>-75.07114</v>
      </c>
      <c r="C9604" t="s">
        <v>41</v>
      </c>
      <c r="D9604" t="s">
        <v>4466</v>
      </c>
      <c r="F9604" s="21"/>
      <c r="G9604" s="16" t="str">
        <f>HYPERLINK("http://maps.google.com/maps?f=q&amp;hl=en&amp;geocode=&amp;q=40.01544,-75.07114")</f>
        <v>http://maps.google.com/maps?f=q&amp;hl=en&amp;geocode=&amp;q=40.01544,-75.07114</v>
      </c>
    </row>
    <row r="9605" spans="1:7" ht="15" x14ac:dyDescent="0.3">
      <c r="A9605">
        <v>40.015439999999998</v>
      </c>
      <c r="B9605">
        <v>-75.07114</v>
      </c>
      <c r="C9605" t="s">
        <v>41</v>
      </c>
      <c r="D9605" t="s">
        <v>4466</v>
      </c>
      <c r="F9605" s="21"/>
      <c r="G9605" s="16" t="str">
        <f>HYPERLINK("http://maps.google.com/maps?f=q&amp;hl=en&amp;geocode=&amp;q=40.01544,-75.07114")</f>
        <v>http://maps.google.com/maps?f=q&amp;hl=en&amp;geocode=&amp;q=40.01544,-75.07114</v>
      </c>
    </row>
    <row r="9606" spans="1:7" ht="15" x14ac:dyDescent="0.3">
      <c r="A9606">
        <v>-34.859650000000002</v>
      </c>
      <c r="B9606">
        <v>138.50916000000001</v>
      </c>
      <c r="C9606" t="s">
        <v>41</v>
      </c>
      <c r="D9606" t="s">
        <v>5524</v>
      </c>
      <c r="F9606" s="21"/>
      <c r="G9606" s="16" t="str">
        <f>HYPERLINK("http://maps.google.com/maps?f=q&amp;hl=en&amp;geocode=&amp;q=-34.85965,138.50916")</f>
        <v>http://maps.google.com/maps?f=q&amp;hl=en&amp;geocode=&amp;q=-34.85965,138.50916</v>
      </c>
    </row>
    <row r="9607" spans="1:7" ht="15" x14ac:dyDescent="0.3">
      <c r="A9607">
        <v>32.729986077895703</v>
      </c>
      <c r="B9607">
        <v>-96.801978493028102</v>
      </c>
      <c r="C9607" t="s">
        <v>41</v>
      </c>
      <c r="D9607" t="s">
        <v>5525</v>
      </c>
      <c r="F9607" s="21"/>
      <c r="G9607" s="16" t="str">
        <f>HYPERLINK("http://maps.google.com/maps?f=q&amp;hl=en&amp;geocode=&amp;q=32.7299860778957,-96.8019784930281")</f>
        <v>http://maps.google.com/maps?f=q&amp;hl=en&amp;geocode=&amp;q=32.7299860778957,-96.8019784930281</v>
      </c>
    </row>
    <row r="9608" spans="1:7" ht="15" x14ac:dyDescent="0.3">
      <c r="A9608">
        <v>39.922890000000002</v>
      </c>
      <c r="B9608">
        <v>-75.178190000000001</v>
      </c>
      <c r="C9608" t="s">
        <v>43</v>
      </c>
      <c r="D9608" t="s">
        <v>3954</v>
      </c>
      <c r="F9608" s="21"/>
      <c r="G9608" s="16" t="str">
        <f>HYPERLINK("http://maps.google.com/maps?f=q&amp;hl=en&amp;geocode=&amp;q=39.92289,-75.17819")</f>
        <v>http://maps.google.com/maps?f=q&amp;hl=en&amp;geocode=&amp;q=39.92289,-75.17819</v>
      </c>
    </row>
    <row r="9609" spans="1:7" ht="15" x14ac:dyDescent="0.3">
      <c r="A9609">
        <v>39.920812357753597</v>
      </c>
      <c r="B9609">
        <v>-75.162967841815203</v>
      </c>
      <c r="C9609" t="s">
        <v>41</v>
      </c>
      <c r="D9609" t="s">
        <v>5526</v>
      </c>
      <c r="F9609" s="21"/>
      <c r="G9609" s="16" t="str">
        <f>HYPERLINK("http://maps.google.com/maps?f=q&amp;hl=en&amp;geocode=&amp;q=39.9208123577536,-75.1629678418152")</f>
        <v>http://maps.google.com/maps?f=q&amp;hl=en&amp;geocode=&amp;q=39.9208123577536,-75.1629678418152</v>
      </c>
    </row>
    <row r="9610" spans="1:7" ht="15" x14ac:dyDescent="0.3">
      <c r="A9610">
        <v>49.644432067871101</v>
      </c>
      <c r="B9610">
        <v>6.2278251647949201</v>
      </c>
      <c r="C9610" t="s">
        <v>41</v>
      </c>
      <c r="D9610" t="s">
        <v>5527</v>
      </c>
      <c r="F9610" s="21"/>
      <c r="G9610" s="16" t="str">
        <f>HYPERLINK("http://maps.google.com/maps?f=q&amp;hl=en&amp;geocode=&amp;q=49.6444320678711,6.22782516479492")</f>
        <v>http://maps.google.com/maps?f=q&amp;hl=en&amp;geocode=&amp;q=49.6444320678711,6.22782516479492</v>
      </c>
    </row>
    <row r="9611" spans="1:7" ht="15" x14ac:dyDescent="0.3">
      <c r="A9611">
        <v>40.024738311767599</v>
      </c>
      <c r="B9611">
        <v>-75.213882446289105</v>
      </c>
      <c r="C9611" t="s">
        <v>43</v>
      </c>
      <c r="D9611" t="s">
        <v>2474</v>
      </c>
      <c r="F9611" s="21"/>
      <c r="G9611" s="16" t="str">
        <f>HYPERLINK("http://maps.google.com/maps?f=q&amp;hl=en&amp;geocode=&amp;q=40.0247383117676,-75.2138824462891")</f>
        <v>http://maps.google.com/maps?f=q&amp;hl=en&amp;geocode=&amp;q=40.0247383117676,-75.2138824462891</v>
      </c>
    </row>
    <row r="9612" spans="1:7" ht="15" x14ac:dyDescent="0.3">
      <c r="A9612" t="s">
        <v>44</v>
      </c>
      <c r="B9612" t="s">
        <v>44</v>
      </c>
      <c r="C9612" t="s">
        <v>44</v>
      </c>
      <c r="D9612" t="s">
        <v>101</v>
      </c>
      <c r="F9612" s="21"/>
      <c r="G9612" s="16"/>
    </row>
    <row r="9613" spans="1:7" ht="15" x14ac:dyDescent="0.3">
      <c r="A9613">
        <v>40.112369999999999</v>
      </c>
      <c r="B9613">
        <v>-75.025739999999999</v>
      </c>
      <c r="C9613" t="s">
        <v>41</v>
      </c>
      <c r="D9613" t="s">
        <v>3953</v>
      </c>
      <c r="F9613" s="21"/>
      <c r="G9613" s="16" t="str">
        <f>HYPERLINK("http://maps.google.com/maps?f=q&amp;hl=en&amp;geocode=&amp;q=40.11237,-75.02574")</f>
        <v>http://maps.google.com/maps?f=q&amp;hl=en&amp;geocode=&amp;q=40.11237,-75.02574</v>
      </c>
    </row>
    <row r="9614" spans="1:7" ht="15" x14ac:dyDescent="0.3">
      <c r="A9614" t="s">
        <v>44</v>
      </c>
      <c r="B9614" t="s">
        <v>44</v>
      </c>
      <c r="C9614" t="s">
        <v>44</v>
      </c>
      <c r="D9614" t="s">
        <v>5528</v>
      </c>
      <c r="F9614" s="21"/>
      <c r="G9614" s="16"/>
    </row>
    <row r="9615" spans="1:7" ht="15" x14ac:dyDescent="0.3">
      <c r="A9615">
        <v>49.5454711914063</v>
      </c>
      <c r="B9615">
        <v>5.8392090797424299</v>
      </c>
      <c r="C9615" t="s">
        <v>41</v>
      </c>
      <c r="D9615" t="s">
        <v>5529</v>
      </c>
      <c r="F9615" s="21"/>
      <c r="G9615" s="16" t="str">
        <f>HYPERLINK("http://maps.google.com/maps?f=q&amp;hl=en&amp;geocode=&amp;q=49.5454711914063,5.83920907974243")</f>
        <v>http://maps.google.com/maps?f=q&amp;hl=en&amp;geocode=&amp;q=49.5454711914063,5.83920907974243</v>
      </c>
    </row>
    <row r="9616" spans="1:7" ht="15" x14ac:dyDescent="0.3">
      <c r="A9616">
        <v>29.508836641789699</v>
      </c>
      <c r="B9616">
        <v>-94.974589575022605</v>
      </c>
      <c r="C9616" t="s">
        <v>41</v>
      </c>
      <c r="D9616" t="s">
        <v>5530</v>
      </c>
      <c r="F9616" s="21"/>
      <c r="G9616" s="16" t="str">
        <f>HYPERLINK("http://maps.google.com/maps?f=q&amp;hl=en&amp;geocode=&amp;q=29.5088366417897,-94.9745895750226")</f>
        <v>http://maps.google.com/maps?f=q&amp;hl=en&amp;geocode=&amp;q=29.5088366417897,-94.9745895750226</v>
      </c>
    </row>
    <row r="9617" spans="1:7" ht="15" x14ac:dyDescent="0.3">
      <c r="A9617">
        <v>49.548473358154297</v>
      </c>
      <c r="B9617">
        <v>5.8420939445495597</v>
      </c>
      <c r="C9617" t="s">
        <v>41</v>
      </c>
      <c r="D9617" t="s">
        <v>5531</v>
      </c>
      <c r="F9617" s="21"/>
      <c r="G9617" s="16" t="str">
        <f>HYPERLINK("http://maps.google.com/maps?f=q&amp;hl=en&amp;geocode=&amp;q=49.5484733581543,5.84209394454956")</f>
        <v>http://maps.google.com/maps?f=q&amp;hl=en&amp;geocode=&amp;q=49.5484733581543,5.84209394454956</v>
      </c>
    </row>
    <row r="9618" spans="1:7" ht="15" x14ac:dyDescent="0.3">
      <c r="A9618">
        <v>45.981311798095703</v>
      </c>
      <c r="B9618">
        <v>-61.1373291015625</v>
      </c>
      <c r="C9618" t="s">
        <v>41</v>
      </c>
      <c r="D9618" t="s">
        <v>4033</v>
      </c>
      <c r="F9618" s="21"/>
      <c r="G9618" s="16" t="str">
        <f>HYPERLINK("http://maps.google.com/maps?f=q&amp;hl=en&amp;geocode=&amp;q=45.9813117980957,-61.1373291015625")</f>
        <v>http://maps.google.com/maps?f=q&amp;hl=en&amp;geocode=&amp;q=45.9813117980957,-61.1373291015625</v>
      </c>
    </row>
    <row r="9619" spans="1:7" ht="15" x14ac:dyDescent="0.3">
      <c r="A9619">
        <v>35.495902265550299</v>
      </c>
      <c r="B9619">
        <v>-87.052421157137999</v>
      </c>
      <c r="C9619" t="s">
        <v>41</v>
      </c>
      <c r="D9619" t="s">
        <v>5532</v>
      </c>
      <c r="F9619" s="21"/>
      <c r="G9619" s="16" t="str">
        <f>HYPERLINK("http://maps.google.com/maps?f=q&amp;hl=en&amp;geocode=&amp;q=35.4959022655503,-87.052421157138")</f>
        <v>http://maps.google.com/maps?f=q&amp;hl=en&amp;geocode=&amp;q=35.4959022655503,-87.052421157138</v>
      </c>
    </row>
    <row r="9620" spans="1:7" ht="15" x14ac:dyDescent="0.3">
      <c r="A9620">
        <v>40.035670000000003</v>
      </c>
      <c r="B9620">
        <v>-75.185040000000001</v>
      </c>
      <c r="C9620" t="s">
        <v>41</v>
      </c>
      <c r="D9620" t="s">
        <v>5533</v>
      </c>
      <c r="F9620" s="21"/>
      <c r="G9620" s="16" t="str">
        <f>HYPERLINK("http://maps.google.com/maps?f=q&amp;hl=en&amp;geocode=&amp;q=40.03567,-75.18504")</f>
        <v>http://maps.google.com/maps?f=q&amp;hl=en&amp;geocode=&amp;q=40.03567,-75.18504</v>
      </c>
    </row>
    <row r="9621" spans="1:7" ht="15" x14ac:dyDescent="0.3">
      <c r="A9621">
        <v>-36.718856811523402</v>
      </c>
      <c r="B9621">
        <v>142.19622802734401</v>
      </c>
      <c r="C9621" t="s">
        <v>43</v>
      </c>
      <c r="D9621" t="s">
        <v>86</v>
      </c>
      <c r="F9621" s="21"/>
      <c r="G9621" s="16" t="str">
        <f>HYPERLINK("http://maps.google.com/maps?f=q&amp;hl=en&amp;geocode=&amp;q=-36.7188568115234,142.196228027344")</f>
        <v>http://maps.google.com/maps?f=q&amp;hl=en&amp;geocode=&amp;q=-36.7188568115234,142.196228027344</v>
      </c>
    </row>
    <row r="9622" spans="1:7" ht="15" x14ac:dyDescent="0.3">
      <c r="A9622">
        <v>31.008949999999999</v>
      </c>
      <c r="B9622">
        <v>-86.337400000000002</v>
      </c>
      <c r="C9622" t="s">
        <v>42</v>
      </c>
      <c r="D9622" t="s">
        <v>4609</v>
      </c>
      <c r="F9622" s="21"/>
      <c r="G9622" s="16" t="str">
        <f>HYPERLINK("http://maps.google.com/maps?f=q&amp;hl=en&amp;geocode=&amp;q=31.00895,-86.3374")</f>
        <v>http://maps.google.com/maps?f=q&amp;hl=en&amp;geocode=&amp;q=31.00895,-86.3374</v>
      </c>
    </row>
    <row r="9623" spans="1:7" ht="15" x14ac:dyDescent="0.3">
      <c r="A9623">
        <v>40.036731719970703</v>
      </c>
      <c r="B9623">
        <v>-74.908149719238295</v>
      </c>
      <c r="C9623" t="s">
        <v>43</v>
      </c>
      <c r="D9623" t="s">
        <v>3663</v>
      </c>
      <c r="F9623" s="21"/>
      <c r="G9623" s="16" t="str">
        <f>HYPERLINK("http://maps.google.com/maps?f=q&amp;hl=en&amp;geocode=&amp;q=40.0367317199707,-74.9081497192383")</f>
        <v>http://maps.google.com/maps?f=q&amp;hl=en&amp;geocode=&amp;q=40.0367317199707,-74.9081497192383</v>
      </c>
    </row>
    <row r="9624" spans="1:7" ht="15" x14ac:dyDescent="0.3">
      <c r="A9624">
        <v>37.2045789210203</v>
      </c>
      <c r="B9624">
        <v>-77.879747788389395</v>
      </c>
      <c r="C9624" t="s">
        <v>41</v>
      </c>
      <c r="D9624" t="s">
        <v>5534</v>
      </c>
      <c r="F9624" s="21"/>
      <c r="G9624" s="16" t="str">
        <f>HYPERLINK("http://maps.google.com/maps?f=q&amp;hl=en&amp;geocode=&amp;q=37.2045789210203,-77.8797477883894")</f>
        <v>http://maps.google.com/maps?f=q&amp;hl=en&amp;geocode=&amp;q=37.2045789210203,-77.8797477883894</v>
      </c>
    </row>
    <row r="9625" spans="1:7" ht="15" x14ac:dyDescent="0.3">
      <c r="A9625" t="s">
        <v>44</v>
      </c>
      <c r="B9625" t="s">
        <v>44</v>
      </c>
      <c r="C9625" t="s">
        <v>44</v>
      </c>
      <c r="D9625" t="s">
        <v>5535</v>
      </c>
      <c r="F9625" s="21"/>
      <c r="G9625" s="16"/>
    </row>
    <row r="9626" spans="1:7" ht="15" x14ac:dyDescent="0.3">
      <c r="A9626">
        <v>33.494851943456197</v>
      </c>
      <c r="B9626">
        <v>-112.027129199732</v>
      </c>
      <c r="C9626" t="s">
        <v>42</v>
      </c>
      <c r="D9626" t="s">
        <v>5536</v>
      </c>
      <c r="F9626" s="21"/>
      <c r="G9626" s="16" t="str">
        <f>HYPERLINK("http://maps.google.com/maps?f=q&amp;hl=en&amp;geocode=&amp;q=33.4948519434562,-112.027129199732")</f>
        <v>http://maps.google.com/maps?f=q&amp;hl=en&amp;geocode=&amp;q=33.4948519434562,-112.027129199732</v>
      </c>
    </row>
    <row r="9627" spans="1:7" ht="15" x14ac:dyDescent="0.3">
      <c r="A9627">
        <v>41.851364770717801</v>
      </c>
      <c r="B9627">
        <v>-73.178837708781998</v>
      </c>
      <c r="C9627" t="s">
        <v>42</v>
      </c>
      <c r="D9627" t="s">
        <v>1750</v>
      </c>
      <c r="F9627" s="21"/>
      <c r="G9627" s="16" t="str">
        <f>HYPERLINK("http://maps.google.com/maps?f=q&amp;hl=en&amp;geocode=&amp;q=41.8513647707178,-73.178837708782")</f>
        <v>http://maps.google.com/maps?f=q&amp;hl=en&amp;geocode=&amp;q=41.8513647707178,-73.178837708782</v>
      </c>
    </row>
    <row r="9628" spans="1:7" ht="15" x14ac:dyDescent="0.3">
      <c r="A9628">
        <v>33.495190000000001</v>
      </c>
      <c r="B9628">
        <v>-112.02654</v>
      </c>
      <c r="C9628" t="s">
        <v>42</v>
      </c>
      <c r="D9628" t="s">
        <v>5537</v>
      </c>
      <c r="F9628" s="21"/>
      <c r="G9628" s="16" t="str">
        <f>HYPERLINK("http://maps.google.com/maps?f=q&amp;hl=en&amp;geocode=&amp;q=33.49519,-112.02654")</f>
        <v>http://maps.google.com/maps?f=q&amp;hl=en&amp;geocode=&amp;q=33.49519,-112.02654</v>
      </c>
    </row>
    <row r="9629" spans="1:7" ht="15" x14ac:dyDescent="0.3">
      <c r="A9629">
        <v>48.802200317382798</v>
      </c>
      <c r="B9629">
        <v>0.104719996452332</v>
      </c>
      <c r="C9629" t="s">
        <v>43</v>
      </c>
      <c r="D9629" t="s">
        <v>103</v>
      </c>
      <c r="F9629" s="21"/>
      <c r="G9629" s="16" t="str">
        <f>HYPERLINK("http://maps.google.com/maps?f=q&amp;hl=en&amp;geocode=&amp;q=48.8022003173828,0.104719996452332")</f>
        <v>http://maps.google.com/maps?f=q&amp;hl=en&amp;geocode=&amp;q=48.8022003173828,0.104719996452332</v>
      </c>
    </row>
    <row r="9630" spans="1:7" ht="15" x14ac:dyDescent="0.3">
      <c r="A9630">
        <v>32.9852581192145</v>
      </c>
      <c r="B9630">
        <v>-96.801636084177403</v>
      </c>
      <c r="C9630" t="s">
        <v>41</v>
      </c>
      <c r="D9630" t="s">
        <v>4154</v>
      </c>
      <c r="F9630" s="21"/>
      <c r="G9630" s="16" t="str">
        <f>HYPERLINK("http://maps.google.com/maps?f=q&amp;hl=en&amp;geocode=&amp;q=32.9852581192145,-96.8016360841774")</f>
        <v>http://maps.google.com/maps?f=q&amp;hl=en&amp;geocode=&amp;q=32.9852581192145,-96.8016360841774</v>
      </c>
    </row>
    <row r="9631" spans="1:7" ht="15" x14ac:dyDescent="0.3">
      <c r="A9631">
        <v>59.922351837158203</v>
      </c>
      <c r="B9631">
        <v>11.178321838378899</v>
      </c>
      <c r="C9631" t="s">
        <v>43</v>
      </c>
      <c r="D9631" t="s">
        <v>5538</v>
      </c>
      <c r="F9631" s="21"/>
      <c r="G9631" s="16" t="str">
        <f>HYPERLINK("http://maps.google.com/maps?f=q&amp;hl=en&amp;geocode=&amp;q=59.9223518371582,11.1783218383789")</f>
        <v>http://maps.google.com/maps?f=q&amp;hl=en&amp;geocode=&amp;q=59.9223518371582,11.1783218383789</v>
      </c>
    </row>
    <row r="9632" spans="1:7" ht="15" x14ac:dyDescent="0.3">
      <c r="A9632">
        <v>10.2387075424194</v>
      </c>
      <c r="B9632">
        <v>-66.853752136230497</v>
      </c>
      <c r="C9632" t="s">
        <v>41</v>
      </c>
      <c r="D9632" t="s">
        <v>5539</v>
      </c>
      <c r="F9632" s="21"/>
      <c r="G9632" s="16" t="str">
        <f>HYPERLINK("http://maps.google.com/maps?f=q&amp;hl=en&amp;geocode=&amp;q=10.2387075424194,-66.8537521362305")</f>
        <v>http://maps.google.com/maps?f=q&amp;hl=en&amp;geocode=&amp;q=10.2387075424194,-66.8537521362305</v>
      </c>
    </row>
    <row r="9633" spans="1:7" ht="15" x14ac:dyDescent="0.3">
      <c r="A9633" t="s">
        <v>44</v>
      </c>
      <c r="B9633" t="s">
        <v>44</v>
      </c>
      <c r="C9633" t="s">
        <v>44</v>
      </c>
      <c r="D9633" t="s">
        <v>5540</v>
      </c>
      <c r="F9633" s="21"/>
      <c r="G9633" s="16"/>
    </row>
    <row r="9634" spans="1:7" ht="15" x14ac:dyDescent="0.3">
      <c r="A9634">
        <v>-26.034427642822301</v>
      </c>
      <c r="B9634">
        <v>28.5431098937988</v>
      </c>
      <c r="C9634" t="s">
        <v>43</v>
      </c>
      <c r="D9634" t="s">
        <v>5541</v>
      </c>
      <c r="F9634" s="21"/>
      <c r="G9634" s="16" t="str">
        <f>HYPERLINK("http://maps.google.com/maps?f=q&amp;hl=en&amp;geocode=&amp;q=-26.0344276428223,28.5431098937988")</f>
        <v>http://maps.google.com/maps?f=q&amp;hl=en&amp;geocode=&amp;q=-26.0344276428223,28.5431098937988</v>
      </c>
    </row>
    <row r="9635" spans="1:7" ht="15" x14ac:dyDescent="0.3">
      <c r="A9635">
        <v>41.5165405273438</v>
      </c>
      <c r="B9635">
        <v>-74.816719055175795</v>
      </c>
      <c r="C9635" t="s">
        <v>41</v>
      </c>
      <c r="D9635" t="s">
        <v>5542</v>
      </c>
      <c r="F9635" s="21"/>
      <c r="G9635" s="16" t="str">
        <f>HYPERLINK("http://maps.google.com/maps?f=q&amp;hl=en&amp;geocode=&amp;q=41.5165405273438,-74.8167190551758")</f>
        <v>http://maps.google.com/maps?f=q&amp;hl=en&amp;geocode=&amp;q=41.5165405273438,-74.8167190551758</v>
      </c>
    </row>
    <row r="9636" spans="1:7" ht="15" x14ac:dyDescent="0.3">
      <c r="A9636">
        <v>39.975490000000001</v>
      </c>
      <c r="B9636">
        <v>-75.264080000000007</v>
      </c>
      <c r="C9636" t="s">
        <v>41</v>
      </c>
      <c r="D9636" t="s">
        <v>212</v>
      </c>
      <c r="F9636" s="21"/>
      <c r="G9636" s="16" t="str">
        <f>HYPERLINK("http://maps.google.com/maps?f=q&amp;hl=en&amp;geocode=&amp;q=39.97549,-75.26408")</f>
        <v>http://maps.google.com/maps?f=q&amp;hl=en&amp;geocode=&amp;q=39.97549,-75.26408</v>
      </c>
    </row>
    <row r="9637" spans="1:7" ht="15" x14ac:dyDescent="0.3">
      <c r="A9637" t="s">
        <v>44</v>
      </c>
      <c r="B9637" t="s">
        <v>44</v>
      </c>
      <c r="C9637" t="s">
        <v>44</v>
      </c>
      <c r="D9637" t="s">
        <v>5543</v>
      </c>
      <c r="F9637" s="21"/>
      <c r="G9637" s="16"/>
    </row>
    <row r="9638" spans="1:7" ht="15" x14ac:dyDescent="0.3">
      <c r="A9638">
        <v>43.938812255859403</v>
      </c>
      <c r="B9638">
        <v>-120.558586120605</v>
      </c>
      <c r="C9638" t="s">
        <v>41</v>
      </c>
      <c r="D9638" t="s">
        <v>5544</v>
      </c>
      <c r="F9638" s="21"/>
      <c r="G9638" s="16" t="str">
        <f>HYPERLINK("http://maps.google.com/maps?f=q&amp;hl=en&amp;geocode=&amp;q=43.9388122558594,-120.558586120605")</f>
        <v>http://maps.google.com/maps?f=q&amp;hl=en&amp;geocode=&amp;q=43.9388122558594,-120.558586120605</v>
      </c>
    </row>
    <row r="9639" spans="1:7" ht="15" x14ac:dyDescent="0.3">
      <c r="A9639" t="s">
        <v>44</v>
      </c>
      <c r="B9639" t="s">
        <v>44</v>
      </c>
      <c r="C9639" t="s">
        <v>44</v>
      </c>
      <c r="D9639" t="s">
        <v>1004</v>
      </c>
      <c r="F9639" s="21"/>
      <c r="G9639" s="16"/>
    </row>
    <row r="9640" spans="1:7" ht="15" x14ac:dyDescent="0.3">
      <c r="A9640" t="s">
        <v>44</v>
      </c>
      <c r="B9640" t="s">
        <v>44</v>
      </c>
      <c r="C9640" t="s">
        <v>44</v>
      </c>
      <c r="D9640" t="s">
        <v>120</v>
      </c>
      <c r="F9640" s="21"/>
      <c r="G9640" s="16"/>
    </row>
    <row r="9641" spans="1:7" ht="15" x14ac:dyDescent="0.3">
      <c r="A9641">
        <v>40.037979125976598</v>
      </c>
      <c r="B9641">
        <v>-75.223060607910199</v>
      </c>
      <c r="C9641" t="s">
        <v>41</v>
      </c>
      <c r="D9641" t="s">
        <v>590</v>
      </c>
      <c r="F9641" s="21"/>
      <c r="G9641" s="16" t="str">
        <f>HYPERLINK("http://maps.google.com/maps?f=q&amp;hl=en&amp;geocode=&amp;q=40.0379791259766,-75.2230606079102")</f>
        <v>http://maps.google.com/maps?f=q&amp;hl=en&amp;geocode=&amp;q=40.0379791259766,-75.2230606079102</v>
      </c>
    </row>
    <row r="9642" spans="1:7" ht="15" x14ac:dyDescent="0.3">
      <c r="A9642">
        <v>40.037979125976598</v>
      </c>
      <c r="B9642">
        <v>-75.223060607910199</v>
      </c>
      <c r="C9642" t="s">
        <v>41</v>
      </c>
      <c r="D9642" t="s">
        <v>590</v>
      </c>
      <c r="F9642" s="21"/>
      <c r="G9642" s="16" t="str">
        <f>HYPERLINK("http://maps.google.com/maps?f=q&amp;hl=en&amp;geocode=&amp;q=40.0379791259766,-75.2230606079102")</f>
        <v>http://maps.google.com/maps?f=q&amp;hl=en&amp;geocode=&amp;q=40.0379791259766,-75.2230606079102</v>
      </c>
    </row>
    <row r="9643" spans="1:7" ht="15" x14ac:dyDescent="0.3">
      <c r="A9643" t="s">
        <v>44</v>
      </c>
      <c r="B9643" t="s">
        <v>44</v>
      </c>
      <c r="C9643" t="s">
        <v>44</v>
      </c>
      <c r="D9643" t="s">
        <v>661</v>
      </c>
      <c r="F9643" s="21"/>
      <c r="G9643" s="16"/>
    </row>
    <row r="9644" spans="1:7" ht="15" x14ac:dyDescent="0.3">
      <c r="A9644">
        <v>44.097568511962898</v>
      </c>
      <c r="B9644">
        <v>-69.129096984863295</v>
      </c>
      <c r="C9644" t="s">
        <v>41</v>
      </c>
      <c r="D9644" t="s">
        <v>5545</v>
      </c>
      <c r="F9644" s="21"/>
      <c r="G9644" s="16" t="str">
        <f>HYPERLINK("http://maps.google.com/maps?f=q&amp;hl=en&amp;geocode=&amp;q=44.0975685119629,-69.1290969848633")</f>
        <v>http://maps.google.com/maps?f=q&amp;hl=en&amp;geocode=&amp;q=44.0975685119629,-69.1290969848633</v>
      </c>
    </row>
    <row r="9645" spans="1:7" ht="15" x14ac:dyDescent="0.3">
      <c r="A9645">
        <v>40.039963098159802</v>
      </c>
      <c r="B9645">
        <v>-75.076729436956697</v>
      </c>
      <c r="C9645" t="s">
        <v>41</v>
      </c>
      <c r="D9645" t="s">
        <v>5546</v>
      </c>
      <c r="F9645" s="21"/>
      <c r="G9645" s="16" t="str">
        <f>HYPERLINK("http://maps.google.com/maps?f=q&amp;hl=en&amp;geocode=&amp;q=40.0399630981598,-75.0767294369567")</f>
        <v>http://maps.google.com/maps?f=q&amp;hl=en&amp;geocode=&amp;q=40.0399630981598,-75.0767294369567</v>
      </c>
    </row>
    <row r="9646" spans="1:7" ht="15" x14ac:dyDescent="0.3">
      <c r="A9646" t="s">
        <v>44</v>
      </c>
      <c r="B9646" t="s">
        <v>44</v>
      </c>
      <c r="C9646" t="s">
        <v>44</v>
      </c>
      <c r="D9646" t="s">
        <v>1004</v>
      </c>
      <c r="F9646" s="21"/>
      <c r="G9646" s="16"/>
    </row>
    <row r="9647" spans="1:7" ht="15" x14ac:dyDescent="0.3">
      <c r="A9647">
        <v>39.937958825259898</v>
      </c>
      <c r="B9647">
        <v>-75.227761483261006</v>
      </c>
      <c r="C9647" t="s">
        <v>41</v>
      </c>
      <c r="D9647" t="s">
        <v>5547</v>
      </c>
      <c r="F9647" s="21"/>
      <c r="G9647" s="16" t="str">
        <f>HYPERLINK("http://maps.google.com/maps?f=q&amp;hl=en&amp;geocode=&amp;q=39.9379588252599,-75.227761483261")</f>
        <v>http://maps.google.com/maps?f=q&amp;hl=en&amp;geocode=&amp;q=39.9379588252599,-75.227761483261</v>
      </c>
    </row>
    <row r="9648" spans="1:7" ht="15" x14ac:dyDescent="0.3">
      <c r="A9648">
        <v>39.966819999999998</v>
      </c>
      <c r="B9648">
        <v>-75.241770000000002</v>
      </c>
      <c r="C9648" t="s">
        <v>43</v>
      </c>
      <c r="D9648" t="s">
        <v>2985</v>
      </c>
      <c r="F9648" s="21"/>
      <c r="G9648" s="16" t="str">
        <f>HYPERLINK("http://maps.google.com/maps?f=q&amp;hl=en&amp;geocode=&amp;q=39.96682,-75.24177")</f>
        <v>http://maps.google.com/maps?f=q&amp;hl=en&amp;geocode=&amp;q=39.96682,-75.24177</v>
      </c>
    </row>
    <row r="9649" spans="1:7" ht="15" x14ac:dyDescent="0.3">
      <c r="A9649">
        <v>41.733336870963697</v>
      </c>
      <c r="B9649">
        <v>-87.673769826052904</v>
      </c>
      <c r="C9649" t="s">
        <v>41</v>
      </c>
      <c r="D9649" t="s">
        <v>5548</v>
      </c>
      <c r="F9649" s="21"/>
      <c r="G9649" s="16" t="str">
        <f>HYPERLINK("http://maps.google.com/maps?f=q&amp;hl=en&amp;geocode=&amp;q=41.7333368709637,-87.6737698260529")</f>
        <v>http://maps.google.com/maps?f=q&amp;hl=en&amp;geocode=&amp;q=41.7333368709637,-87.6737698260529</v>
      </c>
    </row>
    <row r="9650" spans="1:7" ht="15" x14ac:dyDescent="0.3">
      <c r="A9650">
        <v>43.641646454311498</v>
      </c>
      <c r="B9650">
        <v>-73.848759884642504</v>
      </c>
      <c r="C9650" t="s">
        <v>41</v>
      </c>
      <c r="D9650" t="s">
        <v>5406</v>
      </c>
      <c r="F9650" s="21"/>
      <c r="G9650" s="16" t="str">
        <f>HYPERLINK("http://maps.google.com/maps?f=q&amp;hl=en&amp;geocode=&amp;q=43.6416464543115,-73.8487598846425")</f>
        <v>http://maps.google.com/maps?f=q&amp;hl=en&amp;geocode=&amp;q=43.6416464543115,-73.8487598846425</v>
      </c>
    </row>
    <row r="9651" spans="1:7" ht="15" x14ac:dyDescent="0.3">
      <c r="A9651" t="s">
        <v>44</v>
      </c>
      <c r="B9651" t="s">
        <v>44</v>
      </c>
      <c r="C9651" t="s">
        <v>44</v>
      </c>
      <c r="D9651" t="s">
        <v>5549</v>
      </c>
      <c r="F9651" s="21"/>
      <c r="G9651" s="16"/>
    </row>
    <row r="9652" spans="1:7" ht="15" x14ac:dyDescent="0.3">
      <c r="A9652">
        <v>-39.450328826904297</v>
      </c>
      <c r="B9652">
        <v>173.85821533203099</v>
      </c>
      <c r="C9652" t="s">
        <v>43</v>
      </c>
      <c r="D9652" t="s">
        <v>5550</v>
      </c>
      <c r="F9652" s="21"/>
      <c r="G9652" s="16" t="str">
        <f>HYPERLINK("http://maps.google.com/maps?f=q&amp;hl=en&amp;geocode=&amp;q=-39.4503288269043,173.858215332031")</f>
        <v>http://maps.google.com/maps?f=q&amp;hl=en&amp;geocode=&amp;q=-39.4503288269043,173.858215332031</v>
      </c>
    </row>
    <row r="9653" spans="1:7" ht="15" x14ac:dyDescent="0.3">
      <c r="A9653">
        <v>49.519580841064503</v>
      </c>
      <c r="B9653">
        <v>5.8869681358337402</v>
      </c>
      <c r="C9653" t="s">
        <v>41</v>
      </c>
      <c r="D9653" t="s">
        <v>5551</v>
      </c>
      <c r="F9653" s="21"/>
      <c r="G9653" s="16" t="str">
        <f>HYPERLINK("http://maps.google.com/maps?f=q&amp;hl=en&amp;geocode=&amp;q=49.5195808410645,5.88696813583374")</f>
        <v>http://maps.google.com/maps?f=q&amp;hl=en&amp;geocode=&amp;q=49.5195808410645,5.88696813583374</v>
      </c>
    </row>
    <row r="9654" spans="1:7" ht="15" x14ac:dyDescent="0.3">
      <c r="A9654">
        <v>40.020060000000001</v>
      </c>
      <c r="B9654">
        <v>-75.117230000000006</v>
      </c>
      <c r="C9654" t="s">
        <v>41</v>
      </c>
      <c r="D9654" t="s">
        <v>5552</v>
      </c>
      <c r="F9654" s="21"/>
      <c r="G9654" s="16" t="str">
        <f>HYPERLINK("http://maps.google.com/maps?f=q&amp;hl=en&amp;geocode=&amp;q=40.02006,-75.11723")</f>
        <v>http://maps.google.com/maps?f=q&amp;hl=en&amp;geocode=&amp;q=40.02006,-75.11723</v>
      </c>
    </row>
    <row r="9655" spans="1:7" ht="15" x14ac:dyDescent="0.3">
      <c r="A9655">
        <v>40.020330000000001</v>
      </c>
      <c r="B9655">
        <v>-75.117220000000003</v>
      </c>
      <c r="C9655" t="s">
        <v>41</v>
      </c>
      <c r="D9655" t="s">
        <v>5553</v>
      </c>
      <c r="F9655" s="21"/>
      <c r="G9655" s="16" t="str">
        <f>HYPERLINK("http://maps.google.com/maps?f=q&amp;hl=en&amp;geocode=&amp;q=40.02033,-75.11722")</f>
        <v>http://maps.google.com/maps?f=q&amp;hl=en&amp;geocode=&amp;q=40.02033,-75.11722</v>
      </c>
    </row>
    <row r="9656" spans="1:7" ht="15" x14ac:dyDescent="0.3">
      <c r="A9656">
        <v>55.444797515869098</v>
      </c>
      <c r="B9656">
        <v>12.1309967041016</v>
      </c>
      <c r="C9656" t="s">
        <v>41</v>
      </c>
      <c r="D9656" t="s">
        <v>5554</v>
      </c>
      <c r="F9656" s="21"/>
      <c r="G9656" s="16" t="str">
        <f>HYPERLINK("http://maps.google.com/maps?f=q&amp;hl=en&amp;geocode=&amp;q=55.4447975158691,12.1309967041016")</f>
        <v>http://maps.google.com/maps?f=q&amp;hl=en&amp;geocode=&amp;q=55.4447975158691,12.1309967041016</v>
      </c>
    </row>
    <row r="9657" spans="1:7" ht="15" x14ac:dyDescent="0.3">
      <c r="A9657">
        <v>40.019219999999997</v>
      </c>
      <c r="B9657">
        <v>-75.11806</v>
      </c>
      <c r="C9657" t="s">
        <v>41</v>
      </c>
      <c r="D9657" t="s">
        <v>5555</v>
      </c>
      <c r="F9657" s="21"/>
      <c r="G9657" s="16" t="str">
        <f>HYPERLINK("http://maps.google.com/maps?f=q&amp;hl=en&amp;geocode=&amp;q=40.01922,-75.11806")</f>
        <v>http://maps.google.com/maps?f=q&amp;hl=en&amp;geocode=&amp;q=40.01922,-75.11806</v>
      </c>
    </row>
    <row r="9658" spans="1:7" ht="15" x14ac:dyDescent="0.3">
      <c r="A9658">
        <v>58.119033813476598</v>
      </c>
      <c r="B9658">
        <v>8.1238994598388707</v>
      </c>
      <c r="C9658" t="s">
        <v>43</v>
      </c>
      <c r="D9658" t="s">
        <v>5556</v>
      </c>
      <c r="F9658" s="21"/>
      <c r="G9658" s="16" t="str">
        <f>HYPERLINK("http://maps.google.com/maps?f=q&amp;hl=en&amp;geocode=&amp;q=58.1190338134766,8.12389945983887")</f>
        <v>http://maps.google.com/maps?f=q&amp;hl=en&amp;geocode=&amp;q=58.1190338134766,8.12389945983887</v>
      </c>
    </row>
    <row r="9659" spans="1:7" ht="15" x14ac:dyDescent="0.3">
      <c r="A9659">
        <v>58.144416809082003</v>
      </c>
      <c r="B9659">
        <v>8.0561351776122994</v>
      </c>
      <c r="C9659" t="s">
        <v>41</v>
      </c>
      <c r="D9659" t="s">
        <v>5557</v>
      </c>
      <c r="F9659" s="21"/>
      <c r="G9659" s="16" t="str">
        <f>HYPERLINK("http://maps.google.com/maps?f=q&amp;hl=en&amp;geocode=&amp;q=58.144416809082,8.0561351776123")</f>
        <v>http://maps.google.com/maps?f=q&amp;hl=en&amp;geocode=&amp;q=58.144416809082,8.0561351776123</v>
      </c>
    </row>
    <row r="9660" spans="1:7" ht="15" x14ac:dyDescent="0.3">
      <c r="A9660">
        <v>49.523796081542997</v>
      </c>
      <c r="B9660">
        <v>5.8895001411437997</v>
      </c>
      <c r="C9660" t="s">
        <v>41</v>
      </c>
      <c r="D9660" t="s">
        <v>5558</v>
      </c>
      <c r="F9660" s="21"/>
      <c r="G9660" s="16" t="str">
        <f>HYPERLINK("http://maps.google.com/maps?f=q&amp;hl=en&amp;geocode=&amp;q=49.523796081543,5.8895001411438")</f>
        <v>http://maps.google.com/maps?f=q&amp;hl=en&amp;geocode=&amp;q=49.523796081543,5.8895001411438</v>
      </c>
    </row>
    <row r="9661" spans="1:7" ht="15" x14ac:dyDescent="0.3">
      <c r="A9661">
        <v>49.510120391845703</v>
      </c>
      <c r="B9661">
        <v>5.8887968063354501</v>
      </c>
      <c r="C9661" t="s">
        <v>41</v>
      </c>
      <c r="D9661" t="s">
        <v>5559</v>
      </c>
      <c r="F9661" s="21"/>
      <c r="G9661" s="16" t="str">
        <f>HYPERLINK("http://maps.google.com/maps?f=q&amp;hl=en&amp;geocode=&amp;q=49.5101203918457,5.88879680633545")</f>
        <v>http://maps.google.com/maps?f=q&amp;hl=en&amp;geocode=&amp;q=49.5101203918457,5.88879680633545</v>
      </c>
    </row>
    <row r="9662" spans="1:7" ht="15" x14ac:dyDescent="0.3">
      <c r="A9662">
        <v>40.0249298037918</v>
      </c>
      <c r="B9662">
        <v>-75.115633288093505</v>
      </c>
      <c r="C9662" t="s">
        <v>43</v>
      </c>
      <c r="D9662" t="s">
        <v>3301</v>
      </c>
      <c r="F9662" s="21"/>
      <c r="G9662" s="16" t="str">
        <f>HYPERLINK("http://maps.google.com/maps?f=q&amp;hl=en&amp;geocode=&amp;q=40.0249298037918,-75.1156332880935")</f>
        <v>http://maps.google.com/maps?f=q&amp;hl=en&amp;geocode=&amp;q=40.0249298037918,-75.1156332880935</v>
      </c>
    </row>
    <row r="9663" spans="1:7" ht="15" x14ac:dyDescent="0.3">
      <c r="A9663">
        <v>33.17886</v>
      </c>
      <c r="B9663">
        <v>-81.37133</v>
      </c>
      <c r="C9663" t="s">
        <v>42</v>
      </c>
      <c r="D9663" t="s">
        <v>5560</v>
      </c>
      <c r="F9663" s="21"/>
      <c r="G9663" s="16" t="str">
        <f>HYPERLINK("http://maps.google.com/maps?f=q&amp;hl=en&amp;geocode=&amp;q=33.17886,-81.37133")</f>
        <v>http://maps.google.com/maps?f=q&amp;hl=en&amp;geocode=&amp;q=33.17886,-81.37133</v>
      </c>
    </row>
    <row r="9664" spans="1:7" ht="15" x14ac:dyDescent="0.3">
      <c r="A9664">
        <v>40.035719999999998</v>
      </c>
      <c r="B9664">
        <v>-75.070629999999994</v>
      </c>
      <c r="C9664" t="s">
        <v>41</v>
      </c>
      <c r="D9664" t="s">
        <v>760</v>
      </c>
      <c r="F9664" s="21"/>
      <c r="G9664" s="16" t="str">
        <f>HYPERLINK("http://maps.google.com/maps?f=q&amp;hl=en&amp;geocode=&amp;q=40.03572,-75.07063")</f>
        <v>http://maps.google.com/maps?f=q&amp;hl=en&amp;geocode=&amp;q=40.03572,-75.07063</v>
      </c>
    </row>
    <row r="9665" spans="1:7" ht="15" x14ac:dyDescent="0.3">
      <c r="A9665">
        <v>39.921610000000001</v>
      </c>
      <c r="B9665">
        <v>-75.161230000000003</v>
      </c>
      <c r="C9665" t="s">
        <v>41</v>
      </c>
      <c r="D9665" t="s">
        <v>5561</v>
      </c>
      <c r="F9665" s="21"/>
      <c r="G9665" s="16" t="str">
        <f>HYPERLINK("http://maps.google.com/maps?f=q&amp;hl=en&amp;geocode=&amp;q=39.92161,-75.16123")</f>
        <v>http://maps.google.com/maps?f=q&amp;hl=en&amp;geocode=&amp;q=39.92161,-75.16123</v>
      </c>
    </row>
    <row r="9666" spans="1:7" ht="15" x14ac:dyDescent="0.3">
      <c r="A9666">
        <v>38.795160000000003</v>
      </c>
      <c r="B9666">
        <v>-90.480429999999998</v>
      </c>
      <c r="C9666" t="s">
        <v>42</v>
      </c>
      <c r="D9666" t="s">
        <v>5562</v>
      </c>
      <c r="F9666" s="21"/>
      <c r="G9666" s="16" t="str">
        <f>HYPERLINK("http://maps.google.com/maps?f=q&amp;hl=en&amp;geocode=&amp;q=38.79516,-90.48043")</f>
        <v>http://maps.google.com/maps?f=q&amp;hl=en&amp;geocode=&amp;q=38.79516,-90.48043</v>
      </c>
    </row>
    <row r="9667" spans="1:7" ht="15" x14ac:dyDescent="0.3">
      <c r="A9667">
        <v>36.410994102443098</v>
      </c>
      <c r="B9667">
        <v>-102.540449969036</v>
      </c>
      <c r="C9667" t="s">
        <v>41</v>
      </c>
      <c r="D9667" t="s">
        <v>2179</v>
      </c>
      <c r="F9667" s="21"/>
      <c r="G9667" s="16" t="str">
        <f>HYPERLINK("http://maps.google.com/maps?f=q&amp;hl=en&amp;geocode=&amp;q=36.4109941024431,-102.540449969036")</f>
        <v>http://maps.google.com/maps?f=q&amp;hl=en&amp;geocode=&amp;q=36.4109941024431,-102.540449969036</v>
      </c>
    </row>
    <row r="9668" spans="1:7" ht="15" x14ac:dyDescent="0.3">
      <c r="A9668">
        <v>42.1092478555084</v>
      </c>
      <c r="B9668">
        <v>-92.993059659750699</v>
      </c>
      <c r="C9668" t="s">
        <v>41</v>
      </c>
      <c r="D9668" t="s">
        <v>3110</v>
      </c>
      <c r="F9668" s="21"/>
      <c r="G9668" s="16" t="str">
        <f>HYPERLINK("http://maps.google.com/maps?f=q&amp;hl=en&amp;geocode=&amp;q=42.1092478555084,-92.9930596597507")</f>
        <v>http://maps.google.com/maps?f=q&amp;hl=en&amp;geocode=&amp;q=42.1092478555084,-92.9930596597507</v>
      </c>
    </row>
    <row r="9669" spans="1:7" ht="15" x14ac:dyDescent="0.3">
      <c r="F9669" s="21"/>
      <c r="G9669" s="16"/>
    </row>
    <row r="9670" spans="1:7" ht="15" x14ac:dyDescent="0.3">
      <c r="A9670">
        <v>39.112609999999997</v>
      </c>
      <c r="B9670">
        <v>-111.70471000000001</v>
      </c>
      <c r="C9670" t="s">
        <v>43</v>
      </c>
      <c r="D9670" t="s">
        <v>3102</v>
      </c>
      <c r="F9670" s="21"/>
      <c r="G9670" s="16" t="str">
        <f>HYPERLINK("http://maps.google.com/maps?f=q&amp;hl=en&amp;geocode=&amp;q=39.11261,-111.70471")</f>
        <v>http://maps.google.com/maps?f=q&amp;hl=en&amp;geocode=&amp;q=39.11261,-111.70471</v>
      </c>
    </row>
    <row r="9671" spans="1:7" ht="15" x14ac:dyDescent="0.3">
      <c r="A9671">
        <v>47.155059814453097</v>
      </c>
      <c r="B9671">
        <v>8.5326128005981392</v>
      </c>
      <c r="C9671" t="s">
        <v>43</v>
      </c>
      <c r="D9671" t="s">
        <v>5563</v>
      </c>
      <c r="F9671" s="21"/>
      <c r="G9671" s="16" t="str">
        <f>HYPERLINK("http://maps.google.com/maps?f=q&amp;hl=en&amp;geocode=&amp;q=47.1550598144531,8.53261280059814")</f>
        <v>http://maps.google.com/maps?f=q&amp;hl=en&amp;geocode=&amp;q=47.1550598144531,8.53261280059814</v>
      </c>
    </row>
    <row r="9672" spans="1:7" ht="15" x14ac:dyDescent="0.3">
      <c r="A9672">
        <v>45.169980000000002</v>
      </c>
      <c r="B9672">
        <v>-92.973699999999994</v>
      </c>
      <c r="C9672" t="s">
        <v>42</v>
      </c>
      <c r="D9672" t="s">
        <v>5564</v>
      </c>
      <c r="F9672" s="21"/>
      <c r="G9672" s="16" t="str">
        <f>HYPERLINK("http://maps.google.com/maps?f=q&amp;hl=en&amp;geocode=&amp;q=45.16998,-92.9737")</f>
        <v>http://maps.google.com/maps?f=q&amp;hl=en&amp;geocode=&amp;q=45.16998,-92.9737</v>
      </c>
    </row>
    <row r="9673" spans="1:7" ht="15" x14ac:dyDescent="0.3">
      <c r="A9673">
        <v>39.918750000000003</v>
      </c>
      <c r="B9673">
        <v>-75.175880000000006</v>
      </c>
      <c r="C9673" t="s">
        <v>43</v>
      </c>
      <c r="D9673" t="s">
        <v>3476</v>
      </c>
      <c r="F9673" s="21"/>
      <c r="G9673" s="16" t="str">
        <f>HYPERLINK("http://maps.google.com/maps?f=q&amp;hl=en&amp;geocode=&amp;q=39.91875,-75.17588")</f>
        <v>http://maps.google.com/maps?f=q&amp;hl=en&amp;geocode=&amp;q=39.91875,-75.17588</v>
      </c>
    </row>
    <row r="9674" spans="1:7" ht="15" x14ac:dyDescent="0.3">
      <c r="A9674">
        <v>39.834449999999997</v>
      </c>
      <c r="B9674">
        <v>-88.93562</v>
      </c>
      <c r="C9674" t="s">
        <v>43</v>
      </c>
      <c r="D9674" t="s">
        <v>5565</v>
      </c>
      <c r="F9674" s="21"/>
      <c r="G9674" s="16" t="str">
        <f>HYPERLINK("http://maps.google.com/maps?f=q&amp;hl=en&amp;geocode=&amp;q=39.83445,-88.93562")</f>
        <v>http://maps.google.com/maps?f=q&amp;hl=en&amp;geocode=&amp;q=39.83445,-88.93562</v>
      </c>
    </row>
    <row r="9675" spans="1:7" ht="15" x14ac:dyDescent="0.3">
      <c r="A9675">
        <v>50.397903442382798</v>
      </c>
      <c r="B9675">
        <v>4.5238752365112296</v>
      </c>
      <c r="C9675" t="s">
        <v>43</v>
      </c>
      <c r="D9675" t="s">
        <v>5566</v>
      </c>
      <c r="F9675" s="21"/>
      <c r="G9675" s="16" t="str">
        <f>HYPERLINK("http://maps.google.com/maps?f=q&amp;hl=en&amp;geocode=&amp;q=50.3979034423828,4.52387523651123")</f>
        <v>http://maps.google.com/maps?f=q&amp;hl=en&amp;geocode=&amp;q=50.3979034423828,4.52387523651123</v>
      </c>
    </row>
    <row r="9676" spans="1:7" ht="15" x14ac:dyDescent="0.3">
      <c r="A9676">
        <v>54.901432037353501</v>
      </c>
      <c r="B9676">
        <v>10.7508296966553</v>
      </c>
      <c r="C9676" t="s">
        <v>43</v>
      </c>
      <c r="D9676" t="s">
        <v>1186</v>
      </c>
      <c r="F9676" s="21"/>
      <c r="G9676" s="16" t="str">
        <f>HYPERLINK("http://maps.google.com/maps?f=q&amp;hl=en&amp;geocode=&amp;q=54.9014320373535,10.7508296966553")</f>
        <v>http://maps.google.com/maps?f=q&amp;hl=en&amp;geocode=&amp;q=54.9014320373535,10.7508296966553</v>
      </c>
    </row>
    <row r="9677" spans="1:7" ht="15" x14ac:dyDescent="0.3">
      <c r="A9677">
        <v>37.050380706787102</v>
      </c>
      <c r="B9677">
        <v>-122.07330322265599</v>
      </c>
      <c r="C9677" t="s">
        <v>43</v>
      </c>
      <c r="D9677" t="s">
        <v>5567</v>
      </c>
      <c r="F9677" s="21"/>
      <c r="G9677" s="16" t="str">
        <f>HYPERLINK("http://maps.google.com/maps?f=q&amp;hl=en&amp;geocode=&amp;q=37.0503807067871,-122.073303222656")</f>
        <v>http://maps.google.com/maps?f=q&amp;hl=en&amp;geocode=&amp;q=37.0503807067871,-122.073303222656</v>
      </c>
    </row>
    <row r="9678" spans="1:7" ht="15" x14ac:dyDescent="0.3">
      <c r="A9678">
        <v>40.043550000000003</v>
      </c>
      <c r="B9678">
        <v>-75.101650000000006</v>
      </c>
      <c r="C9678" t="s">
        <v>43</v>
      </c>
      <c r="D9678" t="s">
        <v>5568</v>
      </c>
      <c r="F9678" s="21"/>
      <c r="G9678" s="16" t="str">
        <f>HYPERLINK("http://maps.google.com/maps?f=q&amp;hl=en&amp;geocode=&amp;q=40.04355,-75.10165")</f>
        <v>http://maps.google.com/maps?f=q&amp;hl=en&amp;geocode=&amp;q=40.04355,-75.10165</v>
      </c>
    </row>
    <row r="9679" spans="1:7" ht="15" x14ac:dyDescent="0.3">
      <c r="A9679">
        <v>39.930770000000003</v>
      </c>
      <c r="B9679">
        <v>-75.190240000000003</v>
      </c>
      <c r="C9679" t="s">
        <v>43</v>
      </c>
      <c r="D9679" t="s">
        <v>5569</v>
      </c>
      <c r="F9679" s="21"/>
      <c r="G9679" s="16" t="str">
        <f>HYPERLINK("http://maps.google.com/maps?f=q&amp;hl=en&amp;geocode=&amp;q=39.93077,-75.19024")</f>
        <v>http://maps.google.com/maps?f=q&amp;hl=en&amp;geocode=&amp;q=39.93077,-75.19024</v>
      </c>
    </row>
    <row r="9680" spans="1:7" ht="15" x14ac:dyDescent="0.3">
      <c r="A9680">
        <v>32.382170000000002</v>
      </c>
      <c r="B9680">
        <v>-86.193489999999997</v>
      </c>
      <c r="C9680" t="s">
        <v>42</v>
      </c>
      <c r="D9680" t="s">
        <v>5570</v>
      </c>
      <c r="F9680" s="21"/>
      <c r="G9680" s="16" t="str">
        <f>HYPERLINK("http://maps.google.com/maps?f=q&amp;hl=en&amp;geocode=&amp;q=32.38217,-86.19349")</f>
        <v>http://maps.google.com/maps?f=q&amp;hl=en&amp;geocode=&amp;q=32.38217,-86.19349</v>
      </c>
    </row>
    <row r="9681" spans="1:7" ht="15" x14ac:dyDescent="0.3">
      <c r="A9681">
        <v>39.920610000000003</v>
      </c>
      <c r="B9681">
        <v>-75.180289999999999</v>
      </c>
      <c r="C9681" t="s">
        <v>42</v>
      </c>
      <c r="D9681" t="s">
        <v>3891</v>
      </c>
      <c r="F9681" s="21"/>
      <c r="G9681" s="16" t="str">
        <f>HYPERLINK("http://maps.google.com/maps?f=q&amp;hl=en&amp;geocode=&amp;q=39.92061,-75.18029")</f>
        <v>http://maps.google.com/maps?f=q&amp;hl=en&amp;geocode=&amp;q=39.92061,-75.18029</v>
      </c>
    </row>
    <row r="9682" spans="1:7" ht="15" x14ac:dyDescent="0.3">
      <c r="A9682">
        <v>39.937089999999998</v>
      </c>
      <c r="B9682">
        <v>-75.190460000000002</v>
      </c>
      <c r="C9682" t="s">
        <v>43</v>
      </c>
      <c r="D9682" t="s">
        <v>5571</v>
      </c>
      <c r="F9682" s="21"/>
      <c r="G9682" s="16" t="str">
        <f>HYPERLINK("http://maps.google.com/maps?f=q&amp;hl=en&amp;geocode=&amp;q=39.93709,-75.19046")</f>
        <v>http://maps.google.com/maps?f=q&amp;hl=en&amp;geocode=&amp;q=39.93709,-75.19046</v>
      </c>
    </row>
    <row r="9683" spans="1:7" ht="15" x14ac:dyDescent="0.3">
      <c r="A9683">
        <v>49.603610992431598</v>
      </c>
      <c r="B9683">
        <v>6.1350297927856401</v>
      </c>
      <c r="C9683" t="s">
        <v>43</v>
      </c>
      <c r="D9683" t="s">
        <v>3585</v>
      </c>
      <c r="F9683" s="21"/>
      <c r="G9683" s="16" t="str">
        <f>HYPERLINK("http://maps.google.com/maps?f=q&amp;hl=en&amp;geocode=&amp;q=49.6036109924316,6.13502979278564")</f>
        <v>http://maps.google.com/maps?f=q&amp;hl=en&amp;geocode=&amp;q=49.6036109924316,6.13502979278564</v>
      </c>
    </row>
    <row r="9684" spans="1:7" ht="15" x14ac:dyDescent="0.3">
      <c r="A9684">
        <v>39.978473004665602</v>
      </c>
      <c r="B9684">
        <v>-75.111208794424996</v>
      </c>
      <c r="C9684" t="s">
        <v>43</v>
      </c>
      <c r="D9684" t="s">
        <v>5572</v>
      </c>
      <c r="F9684" s="21"/>
      <c r="G9684" s="16" t="str">
        <f>HYPERLINK("http://maps.google.com/maps?f=q&amp;hl=en&amp;geocode=&amp;q=39.9784730046656,-75.111208794425")</f>
        <v>http://maps.google.com/maps?f=q&amp;hl=en&amp;geocode=&amp;q=39.9784730046656,-75.111208794425</v>
      </c>
    </row>
    <row r="9685" spans="1:7" ht="15" x14ac:dyDescent="0.3">
      <c r="A9685">
        <v>39.801048278808601</v>
      </c>
      <c r="B9685">
        <v>-89.643600463867202</v>
      </c>
      <c r="C9685" t="s">
        <v>41</v>
      </c>
      <c r="D9685" t="s">
        <v>5573</v>
      </c>
      <c r="F9685" s="21"/>
      <c r="G9685" s="16" t="str">
        <f>HYPERLINK("http://maps.google.com/maps?f=q&amp;hl=en&amp;geocode=&amp;q=39.8010482788086,-89.6436004638672")</f>
        <v>http://maps.google.com/maps?f=q&amp;hl=en&amp;geocode=&amp;q=39.8010482788086,-89.6436004638672</v>
      </c>
    </row>
    <row r="9686" spans="1:7" ht="15" x14ac:dyDescent="0.3">
      <c r="A9686">
        <v>40.011122713571702</v>
      </c>
      <c r="B9686">
        <v>-87.400635816457594</v>
      </c>
      <c r="C9686" t="s">
        <v>41</v>
      </c>
      <c r="D9686" t="s">
        <v>5574</v>
      </c>
      <c r="F9686" s="21"/>
      <c r="G9686" s="16" t="str">
        <f>HYPERLINK("http://maps.google.com/maps?f=q&amp;hl=en&amp;geocode=&amp;q=40.0111227135717,-87.4006358164576")</f>
        <v>http://maps.google.com/maps?f=q&amp;hl=en&amp;geocode=&amp;q=40.0111227135717,-87.4006358164576</v>
      </c>
    </row>
    <row r="9687" spans="1:7" ht="15" x14ac:dyDescent="0.3">
      <c r="A9687">
        <v>37.506080627441399</v>
      </c>
      <c r="B9687">
        <v>-76.387100219726605</v>
      </c>
      <c r="C9687" t="s">
        <v>41</v>
      </c>
      <c r="D9687" t="s">
        <v>5575</v>
      </c>
      <c r="F9687" s="21"/>
      <c r="G9687" s="16" t="str">
        <f>HYPERLINK("http://maps.google.com/maps?f=q&amp;hl=en&amp;geocode=&amp;q=37.5060806274414,-76.3871002197266")</f>
        <v>http://maps.google.com/maps?f=q&amp;hl=en&amp;geocode=&amp;q=37.5060806274414,-76.3871002197266</v>
      </c>
    </row>
    <row r="9688" spans="1:7" ht="15" x14ac:dyDescent="0.3">
      <c r="A9688">
        <v>45.634151458740199</v>
      </c>
      <c r="B9688">
        <v>-84.782386779785199</v>
      </c>
      <c r="C9688" t="s">
        <v>43</v>
      </c>
      <c r="D9688" t="s">
        <v>1380</v>
      </c>
      <c r="F9688" s="21"/>
      <c r="G9688" s="16" t="str">
        <f>HYPERLINK("http://maps.google.com/maps?f=q&amp;hl=en&amp;geocode=&amp;q=45.6341514587402,-84.7823867797852")</f>
        <v>http://maps.google.com/maps?f=q&amp;hl=en&amp;geocode=&amp;q=45.6341514587402,-84.7823867797852</v>
      </c>
    </row>
    <row r="9689" spans="1:7" ht="15" x14ac:dyDescent="0.3">
      <c r="A9689">
        <v>39.933190000000003</v>
      </c>
      <c r="B9689">
        <v>-75.189719999999994</v>
      </c>
      <c r="C9689" t="s">
        <v>43</v>
      </c>
      <c r="D9689" t="s">
        <v>5576</v>
      </c>
      <c r="F9689" s="21"/>
      <c r="G9689" s="16" t="str">
        <f>HYPERLINK("http://maps.google.com/maps?f=q&amp;hl=en&amp;geocode=&amp;q=39.93319,-75.18972")</f>
        <v>http://maps.google.com/maps?f=q&amp;hl=en&amp;geocode=&amp;q=39.93319,-75.18972</v>
      </c>
    </row>
    <row r="9690" spans="1:7" ht="15" x14ac:dyDescent="0.3">
      <c r="A9690">
        <v>39.937399999999997</v>
      </c>
      <c r="B9690">
        <v>-75.187150000000003</v>
      </c>
      <c r="C9690" t="s">
        <v>43</v>
      </c>
      <c r="D9690" t="s">
        <v>5577</v>
      </c>
      <c r="F9690" s="21"/>
      <c r="G9690" s="16" t="str">
        <f>HYPERLINK("http://maps.google.com/maps?f=q&amp;hl=en&amp;geocode=&amp;q=39.9374,-75.18715")</f>
        <v>http://maps.google.com/maps?f=q&amp;hl=en&amp;geocode=&amp;q=39.9374,-75.18715</v>
      </c>
    </row>
    <row r="9691" spans="1:7" ht="15" x14ac:dyDescent="0.3">
      <c r="A9691">
        <v>39.937399999999997</v>
      </c>
      <c r="B9691">
        <v>-75.187150000000003</v>
      </c>
      <c r="C9691" t="s">
        <v>43</v>
      </c>
      <c r="D9691" t="s">
        <v>5577</v>
      </c>
      <c r="F9691" s="21"/>
      <c r="G9691" s="16" t="str">
        <f>HYPERLINK("http://maps.google.com/maps?f=q&amp;hl=en&amp;geocode=&amp;q=39.9374,-75.18715")</f>
        <v>http://maps.google.com/maps?f=q&amp;hl=en&amp;geocode=&amp;q=39.9374,-75.18715</v>
      </c>
    </row>
    <row r="9692" spans="1:7" ht="15" x14ac:dyDescent="0.3">
      <c r="A9692">
        <v>39.937399999999997</v>
      </c>
      <c r="B9692">
        <v>-75.187150000000003</v>
      </c>
      <c r="C9692" t="s">
        <v>43</v>
      </c>
      <c r="D9692" t="s">
        <v>5577</v>
      </c>
      <c r="F9692" s="21"/>
      <c r="G9692" s="16" t="str">
        <f>HYPERLINK("http://maps.google.com/maps?f=q&amp;hl=en&amp;geocode=&amp;q=39.9374,-75.18715")</f>
        <v>http://maps.google.com/maps?f=q&amp;hl=en&amp;geocode=&amp;q=39.9374,-75.18715</v>
      </c>
    </row>
    <row r="9693" spans="1:7" ht="15" x14ac:dyDescent="0.3">
      <c r="A9693">
        <v>39.926000000000002</v>
      </c>
      <c r="B9693">
        <v>-75.172690000000003</v>
      </c>
      <c r="C9693" t="s">
        <v>43</v>
      </c>
      <c r="D9693" t="s">
        <v>3653</v>
      </c>
      <c r="F9693" s="21"/>
      <c r="G9693" s="16" t="str">
        <f>HYPERLINK("http://maps.google.com/maps?f=q&amp;hl=en&amp;geocode=&amp;q=39.926,-75.17269")</f>
        <v>http://maps.google.com/maps?f=q&amp;hl=en&amp;geocode=&amp;q=39.926,-75.17269</v>
      </c>
    </row>
    <row r="9694" spans="1:7" ht="15" x14ac:dyDescent="0.3">
      <c r="A9694">
        <v>40.07002</v>
      </c>
      <c r="B9694">
        <v>-75.053709999999995</v>
      </c>
      <c r="C9694" t="s">
        <v>41</v>
      </c>
      <c r="D9694" t="s">
        <v>5578</v>
      </c>
      <c r="F9694" s="21"/>
      <c r="G9694" s="16" t="str">
        <f>HYPERLINK("http://maps.google.com/maps?f=q&amp;hl=en&amp;geocode=&amp;q=40.07002,-75.05371")</f>
        <v>http://maps.google.com/maps?f=q&amp;hl=en&amp;geocode=&amp;q=40.07002,-75.05371</v>
      </c>
    </row>
    <row r="9695" spans="1:7" ht="15" x14ac:dyDescent="0.3">
      <c r="A9695">
        <v>39.99962</v>
      </c>
      <c r="B9695">
        <v>-75.118020000000001</v>
      </c>
      <c r="C9695" t="s">
        <v>41</v>
      </c>
      <c r="D9695" t="s">
        <v>5579</v>
      </c>
      <c r="F9695" s="21"/>
      <c r="G9695" s="16" t="str">
        <f>HYPERLINK("http://maps.google.com/maps?f=q&amp;hl=en&amp;geocode=&amp;q=39.99962,-75.11802")</f>
        <v>http://maps.google.com/maps?f=q&amp;hl=en&amp;geocode=&amp;q=39.99962,-75.11802</v>
      </c>
    </row>
    <row r="9696" spans="1:7" ht="15" x14ac:dyDescent="0.3">
      <c r="A9696">
        <v>40.019219999999997</v>
      </c>
      <c r="B9696">
        <v>-75.11806</v>
      </c>
      <c r="C9696" t="s">
        <v>41</v>
      </c>
      <c r="D9696" t="s">
        <v>5555</v>
      </c>
      <c r="F9696" s="21"/>
      <c r="G9696" s="16" t="str">
        <f>HYPERLINK("http://maps.google.com/maps?f=q&amp;hl=en&amp;geocode=&amp;q=40.01922,-75.11806")</f>
        <v>http://maps.google.com/maps?f=q&amp;hl=en&amp;geocode=&amp;q=40.01922,-75.11806</v>
      </c>
    </row>
    <row r="9697" spans="1:7" ht="15" x14ac:dyDescent="0.3">
      <c r="A9697">
        <v>40.035670000000003</v>
      </c>
      <c r="B9697">
        <v>-75.185040000000001</v>
      </c>
      <c r="C9697" t="s">
        <v>41</v>
      </c>
      <c r="D9697" t="s">
        <v>5533</v>
      </c>
      <c r="F9697" s="21"/>
      <c r="G9697" s="16" t="str">
        <f>HYPERLINK("http://maps.google.com/maps?f=q&amp;hl=en&amp;geocode=&amp;q=40.03567,-75.18504")</f>
        <v>http://maps.google.com/maps?f=q&amp;hl=en&amp;geocode=&amp;q=40.03567,-75.18504</v>
      </c>
    </row>
    <row r="9698" spans="1:7" ht="15" x14ac:dyDescent="0.3">
      <c r="A9698">
        <v>37.680709999999998</v>
      </c>
      <c r="B9698">
        <v>-97.305419999999998</v>
      </c>
      <c r="C9698" t="s">
        <v>41</v>
      </c>
      <c r="D9698" t="s">
        <v>5580</v>
      </c>
      <c r="F9698" s="21"/>
      <c r="G9698" s="16" t="str">
        <f>HYPERLINK("http://maps.google.com/maps?f=q&amp;hl=en&amp;geocode=&amp;q=37.68071,-97.30542")</f>
        <v>http://maps.google.com/maps?f=q&amp;hl=en&amp;geocode=&amp;q=37.68071,-97.30542</v>
      </c>
    </row>
    <row r="9699" spans="1:7" ht="15" x14ac:dyDescent="0.3">
      <c r="A9699" t="s">
        <v>44</v>
      </c>
      <c r="B9699" t="s">
        <v>44</v>
      </c>
      <c r="C9699" t="s">
        <v>44</v>
      </c>
      <c r="D9699" t="s">
        <v>3225</v>
      </c>
      <c r="F9699" s="21"/>
      <c r="G9699" s="16"/>
    </row>
    <row r="9700" spans="1:7" ht="15" x14ac:dyDescent="0.3">
      <c r="A9700" t="s">
        <v>44</v>
      </c>
      <c r="B9700" t="s">
        <v>44</v>
      </c>
      <c r="C9700" t="s">
        <v>44</v>
      </c>
      <c r="D9700" t="s">
        <v>3225</v>
      </c>
      <c r="F9700" s="21"/>
      <c r="G9700" s="16"/>
    </row>
    <row r="9701" spans="1:7" ht="15" x14ac:dyDescent="0.3">
      <c r="A9701">
        <v>36.502029418945298</v>
      </c>
      <c r="B9701">
        <v>-88.325889587402301</v>
      </c>
      <c r="C9701" t="s">
        <v>43</v>
      </c>
      <c r="D9701" t="s">
        <v>5581</v>
      </c>
      <c r="F9701" s="21"/>
      <c r="G9701" s="16" t="str">
        <f>HYPERLINK("http://maps.google.com/maps?f=q&amp;hl=en&amp;geocode=&amp;q=36.5020294189453,-88.3258895874023")</f>
        <v>http://maps.google.com/maps?f=q&amp;hl=en&amp;geocode=&amp;q=36.5020294189453,-88.3258895874023</v>
      </c>
    </row>
    <row r="9702" spans="1:7" ht="15" x14ac:dyDescent="0.3">
      <c r="A9702">
        <v>37.193010000000001</v>
      </c>
      <c r="B9702">
        <v>-79.925550000000001</v>
      </c>
      <c r="C9702" t="s">
        <v>43</v>
      </c>
      <c r="D9702" t="s">
        <v>5582</v>
      </c>
      <c r="F9702" s="21"/>
      <c r="G9702" s="16" t="str">
        <f>HYPERLINK("http://maps.google.com/maps?f=q&amp;hl=en&amp;geocode=&amp;q=37.19301,-79.92555")</f>
        <v>http://maps.google.com/maps?f=q&amp;hl=en&amp;geocode=&amp;q=37.19301,-79.92555</v>
      </c>
    </row>
    <row r="9703" spans="1:7" ht="15" x14ac:dyDescent="0.3">
      <c r="A9703">
        <v>31.0283115138398</v>
      </c>
      <c r="B9703">
        <v>-87.524215747353907</v>
      </c>
      <c r="C9703" t="s">
        <v>41</v>
      </c>
      <c r="D9703" t="s">
        <v>5583</v>
      </c>
      <c r="F9703" s="21"/>
      <c r="G9703" s="16" t="str">
        <f>HYPERLINK("http://maps.google.com/maps?f=q&amp;hl=en&amp;geocode=&amp;q=31.0283115138398,-87.5242157473539")</f>
        <v>http://maps.google.com/maps?f=q&amp;hl=en&amp;geocode=&amp;q=31.0283115138398,-87.5242157473539</v>
      </c>
    </row>
    <row r="9704" spans="1:7" ht="15" x14ac:dyDescent="0.3">
      <c r="A9704">
        <v>39.986199999999997</v>
      </c>
      <c r="B9704">
        <v>-75.162819999999996</v>
      </c>
      <c r="C9704" t="s">
        <v>43</v>
      </c>
      <c r="D9704" t="s">
        <v>5584</v>
      </c>
      <c r="F9704" s="21"/>
      <c r="G9704" s="16" t="str">
        <f>HYPERLINK("http://maps.google.com/maps?f=q&amp;hl=en&amp;geocode=&amp;q=39.9862,-75.16282")</f>
        <v>http://maps.google.com/maps?f=q&amp;hl=en&amp;geocode=&amp;q=39.9862,-75.16282</v>
      </c>
    </row>
    <row r="9705" spans="1:7" ht="15" x14ac:dyDescent="0.3">
      <c r="A9705" t="s">
        <v>44</v>
      </c>
      <c r="B9705" t="s">
        <v>44</v>
      </c>
      <c r="C9705" t="s">
        <v>44</v>
      </c>
      <c r="D9705" t="s">
        <v>2606</v>
      </c>
      <c r="F9705" s="21"/>
      <c r="G9705" s="16"/>
    </row>
    <row r="9706" spans="1:7" ht="15" x14ac:dyDescent="0.3">
      <c r="A9706">
        <v>44.558720000000001</v>
      </c>
      <c r="B9706">
        <v>-68.435280000000006</v>
      </c>
      <c r="C9706" t="s">
        <v>43</v>
      </c>
      <c r="D9706" t="s">
        <v>5585</v>
      </c>
      <c r="F9706" s="21"/>
      <c r="G9706" s="16" t="str">
        <f>HYPERLINK("http://maps.google.com/maps?f=q&amp;hl=en&amp;geocode=&amp;q=44.55872,-68.43528")</f>
        <v>http://maps.google.com/maps?f=q&amp;hl=en&amp;geocode=&amp;q=44.55872,-68.43528</v>
      </c>
    </row>
    <row r="9707" spans="1:7" ht="15" x14ac:dyDescent="0.3">
      <c r="A9707">
        <v>46.058139801025398</v>
      </c>
      <c r="B9707">
        <v>14.3025102615356</v>
      </c>
      <c r="C9707" t="s">
        <v>41</v>
      </c>
      <c r="D9707" t="s">
        <v>5586</v>
      </c>
      <c r="F9707" s="21"/>
      <c r="G9707" s="16" t="str">
        <f>HYPERLINK("http://maps.google.com/maps?f=q&amp;hl=en&amp;geocode=&amp;q=46.0581398010254,14.3025102615356")</f>
        <v>http://maps.google.com/maps?f=q&amp;hl=en&amp;geocode=&amp;q=46.0581398010254,14.3025102615356</v>
      </c>
    </row>
    <row r="9708" spans="1:7" ht="15" x14ac:dyDescent="0.3">
      <c r="A9708">
        <v>58.362490857986501</v>
      </c>
      <c r="B9708">
        <v>-134.497637136316</v>
      </c>
      <c r="C9708" t="s">
        <v>42</v>
      </c>
      <c r="D9708" t="s">
        <v>5587</v>
      </c>
      <c r="F9708" s="21"/>
      <c r="G9708" s="16" t="str">
        <f>HYPERLINK("http://maps.google.com/maps?f=q&amp;hl=en&amp;geocode=&amp;q=58.3624908579865,-134.497637136316")</f>
        <v>http://maps.google.com/maps?f=q&amp;hl=en&amp;geocode=&amp;q=58.3624908579865,-134.497637136316</v>
      </c>
    </row>
    <row r="9709" spans="1:7" ht="15" x14ac:dyDescent="0.3">
      <c r="A9709">
        <v>40.905166253895999</v>
      </c>
      <c r="B9709">
        <v>-77.452244841612398</v>
      </c>
      <c r="C9709" t="s">
        <v>41</v>
      </c>
      <c r="D9709" t="s">
        <v>2402</v>
      </c>
      <c r="F9709" s="21"/>
      <c r="G9709" s="16" t="str">
        <f>HYPERLINK("http://maps.google.com/maps?f=q&amp;hl=en&amp;geocode=&amp;q=40.905166253896,-77.4522448416124")</f>
        <v>http://maps.google.com/maps?f=q&amp;hl=en&amp;geocode=&amp;q=40.905166253896,-77.4522448416124</v>
      </c>
    </row>
    <row r="9710" spans="1:7" ht="15" x14ac:dyDescent="0.3">
      <c r="A9710">
        <v>-37.742469999999997</v>
      </c>
      <c r="B9710">
        <v>142.02804</v>
      </c>
      <c r="C9710" t="s">
        <v>41</v>
      </c>
      <c r="D9710" t="s">
        <v>5404</v>
      </c>
      <c r="F9710" s="21"/>
      <c r="G9710" s="16" t="str">
        <f>HYPERLINK("http://maps.google.com/maps?f=q&amp;hl=en&amp;geocode=&amp;q=-37.74247,142.02804")</f>
        <v>http://maps.google.com/maps?f=q&amp;hl=en&amp;geocode=&amp;q=-37.74247,142.02804</v>
      </c>
    </row>
    <row r="9711" spans="1:7" ht="15" x14ac:dyDescent="0.3">
      <c r="A9711">
        <v>-37.742469999999997</v>
      </c>
      <c r="B9711">
        <v>142.02804</v>
      </c>
      <c r="C9711" t="s">
        <v>41</v>
      </c>
      <c r="D9711" t="s">
        <v>5404</v>
      </c>
      <c r="F9711" s="21"/>
      <c r="G9711" s="16" t="str">
        <f>HYPERLINK("http://maps.google.com/maps?f=q&amp;hl=en&amp;geocode=&amp;q=-37.74247,142.02804")</f>
        <v>http://maps.google.com/maps?f=q&amp;hl=en&amp;geocode=&amp;q=-37.74247,142.02804</v>
      </c>
    </row>
    <row r="9712" spans="1:7" ht="15" x14ac:dyDescent="0.3">
      <c r="A9712">
        <v>-37.742469999999997</v>
      </c>
      <c r="B9712">
        <v>142.02804</v>
      </c>
      <c r="C9712" t="s">
        <v>41</v>
      </c>
      <c r="D9712" t="s">
        <v>5404</v>
      </c>
      <c r="F9712" s="21"/>
      <c r="G9712" s="16" t="str">
        <f>HYPERLINK("http://maps.google.com/maps?f=q&amp;hl=en&amp;geocode=&amp;q=-37.74247,142.02804")</f>
        <v>http://maps.google.com/maps?f=q&amp;hl=en&amp;geocode=&amp;q=-37.74247,142.02804</v>
      </c>
    </row>
    <row r="9713" spans="1:7" ht="15" x14ac:dyDescent="0.3">
      <c r="A9713">
        <v>39.996290000000002</v>
      </c>
      <c r="B9713">
        <v>-75.171109999999999</v>
      </c>
      <c r="C9713" t="s">
        <v>41</v>
      </c>
      <c r="D9713" t="s">
        <v>5468</v>
      </c>
      <c r="F9713" s="21"/>
      <c r="G9713" s="16" t="str">
        <f>HYPERLINK("http://maps.google.com/maps?f=q&amp;hl=en&amp;geocode=&amp;q=39.99629,-75.17111")</f>
        <v>http://maps.google.com/maps?f=q&amp;hl=en&amp;geocode=&amp;q=39.99629,-75.17111</v>
      </c>
    </row>
    <row r="9714" spans="1:7" ht="15" x14ac:dyDescent="0.3">
      <c r="A9714">
        <v>31.126824253236901</v>
      </c>
      <c r="B9714">
        <v>-92.061555145750802</v>
      </c>
      <c r="C9714" t="s">
        <v>41</v>
      </c>
      <c r="D9714" t="s">
        <v>5588</v>
      </c>
      <c r="F9714" s="21"/>
      <c r="G9714" s="16" t="str">
        <f>HYPERLINK("http://maps.google.com/maps?f=q&amp;hl=en&amp;geocode=&amp;q=31.1268242532369,-92.0615551457508")</f>
        <v>http://maps.google.com/maps?f=q&amp;hl=en&amp;geocode=&amp;q=31.1268242532369,-92.0615551457508</v>
      </c>
    </row>
    <row r="9715" spans="1:7" ht="15" x14ac:dyDescent="0.3">
      <c r="A9715">
        <v>-37.742469999999997</v>
      </c>
      <c r="B9715">
        <v>142.02804</v>
      </c>
      <c r="C9715" t="s">
        <v>41</v>
      </c>
      <c r="D9715" t="s">
        <v>5404</v>
      </c>
      <c r="F9715" s="21"/>
      <c r="G9715" s="16" t="str">
        <f>HYPERLINK("http://maps.google.com/maps?f=q&amp;hl=en&amp;geocode=&amp;q=-37.74247,142.02804")</f>
        <v>http://maps.google.com/maps?f=q&amp;hl=en&amp;geocode=&amp;q=-37.74247,142.02804</v>
      </c>
    </row>
    <row r="9716" spans="1:7" ht="15" x14ac:dyDescent="0.3">
      <c r="A9716">
        <v>39.98536</v>
      </c>
      <c r="B9716">
        <v>-75.1614</v>
      </c>
      <c r="C9716" t="s">
        <v>43</v>
      </c>
      <c r="D9716" t="s">
        <v>5589</v>
      </c>
      <c r="F9716" s="21"/>
      <c r="G9716" s="16" t="str">
        <f>HYPERLINK("http://maps.google.com/maps?f=q&amp;hl=en&amp;geocode=&amp;q=39.98536,-75.1614")</f>
        <v>http://maps.google.com/maps?f=q&amp;hl=en&amp;geocode=&amp;q=39.98536,-75.1614</v>
      </c>
    </row>
    <row r="9717" spans="1:7" ht="15" x14ac:dyDescent="0.3">
      <c r="A9717">
        <v>-37.742469999999997</v>
      </c>
      <c r="B9717">
        <v>142.02804</v>
      </c>
      <c r="C9717" t="s">
        <v>41</v>
      </c>
      <c r="D9717" t="s">
        <v>5404</v>
      </c>
      <c r="F9717" s="21"/>
      <c r="G9717" s="16" t="str">
        <f>HYPERLINK("http://maps.google.com/maps?f=q&amp;hl=en&amp;geocode=&amp;q=-37.74247,142.02804")</f>
        <v>http://maps.google.com/maps?f=q&amp;hl=en&amp;geocode=&amp;q=-37.74247,142.02804</v>
      </c>
    </row>
    <row r="9718" spans="1:7" ht="15" x14ac:dyDescent="0.3">
      <c r="A9718">
        <v>39.994160000000001</v>
      </c>
      <c r="B9718">
        <v>-75.157960000000003</v>
      </c>
      <c r="C9718" t="s">
        <v>41</v>
      </c>
      <c r="D9718" t="s">
        <v>5590</v>
      </c>
      <c r="F9718" s="21"/>
      <c r="G9718" s="16" t="str">
        <f>HYPERLINK("http://maps.google.com/maps?f=q&amp;hl=en&amp;geocode=&amp;q=39.99416,-75.15796")</f>
        <v>http://maps.google.com/maps?f=q&amp;hl=en&amp;geocode=&amp;q=39.99416,-75.15796</v>
      </c>
    </row>
    <row r="9719" spans="1:7" ht="15" x14ac:dyDescent="0.3">
      <c r="A9719">
        <v>39.994160000000001</v>
      </c>
      <c r="B9719">
        <v>-75.157960000000003</v>
      </c>
      <c r="C9719" t="s">
        <v>41</v>
      </c>
      <c r="D9719" t="s">
        <v>5590</v>
      </c>
      <c r="F9719" s="21"/>
      <c r="G9719" s="16" t="str">
        <f>HYPERLINK("http://maps.google.com/maps?f=q&amp;hl=en&amp;geocode=&amp;q=39.99416,-75.15796")</f>
        <v>http://maps.google.com/maps?f=q&amp;hl=en&amp;geocode=&amp;q=39.99416,-75.15796</v>
      </c>
    </row>
    <row r="9720" spans="1:7" ht="15" x14ac:dyDescent="0.3">
      <c r="A9720">
        <v>40.600563811997198</v>
      </c>
      <c r="B9720">
        <v>-75.511560068382593</v>
      </c>
      <c r="C9720" t="s">
        <v>41</v>
      </c>
      <c r="D9720" t="s">
        <v>5591</v>
      </c>
      <c r="F9720" s="21"/>
      <c r="G9720" s="16" t="str">
        <f>HYPERLINK("http://maps.google.com/maps?f=q&amp;hl=en&amp;geocode=&amp;q=40.6005638119972,-75.5115600683826")</f>
        <v>http://maps.google.com/maps?f=q&amp;hl=en&amp;geocode=&amp;q=40.6005638119972,-75.5115600683826</v>
      </c>
    </row>
    <row r="9721" spans="1:7" ht="15" x14ac:dyDescent="0.3">
      <c r="A9721">
        <v>39.783871696451598</v>
      </c>
      <c r="B9721">
        <v>-98.784602164171901</v>
      </c>
      <c r="C9721" t="s">
        <v>41</v>
      </c>
      <c r="D9721" t="s">
        <v>5592</v>
      </c>
      <c r="F9721" s="21"/>
      <c r="G9721" s="16" t="str">
        <f>HYPERLINK("http://maps.google.com/maps?f=q&amp;hl=en&amp;geocode=&amp;q=39.7838716964516,-98.7846021641719")</f>
        <v>http://maps.google.com/maps?f=q&amp;hl=en&amp;geocode=&amp;q=39.7838716964516,-98.7846021641719</v>
      </c>
    </row>
    <row r="9722" spans="1:7" ht="15" x14ac:dyDescent="0.3">
      <c r="A9722">
        <v>30.411797331619699</v>
      </c>
      <c r="B9722">
        <v>-88.918470912378893</v>
      </c>
      <c r="C9722" t="s">
        <v>41</v>
      </c>
      <c r="D9722" t="s">
        <v>5593</v>
      </c>
      <c r="F9722" s="21"/>
      <c r="G9722" s="16" t="str">
        <f>HYPERLINK("http://maps.google.com/maps?f=q&amp;hl=en&amp;geocode=&amp;q=30.4117973316197,-88.9184709123789")</f>
        <v>http://maps.google.com/maps?f=q&amp;hl=en&amp;geocode=&amp;q=30.4117973316197,-88.9184709123789</v>
      </c>
    </row>
    <row r="9723" spans="1:7" ht="15" x14ac:dyDescent="0.3">
      <c r="A9723">
        <v>34.995820000000002</v>
      </c>
      <c r="B9723">
        <v>-81.136610000000005</v>
      </c>
      <c r="C9723" t="s">
        <v>41</v>
      </c>
      <c r="D9723" t="s">
        <v>2888</v>
      </c>
      <c r="F9723" s="21"/>
      <c r="G9723" s="16" t="str">
        <f>HYPERLINK("http://maps.google.com/maps?f=q&amp;hl=en&amp;geocode=&amp;q=34.99582,-81.13661")</f>
        <v>http://maps.google.com/maps?f=q&amp;hl=en&amp;geocode=&amp;q=34.99582,-81.13661</v>
      </c>
    </row>
    <row r="9724" spans="1:7" ht="15" x14ac:dyDescent="0.3">
      <c r="A9724">
        <v>34.995820000000002</v>
      </c>
      <c r="B9724">
        <v>-81.136610000000005</v>
      </c>
      <c r="C9724" t="s">
        <v>41</v>
      </c>
      <c r="D9724" t="s">
        <v>2888</v>
      </c>
      <c r="F9724" s="21"/>
      <c r="G9724" s="16" t="str">
        <f>HYPERLINK("http://maps.google.com/maps?f=q&amp;hl=en&amp;geocode=&amp;q=34.99582,-81.13661")</f>
        <v>http://maps.google.com/maps?f=q&amp;hl=en&amp;geocode=&amp;q=34.99582,-81.13661</v>
      </c>
    </row>
    <row r="9725" spans="1:7" ht="15" x14ac:dyDescent="0.3">
      <c r="A9725">
        <v>41.070894985150701</v>
      </c>
      <c r="B9725">
        <v>-81.250433437529196</v>
      </c>
      <c r="C9725" t="s">
        <v>41</v>
      </c>
      <c r="D9725" t="s">
        <v>3286</v>
      </c>
      <c r="F9725" s="21"/>
      <c r="G9725" s="16" t="str">
        <f>HYPERLINK("http://maps.google.com/maps?f=q&amp;hl=en&amp;geocode=&amp;q=41.0708949851507,-81.2504334375292")</f>
        <v>http://maps.google.com/maps?f=q&amp;hl=en&amp;geocode=&amp;q=41.0708949851507,-81.2504334375292</v>
      </c>
    </row>
    <row r="9726" spans="1:7" ht="15" x14ac:dyDescent="0.3">
      <c r="A9726">
        <v>42.470289999999999</v>
      </c>
      <c r="B9726">
        <v>-83.077780000000004</v>
      </c>
      <c r="C9726" t="s">
        <v>42</v>
      </c>
      <c r="D9726" t="s">
        <v>121</v>
      </c>
      <c r="F9726" s="21"/>
      <c r="G9726" s="16" t="str">
        <f>HYPERLINK("http://maps.google.com/maps?f=q&amp;hl=en&amp;geocode=&amp;q=42.47029,-83.07778")</f>
        <v>http://maps.google.com/maps?f=q&amp;hl=en&amp;geocode=&amp;q=42.47029,-83.07778</v>
      </c>
    </row>
    <row r="9727" spans="1:7" ht="15" x14ac:dyDescent="0.3">
      <c r="A9727">
        <v>34.075143435991897</v>
      </c>
      <c r="B9727">
        <v>-117.332129513702</v>
      </c>
      <c r="C9727" t="s">
        <v>42</v>
      </c>
      <c r="D9727" t="s">
        <v>5594</v>
      </c>
      <c r="F9727" s="21"/>
      <c r="G9727" s="16" t="str">
        <f>HYPERLINK("http://maps.google.com/maps?f=q&amp;hl=en&amp;geocode=&amp;q=34.0751434359919,-117.332129513702")</f>
        <v>http://maps.google.com/maps?f=q&amp;hl=en&amp;geocode=&amp;q=34.0751434359919,-117.332129513702</v>
      </c>
    </row>
    <row r="9728" spans="1:7" ht="15" x14ac:dyDescent="0.3">
      <c r="A9728">
        <v>39.403399999999998</v>
      </c>
      <c r="B9728">
        <v>-76.617149999999995</v>
      </c>
      <c r="C9728" t="s">
        <v>41</v>
      </c>
      <c r="D9728" t="s">
        <v>5595</v>
      </c>
      <c r="F9728" s="21"/>
      <c r="G9728" s="16" t="str">
        <f>HYPERLINK("http://maps.google.com/maps?f=q&amp;hl=en&amp;geocode=&amp;q=39.4034,-76.61715")</f>
        <v>http://maps.google.com/maps?f=q&amp;hl=en&amp;geocode=&amp;q=39.4034,-76.61715</v>
      </c>
    </row>
    <row r="9729" spans="1:7" ht="15" x14ac:dyDescent="0.3">
      <c r="A9729">
        <v>35.321916428819399</v>
      </c>
      <c r="B9729">
        <v>-82.6866264349581</v>
      </c>
      <c r="C9729" t="s">
        <v>41</v>
      </c>
      <c r="D9729" t="s">
        <v>3100</v>
      </c>
      <c r="F9729" s="21"/>
      <c r="G9729" s="16" t="str">
        <f>HYPERLINK("http://maps.google.com/maps?f=q&amp;hl=en&amp;geocode=&amp;q=35.3219164288194,-82.6866264349581")</f>
        <v>http://maps.google.com/maps?f=q&amp;hl=en&amp;geocode=&amp;q=35.3219164288194,-82.6866264349581</v>
      </c>
    </row>
    <row r="9730" spans="1:7" ht="15" x14ac:dyDescent="0.3">
      <c r="A9730">
        <v>37.775355419545001</v>
      </c>
      <c r="B9730">
        <v>-122.251104156945</v>
      </c>
      <c r="C9730" t="s">
        <v>41</v>
      </c>
      <c r="D9730" t="s">
        <v>5596</v>
      </c>
      <c r="F9730" s="21"/>
      <c r="G9730" s="16" t="str">
        <f>HYPERLINK("http://maps.google.com/maps?f=q&amp;hl=en&amp;geocode=&amp;q=37.775355419545,-122.251104156945")</f>
        <v>http://maps.google.com/maps?f=q&amp;hl=en&amp;geocode=&amp;q=37.775355419545,-122.251104156945</v>
      </c>
    </row>
    <row r="9731" spans="1:7" ht="15" x14ac:dyDescent="0.3">
      <c r="A9731">
        <v>43.26088</v>
      </c>
      <c r="B9731">
        <v>-112.14492</v>
      </c>
      <c r="C9731" t="s">
        <v>42</v>
      </c>
      <c r="D9731" t="s">
        <v>305</v>
      </c>
      <c r="F9731" s="21"/>
      <c r="G9731" s="16" t="str">
        <f>HYPERLINK("http://maps.google.com/maps?f=q&amp;hl=en&amp;geocode=&amp;q=43.26088,-112.14492")</f>
        <v>http://maps.google.com/maps?f=q&amp;hl=en&amp;geocode=&amp;q=43.26088,-112.14492</v>
      </c>
    </row>
    <row r="9732" spans="1:7" ht="15" x14ac:dyDescent="0.3">
      <c r="A9732">
        <v>43.583919999999999</v>
      </c>
      <c r="B9732">
        <v>-83.875060000000005</v>
      </c>
      <c r="C9732" t="s">
        <v>43</v>
      </c>
      <c r="D9732" t="s">
        <v>5597</v>
      </c>
      <c r="F9732" s="21"/>
      <c r="G9732" s="16" t="str">
        <f>HYPERLINK("http://maps.google.com/maps?f=q&amp;hl=en&amp;geocode=&amp;q=43.58392,-83.87506")</f>
        <v>http://maps.google.com/maps?f=q&amp;hl=en&amp;geocode=&amp;q=43.58392,-83.87506</v>
      </c>
    </row>
    <row r="9733" spans="1:7" ht="15" x14ac:dyDescent="0.3">
      <c r="A9733">
        <v>39.92454</v>
      </c>
      <c r="B9733">
        <v>-75.174610000000001</v>
      </c>
      <c r="C9733" t="s">
        <v>43</v>
      </c>
      <c r="D9733" t="s">
        <v>5213</v>
      </c>
      <c r="F9733" s="21"/>
      <c r="G9733" s="16" t="str">
        <f>HYPERLINK("http://maps.google.com/maps?f=q&amp;hl=en&amp;geocode=&amp;q=39.92454,-75.17461")</f>
        <v>http://maps.google.com/maps?f=q&amp;hl=en&amp;geocode=&amp;q=39.92454,-75.17461</v>
      </c>
    </row>
    <row r="9734" spans="1:7" ht="15" x14ac:dyDescent="0.3">
      <c r="A9734">
        <v>36.7413234390499</v>
      </c>
      <c r="B9734">
        <v>-119.736139519993</v>
      </c>
      <c r="C9734" t="s">
        <v>41</v>
      </c>
      <c r="D9734" t="s">
        <v>2631</v>
      </c>
      <c r="F9734" s="21"/>
      <c r="G9734" s="16" t="str">
        <f>HYPERLINK("http://maps.google.com/maps?f=q&amp;hl=en&amp;geocode=&amp;q=36.7413234390499,-119.736139519993")</f>
        <v>http://maps.google.com/maps?f=q&amp;hl=en&amp;geocode=&amp;q=36.7413234390499,-119.736139519993</v>
      </c>
    </row>
    <row r="9735" spans="1:7" ht="15" x14ac:dyDescent="0.3">
      <c r="A9735">
        <v>40.025460000000002</v>
      </c>
      <c r="B9735">
        <v>-75.131270000000001</v>
      </c>
      <c r="C9735" t="s">
        <v>41</v>
      </c>
      <c r="D9735" t="s">
        <v>5405</v>
      </c>
      <c r="F9735" s="21"/>
      <c r="G9735" s="16" t="str">
        <f>HYPERLINK("http://maps.google.com/maps?f=q&amp;hl=en&amp;geocode=&amp;q=40.02546,-75.13127")</f>
        <v>http://maps.google.com/maps?f=q&amp;hl=en&amp;geocode=&amp;q=40.02546,-75.13127</v>
      </c>
    </row>
    <row r="9736" spans="1:7" ht="15" x14ac:dyDescent="0.3">
      <c r="A9736">
        <v>31.008949999999999</v>
      </c>
      <c r="B9736">
        <v>-86.337400000000002</v>
      </c>
      <c r="C9736" t="s">
        <v>42</v>
      </c>
      <c r="D9736" t="s">
        <v>4649</v>
      </c>
      <c r="F9736" s="21"/>
      <c r="G9736" s="16" t="str">
        <f>HYPERLINK("http://maps.google.com/maps?f=q&amp;hl=en&amp;geocode=&amp;q=31.00895,-86.3374")</f>
        <v>http://maps.google.com/maps?f=q&amp;hl=en&amp;geocode=&amp;q=31.00895,-86.3374</v>
      </c>
    </row>
    <row r="9737" spans="1:7" ht="15" x14ac:dyDescent="0.3">
      <c r="A9737">
        <v>31.008949999999999</v>
      </c>
      <c r="B9737">
        <v>-86.337400000000002</v>
      </c>
      <c r="C9737" t="s">
        <v>42</v>
      </c>
      <c r="D9737" t="s">
        <v>4650</v>
      </c>
      <c r="F9737" s="21"/>
      <c r="G9737" s="16" t="str">
        <f>HYPERLINK("http://maps.google.com/maps?f=q&amp;hl=en&amp;geocode=&amp;q=31.00895,-86.3374")</f>
        <v>http://maps.google.com/maps?f=q&amp;hl=en&amp;geocode=&amp;q=31.00895,-86.3374</v>
      </c>
    </row>
    <row r="9738" spans="1:7" ht="15" x14ac:dyDescent="0.3">
      <c r="A9738">
        <v>32.806098656847297</v>
      </c>
      <c r="B9738">
        <v>-117.21100833515101</v>
      </c>
      <c r="C9738" t="s">
        <v>41</v>
      </c>
      <c r="D9738" t="s">
        <v>5598</v>
      </c>
      <c r="F9738" s="21"/>
      <c r="G9738" s="16" t="str">
        <f>HYPERLINK("http://maps.google.com/maps?f=q&amp;hl=en&amp;geocode=&amp;q=32.8060986568473,-117.211008335151")</f>
        <v>http://maps.google.com/maps?f=q&amp;hl=en&amp;geocode=&amp;q=32.8060986568473,-117.211008335151</v>
      </c>
    </row>
    <row r="9739" spans="1:7" ht="15" x14ac:dyDescent="0.3">
      <c r="A9739" t="s">
        <v>44</v>
      </c>
      <c r="B9739" t="s">
        <v>44</v>
      </c>
      <c r="C9739" t="s">
        <v>44</v>
      </c>
      <c r="D9739" t="s">
        <v>5599</v>
      </c>
      <c r="F9739" s="21"/>
      <c r="G9739" s="16"/>
    </row>
    <row r="9740" spans="1:7" ht="15" x14ac:dyDescent="0.3">
      <c r="A9740">
        <v>38.6600061407065</v>
      </c>
      <c r="B9740">
        <v>-121.323506326679</v>
      </c>
      <c r="C9740" t="s">
        <v>41</v>
      </c>
      <c r="D9740" t="s">
        <v>5600</v>
      </c>
      <c r="F9740" s="21"/>
      <c r="G9740" s="16" t="str">
        <f>HYPERLINK("http://maps.google.com/maps?f=q&amp;hl=en&amp;geocode=&amp;q=38.6600061407065,-121.323506326679")</f>
        <v>http://maps.google.com/maps?f=q&amp;hl=en&amp;geocode=&amp;q=38.6600061407065,-121.323506326679</v>
      </c>
    </row>
    <row r="9741" spans="1:7" ht="15" x14ac:dyDescent="0.3">
      <c r="A9741">
        <v>31.010861794446299</v>
      </c>
      <c r="B9741">
        <v>-86.338552900126203</v>
      </c>
      <c r="C9741" t="s">
        <v>41</v>
      </c>
      <c r="D9741" t="s">
        <v>5601</v>
      </c>
      <c r="F9741" s="21"/>
      <c r="G9741" s="16" t="str">
        <f>HYPERLINK("http://maps.google.com/maps?f=q&amp;hl=en&amp;geocode=&amp;q=31.0108617944463,-86.3385529001262")</f>
        <v>http://maps.google.com/maps?f=q&amp;hl=en&amp;geocode=&amp;q=31.0108617944463,-86.3385529001262</v>
      </c>
    </row>
    <row r="9742" spans="1:7" ht="15" x14ac:dyDescent="0.3">
      <c r="A9742">
        <v>33.116292002605903</v>
      </c>
      <c r="B9742">
        <v>-96.843060819743201</v>
      </c>
      <c r="C9742" t="s">
        <v>41</v>
      </c>
      <c r="D9742" t="s">
        <v>4949</v>
      </c>
      <c r="F9742" s="21"/>
      <c r="G9742" s="16" t="str">
        <f>HYPERLINK("http://maps.google.com/maps?f=q&amp;hl=en&amp;geocode=&amp;q=33.1162920026059,-96.8430608197432")</f>
        <v>http://maps.google.com/maps?f=q&amp;hl=en&amp;geocode=&amp;q=33.1162920026059,-96.8430608197432</v>
      </c>
    </row>
    <row r="9743" spans="1:7" ht="15" x14ac:dyDescent="0.3">
      <c r="A9743">
        <v>38.659930000000003</v>
      </c>
      <c r="B9743">
        <v>-121.32227</v>
      </c>
      <c r="C9743" t="s">
        <v>41</v>
      </c>
      <c r="D9743" t="s">
        <v>4261</v>
      </c>
      <c r="F9743" s="21"/>
      <c r="G9743" s="16" t="str">
        <f>HYPERLINK("http://maps.google.com/maps?f=q&amp;hl=en&amp;geocode=&amp;q=38.65993,-121.32227")</f>
        <v>http://maps.google.com/maps?f=q&amp;hl=en&amp;geocode=&amp;q=38.65993,-121.32227</v>
      </c>
    </row>
    <row r="9744" spans="1:7" ht="15" x14ac:dyDescent="0.3">
      <c r="A9744">
        <v>39.758360000000003</v>
      </c>
      <c r="B9744">
        <v>-75.568049999999999</v>
      </c>
      <c r="C9744" t="s">
        <v>43</v>
      </c>
      <c r="D9744" t="s">
        <v>5602</v>
      </c>
      <c r="F9744" s="21"/>
      <c r="G9744" s="16" t="str">
        <f>HYPERLINK("http://maps.google.com/maps?f=q&amp;hl=en&amp;geocode=&amp;q=39.75836,-75.56805")</f>
        <v>http://maps.google.com/maps?f=q&amp;hl=en&amp;geocode=&amp;q=39.75836,-75.56805</v>
      </c>
    </row>
    <row r="9745" spans="1:7" ht="15" x14ac:dyDescent="0.3">
      <c r="A9745" t="s">
        <v>44</v>
      </c>
      <c r="B9745" t="s">
        <v>44</v>
      </c>
      <c r="C9745" t="s">
        <v>44</v>
      </c>
      <c r="D9745" t="s">
        <v>5418</v>
      </c>
      <c r="F9745" s="21"/>
      <c r="G9745" s="16"/>
    </row>
    <row r="9746" spans="1:7" ht="15" x14ac:dyDescent="0.3">
      <c r="A9746" t="s">
        <v>44</v>
      </c>
      <c r="B9746" t="s">
        <v>44</v>
      </c>
      <c r="C9746" t="s">
        <v>44</v>
      </c>
      <c r="D9746" t="s">
        <v>5603</v>
      </c>
      <c r="F9746" s="21"/>
      <c r="G9746" s="16"/>
    </row>
    <row r="9747" spans="1:7" ht="15" x14ac:dyDescent="0.3">
      <c r="A9747">
        <v>51.491233825683601</v>
      </c>
      <c r="B9747">
        <v>-0.278171896934509</v>
      </c>
      <c r="C9747" t="s">
        <v>41</v>
      </c>
      <c r="D9747" t="s">
        <v>4654</v>
      </c>
      <c r="F9747" s="21"/>
      <c r="G9747" s="16" t="str">
        <f>HYPERLINK("http://maps.google.com/maps?f=q&amp;hl=en&amp;geocode=&amp;q=51.4912338256836,-0.278171896934509")</f>
        <v>http://maps.google.com/maps?f=q&amp;hl=en&amp;geocode=&amp;q=51.4912338256836,-0.278171896934509</v>
      </c>
    </row>
    <row r="9748" spans="1:7" ht="15" x14ac:dyDescent="0.3">
      <c r="A9748">
        <v>34.722430000000003</v>
      </c>
      <c r="B9748">
        <v>-76.725449999999995</v>
      </c>
      <c r="C9748" t="s">
        <v>42</v>
      </c>
      <c r="D9748" t="s">
        <v>5604</v>
      </c>
      <c r="F9748" s="21"/>
      <c r="G9748" s="16" t="str">
        <f>HYPERLINK("http://maps.google.com/maps?f=q&amp;hl=en&amp;geocode=&amp;q=34.72243,-76.72545")</f>
        <v>http://maps.google.com/maps?f=q&amp;hl=en&amp;geocode=&amp;q=34.72243,-76.72545</v>
      </c>
    </row>
    <row r="9749" spans="1:7" ht="15" x14ac:dyDescent="0.3">
      <c r="A9749">
        <v>34.722430000000003</v>
      </c>
      <c r="B9749">
        <v>-76.725449999999995</v>
      </c>
      <c r="C9749" t="s">
        <v>42</v>
      </c>
      <c r="D9749" t="s">
        <v>5604</v>
      </c>
      <c r="F9749" s="21"/>
      <c r="G9749" s="16" t="str">
        <f>HYPERLINK("http://maps.google.com/maps?f=q&amp;hl=en&amp;geocode=&amp;q=34.72243,-76.72545")</f>
        <v>http://maps.google.com/maps?f=q&amp;hl=en&amp;geocode=&amp;q=34.72243,-76.72545</v>
      </c>
    </row>
    <row r="9750" spans="1:7" ht="15" x14ac:dyDescent="0.3">
      <c r="A9750">
        <v>40.723880767822301</v>
      </c>
      <c r="B9750">
        <v>-73.703208923339801</v>
      </c>
      <c r="C9750" t="s">
        <v>43</v>
      </c>
      <c r="D9750" t="s">
        <v>1555</v>
      </c>
      <c r="F9750" s="21"/>
      <c r="G9750" s="16" t="str">
        <f>HYPERLINK("http://maps.google.com/maps?f=q&amp;hl=en&amp;geocode=&amp;q=40.7238807678223,-73.7032089233398")</f>
        <v>http://maps.google.com/maps?f=q&amp;hl=en&amp;geocode=&amp;q=40.7238807678223,-73.7032089233398</v>
      </c>
    </row>
    <row r="9751" spans="1:7" ht="15" x14ac:dyDescent="0.3">
      <c r="A9751" t="s">
        <v>44</v>
      </c>
      <c r="B9751" t="s">
        <v>44</v>
      </c>
      <c r="C9751" t="s">
        <v>44</v>
      </c>
      <c r="D9751" t="s">
        <v>5605</v>
      </c>
      <c r="F9751" s="21"/>
      <c r="G9751" s="16"/>
    </row>
    <row r="9752" spans="1:7" ht="15" x14ac:dyDescent="0.3">
      <c r="A9752">
        <v>50.397903442382798</v>
      </c>
      <c r="B9752">
        <v>4.5238752365112296</v>
      </c>
      <c r="C9752" t="s">
        <v>43</v>
      </c>
      <c r="D9752" t="s">
        <v>5606</v>
      </c>
      <c r="F9752" s="21"/>
      <c r="G9752" s="16" t="str">
        <f>HYPERLINK("http://maps.google.com/maps?f=q&amp;hl=en&amp;geocode=&amp;q=50.3979034423828,4.52387523651123")</f>
        <v>http://maps.google.com/maps?f=q&amp;hl=en&amp;geocode=&amp;q=50.3979034423828,4.52387523651123</v>
      </c>
    </row>
    <row r="9753" spans="1:7" ht="15" x14ac:dyDescent="0.3">
      <c r="A9753" t="s">
        <v>44</v>
      </c>
      <c r="B9753" t="s">
        <v>44</v>
      </c>
      <c r="C9753" t="s">
        <v>44</v>
      </c>
      <c r="D9753" t="s">
        <v>4438</v>
      </c>
      <c r="F9753" s="21"/>
      <c r="G9753" s="16"/>
    </row>
    <row r="9754" spans="1:7" ht="15" x14ac:dyDescent="0.3">
      <c r="A9754">
        <v>48.672306060791001</v>
      </c>
      <c r="B9754">
        <v>7.5540661811828604</v>
      </c>
      <c r="C9754" t="s">
        <v>43</v>
      </c>
      <c r="D9754" t="s">
        <v>5375</v>
      </c>
      <c r="F9754" s="21"/>
      <c r="G9754" s="16" t="str">
        <f>HYPERLINK("http://maps.google.com/maps?f=q&amp;hl=en&amp;geocode=&amp;q=48.672306060791,7.55406618118286")</f>
        <v>http://maps.google.com/maps?f=q&amp;hl=en&amp;geocode=&amp;q=48.672306060791,7.55406618118286</v>
      </c>
    </row>
    <row r="9755" spans="1:7" ht="15" x14ac:dyDescent="0.3">
      <c r="A9755">
        <v>34.995820000000002</v>
      </c>
      <c r="B9755">
        <v>-81.136610000000005</v>
      </c>
      <c r="C9755" t="s">
        <v>42</v>
      </c>
      <c r="D9755" t="s">
        <v>3198</v>
      </c>
      <c r="F9755" s="21"/>
      <c r="G9755" s="16" t="str">
        <f>HYPERLINK("http://maps.google.com/maps?f=q&amp;hl=en&amp;geocode=&amp;q=34.99582,-81.13661")</f>
        <v>http://maps.google.com/maps?f=q&amp;hl=en&amp;geocode=&amp;q=34.99582,-81.13661</v>
      </c>
    </row>
    <row r="9756" spans="1:7" ht="15" x14ac:dyDescent="0.3">
      <c r="A9756">
        <v>47.202430725097699</v>
      </c>
      <c r="B9756">
        <v>19.835624694824201</v>
      </c>
      <c r="C9756" t="s">
        <v>43</v>
      </c>
      <c r="D9756" t="s">
        <v>3434</v>
      </c>
      <c r="F9756" s="21"/>
      <c r="G9756" s="16" t="str">
        <f>HYPERLINK("http://maps.google.com/maps?f=q&amp;hl=en&amp;geocode=&amp;q=47.2024307250977,19.8356246948242")</f>
        <v>http://maps.google.com/maps?f=q&amp;hl=en&amp;geocode=&amp;q=47.2024307250977,19.8356246948242</v>
      </c>
    </row>
    <row r="9757" spans="1:7" ht="15" x14ac:dyDescent="0.3">
      <c r="A9757" t="s">
        <v>44</v>
      </c>
      <c r="B9757" t="s">
        <v>44</v>
      </c>
      <c r="C9757" t="s">
        <v>44</v>
      </c>
      <c r="D9757" t="s">
        <v>2254</v>
      </c>
      <c r="F9757" s="21"/>
      <c r="G9757" s="16"/>
    </row>
    <row r="9758" spans="1:7" ht="15" x14ac:dyDescent="0.3">
      <c r="A9758">
        <v>50.258657100000001</v>
      </c>
      <c r="B9758">
        <v>-119.2310549</v>
      </c>
      <c r="C9758" t="s">
        <v>41</v>
      </c>
      <c r="D9758" t="s">
        <v>5607</v>
      </c>
      <c r="F9758" s="21"/>
      <c r="G9758" s="16" t="str">
        <f>HYPERLINK("http://maps.google.com/maps?f=q&amp;hl=en&amp;geocode=&amp;q=50.2586571,-119.2310549")</f>
        <v>http://maps.google.com/maps?f=q&amp;hl=en&amp;geocode=&amp;q=50.2586571,-119.2310549</v>
      </c>
    </row>
    <row r="9759" spans="1:7" ht="15" x14ac:dyDescent="0.3">
      <c r="A9759">
        <v>42.470289999999999</v>
      </c>
      <c r="B9759">
        <v>-83.077780000000004</v>
      </c>
      <c r="C9759" t="s">
        <v>42</v>
      </c>
      <c r="D9759" t="s">
        <v>5608</v>
      </c>
      <c r="F9759" s="21"/>
      <c r="G9759" s="16" t="str">
        <f>HYPERLINK("http://maps.google.com/maps?f=q&amp;hl=en&amp;geocode=&amp;q=42.47029,-83.07778")</f>
        <v>http://maps.google.com/maps?f=q&amp;hl=en&amp;geocode=&amp;q=42.47029,-83.07778</v>
      </c>
    </row>
    <row r="9760" spans="1:7" ht="15" x14ac:dyDescent="0.3">
      <c r="A9760">
        <v>32.95496</v>
      </c>
      <c r="B9760">
        <v>-80.151359999999997</v>
      </c>
      <c r="C9760" t="s">
        <v>42</v>
      </c>
      <c r="D9760" t="s">
        <v>5609</v>
      </c>
      <c r="F9760" s="21"/>
      <c r="G9760" s="16" t="str">
        <f>HYPERLINK("http://maps.google.com/maps?f=q&amp;hl=en&amp;geocode=&amp;q=32.95496,-80.15136")</f>
        <v>http://maps.google.com/maps?f=q&amp;hl=en&amp;geocode=&amp;q=32.95496,-80.15136</v>
      </c>
    </row>
    <row r="9761" spans="1:7" ht="15" x14ac:dyDescent="0.3">
      <c r="A9761">
        <v>38.172370000000001</v>
      </c>
      <c r="B9761">
        <v>-84.879519999999999</v>
      </c>
      <c r="C9761" t="s">
        <v>42</v>
      </c>
      <c r="D9761" t="s">
        <v>5610</v>
      </c>
      <c r="F9761" s="21"/>
      <c r="G9761" s="16" t="str">
        <f>HYPERLINK("http://maps.google.com/maps?f=q&amp;hl=en&amp;geocode=&amp;q=38.17237,-84.87952")</f>
        <v>http://maps.google.com/maps?f=q&amp;hl=en&amp;geocode=&amp;q=38.17237,-84.87952</v>
      </c>
    </row>
    <row r="9762" spans="1:7" ht="15" x14ac:dyDescent="0.3">
      <c r="A9762">
        <v>42.822775595264297</v>
      </c>
      <c r="B9762">
        <v>-74.475350031150896</v>
      </c>
      <c r="C9762" t="s">
        <v>41</v>
      </c>
      <c r="D9762" t="s">
        <v>3136</v>
      </c>
      <c r="F9762" s="21"/>
      <c r="G9762" s="16" t="str">
        <f>HYPERLINK("http://maps.google.com/maps?f=q&amp;hl=en&amp;geocode=&amp;q=42.8227755952643,-74.4753500311509")</f>
        <v>http://maps.google.com/maps?f=q&amp;hl=en&amp;geocode=&amp;q=42.8227755952643,-74.4753500311509</v>
      </c>
    </row>
    <row r="9763" spans="1:7" ht="15" x14ac:dyDescent="0.3">
      <c r="A9763">
        <v>42.972278594970703</v>
      </c>
      <c r="B9763">
        <v>22.930061340331999</v>
      </c>
      <c r="C9763" t="s">
        <v>41</v>
      </c>
      <c r="D9763" t="s">
        <v>5611</v>
      </c>
      <c r="F9763" s="21"/>
      <c r="G9763" s="16" t="str">
        <f>HYPERLINK("http://maps.google.com/maps?f=q&amp;hl=en&amp;geocode=&amp;q=42.9722785949707,22.930061340332")</f>
        <v>http://maps.google.com/maps?f=q&amp;hl=en&amp;geocode=&amp;q=42.9722785949707,22.930061340332</v>
      </c>
    </row>
    <row r="9764" spans="1:7" ht="15" x14ac:dyDescent="0.3">
      <c r="A9764">
        <v>39.990549999999999</v>
      </c>
      <c r="B9764">
        <v>-75.100309999999993</v>
      </c>
      <c r="C9764" t="s">
        <v>41</v>
      </c>
      <c r="D9764" t="s">
        <v>1630</v>
      </c>
      <c r="F9764" s="21"/>
      <c r="G9764" s="16" t="str">
        <f>HYPERLINK("http://maps.google.com/maps?f=q&amp;hl=en&amp;geocode=&amp;q=39.99055,-75.10031")</f>
        <v>http://maps.google.com/maps?f=q&amp;hl=en&amp;geocode=&amp;q=39.99055,-75.10031</v>
      </c>
    </row>
    <row r="9765" spans="1:7" ht="15" x14ac:dyDescent="0.3">
      <c r="A9765">
        <v>40.479259999999996</v>
      </c>
      <c r="B9765">
        <v>-111.92747</v>
      </c>
      <c r="C9765" t="s">
        <v>43</v>
      </c>
      <c r="D9765" t="s">
        <v>5612</v>
      </c>
      <c r="F9765" s="21"/>
      <c r="G9765" s="16" t="str">
        <f>HYPERLINK("http://maps.google.com/maps?f=q&amp;hl=en&amp;geocode=&amp;q=40.47926,-111.92747")</f>
        <v>http://maps.google.com/maps?f=q&amp;hl=en&amp;geocode=&amp;q=40.47926,-111.92747</v>
      </c>
    </row>
    <row r="9766" spans="1:7" ht="15" x14ac:dyDescent="0.3">
      <c r="A9766">
        <v>39.918959999999998</v>
      </c>
      <c r="B9766">
        <v>-75.177430000000001</v>
      </c>
      <c r="C9766" t="s">
        <v>43</v>
      </c>
      <c r="D9766" t="s">
        <v>5613</v>
      </c>
      <c r="F9766" s="21"/>
      <c r="G9766" s="16" t="str">
        <f>HYPERLINK("http://maps.google.com/maps?f=q&amp;hl=en&amp;geocode=&amp;q=39.91896,-75.17743")</f>
        <v>http://maps.google.com/maps?f=q&amp;hl=en&amp;geocode=&amp;q=39.91896,-75.17743</v>
      </c>
    </row>
    <row r="9767" spans="1:7" ht="15" x14ac:dyDescent="0.3">
      <c r="A9767">
        <v>43.280860900878899</v>
      </c>
      <c r="B9767">
        <v>-71.464241027832003</v>
      </c>
      <c r="C9767" t="s">
        <v>41</v>
      </c>
      <c r="D9767" t="s">
        <v>1090</v>
      </c>
      <c r="F9767" s="21"/>
      <c r="G9767" s="16" t="str">
        <f>HYPERLINK("http://maps.google.com/maps?f=q&amp;hl=en&amp;geocode=&amp;q=43.2808609008789,-71.464241027832")</f>
        <v>http://maps.google.com/maps?f=q&amp;hl=en&amp;geocode=&amp;q=43.2808609008789,-71.464241027832</v>
      </c>
    </row>
    <row r="9768" spans="1:7" ht="15" x14ac:dyDescent="0.3">
      <c r="A9768">
        <v>40.058190000000003</v>
      </c>
      <c r="B9768">
        <v>-75.144139999999993</v>
      </c>
      <c r="C9768" t="s">
        <v>41</v>
      </c>
      <c r="D9768" t="s">
        <v>5614</v>
      </c>
      <c r="F9768" s="21"/>
      <c r="G9768" s="16" t="str">
        <f>HYPERLINK("http://maps.google.com/maps?f=q&amp;hl=en&amp;geocode=&amp;q=40.05819,-75.14414")</f>
        <v>http://maps.google.com/maps?f=q&amp;hl=en&amp;geocode=&amp;q=40.05819,-75.14414</v>
      </c>
    </row>
    <row r="9769" spans="1:7" ht="15" x14ac:dyDescent="0.3">
      <c r="A9769">
        <v>40.058190000000003</v>
      </c>
      <c r="B9769">
        <v>-75.144139999999993</v>
      </c>
      <c r="C9769" t="s">
        <v>41</v>
      </c>
      <c r="D9769" t="s">
        <v>5614</v>
      </c>
      <c r="F9769" s="21"/>
      <c r="G9769" s="16" t="str">
        <f>HYPERLINK("http://maps.google.com/maps?f=q&amp;hl=en&amp;geocode=&amp;q=40.05819,-75.14414")</f>
        <v>http://maps.google.com/maps?f=q&amp;hl=en&amp;geocode=&amp;q=40.05819,-75.14414</v>
      </c>
    </row>
    <row r="9770" spans="1:7" ht="15" x14ac:dyDescent="0.3">
      <c r="A9770">
        <v>39.995759805510801</v>
      </c>
      <c r="B9770">
        <v>-75.105745381420107</v>
      </c>
      <c r="C9770" t="s">
        <v>41</v>
      </c>
      <c r="D9770" t="s">
        <v>5615</v>
      </c>
      <c r="F9770" s="21"/>
      <c r="G9770" s="16" t="str">
        <f>HYPERLINK("http://maps.google.com/maps?f=q&amp;hl=en&amp;geocode=&amp;q=39.9957598055108,-75.1057453814201")</f>
        <v>http://maps.google.com/maps?f=q&amp;hl=en&amp;geocode=&amp;q=39.9957598055108,-75.1057453814201</v>
      </c>
    </row>
    <row r="9771" spans="1:7" ht="15" x14ac:dyDescent="0.3">
      <c r="A9771">
        <v>36.168138326954498</v>
      </c>
      <c r="B9771">
        <v>-90.526784283546306</v>
      </c>
      <c r="C9771" t="s">
        <v>42</v>
      </c>
      <c r="D9771" t="s">
        <v>5616</v>
      </c>
      <c r="F9771" s="21"/>
      <c r="G9771" s="16" t="str">
        <f>HYPERLINK("http://maps.google.com/maps?f=q&amp;hl=en&amp;geocode=&amp;q=36.1681383269545,-90.5267842835463")</f>
        <v>http://maps.google.com/maps?f=q&amp;hl=en&amp;geocode=&amp;q=36.1681383269545,-90.5267842835463</v>
      </c>
    </row>
    <row r="9772" spans="1:7" ht="15" x14ac:dyDescent="0.3">
      <c r="A9772">
        <v>40.017670000000003</v>
      </c>
      <c r="B9772">
        <v>-75.116339999999994</v>
      </c>
      <c r="C9772" t="s">
        <v>41</v>
      </c>
      <c r="D9772" t="s">
        <v>5617</v>
      </c>
      <c r="F9772" s="21"/>
      <c r="G9772" s="16" t="str">
        <f>HYPERLINK("http://maps.google.com/maps?f=q&amp;hl=en&amp;geocode=&amp;q=40.01767,-75.11634")</f>
        <v>http://maps.google.com/maps?f=q&amp;hl=en&amp;geocode=&amp;q=40.01767,-75.11634</v>
      </c>
    </row>
    <row r="9773" spans="1:7" ht="15" x14ac:dyDescent="0.3">
      <c r="A9773">
        <v>42.876259209992497</v>
      </c>
      <c r="B9773">
        <v>-77.160481714952695</v>
      </c>
      <c r="C9773" t="s">
        <v>41</v>
      </c>
      <c r="D9773" t="s">
        <v>5618</v>
      </c>
      <c r="F9773" s="21"/>
      <c r="G9773" s="16" t="str">
        <f>HYPERLINK("http://maps.google.com/maps?f=q&amp;hl=en&amp;geocode=&amp;q=42.8762592099925,-77.1604817149527")</f>
        <v>http://maps.google.com/maps?f=q&amp;hl=en&amp;geocode=&amp;q=42.8762592099925,-77.1604817149527</v>
      </c>
    </row>
    <row r="9774" spans="1:7" ht="15" x14ac:dyDescent="0.3">
      <c r="A9774">
        <v>41.968939288316001</v>
      </c>
      <c r="B9774">
        <v>-87.825678360037699</v>
      </c>
      <c r="C9774" t="s">
        <v>41</v>
      </c>
      <c r="D9774" t="s">
        <v>5619</v>
      </c>
      <c r="F9774" s="21"/>
      <c r="G9774" s="16" t="str">
        <f>HYPERLINK("http://maps.google.com/maps?f=q&amp;hl=en&amp;geocode=&amp;q=41.968939288316,-87.8256783600377")</f>
        <v>http://maps.google.com/maps?f=q&amp;hl=en&amp;geocode=&amp;q=41.968939288316,-87.8256783600377</v>
      </c>
    </row>
    <row r="9775" spans="1:7" ht="15" x14ac:dyDescent="0.3">
      <c r="A9775">
        <v>36.383634418760103</v>
      </c>
      <c r="B9775">
        <v>-78.635280298519305</v>
      </c>
      <c r="C9775" t="s">
        <v>41</v>
      </c>
      <c r="D9775" t="s">
        <v>51</v>
      </c>
      <c r="F9775" s="21"/>
      <c r="G9775" s="16" t="str">
        <f>HYPERLINK("http://maps.google.com/maps?f=q&amp;hl=en&amp;geocode=&amp;q=36.3836344187601,-78.6352802985193")</f>
        <v>http://maps.google.com/maps?f=q&amp;hl=en&amp;geocode=&amp;q=36.3836344187601,-78.6352802985193</v>
      </c>
    </row>
    <row r="9776" spans="1:7" ht="15" x14ac:dyDescent="0.3">
      <c r="A9776">
        <v>31.762879999999999</v>
      </c>
      <c r="B9776">
        <v>-99.112459999999999</v>
      </c>
      <c r="C9776" t="s">
        <v>42</v>
      </c>
      <c r="D9776" t="s">
        <v>4169</v>
      </c>
      <c r="F9776" s="21"/>
      <c r="G9776" s="16" t="str">
        <f>HYPERLINK("http://maps.google.com/maps?f=q&amp;hl=en&amp;geocode=&amp;q=31.76288,-99.11246")</f>
        <v>http://maps.google.com/maps?f=q&amp;hl=en&amp;geocode=&amp;q=31.76288,-99.11246</v>
      </c>
    </row>
    <row r="9777" spans="1:7" ht="15" x14ac:dyDescent="0.3">
      <c r="A9777">
        <v>40.04007</v>
      </c>
      <c r="B9777">
        <v>-75.220330000000004</v>
      </c>
      <c r="C9777" t="s">
        <v>41</v>
      </c>
      <c r="D9777" t="s">
        <v>5620</v>
      </c>
      <c r="F9777" s="21"/>
      <c r="G9777" s="16" t="str">
        <f>HYPERLINK("http://maps.google.com/maps?f=q&amp;hl=en&amp;geocode=&amp;q=40.04007,-75.22033")</f>
        <v>http://maps.google.com/maps?f=q&amp;hl=en&amp;geocode=&amp;q=40.04007,-75.22033</v>
      </c>
    </row>
    <row r="9778" spans="1:7" ht="15" x14ac:dyDescent="0.3">
      <c r="A9778">
        <v>44.727611541747997</v>
      </c>
      <c r="B9778">
        <v>-123.44187927246099</v>
      </c>
      <c r="C9778" t="s">
        <v>43</v>
      </c>
      <c r="D9778" t="s">
        <v>5621</v>
      </c>
      <c r="F9778" s="21"/>
      <c r="G9778" s="16" t="str">
        <f>HYPERLINK("http://maps.google.com/maps?f=q&amp;hl=en&amp;geocode=&amp;q=44.727611541748,-123.441879272461")</f>
        <v>http://maps.google.com/maps?f=q&amp;hl=en&amp;geocode=&amp;q=44.727611541748,-123.441879272461</v>
      </c>
    </row>
    <row r="9779" spans="1:7" ht="15" x14ac:dyDescent="0.3">
      <c r="A9779">
        <v>40.026870000000002</v>
      </c>
      <c r="B9779">
        <v>-75.130809999999997</v>
      </c>
      <c r="C9779" t="s">
        <v>43</v>
      </c>
      <c r="D9779" t="s">
        <v>556</v>
      </c>
      <c r="F9779" s="21"/>
      <c r="G9779" s="16" t="str">
        <f>HYPERLINK("http://maps.google.com/maps?f=q&amp;hl=en&amp;geocode=&amp;q=40.02687,-75.13081")</f>
        <v>http://maps.google.com/maps?f=q&amp;hl=en&amp;geocode=&amp;q=40.02687,-75.13081</v>
      </c>
    </row>
    <row r="9780" spans="1:7" ht="15" x14ac:dyDescent="0.3">
      <c r="F9780" s="21"/>
      <c r="G9780" s="16"/>
    </row>
    <row r="9781" spans="1:7" ht="15" x14ac:dyDescent="0.3">
      <c r="A9781">
        <v>43.011972604735703</v>
      </c>
      <c r="B9781">
        <v>-95.6239095526076</v>
      </c>
      <c r="C9781" t="s">
        <v>41</v>
      </c>
      <c r="D9781" t="s">
        <v>228</v>
      </c>
      <c r="F9781" s="21"/>
      <c r="G9781" s="16" t="str">
        <f>HYPERLINK("http://maps.google.com/maps?f=q&amp;hl=en&amp;geocode=&amp;q=43.0119726047357,-95.6239095526076")</f>
        <v>http://maps.google.com/maps?f=q&amp;hl=en&amp;geocode=&amp;q=43.0119726047357,-95.6239095526076</v>
      </c>
    </row>
    <row r="9782" spans="1:7" ht="15" x14ac:dyDescent="0.3">
      <c r="A9782">
        <v>36.950914967483001</v>
      </c>
      <c r="B9782">
        <v>-112.52624838548201</v>
      </c>
      <c r="C9782" t="s">
        <v>41</v>
      </c>
      <c r="D9782" t="s">
        <v>5257</v>
      </c>
      <c r="F9782" s="21"/>
      <c r="G9782" s="16" t="str">
        <f>HYPERLINK("http://maps.google.com/maps?f=q&amp;hl=en&amp;geocode=&amp;q=36.950914967483,-112.526248385482")</f>
        <v>http://maps.google.com/maps?f=q&amp;hl=en&amp;geocode=&amp;q=36.950914967483,-112.526248385482</v>
      </c>
    </row>
    <row r="9783" spans="1:7" ht="15" x14ac:dyDescent="0.3">
      <c r="A9783">
        <v>41.761060000000001</v>
      </c>
      <c r="B9783">
        <v>-87.827789999999993</v>
      </c>
      <c r="C9783" t="s">
        <v>41</v>
      </c>
      <c r="D9783" t="s">
        <v>5622</v>
      </c>
      <c r="F9783" s="21"/>
      <c r="G9783" s="16" t="str">
        <f>HYPERLINK("http://maps.google.com/maps?f=q&amp;hl=en&amp;geocode=&amp;q=41.76106,-87.82779")</f>
        <v>http://maps.google.com/maps?f=q&amp;hl=en&amp;geocode=&amp;q=41.76106,-87.82779</v>
      </c>
    </row>
    <row r="9784" spans="1:7" ht="15" x14ac:dyDescent="0.3">
      <c r="A9784">
        <v>44.721395178934003</v>
      </c>
      <c r="B9784">
        <v>-83.424266769054498</v>
      </c>
      <c r="C9784" t="s">
        <v>43</v>
      </c>
      <c r="D9784" t="s">
        <v>1418</v>
      </c>
      <c r="F9784" s="21"/>
      <c r="G9784" s="16" t="str">
        <f>HYPERLINK("http://maps.google.com/maps?f=q&amp;hl=en&amp;geocode=&amp;q=44.721395178934,-83.4242667690545")</f>
        <v>http://maps.google.com/maps?f=q&amp;hl=en&amp;geocode=&amp;q=44.721395178934,-83.4242667690545</v>
      </c>
    </row>
    <row r="9785" spans="1:7" ht="15" x14ac:dyDescent="0.3">
      <c r="A9785">
        <v>-27.281724929809599</v>
      </c>
      <c r="B9785">
        <v>152.98416137695301</v>
      </c>
      <c r="C9785" t="s">
        <v>41</v>
      </c>
      <c r="D9785" t="s">
        <v>5623</v>
      </c>
      <c r="F9785" s="21"/>
      <c r="G9785" s="16" t="str">
        <f>HYPERLINK("http://maps.google.com/maps?f=q&amp;hl=en&amp;geocode=&amp;q=-27.2817249298096,152.984161376953")</f>
        <v>http://maps.google.com/maps?f=q&amp;hl=en&amp;geocode=&amp;q=-27.2817249298096,152.984161376953</v>
      </c>
    </row>
    <row r="9786" spans="1:7" ht="15" x14ac:dyDescent="0.3">
      <c r="A9786">
        <v>34.788081167565103</v>
      </c>
      <c r="B9786">
        <v>-92.283882101910706</v>
      </c>
      <c r="C9786" t="s">
        <v>41</v>
      </c>
      <c r="D9786" t="s">
        <v>5624</v>
      </c>
      <c r="F9786" s="21"/>
      <c r="G9786" s="16" t="str">
        <f>HYPERLINK("http://maps.google.com/maps?f=q&amp;hl=en&amp;geocode=&amp;q=34.7880811675651,-92.2838821019107")</f>
        <v>http://maps.google.com/maps?f=q&amp;hl=en&amp;geocode=&amp;q=34.7880811675651,-92.2838821019107</v>
      </c>
    </row>
    <row r="9787" spans="1:7" ht="15" x14ac:dyDescent="0.3">
      <c r="A9787">
        <v>53.007888793945298</v>
      </c>
      <c r="B9787">
        <v>-70.9957275390625</v>
      </c>
      <c r="C9787" t="s">
        <v>41</v>
      </c>
      <c r="D9787" t="s">
        <v>2297</v>
      </c>
      <c r="F9787" s="21"/>
      <c r="G9787" s="16" t="str">
        <f>HYPERLINK("http://maps.google.com/maps?f=q&amp;hl=en&amp;geocode=&amp;q=53.0078887939453,-70.9957275390625")</f>
        <v>http://maps.google.com/maps?f=q&amp;hl=en&amp;geocode=&amp;q=53.0078887939453,-70.9957275390625</v>
      </c>
    </row>
    <row r="9788" spans="1:7" ht="15" x14ac:dyDescent="0.3">
      <c r="A9788">
        <v>40.037979125976598</v>
      </c>
      <c r="B9788">
        <v>-75.223060607910199</v>
      </c>
      <c r="C9788" t="s">
        <v>41</v>
      </c>
      <c r="D9788" t="s">
        <v>277</v>
      </c>
      <c r="F9788" s="21"/>
      <c r="G9788" s="16" t="str">
        <f>HYPERLINK("http://maps.google.com/maps?f=q&amp;hl=en&amp;geocode=&amp;q=40.0379791259766,-75.2230606079102")</f>
        <v>http://maps.google.com/maps?f=q&amp;hl=en&amp;geocode=&amp;q=40.0379791259766,-75.2230606079102</v>
      </c>
    </row>
    <row r="9789" spans="1:7" ht="15" x14ac:dyDescent="0.3">
      <c r="A9789">
        <v>35.178268341276997</v>
      </c>
      <c r="B9789">
        <v>-89.836359281188393</v>
      </c>
      <c r="C9789" t="s">
        <v>41</v>
      </c>
      <c r="D9789" t="s">
        <v>5625</v>
      </c>
      <c r="F9789" s="21"/>
      <c r="G9789" s="16" t="str">
        <f>HYPERLINK("http://maps.google.com/maps?f=q&amp;hl=en&amp;geocode=&amp;q=35.178268341277,-89.8363592811884")</f>
        <v>http://maps.google.com/maps?f=q&amp;hl=en&amp;geocode=&amp;q=35.178268341277,-89.8363592811884</v>
      </c>
    </row>
    <row r="9790" spans="1:7" ht="15" x14ac:dyDescent="0.3">
      <c r="A9790">
        <v>35.177915431610998</v>
      </c>
      <c r="B9790">
        <v>-89.836260978526596</v>
      </c>
      <c r="C9790" t="s">
        <v>41</v>
      </c>
      <c r="D9790" t="s">
        <v>5626</v>
      </c>
      <c r="F9790" s="21"/>
      <c r="G9790" s="16" t="str">
        <f>HYPERLINK("http://maps.google.com/maps?f=q&amp;hl=en&amp;geocode=&amp;q=35.177915431611,-89.8362609785266")</f>
        <v>http://maps.google.com/maps?f=q&amp;hl=en&amp;geocode=&amp;q=35.177915431611,-89.8362609785266</v>
      </c>
    </row>
    <row r="9791" spans="1:7" ht="15" x14ac:dyDescent="0.3">
      <c r="A9791">
        <v>42.4211838777669</v>
      </c>
      <c r="B9791">
        <v>-76.492153618799193</v>
      </c>
      <c r="C9791" t="s">
        <v>41</v>
      </c>
      <c r="D9791" t="s">
        <v>146</v>
      </c>
      <c r="F9791" s="21"/>
      <c r="G9791" s="16" t="str">
        <f>HYPERLINK("http://maps.google.com/maps?f=q&amp;hl=en&amp;geocode=&amp;q=42.4211838777669,-76.4921536187992")</f>
        <v>http://maps.google.com/maps?f=q&amp;hl=en&amp;geocode=&amp;q=42.4211838777669,-76.4921536187992</v>
      </c>
    </row>
    <row r="9792" spans="1:7" ht="15" x14ac:dyDescent="0.3">
      <c r="A9792">
        <v>42.4211838777669</v>
      </c>
      <c r="B9792">
        <v>-76.492153618799193</v>
      </c>
      <c r="C9792" t="s">
        <v>41</v>
      </c>
      <c r="D9792" t="s">
        <v>146</v>
      </c>
      <c r="F9792" s="21"/>
      <c r="G9792" s="16" t="str">
        <f>HYPERLINK("http://maps.google.com/maps?f=q&amp;hl=en&amp;geocode=&amp;q=42.4211838777669,-76.4921536187992")</f>
        <v>http://maps.google.com/maps?f=q&amp;hl=en&amp;geocode=&amp;q=42.4211838777669,-76.4921536187992</v>
      </c>
    </row>
    <row r="9793" spans="1:7" ht="15" x14ac:dyDescent="0.3">
      <c r="A9793" t="s">
        <v>44</v>
      </c>
      <c r="B9793" t="s">
        <v>44</v>
      </c>
      <c r="C9793" t="s">
        <v>44</v>
      </c>
      <c r="D9793" t="s">
        <v>5418</v>
      </c>
      <c r="F9793" s="21"/>
      <c r="G9793" s="16"/>
    </row>
    <row r="9794" spans="1:7" ht="15" x14ac:dyDescent="0.3">
      <c r="A9794" t="s">
        <v>44</v>
      </c>
      <c r="B9794" t="s">
        <v>44</v>
      </c>
      <c r="C9794" t="s">
        <v>44</v>
      </c>
      <c r="D9794" t="s">
        <v>5627</v>
      </c>
      <c r="F9794" s="21"/>
      <c r="G9794" s="16"/>
    </row>
    <row r="9795" spans="1:7" ht="15" x14ac:dyDescent="0.3">
      <c r="A9795">
        <v>34.119120000000002</v>
      </c>
      <c r="B9795">
        <v>-118.05126</v>
      </c>
      <c r="C9795" t="s">
        <v>43</v>
      </c>
      <c r="D9795" t="s">
        <v>5628</v>
      </c>
      <c r="F9795" s="21"/>
      <c r="G9795" s="16" t="str">
        <f>HYPERLINK("http://maps.google.com/maps?f=q&amp;hl=en&amp;geocode=&amp;q=34.11912,-118.05126")</f>
        <v>http://maps.google.com/maps?f=q&amp;hl=en&amp;geocode=&amp;q=34.11912,-118.05126</v>
      </c>
    </row>
    <row r="9796" spans="1:7" ht="15" x14ac:dyDescent="0.3">
      <c r="A9796">
        <v>34.119120000000002</v>
      </c>
      <c r="B9796">
        <v>-118.05126</v>
      </c>
      <c r="C9796" t="s">
        <v>43</v>
      </c>
      <c r="D9796" t="s">
        <v>5628</v>
      </c>
      <c r="F9796" s="21"/>
      <c r="G9796" s="16" t="str">
        <f>HYPERLINK("http://maps.google.com/maps?f=q&amp;hl=en&amp;geocode=&amp;q=34.11912,-118.05126")</f>
        <v>http://maps.google.com/maps?f=q&amp;hl=en&amp;geocode=&amp;q=34.11912,-118.05126</v>
      </c>
    </row>
    <row r="9797" spans="1:7" ht="15" x14ac:dyDescent="0.3">
      <c r="A9797" t="s">
        <v>44</v>
      </c>
      <c r="B9797" t="s">
        <v>44</v>
      </c>
      <c r="C9797" t="s">
        <v>44</v>
      </c>
      <c r="D9797" t="s">
        <v>5629</v>
      </c>
      <c r="F9797" s="21"/>
      <c r="G9797" s="16"/>
    </row>
    <row r="9798" spans="1:7" ht="15" x14ac:dyDescent="0.3">
      <c r="A9798">
        <v>34.9391198521284</v>
      </c>
      <c r="B9798">
        <v>-90.053086846136495</v>
      </c>
      <c r="C9798" t="s">
        <v>41</v>
      </c>
      <c r="D9798" t="s">
        <v>5630</v>
      </c>
      <c r="F9798" s="21"/>
      <c r="G9798" s="16" t="str">
        <f>HYPERLINK("http://maps.google.com/maps?f=q&amp;hl=en&amp;geocode=&amp;q=34.9391198521284,-90.0530868461365")</f>
        <v>http://maps.google.com/maps?f=q&amp;hl=en&amp;geocode=&amp;q=34.9391198521284,-90.0530868461365</v>
      </c>
    </row>
    <row r="9799" spans="1:7" ht="15" x14ac:dyDescent="0.3">
      <c r="A9799">
        <v>34.119120000000002</v>
      </c>
      <c r="B9799">
        <v>-118.05126</v>
      </c>
      <c r="C9799" t="s">
        <v>43</v>
      </c>
      <c r="D9799" t="s">
        <v>5628</v>
      </c>
      <c r="F9799" s="21"/>
      <c r="G9799" s="16" t="str">
        <f>HYPERLINK("http://maps.google.com/maps?f=q&amp;hl=en&amp;geocode=&amp;q=34.11912,-118.05126")</f>
        <v>http://maps.google.com/maps?f=q&amp;hl=en&amp;geocode=&amp;q=34.11912,-118.05126</v>
      </c>
    </row>
    <row r="9800" spans="1:7" ht="15" x14ac:dyDescent="0.3">
      <c r="A9800">
        <v>30.807890418221302</v>
      </c>
      <c r="B9800">
        <v>-85.201848800361503</v>
      </c>
      <c r="C9800" t="s">
        <v>41</v>
      </c>
      <c r="D9800" t="s">
        <v>5631</v>
      </c>
      <c r="F9800" s="21"/>
      <c r="G9800" s="16" t="str">
        <f>HYPERLINK("http://maps.google.com/maps?f=q&amp;hl=en&amp;geocode=&amp;q=30.8078904182213,-85.2018488003615")</f>
        <v>http://maps.google.com/maps?f=q&amp;hl=en&amp;geocode=&amp;q=30.8078904182213,-85.2018488003615</v>
      </c>
    </row>
    <row r="9801" spans="1:7" ht="15" x14ac:dyDescent="0.3">
      <c r="A9801">
        <v>-31.726726531982401</v>
      </c>
      <c r="B9801">
        <v>115.733360290527</v>
      </c>
      <c r="C9801" t="s">
        <v>41</v>
      </c>
      <c r="D9801" t="s">
        <v>5632</v>
      </c>
      <c r="F9801" s="21"/>
      <c r="G9801" s="16" t="str">
        <f>HYPERLINK("http://maps.google.com/maps?f=q&amp;hl=en&amp;geocode=&amp;q=-31.7267265319824,115.733360290527")</f>
        <v>http://maps.google.com/maps?f=q&amp;hl=en&amp;geocode=&amp;q=-31.7267265319824,115.733360290527</v>
      </c>
    </row>
    <row r="9802" spans="1:7" ht="15" x14ac:dyDescent="0.3">
      <c r="A9802">
        <v>33.370102031188402</v>
      </c>
      <c r="B9802">
        <v>-82.353364406038494</v>
      </c>
      <c r="C9802" t="s">
        <v>41</v>
      </c>
      <c r="D9802" t="s">
        <v>5633</v>
      </c>
      <c r="F9802" s="21"/>
      <c r="G9802" s="16" t="str">
        <f>HYPERLINK("http://maps.google.com/maps?f=q&amp;hl=en&amp;geocode=&amp;q=33.3701020311884,-82.3533644060385")</f>
        <v>http://maps.google.com/maps?f=q&amp;hl=en&amp;geocode=&amp;q=33.3701020311884,-82.3533644060385</v>
      </c>
    </row>
    <row r="9803" spans="1:7" ht="15" x14ac:dyDescent="0.3">
      <c r="A9803">
        <v>48.672306060791001</v>
      </c>
      <c r="B9803">
        <v>7.5540661811828604</v>
      </c>
      <c r="C9803" t="s">
        <v>43</v>
      </c>
      <c r="D9803" t="s">
        <v>5375</v>
      </c>
      <c r="F9803" s="21"/>
      <c r="G9803" s="16" t="str">
        <f>HYPERLINK("http://maps.google.com/maps?f=q&amp;hl=en&amp;geocode=&amp;q=48.672306060791,7.55406618118286")</f>
        <v>http://maps.google.com/maps?f=q&amp;hl=en&amp;geocode=&amp;q=48.672306060791,7.55406618118286</v>
      </c>
    </row>
    <row r="9804" spans="1:7" ht="15" x14ac:dyDescent="0.3">
      <c r="A9804">
        <v>43.025587855921799</v>
      </c>
      <c r="B9804">
        <v>-74.985908809015001</v>
      </c>
      <c r="C9804" t="s">
        <v>41</v>
      </c>
      <c r="D9804" t="s">
        <v>1185</v>
      </c>
      <c r="F9804" s="21"/>
      <c r="G9804" s="16" t="str">
        <f>HYPERLINK("http://maps.google.com/maps?f=q&amp;hl=en&amp;geocode=&amp;q=43.0255878559218,-74.985908809015")</f>
        <v>http://maps.google.com/maps?f=q&amp;hl=en&amp;geocode=&amp;q=43.0255878559218,-74.985908809015</v>
      </c>
    </row>
    <row r="9805" spans="1:7" ht="15" x14ac:dyDescent="0.3">
      <c r="A9805" t="s">
        <v>44</v>
      </c>
      <c r="B9805" t="s">
        <v>44</v>
      </c>
      <c r="C9805" t="s">
        <v>44</v>
      </c>
      <c r="D9805" t="s">
        <v>1239</v>
      </c>
      <c r="F9805" s="21"/>
      <c r="G9805" s="16"/>
    </row>
    <row r="9806" spans="1:7" ht="15" x14ac:dyDescent="0.3">
      <c r="F9806" s="21"/>
      <c r="G9806" s="16"/>
    </row>
    <row r="9807" spans="1:7" ht="15" x14ac:dyDescent="0.3">
      <c r="F9807" s="21"/>
      <c r="G9807" s="16"/>
    </row>
    <row r="9808" spans="1:7" ht="15" x14ac:dyDescent="0.3">
      <c r="A9808">
        <v>35.906511793196799</v>
      </c>
      <c r="B9808">
        <v>-86.413537013891997</v>
      </c>
      <c r="C9808" t="s">
        <v>41</v>
      </c>
      <c r="D9808" t="s">
        <v>5634</v>
      </c>
      <c r="F9808" s="21"/>
      <c r="G9808" s="16" t="str">
        <f>HYPERLINK("http://maps.google.com/maps?f=q&amp;hl=en&amp;geocode=&amp;q=35.9065117931968,-86.413537013892")</f>
        <v>http://maps.google.com/maps?f=q&amp;hl=en&amp;geocode=&amp;q=35.9065117931968,-86.413537013892</v>
      </c>
    </row>
    <row r="9809" spans="1:7" ht="15" x14ac:dyDescent="0.3">
      <c r="A9809">
        <v>40.748956401093899</v>
      </c>
      <c r="B9809">
        <v>-82.531510400821006</v>
      </c>
      <c r="C9809" t="s">
        <v>41</v>
      </c>
      <c r="D9809" t="s">
        <v>5635</v>
      </c>
      <c r="F9809" s="21"/>
      <c r="G9809" s="16" t="str">
        <f>HYPERLINK("http://maps.google.com/maps?f=q&amp;hl=en&amp;geocode=&amp;q=40.7489564010939,-82.531510400821")</f>
        <v>http://maps.google.com/maps?f=q&amp;hl=en&amp;geocode=&amp;q=40.7489564010939,-82.531510400821</v>
      </c>
    </row>
    <row r="9810" spans="1:7" ht="15" x14ac:dyDescent="0.3">
      <c r="A9810">
        <v>27.508375034901601</v>
      </c>
      <c r="B9810">
        <v>-99.476821190701699</v>
      </c>
      <c r="C9810" t="s">
        <v>43</v>
      </c>
      <c r="D9810" t="s">
        <v>5636</v>
      </c>
      <c r="F9810" s="21"/>
      <c r="G9810" s="16" t="str">
        <f>HYPERLINK("http://maps.google.com/maps?f=q&amp;hl=en&amp;geocode=&amp;q=27.5083750349016,-99.4768211907017")</f>
        <v>http://maps.google.com/maps?f=q&amp;hl=en&amp;geocode=&amp;q=27.5083750349016,-99.4768211907017</v>
      </c>
    </row>
    <row r="9811" spans="1:7" ht="15" x14ac:dyDescent="0.3">
      <c r="A9811">
        <v>40.748956401093899</v>
      </c>
      <c r="B9811">
        <v>-82.531510400821006</v>
      </c>
      <c r="C9811" t="s">
        <v>41</v>
      </c>
      <c r="D9811" t="s">
        <v>5635</v>
      </c>
      <c r="F9811" s="21"/>
      <c r="G9811" s="16" t="str">
        <f>HYPERLINK("http://maps.google.com/maps?f=q&amp;hl=en&amp;geocode=&amp;q=40.7489564010939,-82.531510400821")</f>
        <v>http://maps.google.com/maps?f=q&amp;hl=en&amp;geocode=&amp;q=40.7489564010939,-82.531510400821</v>
      </c>
    </row>
    <row r="9812" spans="1:7" ht="15" x14ac:dyDescent="0.3">
      <c r="A9812">
        <v>40.748956401093899</v>
      </c>
      <c r="B9812">
        <v>-82.531510400821006</v>
      </c>
      <c r="C9812" t="s">
        <v>41</v>
      </c>
      <c r="D9812" t="s">
        <v>5635</v>
      </c>
      <c r="F9812" s="21"/>
      <c r="G9812" s="16" t="str">
        <f>HYPERLINK("http://maps.google.com/maps?f=q&amp;hl=en&amp;geocode=&amp;q=40.7489564010939,-82.531510400821")</f>
        <v>http://maps.google.com/maps?f=q&amp;hl=en&amp;geocode=&amp;q=40.7489564010939,-82.531510400821</v>
      </c>
    </row>
    <row r="9813" spans="1:7" ht="15" x14ac:dyDescent="0.3">
      <c r="A9813">
        <v>43.1462056492663</v>
      </c>
      <c r="B9813">
        <v>-75.463922665397305</v>
      </c>
      <c r="C9813" t="s">
        <v>41</v>
      </c>
      <c r="D9813" t="s">
        <v>2440</v>
      </c>
      <c r="F9813" s="21"/>
      <c r="G9813" s="16" t="str">
        <f>HYPERLINK("http://maps.google.com/maps?f=q&amp;hl=en&amp;geocode=&amp;q=43.1462056492663,-75.4639226653973")</f>
        <v>http://maps.google.com/maps?f=q&amp;hl=en&amp;geocode=&amp;q=43.1462056492663,-75.4639226653973</v>
      </c>
    </row>
    <row r="9814" spans="1:7" ht="15" x14ac:dyDescent="0.3">
      <c r="A9814">
        <v>-33.557464599609403</v>
      </c>
      <c r="B9814">
        <v>135.82585144043</v>
      </c>
      <c r="C9814" t="s">
        <v>41</v>
      </c>
      <c r="D9814" t="s">
        <v>5637</v>
      </c>
      <c r="F9814" s="21"/>
      <c r="G9814" s="16" t="str">
        <f>HYPERLINK("http://maps.google.com/maps?f=q&amp;hl=en&amp;geocode=&amp;q=-33.5574645996094,135.82585144043")</f>
        <v>http://maps.google.com/maps?f=q&amp;hl=en&amp;geocode=&amp;q=-33.5574645996094,135.82585144043</v>
      </c>
    </row>
    <row r="9815" spans="1:7" ht="15" x14ac:dyDescent="0.3">
      <c r="A9815">
        <v>42.999576568603501</v>
      </c>
      <c r="B9815">
        <v>-107.551513671875</v>
      </c>
      <c r="C9815" t="s">
        <v>41</v>
      </c>
      <c r="D9815" t="s">
        <v>5638</v>
      </c>
      <c r="F9815" s="21"/>
      <c r="G9815" s="16" t="str">
        <f>HYPERLINK("http://maps.google.com/maps?f=q&amp;hl=en&amp;geocode=&amp;q=42.9995765686035,-107.551513671875")</f>
        <v>http://maps.google.com/maps?f=q&amp;hl=en&amp;geocode=&amp;q=42.9995765686035,-107.551513671875</v>
      </c>
    </row>
    <row r="9816" spans="1:7" ht="15" x14ac:dyDescent="0.3">
      <c r="A9816">
        <v>45.771915435791001</v>
      </c>
      <c r="B9816">
        <v>-68.757453918457003</v>
      </c>
      <c r="C9816" t="s">
        <v>41</v>
      </c>
      <c r="D9816" t="s">
        <v>5639</v>
      </c>
      <c r="F9816" s="21"/>
      <c r="G9816" s="16" t="str">
        <f>HYPERLINK("http://maps.google.com/maps?f=q&amp;hl=en&amp;geocode=&amp;q=45.771915435791,-68.757453918457")</f>
        <v>http://maps.google.com/maps?f=q&amp;hl=en&amp;geocode=&amp;q=45.771915435791,-68.757453918457</v>
      </c>
    </row>
    <row r="9817" spans="1:7" ht="15" x14ac:dyDescent="0.3">
      <c r="A9817">
        <v>49.518180847167997</v>
      </c>
      <c r="B9817">
        <v>5.8978409767150897</v>
      </c>
      <c r="C9817" t="s">
        <v>41</v>
      </c>
      <c r="D9817" t="s">
        <v>2510</v>
      </c>
      <c r="F9817" s="21"/>
      <c r="G9817" s="16" t="str">
        <f>HYPERLINK("http://maps.google.com/maps?f=q&amp;hl=en&amp;geocode=&amp;q=49.518180847168,5.89784097671509")</f>
        <v>http://maps.google.com/maps?f=q&amp;hl=en&amp;geocode=&amp;q=49.518180847168,5.89784097671509</v>
      </c>
    </row>
    <row r="9818" spans="1:7" ht="15" x14ac:dyDescent="0.3">
      <c r="A9818">
        <v>40.019219999999997</v>
      </c>
      <c r="B9818">
        <v>-75.11806</v>
      </c>
      <c r="C9818" t="s">
        <v>41</v>
      </c>
      <c r="D9818" t="s">
        <v>5555</v>
      </c>
      <c r="F9818" s="21"/>
      <c r="G9818" s="16" t="str">
        <f>HYPERLINK("http://maps.google.com/maps?f=q&amp;hl=en&amp;geocode=&amp;q=40.01922,-75.11806")</f>
        <v>http://maps.google.com/maps?f=q&amp;hl=en&amp;geocode=&amp;q=40.01922,-75.11806</v>
      </c>
    </row>
    <row r="9819" spans="1:7" ht="15" x14ac:dyDescent="0.3">
      <c r="A9819">
        <v>40.019219999999997</v>
      </c>
      <c r="B9819">
        <v>-75.11806</v>
      </c>
      <c r="C9819" t="s">
        <v>41</v>
      </c>
      <c r="D9819" t="s">
        <v>5555</v>
      </c>
      <c r="F9819" s="21"/>
      <c r="G9819" s="16" t="str">
        <f>HYPERLINK("http://maps.google.com/maps?f=q&amp;hl=en&amp;geocode=&amp;q=40.01922,-75.11806")</f>
        <v>http://maps.google.com/maps?f=q&amp;hl=en&amp;geocode=&amp;q=40.01922,-75.11806</v>
      </c>
    </row>
    <row r="9820" spans="1:7" ht="15" x14ac:dyDescent="0.3">
      <c r="A9820">
        <v>49.518180847167997</v>
      </c>
      <c r="B9820">
        <v>5.8978409767150897</v>
      </c>
      <c r="C9820" t="s">
        <v>41</v>
      </c>
      <c r="D9820" t="s">
        <v>2510</v>
      </c>
      <c r="F9820" s="21"/>
      <c r="G9820" s="16" t="str">
        <f>HYPERLINK("http://maps.google.com/maps?f=q&amp;hl=en&amp;geocode=&amp;q=49.518180847168,5.89784097671509")</f>
        <v>http://maps.google.com/maps?f=q&amp;hl=en&amp;geocode=&amp;q=49.518180847168,5.89784097671509</v>
      </c>
    </row>
    <row r="9821" spans="1:7" ht="15" x14ac:dyDescent="0.3">
      <c r="A9821" t="s">
        <v>44</v>
      </c>
      <c r="B9821" t="s">
        <v>44</v>
      </c>
      <c r="C9821" t="s">
        <v>44</v>
      </c>
      <c r="D9821" t="s">
        <v>235</v>
      </c>
      <c r="F9821" s="21"/>
      <c r="G9821" s="16"/>
    </row>
    <row r="9822" spans="1:7" ht="15" x14ac:dyDescent="0.3">
      <c r="A9822" t="s">
        <v>44</v>
      </c>
      <c r="B9822" t="s">
        <v>44</v>
      </c>
      <c r="C9822" t="s">
        <v>44</v>
      </c>
      <c r="D9822" t="s">
        <v>235</v>
      </c>
      <c r="F9822" s="21"/>
      <c r="G9822" s="16"/>
    </row>
    <row r="9823" spans="1:7" ht="15" x14ac:dyDescent="0.3">
      <c r="A9823">
        <v>39.990549999999999</v>
      </c>
      <c r="B9823">
        <v>-75.100309999999993</v>
      </c>
      <c r="C9823" t="s">
        <v>41</v>
      </c>
      <c r="D9823" t="s">
        <v>1630</v>
      </c>
      <c r="F9823" s="21"/>
      <c r="G9823" s="16" t="str">
        <f>HYPERLINK("http://maps.google.com/maps?f=q&amp;hl=en&amp;geocode=&amp;q=39.99055,-75.10031")</f>
        <v>http://maps.google.com/maps?f=q&amp;hl=en&amp;geocode=&amp;q=39.99055,-75.10031</v>
      </c>
    </row>
    <row r="9824" spans="1:7" ht="15" x14ac:dyDescent="0.3">
      <c r="A9824">
        <v>39.995800000000003</v>
      </c>
      <c r="B9824">
        <v>-75.170929999999998</v>
      </c>
      <c r="C9824" t="s">
        <v>41</v>
      </c>
      <c r="D9824" t="s">
        <v>3739</v>
      </c>
      <c r="F9824" s="21"/>
      <c r="G9824" s="16" t="str">
        <f>HYPERLINK("http://maps.google.com/maps?f=q&amp;hl=en&amp;geocode=&amp;q=39.9958,-75.17093")</f>
        <v>http://maps.google.com/maps?f=q&amp;hl=en&amp;geocode=&amp;q=39.9958,-75.17093</v>
      </c>
    </row>
    <row r="9825" spans="1:7" ht="15" x14ac:dyDescent="0.3">
      <c r="A9825">
        <v>39.995800000000003</v>
      </c>
      <c r="B9825">
        <v>-75.170929999999998</v>
      </c>
      <c r="C9825" t="s">
        <v>41</v>
      </c>
      <c r="D9825" t="s">
        <v>3739</v>
      </c>
      <c r="F9825" s="21"/>
      <c r="G9825" s="16" t="str">
        <f>HYPERLINK("http://maps.google.com/maps?f=q&amp;hl=en&amp;geocode=&amp;q=39.9958,-75.17093")</f>
        <v>http://maps.google.com/maps?f=q&amp;hl=en&amp;geocode=&amp;q=39.9958,-75.17093</v>
      </c>
    </row>
    <row r="9826" spans="1:7" ht="15" x14ac:dyDescent="0.3">
      <c r="A9826">
        <v>42.832060080131903</v>
      </c>
      <c r="B9826">
        <v>-77.3825567047557</v>
      </c>
      <c r="C9826" t="s">
        <v>41</v>
      </c>
      <c r="D9826" t="s">
        <v>5640</v>
      </c>
      <c r="F9826" s="21"/>
      <c r="G9826" s="16" t="str">
        <f>HYPERLINK("http://maps.google.com/maps?f=q&amp;hl=en&amp;geocode=&amp;q=42.8320600801319,-77.3825567047557")</f>
        <v>http://maps.google.com/maps?f=q&amp;hl=en&amp;geocode=&amp;q=42.8320600801319,-77.3825567047557</v>
      </c>
    </row>
    <row r="9827" spans="1:7" ht="15" x14ac:dyDescent="0.3">
      <c r="A9827">
        <v>39.917769335819102</v>
      </c>
      <c r="B9827">
        <v>-75.179506243979901</v>
      </c>
      <c r="C9827" t="s">
        <v>41</v>
      </c>
      <c r="D9827" t="s">
        <v>5641</v>
      </c>
      <c r="F9827" s="21"/>
      <c r="G9827" s="16" t="str">
        <f>HYPERLINK("http://maps.google.com/maps?f=q&amp;hl=en&amp;geocode=&amp;q=39.9177693358191,-75.1795062439799")</f>
        <v>http://maps.google.com/maps?f=q&amp;hl=en&amp;geocode=&amp;q=39.9177693358191,-75.1795062439799</v>
      </c>
    </row>
    <row r="9828" spans="1:7" ht="15" x14ac:dyDescent="0.3">
      <c r="A9828">
        <v>39.917769335819102</v>
      </c>
      <c r="B9828">
        <v>-75.179506243979901</v>
      </c>
      <c r="C9828" t="s">
        <v>41</v>
      </c>
      <c r="D9828" t="s">
        <v>5641</v>
      </c>
      <c r="F9828" s="21"/>
      <c r="G9828" s="16" t="str">
        <f>HYPERLINK("http://maps.google.com/maps?f=q&amp;hl=en&amp;geocode=&amp;q=39.9177693358191,-75.1795062439799")</f>
        <v>http://maps.google.com/maps?f=q&amp;hl=en&amp;geocode=&amp;q=39.9177693358191,-75.1795062439799</v>
      </c>
    </row>
    <row r="9829" spans="1:7" ht="15" x14ac:dyDescent="0.3">
      <c r="A9829">
        <v>40.061929999999997</v>
      </c>
      <c r="B9829">
        <v>-75.189679999999996</v>
      </c>
      <c r="C9829" t="s">
        <v>41</v>
      </c>
      <c r="D9829" t="s">
        <v>4888</v>
      </c>
      <c r="F9829" s="21"/>
      <c r="G9829" s="16" t="str">
        <f>HYPERLINK("http://maps.google.com/maps?f=q&amp;hl=en&amp;geocode=&amp;q=40.06193,-75.18968")</f>
        <v>http://maps.google.com/maps?f=q&amp;hl=en&amp;geocode=&amp;q=40.06193,-75.18968</v>
      </c>
    </row>
    <row r="9830" spans="1:7" ht="15" x14ac:dyDescent="0.3">
      <c r="A9830" t="s">
        <v>44</v>
      </c>
      <c r="B9830" t="s">
        <v>44</v>
      </c>
      <c r="C9830" t="s">
        <v>44</v>
      </c>
      <c r="D9830" t="s">
        <v>5642</v>
      </c>
      <c r="F9830" s="21"/>
      <c r="G9830" s="16"/>
    </row>
    <row r="9831" spans="1:7" ht="15" x14ac:dyDescent="0.3">
      <c r="A9831">
        <v>40.4185423925612</v>
      </c>
      <c r="B9831">
        <v>-79.630374639624094</v>
      </c>
      <c r="C9831" t="s">
        <v>41</v>
      </c>
      <c r="D9831" t="s">
        <v>5643</v>
      </c>
      <c r="F9831" s="21"/>
      <c r="G9831" s="16" t="str">
        <f>HYPERLINK("http://maps.google.com/maps?f=q&amp;hl=en&amp;geocode=&amp;q=40.4185423925612,-79.6303746396241")</f>
        <v>http://maps.google.com/maps?f=q&amp;hl=en&amp;geocode=&amp;q=40.4185423925612,-79.6303746396241</v>
      </c>
    </row>
    <row r="9832" spans="1:7" ht="15" x14ac:dyDescent="0.3">
      <c r="A9832">
        <v>41.917929999999998</v>
      </c>
      <c r="B9832">
        <v>-87.668869999999998</v>
      </c>
      <c r="C9832" t="s">
        <v>43</v>
      </c>
      <c r="D9832" t="s">
        <v>5644</v>
      </c>
      <c r="F9832" s="21"/>
      <c r="G9832" s="16" t="str">
        <f>HYPERLINK("http://maps.google.com/maps?f=q&amp;hl=en&amp;geocode=&amp;q=41.91793,-87.66887")</f>
        <v>http://maps.google.com/maps?f=q&amp;hl=en&amp;geocode=&amp;q=41.91793,-87.66887</v>
      </c>
    </row>
    <row r="9833" spans="1:7" ht="15" x14ac:dyDescent="0.3">
      <c r="A9833">
        <v>47.116134643554702</v>
      </c>
      <c r="B9833">
        <v>6.8440089225768999</v>
      </c>
      <c r="C9833" t="s">
        <v>43</v>
      </c>
      <c r="D9833" t="s">
        <v>3751</v>
      </c>
      <c r="F9833" s="21"/>
      <c r="G9833" s="16" t="str">
        <f>HYPERLINK("http://maps.google.com/maps?f=q&amp;hl=en&amp;geocode=&amp;q=47.1161346435547,6.8440089225769")</f>
        <v>http://maps.google.com/maps?f=q&amp;hl=en&amp;geocode=&amp;q=47.1161346435547,6.8440089225769</v>
      </c>
    </row>
    <row r="9834" spans="1:7" ht="15" x14ac:dyDescent="0.3">
      <c r="A9834" t="s">
        <v>44</v>
      </c>
      <c r="B9834" t="s">
        <v>44</v>
      </c>
      <c r="C9834" t="s">
        <v>44</v>
      </c>
      <c r="D9834" t="s">
        <v>5645</v>
      </c>
      <c r="F9834" s="21"/>
      <c r="G9834" s="16"/>
    </row>
    <row r="9835" spans="1:7" ht="15" x14ac:dyDescent="0.3">
      <c r="A9835">
        <v>51.898040771484403</v>
      </c>
      <c r="B9835">
        <v>-2.0784399509429901</v>
      </c>
      <c r="C9835" t="s">
        <v>43</v>
      </c>
      <c r="D9835" t="s">
        <v>4980</v>
      </c>
      <c r="F9835" s="21"/>
      <c r="G9835" s="16" t="str">
        <f>HYPERLINK("http://maps.google.com/maps?f=q&amp;hl=en&amp;geocode=&amp;q=51.8980407714844,-2.07843995094299")</f>
        <v>http://maps.google.com/maps?f=q&amp;hl=en&amp;geocode=&amp;q=51.8980407714844,-2.07843995094299</v>
      </c>
    </row>
    <row r="9836" spans="1:7" ht="15" x14ac:dyDescent="0.3">
      <c r="A9836">
        <v>39.160356541623997</v>
      </c>
      <c r="B9836">
        <v>-94.703267185075305</v>
      </c>
      <c r="C9836" t="s">
        <v>41</v>
      </c>
      <c r="D9836" t="s">
        <v>5646</v>
      </c>
      <c r="F9836" s="21"/>
      <c r="G9836" s="16" t="str">
        <f>HYPERLINK("http://maps.google.com/maps?f=q&amp;hl=en&amp;geocode=&amp;q=39.160356541624,-94.7032671850753")</f>
        <v>http://maps.google.com/maps?f=q&amp;hl=en&amp;geocode=&amp;q=39.160356541624,-94.7032671850753</v>
      </c>
    </row>
    <row r="9837" spans="1:7" ht="15" x14ac:dyDescent="0.3">
      <c r="A9837">
        <v>40.038453769809102</v>
      </c>
      <c r="B9837">
        <v>-75.067328237851498</v>
      </c>
      <c r="C9837" t="s">
        <v>41</v>
      </c>
      <c r="D9837" t="s">
        <v>1763</v>
      </c>
      <c r="F9837" s="21"/>
      <c r="G9837" s="16" t="str">
        <f>HYPERLINK("http://maps.google.com/maps?f=q&amp;hl=en&amp;geocode=&amp;q=40.0384537698091,-75.0673282378515")</f>
        <v>http://maps.google.com/maps?f=q&amp;hl=en&amp;geocode=&amp;q=40.0384537698091,-75.0673282378515</v>
      </c>
    </row>
    <row r="9838" spans="1:7" ht="15" x14ac:dyDescent="0.3">
      <c r="A9838" t="s">
        <v>44</v>
      </c>
      <c r="B9838" t="s">
        <v>44</v>
      </c>
      <c r="C9838" t="s">
        <v>44</v>
      </c>
      <c r="D9838" t="s">
        <v>5647</v>
      </c>
      <c r="F9838" s="21"/>
      <c r="G9838" s="16"/>
    </row>
    <row r="9839" spans="1:7" ht="15" x14ac:dyDescent="0.3">
      <c r="A9839">
        <v>40.041989999999998</v>
      </c>
      <c r="B9839">
        <v>-75.167249999999996</v>
      </c>
      <c r="C9839" t="s">
        <v>41</v>
      </c>
      <c r="D9839" t="s">
        <v>4971</v>
      </c>
      <c r="F9839" s="21"/>
      <c r="G9839" s="16" t="str">
        <f>HYPERLINK("http://maps.google.com/maps?f=q&amp;hl=en&amp;geocode=&amp;q=40.04199,-75.16725")</f>
        <v>http://maps.google.com/maps?f=q&amp;hl=en&amp;geocode=&amp;q=40.04199,-75.16725</v>
      </c>
    </row>
    <row r="9840" spans="1:7" ht="15" x14ac:dyDescent="0.3">
      <c r="A9840">
        <v>39.926000000000002</v>
      </c>
      <c r="B9840">
        <v>-75.172690000000003</v>
      </c>
      <c r="C9840" t="s">
        <v>43</v>
      </c>
      <c r="D9840" t="s">
        <v>3653</v>
      </c>
      <c r="F9840" s="21"/>
      <c r="G9840" s="16" t="str">
        <f>HYPERLINK("http://maps.google.com/maps?f=q&amp;hl=en&amp;geocode=&amp;q=39.926,-75.17269")</f>
        <v>http://maps.google.com/maps?f=q&amp;hl=en&amp;geocode=&amp;q=39.926,-75.17269</v>
      </c>
    </row>
    <row r="9841" spans="1:7" ht="15" x14ac:dyDescent="0.3">
      <c r="A9841">
        <v>40.221249999999998</v>
      </c>
      <c r="B9841">
        <v>-76.289599999999993</v>
      </c>
      <c r="C9841" t="s">
        <v>42</v>
      </c>
      <c r="D9841" t="s">
        <v>5648</v>
      </c>
      <c r="F9841" s="21"/>
      <c r="G9841" s="16" t="str">
        <f>HYPERLINK("http://maps.google.com/maps?f=q&amp;hl=en&amp;geocode=&amp;q=40.22125,-76.2896")</f>
        <v>http://maps.google.com/maps?f=q&amp;hl=en&amp;geocode=&amp;q=40.22125,-76.2896</v>
      </c>
    </row>
    <row r="9842" spans="1:7" ht="15" x14ac:dyDescent="0.3">
      <c r="A9842">
        <v>28.652539999999998</v>
      </c>
      <c r="B9842">
        <v>-81.468000000000004</v>
      </c>
      <c r="C9842" t="s">
        <v>42</v>
      </c>
      <c r="D9842" t="s">
        <v>5430</v>
      </c>
      <c r="F9842" s="21"/>
      <c r="G9842" s="16" t="str">
        <f>HYPERLINK("http://maps.google.com/maps?f=q&amp;hl=en&amp;geocode=&amp;q=28.65254,-81.468")</f>
        <v>http://maps.google.com/maps?f=q&amp;hl=en&amp;geocode=&amp;q=28.65254,-81.468</v>
      </c>
    </row>
    <row r="9843" spans="1:7" ht="15" x14ac:dyDescent="0.3">
      <c r="A9843">
        <v>39.684371948242202</v>
      </c>
      <c r="B9843">
        <v>21.8974094390869</v>
      </c>
      <c r="C9843" t="s">
        <v>41</v>
      </c>
      <c r="D9843" t="s">
        <v>5649</v>
      </c>
      <c r="F9843" s="21"/>
      <c r="G9843" s="16" t="str">
        <f>HYPERLINK("http://maps.google.com/maps?f=q&amp;hl=en&amp;geocode=&amp;q=39.6843719482422,21.8974094390869")</f>
        <v>http://maps.google.com/maps?f=q&amp;hl=en&amp;geocode=&amp;q=39.6843719482422,21.8974094390869</v>
      </c>
    </row>
    <row r="9844" spans="1:7" ht="15" x14ac:dyDescent="0.3">
      <c r="A9844">
        <v>31.028939999999999</v>
      </c>
      <c r="B9844">
        <v>-87.526110000000003</v>
      </c>
      <c r="C9844" t="s">
        <v>41</v>
      </c>
      <c r="D9844" t="s">
        <v>3474</v>
      </c>
      <c r="F9844" s="21"/>
      <c r="G9844" s="16" t="str">
        <f>HYPERLINK("http://maps.google.com/maps?f=q&amp;hl=en&amp;geocode=&amp;q=31.02894,-87.52611")</f>
        <v>http://maps.google.com/maps?f=q&amp;hl=en&amp;geocode=&amp;q=31.02894,-87.52611</v>
      </c>
    </row>
    <row r="9845" spans="1:7" ht="15" x14ac:dyDescent="0.3">
      <c r="A9845">
        <v>31.028404141084099</v>
      </c>
      <c r="B9845">
        <v>-87.5244504042914</v>
      </c>
      <c r="C9845" t="s">
        <v>41</v>
      </c>
      <c r="D9845" t="s">
        <v>3690</v>
      </c>
      <c r="F9845" s="21"/>
      <c r="G9845" s="16" t="str">
        <f>HYPERLINK("http://maps.google.com/maps?f=q&amp;hl=en&amp;geocode=&amp;q=31.0284041410841,-87.5244504042914")</f>
        <v>http://maps.google.com/maps?f=q&amp;hl=en&amp;geocode=&amp;q=31.0284041410841,-87.5244504042914</v>
      </c>
    </row>
    <row r="9846" spans="1:7" ht="15" x14ac:dyDescent="0.3">
      <c r="A9846">
        <v>40.17013</v>
      </c>
      <c r="B9846">
        <v>-74.019440000000003</v>
      </c>
      <c r="C9846" t="s">
        <v>43</v>
      </c>
      <c r="D9846" t="s">
        <v>4775</v>
      </c>
      <c r="F9846" s="21"/>
      <c r="G9846" s="16" t="str">
        <f>HYPERLINK("http://maps.google.com/maps?f=q&amp;hl=en&amp;geocode=&amp;q=40.17013,-74.01944")</f>
        <v>http://maps.google.com/maps?f=q&amp;hl=en&amp;geocode=&amp;q=40.17013,-74.01944</v>
      </c>
    </row>
    <row r="9847" spans="1:7" ht="15" x14ac:dyDescent="0.3">
      <c r="A9847">
        <v>50.780136108398402</v>
      </c>
      <c r="B9847">
        <v>4.2288222312927202</v>
      </c>
      <c r="C9847" t="s">
        <v>43</v>
      </c>
      <c r="D9847" t="s">
        <v>5650</v>
      </c>
      <c r="F9847" s="21"/>
      <c r="G9847" s="16" t="str">
        <f>HYPERLINK("http://maps.google.com/maps?f=q&amp;hl=en&amp;geocode=&amp;q=50.7801361083984,4.22882223129272")</f>
        <v>http://maps.google.com/maps?f=q&amp;hl=en&amp;geocode=&amp;q=50.7801361083984,4.22882223129272</v>
      </c>
    </row>
    <row r="9848" spans="1:7" ht="15" x14ac:dyDescent="0.3">
      <c r="A9848">
        <v>-26.188575744628899</v>
      </c>
      <c r="B9848">
        <v>27.929327011108398</v>
      </c>
      <c r="C9848" t="s">
        <v>43</v>
      </c>
      <c r="D9848" t="s">
        <v>3207</v>
      </c>
      <c r="F9848" s="21"/>
      <c r="G9848" s="16" t="str">
        <f>HYPERLINK("http://maps.google.com/maps?f=q&amp;hl=en&amp;geocode=&amp;q=-26.1885757446289,27.9293270111084")</f>
        <v>http://maps.google.com/maps?f=q&amp;hl=en&amp;geocode=&amp;q=-26.1885757446289,27.9293270111084</v>
      </c>
    </row>
    <row r="9849" spans="1:7" ht="15" x14ac:dyDescent="0.3">
      <c r="A9849">
        <v>50.780136108398402</v>
      </c>
      <c r="B9849">
        <v>4.2288222312927202</v>
      </c>
      <c r="C9849" t="s">
        <v>43</v>
      </c>
      <c r="D9849" t="s">
        <v>5650</v>
      </c>
      <c r="F9849" s="21"/>
      <c r="G9849" s="16" t="str">
        <f>HYPERLINK("http://maps.google.com/maps?f=q&amp;hl=en&amp;geocode=&amp;q=50.7801361083984,4.22882223129272")</f>
        <v>http://maps.google.com/maps?f=q&amp;hl=en&amp;geocode=&amp;q=50.7801361083984,4.22882223129272</v>
      </c>
    </row>
    <row r="9850" spans="1:7" ht="15" x14ac:dyDescent="0.3">
      <c r="A9850">
        <v>59.922351837158203</v>
      </c>
      <c r="B9850">
        <v>11.178321838378899</v>
      </c>
      <c r="C9850" t="s">
        <v>43</v>
      </c>
      <c r="D9850" t="s">
        <v>5651</v>
      </c>
      <c r="F9850" s="21"/>
      <c r="G9850" s="16" t="str">
        <f>HYPERLINK("http://maps.google.com/maps?f=q&amp;hl=en&amp;geocode=&amp;q=59.9223518371582,11.1783218383789")</f>
        <v>http://maps.google.com/maps?f=q&amp;hl=en&amp;geocode=&amp;q=59.9223518371582,11.1783218383789</v>
      </c>
    </row>
    <row r="9851" spans="1:7" ht="15" x14ac:dyDescent="0.3">
      <c r="A9851">
        <v>-26.034427642822301</v>
      </c>
      <c r="B9851">
        <v>28.5431098937988</v>
      </c>
      <c r="C9851" t="s">
        <v>43</v>
      </c>
      <c r="D9851" t="s">
        <v>3755</v>
      </c>
      <c r="F9851" s="21"/>
      <c r="G9851" s="16" t="str">
        <f>HYPERLINK("http://maps.google.com/maps?f=q&amp;hl=en&amp;geocode=&amp;q=-26.0344276428223,28.5431098937988")</f>
        <v>http://maps.google.com/maps?f=q&amp;hl=en&amp;geocode=&amp;q=-26.0344276428223,28.5431098937988</v>
      </c>
    </row>
    <row r="9852" spans="1:7" ht="15" x14ac:dyDescent="0.3">
      <c r="A9852">
        <v>39.898059844970703</v>
      </c>
      <c r="B9852">
        <v>-75.211669921875</v>
      </c>
      <c r="C9852" t="s">
        <v>41</v>
      </c>
      <c r="D9852" t="s">
        <v>5652</v>
      </c>
      <c r="F9852" s="21"/>
      <c r="G9852" s="16" t="str">
        <f>HYPERLINK("http://maps.google.com/maps?f=q&amp;hl=en&amp;geocode=&amp;q=39.8980598449707,-75.211669921875")</f>
        <v>http://maps.google.com/maps?f=q&amp;hl=en&amp;geocode=&amp;q=39.8980598449707,-75.211669921875</v>
      </c>
    </row>
    <row r="9853" spans="1:7" ht="15" x14ac:dyDescent="0.3">
      <c r="A9853">
        <v>36.674019999999999</v>
      </c>
      <c r="B9853">
        <v>-79.867670000000004</v>
      </c>
      <c r="C9853" t="s">
        <v>42</v>
      </c>
      <c r="D9853" t="s">
        <v>5653</v>
      </c>
      <c r="F9853" s="21"/>
      <c r="G9853" s="16" t="str">
        <f>HYPERLINK("http://maps.google.com/maps?f=q&amp;hl=en&amp;geocode=&amp;q=36.67402,-79.86767")</f>
        <v>http://maps.google.com/maps?f=q&amp;hl=en&amp;geocode=&amp;q=36.67402,-79.86767</v>
      </c>
    </row>
    <row r="9854" spans="1:7" ht="15" x14ac:dyDescent="0.3">
      <c r="A9854">
        <v>40.025460000000002</v>
      </c>
      <c r="B9854">
        <v>-75.131270000000001</v>
      </c>
      <c r="C9854" t="s">
        <v>41</v>
      </c>
      <c r="D9854" t="s">
        <v>5405</v>
      </c>
      <c r="F9854" s="21"/>
      <c r="G9854" s="16" t="str">
        <f>HYPERLINK("http://maps.google.com/maps?f=q&amp;hl=en&amp;geocode=&amp;q=40.02546,-75.13127")</f>
        <v>http://maps.google.com/maps?f=q&amp;hl=en&amp;geocode=&amp;q=40.02546,-75.13127</v>
      </c>
    </row>
    <row r="9855" spans="1:7" ht="15" x14ac:dyDescent="0.3">
      <c r="A9855" t="s">
        <v>44</v>
      </c>
      <c r="B9855" t="s">
        <v>44</v>
      </c>
      <c r="C9855" t="s">
        <v>44</v>
      </c>
      <c r="D9855" t="s">
        <v>5654</v>
      </c>
      <c r="F9855" s="21"/>
      <c r="G9855" s="16"/>
    </row>
    <row r="9856" spans="1:7" ht="15" x14ac:dyDescent="0.3">
      <c r="A9856">
        <v>49.031288146972699</v>
      </c>
      <c r="B9856">
        <v>7.1789798736572301</v>
      </c>
      <c r="C9856" t="s">
        <v>41</v>
      </c>
      <c r="D9856" t="s">
        <v>5655</v>
      </c>
      <c r="F9856" s="21"/>
      <c r="G9856" s="16" t="str">
        <f>HYPERLINK("http://maps.google.com/maps?f=q&amp;hl=en&amp;geocode=&amp;q=49.0312881469727,7.17897987365723")</f>
        <v>http://maps.google.com/maps?f=q&amp;hl=en&amp;geocode=&amp;q=49.0312881469727,7.17897987365723</v>
      </c>
    </row>
    <row r="9857" spans="1:7" ht="15" x14ac:dyDescent="0.3">
      <c r="A9857">
        <v>35.897282795738597</v>
      </c>
      <c r="B9857">
        <v>-78.164080092996301</v>
      </c>
      <c r="C9857" t="s">
        <v>41</v>
      </c>
      <c r="D9857" t="s">
        <v>5656</v>
      </c>
      <c r="F9857" s="21"/>
      <c r="G9857" s="16" t="str">
        <f>HYPERLINK("http://maps.google.com/maps?f=q&amp;hl=en&amp;geocode=&amp;q=35.8972827957386,-78.1640800929963")</f>
        <v>http://maps.google.com/maps?f=q&amp;hl=en&amp;geocode=&amp;q=35.8972827957386,-78.1640800929963</v>
      </c>
    </row>
    <row r="9858" spans="1:7" ht="15" x14ac:dyDescent="0.3">
      <c r="A9858" t="s">
        <v>44</v>
      </c>
      <c r="B9858" t="s">
        <v>44</v>
      </c>
      <c r="C9858" t="s">
        <v>44</v>
      </c>
      <c r="D9858" t="s">
        <v>5657</v>
      </c>
      <c r="F9858" s="21"/>
      <c r="G9858" s="16"/>
    </row>
    <row r="9859" spans="1:7" ht="15" x14ac:dyDescent="0.3">
      <c r="A9859">
        <v>43.1462056492663</v>
      </c>
      <c r="B9859">
        <v>-75.463922665397305</v>
      </c>
      <c r="C9859" t="s">
        <v>41</v>
      </c>
      <c r="D9859" t="s">
        <v>2440</v>
      </c>
      <c r="F9859" s="21"/>
      <c r="G9859" s="16" t="str">
        <f>HYPERLINK("http://maps.google.com/maps?f=q&amp;hl=en&amp;geocode=&amp;q=43.1462056492663,-75.4639226653973")</f>
        <v>http://maps.google.com/maps?f=q&amp;hl=en&amp;geocode=&amp;q=43.1462056492663,-75.4639226653973</v>
      </c>
    </row>
    <row r="9860" spans="1:7" ht="15" x14ac:dyDescent="0.3">
      <c r="A9860">
        <v>42.251110076904297</v>
      </c>
      <c r="B9860">
        <v>-71.115379333496094</v>
      </c>
      <c r="C9860" t="s">
        <v>41</v>
      </c>
      <c r="D9860" t="s">
        <v>5658</v>
      </c>
      <c r="F9860" s="21"/>
      <c r="G9860" s="16" t="str">
        <f>HYPERLINK("http://maps.google.com/maps?f=q&amp;hl=en&amp;geocode=&amp;q=42.2511100769043,-71.1153793334961")</f>
        <v>http://maps.google.com/maps?f=q&amp;hl=en&amp;geocode=&amp;q=42.2511100769043,-71.1153793334961</v>
      </c>
    </row>
    <row r="9861" spans="1:7" ht="15" x14ac:dyDescent="0.3">
      <c r="A9861" t="s">
        <v>44</v>
      </c>
      <c r="B9861" t="s">
        <v>44</v>
      </c>
      <c r="C9861" t="s">
        <v>44</v>
      </c>
      <c r="D9861" t="s">
        <v>1511</v>
      </c>
      <c r="F9861" s="21"/>
      <c r="G9861" s="16"/>
    </row>
    <row r="9862" spans="1:7" ht="15" x14ac:dyDescent="0.3">
      <c r="A9862">
        <v>39.4432563781738</v>
      </c>
      <c r="B9862">
        <v>-98.957336425781307</v>
      </c>
      <c r="C9862" t="s">
        <v>43</v>
      </c>
      <c r="D9862" t="s">
        <v>2148</v>
      </c>
      <c r="F9862" s="21"/>
      <c r="G9862" s="16" t="str">
        <f>HYPERLINK("http://maps.google.com/maps?f=q&amp;hl=en&amp;geocode=&amp;q=39.4432563781738,-98.9573364257813")</f>
        <v>http://maps.google.com/maps?f=q&amp;hl=en&amp;geocode=&amp;q=39.4432563781738,-98.9573364257813</v>
      </c>
    </row>
    <row r="9863" spans="1:7" ht="15" x14ac:dyDescent="0.3">
      <c r="A9863">
        <v>39.4432563781738</v>
      </c>
      <c r="B9863">
        <v>-98.957336425781307</v>
      </c>
      <c r="C9863" t="s">
        <v>43</v>
      </c>
      <c r="D9863" t="s">
        <v>2148</v>
      </c>
      <c r="F9863" s="21"/>
      <c r="G9863" s="16" t="str">
        <f>HYPERLINK("http://maps.google.com/maps?f=q&amp;hl=en&amp;geocode=&amp;q=39.4432563781738,-98.9573364257813")</f>
        <v>http://maps.google.com/maps?f=q&amp;hl=en&amp;geocode=&amp;q=39.4432563781738,-98.9573364257813</v>
      </c>
    </row>
    <row r="9864" spans="1:7" ht="15" x14ac:dyDescent="0.3">
      <c r="A9864">
        <v>39.4432563781738</v>
      </c>
      <c r="B9864">
        <v>-98.957336425781307</v>
      </c>
      <c r="C9864" t="s">
        <v>43</v>
      </c>
      <c r="D9864" t="s">
        <v>2148</v>
      </c>
      <c r="F9864" s="21"/>
      <c r="G9864" s="16" t="str">
        <f>HYPERLINK("http://maps.google.com/maps?f=q&amp;hl=en&amp;geocode=&amp;q=39.4432563781738,-98.9573364257813")</f>
        <v>http://maps.google.com/maps?f=q&amp;hl=en&amp;geocode=&amp;q=39.4432563781738,-98.9573364257813</v>
      </c>
    </row>
    <row r="9865" spans="1:7" ht="15" x14ac:dyDescent="0.3">
      <c r="A9865">
        <v>26.927738088058401</v>
      </c>
      <c r="B9865">
        <v>-82.277259506542904</v>
      </c>
      <c r="C9865" t="s">
        <v>41</v>
      </c>
      <c r="D9865" t="s">
        <v>5659</v>
      </c>
      <c r="F9865" s="21"/>
      <c r="G9865" s="16" t="str">
        <f>HYPERLINK("http://maps.google.com/maps?f=q&amp;hl=en&amp;geocode=&amp;q=26.9277380880584,-82.2772595065429")</f>
        <v>http://maps.google.com/maps?f=q&amp;hl=en&amp;geocode=&amp;q=26.9277380880584,-82.2772595065429</v>
      </c>
    </row>
    <row r="9866" spans="1:7" ht="15" x14ac:dyDescent="0.3">
      <c r="A9866">
        <v>36.769156447253501</v>
      </c>
      <c r="B9866">
        <v>-77.751717254641207</v>
      </c>
      <c r="C9866" t="s">
        <v>41</v>
      </c>
      <c r="D9866" t="s">
        <v>5660</v>
      </c>
      <c r="F9866" s="21"/>
      <c r="G9866" s="16" t="str">
        <f>HYPERLINK("http://maps.google.com/maps?f=q&amp;hl=en&amp;geocode=&amp;q=36.7691564472535,-77.7517172546412")</f>
        <v>http://maps.google.com/maps?f=q&amp;hl=en&amp;geocode=&amp;q=36.7691564472535,-77.7517172546412</v>
      </c>
    </row>
    <row r="9867" spans="1:7" ht="15" x14ac:dyDescent="0.3">
      <c r="A9867">
        <v>43.623935699462898</v>
      </c>
      <c r="B9867">
        <v>24.886323928833001</v>
      </c>
      <c r="C9867" t="s">
        <v>43</v>
      </c>
      <c r="D9867" t="s">
        <v>5661</v>
      </c>
      <c r="F9867" s="21"/>
      <c r="G9867" s="16" t="str">
        <f>HYPERLINK("http://maps.google.com/maps?f=q&amp;hl=en&amp;geocode=&amp;q=43.6239356994629,24.886323928833")</f>
        <v>http://maps.google.com/maps?f=q&amp;hl=en&amp;geocode=&amp;q=43.6239356994629,24.886323928833</v>
      </c>
    </row>
    <row r="9868" spans="1:7" ht="15" x14ac:dyDescent="0.3">
      <c r="A9868">
        <v>49.518180847167997</v>
      </c>
      <c r="B9868">
        <v>5.8978409767150897</v>
      </c>
      <c r="C9868" t="s">
        <v>41</v>
      </c>
      <c r="D9868" t="s">
        <v>2510</v>
      </c>
      <c r="F9868" s="21"/>
      <c r="G9868" s="16" t="str">
        <f>HYPERLINK("http://maps.google.com/maps?f=q&amp;hl=en&amp;geocode=&amp;q=49.518180847168,5.89784097671509")</f>
        <v>http://maps.google.com/maps?f=q&amp;hl=en&amp;geocode=&amp;q=49.518180847168,5.89784097671509</v>
      </c>
    </row>
    <row r="9869" spans="1:7" ht="15" x14ac:dyDescent="0.3">
      <c r="A9869">
        <v>55.444797515869098</v>
      </c>
      <c r="B9869">
        <v>12.1309967041016</v>
      </c>
      <c r="C9869" t="s">
        <v>41</v>
      </c>
      <c r="D9869" t="s">
        <v>5662</v>
      </c>
      <c r="F9869" s="21"/>
      <c r="G9869" s="16" t="str">
        <f>HYPERLINK("http://maps.google.com/maps?f=q&amp;hl=en&amp;geocode=&amp;q=55.4447975158691,12.1309967041016")</f>
        <v>http://maps.google.com/maps?f=q&amp;hl=en&amp;geocode=&amp;q=55.4447975158691,12.1309967041016</v>
      </c>
    </row>
    <row r="9870" spans="1:7" ht="15" x14ac:dyDescent="0.3">
      <c r="A9870">
        <v>34.90184</v>
      </c>
      <c r="B9870">
        <v>-82.292720000000003</v>
      </c>
      <c r="C9870" t="s">
        <v>42</v>
      </c>
      <c r="D9870" t="s">
        <v>5663</v>
      </c>
      <c r="F9870" s="21"/>
      <c r="G9870" s="16" t="str">
        <f>HYPERLINK("http://maps.google.com/maps?f=q&amp;hl=en&amp;geocode=&amp;q=34.90184,-82.29272")</f>
        <v>http://maps.google.com/maps?f=q&amp;hl=en&amp;geocode=&amp;q=34.90184,-82.29272</v>
      </c>
    </row>
    <row r="9871" spans="1:7" ht="15" x14ac:dyDescent="0.3">
      <c r="A9871">
        <v>-26.034427642822301</v>
      </c>
      <c r="B9871">
        <v>28.5431098937988</v>
      </c>
      <c r="C9871" t="s">
        <v>43</v>
      </c>
      <c r="D9871" t="s">
        <v>3002</v>
      </c>
      <c r="F9871" s="21"/>
      <c r="G9871" s="16" t="str">
        <f>HYPERLINK("http://maps.google.com/maps?f=q&amp;hl=en&amp;geocode=&amp;q=-26.0344276428223,28.5431098937988")</f>
        <v>http://maps.google.com/maps?f=q&amp;hl=en&amp;geocode=&amp;q=-26.0344276428223,28.5431098937988</v>
      </c>
    </row>
    <row r="9872" spans="1:7" ht="15" x14ac:dyDescent="0.3">
      <c r="A9872">
        <v>39.996009999999998</v>
      </c>
      <c r="B9872">
        <v>-75.172529999999995</v>
      </c>
      <c r="C9872" t="s">
        <v>41</v>
      </c>
      <c r="D9872" t="s">
        <v>4331</v>
      </c>
      <c r="F9872" s="21"/>
      <c r="G9872" s="16" t="str">
        <f>HYPERLINK("http://maps.google.com/maps?f=q&amp;hl=en&amp;geocode=&amp;q=39.99601,-75.17253")</f>
        <v>http://maps.google.com/maps?f=q&amp;hl=en&amp;geocode=&amp;q=39.99601,-75.17253</v>
      </c>
    </row>
    <row r="9873" spans="1:7" ht="15" x14ac:dyDescent="0.3">
      <c r="A9873">
        <v>39.995800000000003</v>
      </c>
      <c r="B9873">
        <v>-75.170929999999998</v>
      </c>
      <c r="C9873" t="s">
        <v>41</v>
      </c>
      <c r="D9873" t="s">
        <v>3739</v>
      </c>
      <c r="F9873" s="21"/>
      <c r="G9873" s="16" t="str">
        <f>HYPERLINK("http://maps.google.com/maps?f=q&amp;hl=en&amp;geocode=&amp;q=39.9958,-75.17093")</f>
        <v>http://maps.google.com/maps?f=q&amp;hl=en&amp;geocode=&amp;q=39.9958,-75.17093</v>
      </c>
    </row>
    <row r="9874" spans="1:7" ht="15" x14ac:dyDescent="0.3">
      <c r="A9874">
        <v>39.9839317332438</v>
      </c>
      <c r="B9874">
        <v>-75.108699681607504</v>
      </c>
      <c r="C9874" t="s">
        <v>41</v>
      </c>
      <c r="D9874" t="s">
        <v>5664</v>
      </c>
      <c r="F9874" s="21"/>
      <c r="G9874" s="16" t="str">
        <f>HYPERLINK("http://maps.google.com/maps?f=q&amp;hl=en&amp;geocode=&amp;q=39.9839317332438,-75.1086996816075")</f>
        <v>http://maps.google.com/maps?f=q&amp;hl=en&amp;geocode=&amp;q=39.9839317332438,-75.1086996816075</v>
      </c>
    </row>
    <row r="9875" spans="1:7" ht="15" x14ac:dyDescent="0.3">
      <c r="A9875">
        <v>39.169034677121402</v>
      </c>
      <c r="B9875">
        <v>-84.091953634276507</v>
      </c>
      <c r="C9875" t="s">
        <v>41</v>
      </c>
      <c r="D9875" t="s">
        <v>5665</v>
      </c>
      <c r="F9875" s="21"/>
      <c r="G9875" s="16" t="str">
        <f>HYPERLINK("http://maps.google.com/maps?f=q&amp;hl=en&amp;geocode=&amp;q=39.1690346771214,-84.0919536342765")</f>
        <v>http://maps.google.com/maps?f=q&amp;hl=en&amp;geocode=&amp;q=39.1690346771214,-84.0919536342765</v>
      </c>
    </row>
    <row r="9876" spans="1:7" ht="15" x14ac:dyDescent="0.3">
      <c r="F9876" s="21"/>
      <c r="G9876" s="16"/>
    </row>
    <row r="9877" spans="1:7" ht="15" x14ac:dyDescent="0.3">
      <c r="A9877">
        <v>27.986661911499301</v>
      </c>
      <c r="B9877">
        <v>-82.444843599596297</v>
      </c>
      <c r="C9877" t="s">
        <v>41</v>
      </c>
      <c r="D9877" t="s">
        <v>5666</v>
      </c>
      <c r="F9877" s="21"/>
      <c r="G9877" s="16" t="str">
        <f>HYPERLINK("http://maps.google.com/maps?f=q&amp;hl=en&amp;geocode=&amp;q=27.9866619114993,-82.4448435995963")</f>
        <v>http://maps.google.com/maps?f=q&amp;hl=en&amp;geocode=&amp;q=27.9866619114993,-82.4448435995963</v>
      </c>
    </row>
    <row r="9878" spans="1:7" ht="15" x14ac:dyDescent="0.3">
      <c r="A9878">
        <v>27.9869878321249</v>
      </c>
      <c r="B9878">
        <v>-82.442815792860202</v>
      </c>
      <c r="C9878" t="s">
        <v>41</v>
      </c>
      <c r="D9878" t="s">
        <v>5667</v>
      </c>
      <c r="F9878" s="21"/>
      <c r="G9878" s="16" t="str">
        <f>HYPERLINK("http://maps.google.com/maps?f=q&amp;hl=en&amp;geocode=&amp;q=27.9869878321249,-82.4428157928602")</f>
        <v>http://maps.google.com/maps?f=q&amp;hl=en&amp;geocode=&amp;q=27.9869878321249,-82.4428157928602</v>
      </c>
    </row>
    <row r="9879" spans="1:7" ht="15" x14ac:dyDescent="0.3">
      <c r="A9879">
        <v>46.408790588378899</v>
      </c>
      <c r="B9879">
        <v>12.017880439758301</v>
      </c>
      <c r="C9879" t="s">
        <v>41</v>
      </c>
      <c r="D9879" t="s">
        <v>5668</v>
      </c>
      <c r="F9879" s="21"/>
      <c r="G9879" s="16" t="str">
        <f>HYPERLINK("http://maps.google.com/maps?f=q&amp;hl=en&amp;geocode=&amp;q=46.4087905883789,12.0178804397583")</f>
        <v>http://maps.google.com/maps?f=q&amp;hl=en&amp;geocode=&amp;q=46.4087905883789,12.0178804397583</v>
      </c>
    </row>
    <row r="9880" spans="1:7" ht="15" x14ac:dyDescent="0.3">
      <c r="A9880">
        <v>38.034111832389499</v>
      </c>
      <c r="B9880">
        <v>-82.132306059637898</v>
      </c>
      <c r="C9880" t="s">
        <v>41</v>
      </c>
      <c r="D9880" t="s">
        <v>5669</v>
      </c>
      <c r="F9880" s="21"/>
      <c r="G9880" s="16" t="str">
        <f>HYPERLINK("http://maps.google.com/maps?f=q&amp;hl=en&amp;geocode=&amp;q=38.0341118323895,-82.1323060596379")</f>
        <v>http://maps.google.com/maps?f=q&amp;hl=en&amp;geocode=&amp;q=38.0341118323895,-82.1323060596379</v>
      </c>
    </row>
    <row r="9881" spans="1:7" ht="15" x14ac:dyDescent="0.3">
      <c r="A9881">
        <v>-37.676789900000003</v>
      </c>
      <c r="B9881">
        <v>144.95654999999999</v>
      </c>
      <c r="C9881" t="s">
        <v>41</v>
      </c>
      <c r="D9881" t="s">
        <v>5670</v>
      </c>
      <c r="F9881" s="21"/>
      <c r="G9881" s="16" t="str">
        <f>HYPERLINK("http://maps.google.com/maps?f=q&amp;hl=en&amp;geocode=&amp;q=-37.6767899,144.95655")</f>
        <v>http://maps.google.com/maps?f=q&amp;hl=en&amp;geocode=&amp;q=-37.6767899,144.95655</v>
      </c>
    </row>
    <row r="9882" spans="1:7" ht="15" x14ac:dyDescent="0.3">
      <c r="A9882" t="s">
        <v>44</v>
      </c>
      <c r="B9882" t="s">
        <v>44</v>
      </c>
      <c r="C9882" t="s">
        <v>44</v>
      </c>
      <c r="D9882" t="s">
        <v>1485</v>
      </c>
      <c r="F9882" s="21"/>
      <c r="G9882" s="16"/>
    </row>
    <row r="9883" spans="1:7" ht="15" x14ac:dyDescent="0.3">
      <c r="F9883" s="21"/>
      <c r="G9883" s="16"/>
    </row>
    <row r="9884" spans="1:7" ht="15" x14ac:dyDescent="0.3">
      <c r="A9884">
        <v>43.183750000000003</v>
      </c>
      <c r="B9884">
        <v>-77.568049999999999</v>
      </c>
      <c r="C9884" t="s">
        <v>41</v>
      </c>
      <c r="D9884" t="s">
        <v>5671</v>
      </c>
      <c r="F9884" s="21"/>
      <c r="G9884" s="16" t="str">
        <f>HYPERLINK("http://maps.google.com/maps?f=q&amp;hl=en&amp;geocode=&amp;q=43.18375,-77.56805")</f>
        <v>http://maps.google.com/maps?f=q&amp;hl=en&amp;geocode=&amp;q=43.18375,-77.56805</v>
      </c>
    </row>
    <row r="9885" spans="1:7" ht="15" x14ac:dyDescent="0.3">
      <c r="A9885" t="s">
        <v>44</v>
      </c>
      <c r="B9885" t="s">
        <v>44</v>
      </c>
      <c r="C9885" t="s">
        <v>44</v>
      </c>
      <c r="D9885" t="s">
        <v>5672</v>
      </c>
      <c r="F9885" s="21"/>
      <c r="G9885" s="16"/>
    </row>
    <row r="9886" spans="1:7" ht="15" x14ac:dyDescent="0.3">
      <c r="A9886">
        <v>40.070779999999999</v>
      </c>
      <c r="B9886">
        <v>-75.157420000000002</v>
      </c>
      <c r="C9886" t="s">
        <v>41</v>
      </c>
      <c r="D9886" t="s">
        <v>5673</v>
      </c>
      <c r="F9886" s="21"/>
      <c r="G9886" s="16" t="str">
        <f>HYPERLINK("http://maps.google.com/maps?f=q&amp;hl=en&amp;geocode=&amp;q=40.07078,-75.15742")</f>
        <v>http://maps.google.com/maps?f=q&amp;hl=en&amp;geocode=&amp;q=40.07078,-75.15742</v>
      </c>
    </row>
    <row r="9887" spans="1:7" ht="15" x14ac:dyDescent="0.3">
      <c r="A9887">
        <v>30.408243968910401</v>
      </c>
      <c r="B9887">
        <v>-86.913981388965993</v>
      </c>
      <c r="C9887" t="s">
        <v>41</v>
      </c>
      <c r="D9887" t="s">
        <v>4336</v>
      </c>
      <c r="F9887" s="21"/>
      <c r="G9887" s="16" t="str">
        <f>HYPERLINK("http://maps.google.com/maps?f=q&amp;hl=en&amp;geocode=&amp;q=30.4082439689104,-86.913981388966")</f>
        <v>http://maps.google.com/maps?f=q&amp;hl=en&amp;geocode=&amp;q=30.4082439689104,-86.913981388966</v>
      </c>
    </row>
    <row r="9888" spans="1:7" ht="15" x14ac:dyDescent="0.3">
      <c r="A9888">
        <v>39.988959999999999</v>
      </c>
      <c r="B9888">
        <v>-75.098889999999997</v>
      </c>
      <c r="C9888" t="s">
        <v>41</v>
      </c>
      <c r="D9888" t="s">
        <v>5674</v>
      </c>
      <c r="F9888" s="21"/>
      <c r="G9888" s="16" t="str">
        <f>HYPERLINK("http://maps.google.com/maps?f=q&amp;hl=en&amp;geocode=&amp;q=39.98896,-75.09889")</f>
        <v>http://maps.google.com/maps?f=q&amp;hl=en&amp;geocode=&amp;q=39.98896,-75.09889</v>
      </c>
    </row>
    <row r="9889" spans="1:7" ht="15" x14ac:dyDescent="0.3">
      <c r="A9889">
        <v>40.040443352264099</v>
      </c>
      <c r="B9889">
        <v>-75.181967878970994</v>
      </c>
      <c r="C9889" t="s">
        <v>41</v>
      </c>
      <c r="D9889" t="s">
        <v>4433</v>
      </c>
      <c r="F9889" s="21"/>
      <c r="G9889" s="16" t="str">
        <f>HYPERLINK("http://maps.google.com/maps?f=q&amp;hl=en&amp;geocode=&amp;q=40.0404433522641,-75.181967878971")</f>
        <v>http://maps.google.com/maps?f=q&amp;hl=en&amp;geocode=&amp;q=40.0404433522641,-75.181967878971</v>
      </c>
    </row>
    <row r="9890" spans="1:7" ht="15" x14ac:dyDescent="0.3">
      <c r="A9890">
        <v>50.455070495605497</v>
      </c>
      <c r="B9890">
        <v>3.9648540019989</v>
      </c>
      <c r="C9890" t="s">
        <v>43</v>
      </c>
      <c r="D9890" t="s">
        <v>5675</v>
      </c>
      <c r="F9890" s="21"/>
      <c r="G9890" s="16" t="str">
        <f>HYPERLINK("http://maps.google.com/maps?f=q&amp;hl=en&amp;geocode=&amp;q=50.4550704956055,3.9648540019989")</f>
        <v>http://maps.google.com/maps?f=q&amp;hl=en&amp;geocode=&amp;q=50.4550704956055,3.9648540019989</v>
      </c>
    </row>
    <row r="9891" spans="1:7" ht="15" x14ac:dyDescent="0.3">
      <c r="A9891">
        <v>39.953850000000003</v>
      </c>
      <c r="B9891">
        <v>-75.246650000000002</v>
      </c>
      <c r="C9891" t="s">
        <v>41</v>
      </c>
      <c r="D9891" t="s">
        <v>740</v>
      </c>
      <c r="F9891" s="21"/>
      <c r="G9891" s="16" t="str">
        <f>HYPERLINK("http://maps.google.com/maps?f=q&amp;hl=en&amp;geocode=&amp;q=39.95385,-75.24665")</f>
        <v>http://maps.google.com/maps?f=q&amp;hl=en&amp;geocode=&amp;q=39.95385,-75.24665</v>
      </c>
    </row>
    <row r="9892" spans="1:7" ht="15" x14ac:dyDescent="0.3">
      <c r="A9892">
        <v>39.555140000000002</v>
      </c>
      <c r="B9892">
        <v>-119.74316</v>
      </c>
      <c r="C9892" t="s">
        <v>43</v>
      </c>
      <c r="D9892" t="s">
        <v>1599</v>
      </c>
      <c r="F9892" s="21"/>
      <c r="G9892" s="16" t="str">
        <f>HYPERLINK("http://maps.google.com/maps?f=q&amp;hl=en&amp;geocode=&amp;q=39.55514,-119.74316")</f>
        <v>http://maps.google.com/maps?f=q&amp;hl=en&amp;geocode=&amp;q=39.55514,-119.74316</v>
      </c>
    </row>
    <row r="9893" spans="1:7" ht="15" x14ac:dyDescent="0.3">
      <c r="A9893">
        <v>33.752352999999999</v>
      </c>
      <c r="B9893">
        <v>-86.710181000000006</v>
      </c>
      <c r="C9893" t="s">
        <v>41</v>
      </c>
      <c r="D9893" t="s">
        <v>1251</v>
      </c>
      <c r="F9893" s="21"/>
      <c r="G9893" s="16" t="str">
        <f>HYPERLINK("http://maps.google.com/maps?f=q&amp;hl=en&amp;geocode=&amp;q=33.752353,-86.710181")</f>
        <v>http://maps.google.com/maps?f=q&amp;hl=en&amp;geocode=&amp;q=33.752353,-86.710181</v>
      </c>
    </row>
    <row r="9894" spans="1:7" ht="15" x14ac:dyDescent="0.3">
      <c r="A9894">
        <v>33.752352999999999</v>
      </c>
      <c r="B9894">
        <v>-86.710181000000006</v>
      </c>
      <c r="C9894" t="s">
        <v>41</v>
      </c>
      <c r="D9894" t="s">
        <v>1251</v>
      </c>
      <c r="F9894" s="21"/>
      <c r="G9894" s="16" t="str">
        <f>HYPERLINK("http://maps.google.com/maps?f=q&amp;hl=en&amp;geocode=&amp;q=33.752353,-86.710181")</f>
        <v>http://maps.google.com/maps?f=q&amp;hl=en&amp;geocode=&amp;q=33.752353,-86.710181</v>
      </c>
    </row>
    <row r="9895" spans="1:7" ht="15" x14ac:dyDescent="0.3">
      <c r="A9895">
        <v>40.304476052434097</v>
      </c>
      <c r="B9895">
        <v>-88.021189731215301</v>
      </c>
      <c r="C9895" t="s">
        <v>41</v>
      </c>
      <c r="D9895" t="s">
        <v>3170</v>
      </c>
      <c r="F9895" s="21"/>
      <c r="G9895" s="16" t="str">
        <f>HYPERLINK("http://maps.google.com/maps?f=q&amp;hl=en&amp;geocode=&amp;q=40.3044760524341,-88.0211897312153")</f>
        <v>http://maps.google.com/maps?f=q&amp;hl=en&amp;geocode=&amp;q=40.3044760524341,-88.0211897312153</v>
      </c>
    </row>
    <row r="9896" spans="1:7" ht="15" x14ac:dyDescent="0.3">
      <c r="A9896">
        <v>52.950611114502003</v>
      </c>
      <c r="B9896">
        <v>-0.95639002323150601</v>
      </c>
      <c r="C9896" t="s">
        <v>41</v>
      </c>
      <c r="D9896" t="s">
        <v>5676</v>
      </c>
      <c r="F9896" s="21"/>
      <c r="G9896" s="16" t="str">
        <f>HYPERLINK("http://maps.google.com/maps?f=q&amp;hl=en&amp;geocode=&amp;q=52.950611114502,-0.956390023231506")</f>
        <v>http://maps.google.com/maps?f=q&amp;hl=en&amp;geocode=&amp;q=52.950611114502,-0.956390023231506</v>
      </c>
    </row>
    <row r="9897" spans="1:7" ht="15" x14ac:dyDescent="0.3">
      <c r="A9897">
        <v>33.925411224365199</v>
      </c>
      <c r="B9897">
        <v>35.899726867675803</v>
      </c>
      <c r="C9897" t="s">
        <v>41</v>
      </c>
      <c r="D9897" t="s">
        <v>5677</v>
      </c>
      <c r="F9897" s="21"/>
      <c r="G9897" s="16" t="str">
        <f>HYPERLINK("http://maps.google.com/maps?f=q&amp;hl=en&amp;geocode=&amp;q=33.9254112243652,35.8997268676758")</f>
        <v>http://maps.google.com/maps?f=q&amp;hl=en&amp;geocode=&amp;q=33.9254112243652,35.8997268676758</v>
      </c>
    </row>
    <row r="9898" spans="1:7" ht="15" x14ac:dyDescent="0.3">
      <c r="A9898">
        <v>29.867000579833999</v>
      </c>
      <c r="B9898">
        <v>87.400001525878906</v>
      </c>
      <c r="C9898" t="s">
        <v>41</v>
      </c>
      <c r="D9898" t="s">
        <v>5678</v>
      </c>
      <c r="F9898" s="21"/>
      <c r="G9898" s="16" t="str">
        <f>HYPERLINK("http://maps.google.com/maps?f=q&amp;hl=en&amp;geocode=&amp;q=29.867000579834,87.4000015258789")</f>
        <v>http://maps.google.com/maps?f=q&amp;hl=en&amp;geocode=&amp;q=29.867000579834,87.4000015258789</v>
      </c>
    </row>
    <row r="9899" spans="1:7" ht="15" x14ac:dyDescent="0.3">
      <c r="A9899">
        <v>-36.701439999999998</v>
      </c>
      <c r="B9899">
        <v>142.19977</v>
      </c>
      <c r="C9899" t="s">
        <v>41</v>
      </c>
      <c r="D9899" t="s">
        <v>2300</v>
      </c>
      <c r="F9899" s="21"/>
      <c r="G9899" s="16" t="str">
        <f>HYPERLINK("http://maps.google.com/maps?f=q&amp;hl=en&amp;geocode=&amp;q=-36.70144,142.19977")</f>
        <v>http://maps.google.com/maps?f=q&amp;hl=en&amp;geocode=&amp;q=-36.70144,142.19977</v>
      </c>
    </row>
    <row r="9900" spans="1:7" ht="15" x14ac:dyDescent="0.3">
      <c r="A9900">
        <v>40.7726006293395</v>
      </c>
      <c r="B9900">
        <v>-77.870160349703596</v>
      </c>
      <c r="C9900" t="s">
        <v>41</v>
      </c>
      <c r="D9900" t="s">
        <v>5679</v>
      </c>
      <c r="F9900" s="21"/>
      <c r="G9900" s="16" t="str">
        <f>HYPERLINK("http://maps.google.com/maps?f=q&amp;hl=en&amp;geocode=&amp;q=40.7726006293395,-77.8701603497036")</f>
        <v>http://maps.google.com/maps?f=q&amp;hl=en&amp;geocode=&amp;q=40.7726006293395,-77.8701603497036</v>
      </c>
    </row>
    <row r="9901" spans="1:7" ht="15" x14ac:dyDescent="0.3">
      <c r="A9901">
        <v>43.013394966800298</v>
      </c>
      <c r="B9901">
        <v>-89.488597564513299</v>
      </c>
      <c r="C9901" t="s">
        <v>41</v>
      </c>
      <c r="D9901" t="s">
        <v>1586</v>
      </c>
      <c r="F9901" s="21"/>
      <c r="G9901" s="16" t="str">
        <f>HYPERLINK("http://maps.google.com/maps?f=q&amp;hl=en&amp;geocode=&amp;q=43.0133949668003,-89.4885975645133")</f>
        <v>http://maps.google.com/maps?f=q&amp;hl=en&amp;geocode=&amp;q=43.0133949668003,-89.4885975645133</v>
      </c>
    </row>
    <row r="9902" spans="1:7" ht="15" x14ac:dyDescent="0.3">
      <c r="A9902">
        <v>40.0228734651511</v>
      </c>
      <c r="B9902">
        <v>-75.175381100656693</v>
      </c>
      <c r="C9902" t="s">
        <v>41</v>
      </c>
      <c r="D9902" t="s">
        <v>5680</v>
      </c>
      <c r="F9902" s="21"/>
      <c r="G9902" s="16" t="str">
        <f>HYPERLINK("http://maps.google.com/maps?f=q&amp;hl=en&amp;geocode=&amp;q=40.0228734651511,-75.1753811006567")</f>
        <v>http://maps.google.com/maps?f=q&amp;hl=en&amp;geocode=&amp;q=40.0228734651511,-75.1753811006567</v>
      </c>
    </row>
    <row r="9903" spans="1:7" ht="15" x14ac:dyDescent="0.3">
      <c r="A9903">
        <v>39.951738973534603</v>
      </c>
      <c r="B9903">
        <v>-75.224736267463797</v>
      </c>
      <c r="C9903" t="s">
        <v>41</v>
      </c>
      <c r="D9903" t="s">
        <v>5681</v>
      </c>
      <c r="F9903" s="21"/>
      <c r="G9903" s="16" t="str">
        <f>HYPERLINK("http://maps.google.com/maps?f=q&amp;hl=en&amp;geocode=&amp;q=39.9517389735346,-75.2247362674638")</f>
        <v>http://maps.google.com/maps?f=q&amp;hl=en&amp;geocode=&amp;q=39.9517389735346,-75.2247362674638</v>
      </c>
    </row>
    <row r="9904" spans="1:7" ht="15" x14ac:dyDescent="0.3">
      <c r="A9904">
        <v>32.298690795898402</v>
      </c>
      <c r="B9904">
        <v>-90.180488586425795</v>
      </c>
      <c r="C9904" t="s">
        <v>41</v>
      </c>
      <c r="D9904" t="s">
        <v>5682</v>
      </c>
      <c r="F9904" s="21"/>
      <c r="G9904" s="16" t="str">
        <f>HYPERLINK("http://maps.google.com/maps?f=q&amp;hl=en&amp;geocode=&amp;q=32.2986907958984,-90.1804885864258")</f>
        <v>http://maps.google.com/maps?f=q&amp;hl=en&amp;geocode=&amp;q=32.2986907958984,-90.1804885864258</v>
      </c>
    </row>
    <row r="9905" spans="1:7" ht="15" x14ac:dyDescent="0.3">
      <c r="A9905" t="s">
        <v>44</v>
      </c>
      <c r="B9905" t="s">
        <v>44</v>
      </c>
      <c r="C9905" t="s">
        <v>44</v>
      </c>
      <c r="D9905" t="s">
        <v>5418</v>
      </c>
      <c r="F9905" s="21"/>
      <c r="G9905" s="16"/>
    </row>
    <row r="9906" spans="1:7" ht="15" x14ac:dyDescent="0.3">
      <c r="A9906">
        <v>39.839460000000003</v>
      </c>
      <c r="B9906">
        <v>-76.440060000000003</v>
      </c>
      <c r="C9906" t="s">
        <v>41</v>
      </c>
      <c r="D9906" t="s">
        <v>5683</v>
      </c>
      <c r="F9906" s="21"/>
      <c r="G9906" s="16" t="str">
        <f>HYPERLINK("http://maps.google.com/maps?f=q&amp;hl=en&amp;geocode=&amp;q=39.83946,-76.44006")</f>
        <v>http://maps.google.com/maps?f=q&amp;hl=en&amp;geocode=&amp;q=39.83946,-76.44006</v>
      </c>
    </row>
    <row r="9907" spans="1:7" ht="15" x14ac:dyDescent="0.3">
      <c r="A9907">
        <v>54.781295776367202</v>
      </c>
      <c r="B9907">
        <v>11.962433815002401</v>
      </c>
      <c r="C9907" t="s">
        <v>41</v>
      </c>
      <c r="D9907" t="s">
        <v>5684</v>
      </c>
      <c r="F9907" s="21"/>
      <c r="G9907" s="16" t="str">
        <f>HYPERLINK("http://maps.google.com/maps?f=q&amp;hl=en&amp;geocode=&amp;q=54.7812957763672,11.9624338150024")</f>
        <v>http://maps.google.com/maps?f=q&amp;hl=en&amp;geocode=&amp;q=54.7812957763672,11.9624338150024</v>
      </c>
    </row>
    <row r="9908" spans="1:7" ht="15" x14ac:dyDescent="0.3">
      <c r="A9908">
        <v>32.858425525453598</v>
      </c>
      <c r="B9908">
        <v>-96.592936953822004</v>
      </c>
      <c r="C9908" t="s">
        <v>41</v>
      </c>
      <c r="D9908" t="s">
        <v>5685</v>
      </c>
      <c r="F9908" s="21"/>
      <c r="G9908" s="16" t="str">
        <f>HYPERLINK("http://maps.google.com/maps?f=q&amp;hl=en&amp;geocode=&amp;q=32.8584255254536,-96.592936953822")</f>
        <v>http://maps.google.com/maps?f=q&amp;hl=en&amp;geocode=&amp;q=32.8584255254536,-96.592936953822</v>
      </c>
    </row>
    <row r="9909" spans="1:7" ht="15" x14ac:dyDescent="0.3">
      <c r="A9909">
        <v>55.459780000000002</v>
      </c>
      <c r="B9909">
        <v>11.20115</v>
      </c>
      <c r="C9909" t="s">
        <v>41</v>
      </c>
      <c r="D9909" t="s">
        <v>757</v>
      </c>
      <c r="F9909" s="21"/>
      <c r="G9909" s="16" t="str">
        <f>HYPERLINK("http://maps.google.com/maps?f=q&amp;hl=en&amp;geocode=&amp;q=55.45978,11.20115")</f>
        <v>http://maps.google.com/maps?f=q&amp;hl=en&amp;geocode=&amp;q=55.45978,11.20115</v>
      </c>
    </row>
    <row r="9910" spans="1:7" ht="15" x14ac:dyDescent="0.3">
      <c r="A9910">
        <v>39.931530000000002</v>
      </c>
      <c r="B9910">
        <v>-75.151820000000001</v>
      </c>
      <c r="C9910" t="s">
        <v>41</v>
      </c>
      <c r="D9910" t="s">
        <v>4513</v>
      </c>
      <c r="F9910" s="21"/>
      <c r="G9910" s="16" t="str">
        <f>HYPERLINK("http://maps.google.com/maps?f=q&amp;hl=en&amp;geocode=&amp;q=39.93153,-75.15182")</f>
        <v>http://maps.google.com/maps?f=q&amp;hl=en&amp;geocode=&amp;q=39.93153,-75.15182</v>
      </c>
    </row>
    <row r="9911" spans="1:7" ht="15" x14ac:dyDescent="0.3">
      <c r="A9911">
        <v>49.518180847167997</v>
      </c>
      <c r="B9911">
        <v>5.8978409767150897</v>
      </c>
      <c r="C9911" t="s">
        <v>41</v>
      </c>
      <c r="D9911" t="s">
        <v>2510</v>
      </c>
      <c r="F9911" s="21"/>
      <c r="G9911" s="16" t="str">
        <f>HYPERLINK("http://maps.google.com/maps?f=q&amp;hl=en&amp;geocode=&amp;q=49.518180847168,5.89784097671509")</f>
        <v>http://maps.google.com/maps?f=q&amp;hl=en&amp;geocode=&amp;q=49.518180847168,5.89784097671509</v>
      </c>
    </row>
    <row r="9912" spans="1:7" ht="15" x14ac:dyDescent="0.3">
      <c r="A9912">
        <v>39.921230000000001</v>
      </c>
      <c r="B9912">
        <v>-75.178550000000001</v>
      </c>
      <c r="C9912" t="s">
        <v>41</v>
      </c>
      <c r="D9912" t="s">
        <v>5235</v>
      </c>
      <c r="F9912" s="21"/>
      <c r="G9912" s="16" t="str">
        <f>HYPERLINK("http://maps.google.com/maps?f=q&amp;hl=en&amp;geocode=&amp;q=39.92123,-75.17855")</f>
        <v>http://maps.google.com/maps?f=q&amp;hl=en&amp;geocode=&amp;q=39.92123,-75.17855</v>
      </c>
    </row>
    <row r="9913" spans="1:7" ht="15" x14ac:dyDescent="0.3">
      <c r="A9913">
        <v>37.765643670295198</v>
      </c>
      <c r="B9913">
        <v>-113.711334017117</v>
      </c>
      <c r="C9913" t="s">
        <v>43</v>
      </c>
      <c r="D9913" t="s">
        <v>3154</v>
      </c>
      <c r="F9913" s="21"/>
      <c r="G9913" s="16" t="str">
        <f>HYPERLINK("http://maps.google.com/maps?f=q&amp;hl=en&amp;geocode=&amp;q=37.7656436702952,-113.711334017117")</f>
        <v>http://maps.google.com/maps?f=q&amp;hl=en&amp;geocode=&amp;q=37.7656436702952,-113.711334017117</v>
      </c>
    </row>
    <row r="9914" spans="1:7" ht="15" x14ac:dyDescent="0.3">
      <c r="A9914">
        <v>50.258657100000001</v>
      </c>
      <c r="B9914">
        <v>-119.2310549</v>
      </c>
      <c r="C9914" t="s">
        <v>41</v>
      </c>
      <c r="D9914" t="s">
        <v>5607</v>
      </c>
      <c r="F9914" s="21"/>
      <c r="G9914" s="16" t="str">
        <f>HYPERLINK("http://maps.google.com/maps?f=q&amp;hl=en&amp;geocode=&amp;q=50.2586571,-119.2310549")</f>
        <v>http://maps.google.com/maps?f=q&amp;hl=en&amp;geocode=&amp;q=50.2586571,-119.2310549</v>
      </c>
    </row>
    <row r="9915" spans="1:7" ht="15" x14ac:dyDescent="0.3">
      <c r="A9915">
        <v>49.518180847167997</v>
      </c>
      <c r="B9915">
        <v>5.8978409767150897</v>
      </c>
      <c r="C9915" t="s">
        <v>41</v>
      </c>
      <c r="D9915" t="s">
        <v>2510</v>
      </c>
      <c r="F9915" s="21"/>
      <c r="G9915" s="16" t="str">
        <f>HYPERLINK("http://maps.google.com/maps?f=q&amp;hl=en&amp;geocode=&amp;q=49.518180847168,5.89784097671509")</f>
        <v>http://maps.google.com/maps?f=q&amp;hl=en&amp;geocode=&amp;q=49.518180847168,5.89784097671509</v>
      </c>
    </row>
    <row r="9916" spans="1:7" ht="15" x14ac:dyDescent="0.3">
      <c r="A9916">
        <v>54.562068939208999</v>
      </c>
      <c r="B9916">
        <v>-125.10440063476599</v>
      </c>
      <c r="C9916" t="s">
        <v>41</v>
      </c>
      <c r="D9916" t="s">
        <v>5686</v>
      </c>
      <c r="F9916" s="21"/>
      <c r="G9916" s="16" t="str">
        <f>HYPERLINK("http://maps.google.com/maps?f=q&amp;hl=en&amp;geocode=&amp;q=54.562068939209,-125.104400634766")</f>
        <v>http://maps.google.com/maps?f=q&amp;hl=en&amp;geocode=&amp;q=54.562068939209,-125.104400634766</v>
      </c>
    </row>
    <row r="9917" spans="1:7" ht="15" x14ac:dyDescent="0.3">
      <c r="A9917">
        <v>31.590142062035302</v>
      </c>
      <c r="B9917">
        <v>-100.560830409264</v>
      </c>
      <c r="C9917" t="s">
        <v>41</v>
      </c>
      <c r="D9917" t="s">
        <v>5687</v>
      </c>
      <c r="F9917" s="21"/>
      <c r="G9917" s="16" t="str">
        <f>HYPERLINK("http://maps.google.com/maps?f=q&amp;hl=en&amp;geocode=&amp;q=31.5901420620353,-100.560830409264")</f>
        <v>http://maps.google.com/maps?f=q&amp;hl=en&amp;geocode=&amp;q=31.5901420620353,-100.560830409264</v>
      </c>
    </row>
    <row r="9918" spans="1:7" ht="15" x14ac:dyDescent="0.3">
      <c r="A9918">
        <v>31.590142062035302</v>
      </c>
      <c r="B9918">
        <v>-100.560830409264</v>
      </c>
      <c r="C9918" t="s">
        <v>41</v>
      </c>
      <c r="D9918" t="s">
        <v>5687</v>
      </c>
      <c r="F9918" s="21"/>
      <c r="G9918" s="16" t="str">
        <f>HYPERLINK("http://maps.google.com/maps?f=q&amp;hl=en&amp;geocode=&amp;q=31.5901420620353,-100.560830409264")</f>
        <v>http://maps.google.com/maps?f=q&amp;hl=en&amp;geocode=&amp;q=31.5901420620353,-100.560830409264</v>
      </c>
    </row>
    <row r="9919" spans="1:7" ht="15" x14ac:dyDescent="0.3">
      <c r="A9919">
        <v>49.518180847167997</v>
      </c>
      <c r="B9919">
        <v>5.8978409767150897</v>
      </c>
      <c r="C9919" t="s">
        <v>41</v>
      </c>
      <c r="D9919" t="s">
        <v>2510</v>
      </c>
      <c r="F9919" s="21"/>
      <c r="G9919" s="16" t="str">
        <f>HYPERLINK("http://maps.google.com/maps?f=q&amp;hl=en&amp;geocode=&amp;q=49.518180847168,5.89784097671509")</f>
        <v>http://maps.google.com/maps?f=q&amp;hl=en&amp;geocode=&amp;q=49.518180847168,5.89784097671509</v>
      </c>
    </row>
    <row r="9920" spans="1:7" ht="15" x14ac:dyDescent="0.3">
      <c r="A9920">
        <v>40.976813247054302</v>
      </c>
      <c r="B9920">
        <v>-72.1909099316305</v>
      </c>
      <c r="C9920" t="s">
        <v>43</v>
      </c>
      <c r="D9920" t="s">
        <v>5688</v>
      </c>
      <c r="F9920" s="21"/>
      <c r="G9920" s="16" t="str">
        <f>HYPERLINK("http://maps.google.com/maps?f=q&amp;hl=en&amp;geocode=&amp;q=40.9768132470543,-72.1909099316305")</f>
        <v>http://maps.google.com/maps?f=q&amp;hl=en&amp;geocode=&amp;q=40.9768132470543,-72.1909099316305</v>
      </c>
    </row>
    <row r="9921" spans="1:7" ht="15" x14ac:dyDescent="0.3">
      <c r="A9921">
        <v>39.418942000000001</v>
      </c>
      <c r="B9921">
        <v>-76.637510000000006</v>
      </c>
      <c r="C9921" t="s">
        <v>41</v>
      </c>
      <c r="D9921" t="s">
        <v>4342</v>
      </c>
      <c r="F9921" s="21"/>
      <c r="G9921" s="16" t="str">
        <f>HYPERLINK("http://maps.google.com/maps?f=q&amp;hl=en&amp;geocode=&amp;q=39.418942,-76.63751")</f>
        <v>http://maps.google.com/maps?f=q&amp;hl=en&amp;geocode=&amp;q=39.418942,-76.63751</v>
      </c>
    </row>
    <row r="9922" spans="1:7" ht="15" x14ac:dyDescent="0.3">
      <c r="A9922" t="s">
        <v>44</v>
      </c>
      <c r="B9922" t="s">
        <v>44</v>
      </c>
      <c r="C9922" t="s">
        <v>44</v>
      </c>
      <c r="D9922" t="s">
        <v>4108</v>
      </c>
      <c r="F9922" s="21"/>
      <c r="G9922" s="16"/>
    </row>
    <row r="9923" spans="1:7" ht="15" x14ac:dyDescent="0.3">
      <c r="A9923">
        <v>47.116134643554702</v>
      </c>
      <c r="B9923">
        <v>6.8440089225768999</v>
      </c>
      <c r="C9923" t="s">
        <v>43</v>
      </c>
      <c r="D9923" t="s">
        <v>2187</v>
      </c>
      <c r="F9923" s="21"/>
      <c r="G9923" s="16" t="str">
        <f>HYPERLINK("http://maps.google.com/maps?f=q&amp;hl=en&amp;geocode=&amp;q=47.1161346435547,6.8440089225769")</f>
        <v>http://maps.google.com/maps?f=q&amp;hl=en&amp;geocode=&amp;q=47.1161346435547,6.8440089225769</v>
      </c>
    </row>
    <row r="9924" spans="1:7" ht="15" x14ac:dyDescent="0.3">
      <c r="F9924" s="21"/>
      <c r="G9924" s="16"/>
    </row>
    <row r="9925" spans="1:7" ht="15" x14ac:dyDescent="0.3">
      <c r="A9925">
        <v>39.995800000000003</v>
      </c>
      <c r="B9925">
        <v>-75.170929999999998</v>
      </c>
      <c r="C9925" t="s">
        <v>41</v>
      </c>
      <c r="D9925" t="s">
        <v>3739</v>
      </c>
      <c r="F9925" s="21"/>
      <c r="G9925" s="16" t="str">
        <f>HYPERLINK("http://maps.google.com/maps?f=q&amp;hl=en&amp;geocode=&amp;q=39.9958,-75.17093")</f>
        <v>http://maps.google.com/maps?f=q&amp;hl=en&amp;geocode=&amp;q=39.9958,-75.17093</v>
      </c>
    </row>
    <row r="9926" spans="1:7" ht="15" x14ac:dyDescent="0.3">
      <c r="A9926">
        <v>39.996009999999998</v>
      </c>
      <c r="B9926">
        <v>-75.172529999999995</v>
      </c>
      <c r="C9926" t="s">
        <v>41</v>
      </c>
      <c r="D9926" t="s">
        <v>4331</v>
      </c>
      <c r="F9926" s="21"/>
      <c r="G9926" s="16" t="str">
        <f>HYPERLINK("http://maps.google.com/maps?f=q&amp;hl=en&amp;geocode=&amp;q=39.99601,-75.17253")</f>
        <v>http://maps.google.com/maps?f=q&amp;hl=en&amp;geocode=&amp;q=39.99601,-75.17253</v>
      </c>
    </row>
    <row r="9927" spans="1:7" ht="15" x14ac:dyDescent="0.3">
      <c r="A9927">
        <v>39.990549999999999</v>
      </c>
      <c r="B9927">
        <v>-75.100309999999993</v>
      </c>
      <c r="C9927" t="s">
        <v>41</v>
      </c>
      <c r="D9927" t="s">
        <v>1630</v>
      </c>
      <c r="F9927" s="21"/>
      <c r="G9927" s="16" t="str">
        <f>HYPERLINK("http://maps.google.com/maps?f=q&amp;hl=en&amp;geocode=&amp;q=39.99055,-75.10031")</f>
        <v>http://maps.google.com/maps?f=q&amp;hl=en&amp;geocode=&amp;q=39.99055,-75.10031</v>
      </c>
    </row>
    <row r="9928" spans="1:7" ht="15" x14ac:dyDescent="0.3">
      <c r="A9928">
        <v>39.131929884186697</v>
      </c>
      <c r="B9928">
        <v>-85.120071324193702</v>
      </c>
      <c r="C9928" t="s">
        <v>41</v>
      </c>
      <c r="D9928" t="s">
        <v>3563</v>
      </c>
      <c r="F9928" s="21"/>
      <c r="G9928" s="16" t="str">
        <f>HYPERLINK("http://maps.google.com/maps?f=q&amp;hl=en&amp;geocode=&amp;q=39.1319298841867,-85.1200713241937")</f>
        <v>http://maps.google.com/maps?f=q&amp;hl=en&amp;geocode=&amp;q=39.1319298841867,-85.1200713241937</v>
      </c>
    </row>
    <row r="9929" spans="1:7" ht="15" x14ac:dyDescent="0.3">
      <c r="A9929">
        <v>23.406011581420898</v>
      </c>
      <c r="B9929">
        <v>79.458091735839801</v>
      </c>
      <c r="C9929" t="s">
        <v>41</v>
      </c>
      <c r="D9929" t="s">
        <v>5689</v>
      </c>
      <c r="F9929" s="21"/>
      <c r="G9929" s="16" t="str">
        <f>HYPERLINK("http://maps.google.com/maps?f=q&amp;hl=en&amp;geocode=&amp;q=23.4060115814209,79.4580917358398")</f>
        <v>http://maps.google.com/maps?f=q&amp;hl=en&amp;geocode=&amp;q=23.4060115814209,79.4580917358398</v>
      </c>
    </row>
    <row r="9930" spans="1:7" ht="15" x14ac:dyDescent="0.3">
      <c r="A9930">
        <v>10.1616096496582</v>
      </c>
      <c r="B9930">
        <v>-66.538719177246094</v>
      </c>
      <c r="C9930" t="s">
        <v>41</v>
      </c>
      <c r="D9930" t="s">
        <v>5690</v>
      </c>
      <c r="F9930" s="21"/>
      <c r="G9930" s="16" t="str">
        <f>HYPERLINK("http://maps.google.com/maps?f=q&amp;hl=en&amp;geocode=&amp;q=10.1616096496582,-66.5387191772461")</f>
        <v>http://maps.google.com/maps?f=q&amp;hl=en&amp;geocode=&amp;q=10.1616096496582,-66.5387191772461</v>
      </c>
    </row>
    <row r="9931" spans="1:7" ht="15" x14ac:dyDescent="0.3">
      <c r="A9931">
        <v>33.893794476787001</v>
      </c>
      <c r="B9931">
        <v>-88.101219362699098</v>
      </c>
      <c r="C9931" t="s">
        <v>41</v>
      </c>
      <c r="D9931" t="s">
        <v>5691</v>
      </c>
      <c r="F9931" s="21"/>
      <c r="G9931" s="16" t="str">
        <f>HYPERLINK("http://maps.google.com/maps?f=q&amp;hl=en&amp;geocode=&amp;q=33.893794476787,-88.1012193626991")</f>
        <v>http://maps.google.com/maps?f=q&amp;hl=en&amp;geocode=&amp;q=33.893794476787,-88.1012193626991</v>
      </c>
    </row>
    <row r="9932" spans="1:7" ht="15" x14ac:dyDescent="0.3">
      <c r="A9932">
        <v>33.893794476787001</v>
      </c>
      <c r="B9932">
        <v>-88.101219362699098</v>
      </c>
      <c r="C9932" t="s">
        <v>41</v>
      </c>
      <c r="D9932" t="s">
        <v>5691</v>
      </c>
      <c r="F9932" s="21"/>
      <c r="G9932" s="16" t="str">
        <f>HYPERLINK("http://maps.google.com/maps?f=q&amp;hl=en&amp;geocode=&amp;q=33.893794476787,-88.1012193626991")</f>
        <v>http://maps.google.com/maps?f=q&amp;hl=en&amp;geocode=&amp;q=33.893794476787,-88.1012193626991</v>
      </c>
    </row>
    <row r="9933" spans="1:7" ht="15" x14ac:dyDescent="0.3">
      <c r="A9933">
        <v>33.893794476787001</v>
      </c>
      <c r="B9933">
        <v>-88.101219362699098</v>
      </c>
      <c r="C9933" t="s">
        <v>41</v>
      </c>
      <c r="D9933" t="s">
        <v>5691</v>
      </c>
      <c r="F9933" s="21"/>
      <c r="G9933" s="16" t="str">
        <f>HYPERLINK("http://maps.google.com/maps?f=q&amp;hl=en&amp;geocode=&amp;q=33.893794476787,-88.1012193626991")</f>
        <v>http://maps.google.com/maps?f=q&amp;hl=en&amp;geocode=&amp;q=33.893794476787,-88.1012193626991</v>
      </c>
    </row>
    <row r="9934" spans="1:7" ht="15" x14ac:dyDescent="0.3">
      <c r="A9934">
        <v>39.996810000000004</v>
      </c>
      <c r="B9934">
        <v>-75.175190000000001</v>
      </c>
      <c r="C9934" t="s">
        <v>41</v>
      </c>
      <c r="D9934" t="s">
        <v>5692</v>
      </c>
      <c r="F9934" s="21"/>
      <c r="G9934" s="16" t="str">
        <f>HYPERLINK("http://maps.google.com/maps?f=q&amp;hl=en&amp;geocode=&amp;q=39.99681,-75.17519")</f>
        <v>http://maps.google.com/maps?f=q&amp;hl=en&amp;geocode=&amp;q=39.99681,-75.17519</v>
      </c>
    </row>
    <row r="9935" spans="1:7" ht="15" x14ac:dyDescent="0.3">
      <c r="A9935">
        <v>39.996780000000001</v>
      </c>
      <c r="B9935">
        <v>-75.175020000000004</v>
      </c>
      <c r="C9935" t="s">
        <v>41</v>
      </c>
      <c r="D9935" t="s">
        <v>5693</v>
      </c>
      <c r="F9935" s="21"/>
      <c r="G9935" s="16" t="str">
        <f>HYPERLINK("http://maps.google.com/maps?f=q&amp;hl=en&amp;geocode=&amp;q=39.99678,-75.17502")</f>
        <v>http://maps.google.com/maps?f=q&amp;hl=en&amp;geocode=&amp;q=39.99678,-75.17502</v>
      </c>
    </row>
    <row r="9936" spans="1:7" ht="15" x14ac:dyDescent="0.3">
      <c r="A9936">
        <v>33.893794476787001</v>
      </c>
      <c r="B9936">
        <v>-88.101219362699098</v>
      </c>
      <c r="C9936" t="s">
        <v>41</v>
      </c>
      <c r="D9936" t="s">
        <v>5691</v>
      </c>
      <c r="F9936" s="21"/>
      <c r="G9936" s="16" t="str">
        <f>HYPERLINK("http://maps.google.com/maps?f=q&amp;hl=en&amp;geocode=&amp;q=33.893794476787,-88.1012193626991")</f>
        <v>http://maps.google.com/maps?f=q&amp;hl=en&amp;geocode=&amp;q=33.893794476787,-88.1012193626991</v>
      </c>
    </row>
    <row r="9937" spans="1:7" ht="15" x14ac:dyDescent="0.3">
      <c r="A9937">
        <v>46.955168205340698</v>
      </c>
      <c r="B9937">
        <v>-114.011374755454</v>
      </c>
      <c r="C9937" t="s">
        <v>41</v>
      </c>
      <c r="D9937" t="s">
        <v>4602</v>
      </c>
      <c r="F9937" s="21"/>
      <c r="G9937" s="16" t="str">
        <f>HYPERLINK("http://maps.google.com/maps?f=q&amp;hl=en&amp;geocode=&amp;q=46.9551682053407,-114.011374755454")</f>
        <v>http://maps.google.com/maps?f=q&amp;hl=en&amp;geocode=&amp;q=46.9551682053407,-114.011374755454</v>
      </c>
    </row>
    <row r="9938" spans="1:7" ht="15" x14ac:dyDescent="0.3">
      <c r="A9938">
        <v>35.927199999999999</v>
      </c>
      <c r="B9938">
        <v>-80.044300000000007</v>
      </c>
      <c r="C9938" t="s">
        <v>42</v>
      </c>
      <c r="D9938" t="s">
        <v>2490</v>
      </c>
      <c r="F9938" s="21"/>
      <c r="G9938" s="16" t="str">
        <f>HYPERLINK("http://maps.google.com/maps?f=q&amp;hl=en&amp;geocode=&amp;q=35.9272,-80.0443")</f>
        <v>http://maps.google.com/maps?f=q&amp;hl=en&amp;geocode=&amp;q=35.9272,-80.0443</v>
      </c>
    </row>
    <row r="9939" spans="1:7" ht="15" x14ac:dyDescent="0.3">
      <c r="A9939">
        <v>-26.188575744628899</v>
      </c>
      <c r="B9939">
        <v>27.929327011108398</v>
      </c>
      <c r="C9939" t="s">
        <v>43</v>
      </c>
      <c r="D9939" t="s">
        <v>5694</v>
      </c>
      <c r="F9939" s="21"/>
      <c r="G9939" s="16" t="str">
        <f>HYPERLINK("http://maps.google.com/maps?f=q&amp;hl=en&amp;geocode=&amp;q=-26.1885757446289,27.9293270111084")</f>
        <v>http://maps.google.com/maps?f=q&amp;hl=en&amp;geocode=&amp;q=-26.1885757446289,27.9293270111084</v>
      </c>
    </row>
    <row r="9940" spans="1:7" ht="15" x14ac:dyDescent="0.3">
      <c r="A9940">
        <v>33.893794476787001</v>
      </c>
      <c r="B9940">
        <v>-88.101219362699098</v>
      </c>
      <c r="C9940" t="s">
        <v>41</v>
      </c>
      <c r="D9940" t="s">
        <v>5691</v>
      </c>
      <c r="F9940" s="21"/>
      <c r="G9940" s="16" t="str">
        <f>HYPERLINK("http://maps.google.com/maps?f=q&amp;hl=en&amp;geocode=&amp;q=33.893794476787,-88.1012193626991")</f>
        <v>http://maps.google.com/maps?f=q&amp;hl=en&amp;geocode=&amp;q=33.893794476787,-88.1012193626991</v>
      </c>
    </row>
    <row r="9941" spans="1:7" ht="15" x14ac:dyDescent="0.3">
      <c r="A9941">
        <v>52.6822319030762</v>
      </c>
      <c r="B9941">
        <v>0.13165999948978399</v>
      </c>
      <c r="C9941" t="s">
        <v>41</v>
      </c>
      <c r="D9941" t="s">
        <v>1331</v>
      </c>
      <c r="F9941" s="21"/>
      <c r="G9941" s="16" t="str">
        <f>HYPERLINK("http://maps.google.com/maps?f=q&amp;hl=en&amp;geocode=&amp;q=52.6822319030762,0.131659999489784")</f>
        <v>http://maps.google.com/maps?f=q&amp;hl=en&amp;geocode=&amp;q=52.6822319030762,0.131659999489784</v>
      </c>
    </row>
    <row r="9942" spans="1:7" ht="15" x14ac:dyDescent="0.3">
      <c r="A9942">
        <v>39.684371948242202</v>
      </c>
      <c r="B9942">
        <v>21.8974094390869</v>
      </c>
      <c r="C9942" t="s">
        <v>41</v>
      </c>
      <c r="D9942" t="s">
        <v>94</v>
      </c>
      <c r="F9942" s="21"/>
      <c r="G9942" s="16" t="str">
        <f>HYPERLINK("http://maps.google.com/maps?f=q&amp;hl=en&amp;geocode=&amp;q=39.6843719482422,21.8974094390869")</f>
        <v>http://maps.google.com/maps?f=q&amp;hl=en&amp;geocode=&amp;q=39.6843719482422,21.8974094390869</v>
      </c>
    </row>
    <row r="9943" spans="1:7" ht="15" x14ac:dyDescent="0.3">
      <c r="A9943">
        <v>46.479801333194402</v>
      </c>
      <c r="B9943">
        <v>-104.63518891124799</v>
      </c>
      <c r="C9943" t="s">
        <v>41</v>
      </c>
      <c r="D9943" t="s">
        <v>5695</v>
      </c>
      <c r="F9943" s="21"/>
      <c r="G9943" s="16" t="str">
        <f>HYPERLINK("http://maps.google.com/maps?f=q&amp;hl=en&amp;geocode=&amp;q=46.4798013331944,-104.635188911248")</f>
        <v>http://maps.google.com/maps?f=q&amp;hl=en&amp;geocode=&amp;q=46.4798013331944,-104.635188911248</v>
      </c>
    </row>
    <row r="9944" spans="1:7" ht="15" x14ac:dyDescent="0.3">
      <c r="A9944">
        <v>39.981029999999997</v>
      </c>
      <c r="B9944">
        <v>-75.110590000000002</v>
      </c>
      <c r="C9944" t="s">
        <v>41</v>
      </c>
      <c r="D9944" t="s">
        <v>1309</v>
      </c>
      <c r="F9944" s="21"/>
      <c r="G9944" s="16" t="str">
        <f>HYPERLINK("http://maps.google.com/maps?f=q&amp;hl=en&amp;geocode=&amp;q=39.98103,-75.11059")</f>
        <v>http://maps.google.com/maps?f=q&amp;hl=en&amp;geocode=&amp;q=39.98103,-75.11059</v>
      </c>
    </row>
    <row r="9945" spans="1:7" ht="15" x14ac:dyDescent="0.3">
      <c r="A9945">
        <v>46.807322322878697</v>
      </c>
      <c r="B9945">
        <v>-100.764658401462</v>
      </c>
      <c r="C9945" t="s">
        <v>41</v>
      </c>
      <c r="D9945" t="s">
        <v>5696</v>
      </c>
      <c r="F9945" s="21"/>
      <c r="G9945" s="16" t="str">
        <f>HYPERLINK("http://maps.google.com/maps?f=q&amp;hl=en&amp;geocode=&amp;q=46.8073223228787,-100.764658401462")</f>
        <v>http://maps.google.com/maps?f=q&amp;hl=en&amp;geocode=&amp;q=46.8073223228787,-100.764658401462</v>
      </c>
    </row>
    <row r="9946" spans="1:7" ht="15" x14ac:dyDescent="0.3">
      <c r="A9946">
        <v>38.980808258056598</v>
      </c>
      <c r="B9946">
        <v>-88.318092346191406</v>
      </c>
      <c r="C9946" t="s">
        <v>43</v>
      </c>
      <c r="D9946" t="s">
        <v>5697</v>
      </c>
      <c r="F9946" s="21"/>
      <c r="G9946" s="16" t="str">
        <f>HYPERLINK("http://maps.google.com/maps?f=q&amp;hl=en&amp;geocode=&amp;q=38.9808082580566,-88.3180923461914")</f>
        <v>http://maps.google.com/maps?f=q&amp;hl=en&amp;geocode=&amp;q=38.9808082580566,-88.3180923461914</v>
      </c>
    </row>
    <row r="9947" spans="1:7" ht="15" x14ac:dyDescent="0.3">
      <c r="A9947">
        <v>43.783920000000002</v>
      </c>
      <c r="B9947">
        <v>-91.235489999999999</v>
      </c>
      <c r="C9947" t="s">
        <v>43</v>
      </c>
      <c r="D9947" t="s">
        <v>5698</v>
      </c>
      <c r="F9947" s="21"/>
      <c r="G9947" s="16" t="str">
        <f>HYPERLINK("http://maps.google.com/maps?f=q&amp;hl=en&amp;geocode=&amp;q=43.78392,-91.23549")</f>
        <v>http://maps.google.com/maps?f=q&amp;hl=en&amp;geocode=&amp;q=43.78392,-91.23549</v>
      </c>
    </row>
    <row r="9948" spans="1:7" ht="15" x14ac:dyDescent="0.3">
      <c r="A9948">
        <v>48.922944967711601</v>
      </c>
      <c r="B9948">
        <v>-122.744442522727</v>
      </c>
      <c r="C9948" t="s">
        <v>43</v>
      </c>
      <c r="D9948" t="s">
        <v>5699</v>
      </c>
      <c r="F9948" s="21"/>
      <c r="G9948" s="16" t="str">
        <f>HYPERLINK("http://maps.google.com/maps?f=q&amp;hl=en&amp;geocode=&amp;q=48.9229449677116,-122.744442522727")</f>
        <v>http://maps.google.com/maps?f=q&amp;hl=en&amp;geocode=&amp;q=48.9229449677116,-122.744442522727</v>
      </c>
    </row>
    <row r="9949" spans="1:7" ht="15" x14ac:dyDescent="0.3">
      <c r="A9949">
        <v>-5.0306301116943404</v>
      </c>
      <c r="B9949">
        <v>32.819759368896499</v>
      </c>
      <c r="C9949" t="s">
        <v>41</v>
      </c>
      <c r="D9949" t="s">
        <v>3418</v>
      </c>
      <c r="F9949" s="21"/>
      <c r="G9949" s="16" t="str">
        <f>HYPERLINK("http://maps.google.com/maps?f=q&amp;hl=en&amp;geocode=&amp;q=-5.03063011169434,32.8197593688965")</f>
        <v>http://maps.google.com/maps?f=q&amp;hl=en&amp;geocode=&amp;q=-5.03063011169434,32.8197593688965</v>
      </c>
    </row>
    <row r="9950" spans="1:7" ht="15" x14ac:dyDescent="0.3">
      <c r="A9950">
        <v>45.648629913521901</v>
      </c>
      <c r="B9950">
        <v>-84.501049186317999</v>
      </c>
      <c r="C9950" t="s">
        <v>41</v>
      </c>
      <c r="D9950" t="s">
        <v>5700</v>
      </c>
      <c r="F9950" s="21"/>
      <c r="G9950" s="16" t="str">
        <f>HYPERLINK("http://maps.google.com/maps?f=q&amp;hl=en&amp;geocode=&amp;q=45.6486299135219,-84.501049186318")</f>
        <v>http://maps.google.com/maps?f=q&amp;hl=en&amp;geocode=&amp;q=45.6486299135219,-84.501049186318</v>
      </c>
    </row>
    <row r="9951" spans="1:7" ht="15" x14ac:dyDescent="0.3">
      <c r="A9951">
        <v>39.920610000000003</v>
      </c>
      <c r="B9951">
        <v>-75.180289999999999</v>
      </c>
      <c r="C9951" t="s">
        <v>42</v>
      </c>
      <c r="D9951" t="s">
        <v>3891</v>
      </c>
      <c r="F9951" s="21"/>
      <c r="G9951" s="16" t="str">
        <f>HYPERLINK("http://maps.google.com/maps?f=q&amp;hl=en&amp;geocode=&amp;q=39.92061,-75.18029")</f>
        <v>http://maps.google.com/maps?f=q&amp;hl=en&amp;geocode=&amp;q=39.92061,-75.18029</v>
      </c>
    </row>
    <row r="9952" spans="1:7" ht="15" x14ac:dyDescent="0.3">
      <c r="A9952">
        <v>39.1331766702043</v>
      </c>
      <c r="B9952">
        <v>-86.152760517556004</v>
      </c>
      <c r="C9952" t="s">
        <v>41</v>
      </c>
      <c r="D9952" t="s">
        <v>173</v>
      </c>
      <c r="F9952" s="21"/>
      <c r="G9952" s="16" t="str">
        <f>HYPERLINK("http://maps.google.com/maps?f=q&amp;hl=en&amp;geocode=&amp;q=39.1331766702043,-86.152760517556")</f>
        <v>http://maps.google.com/maps?f=q&amp;hl=en&amp;geocode=&amp;q=39.1331766702043,-86.152760517556</v>
      </c>
    </row>
    <row r="9953" spans="1:7" ht="15" x14ac:dyDescent="0.3">
      <c r="A9953">
        <v>49.618682861328097</v>
      </c>
      <c r="B9953">
        <v>6.0973868370056197</v>
      </c>
      <c r="C9953" t="s">
        <v>41</v>
      </c>
      <c r="D9953" t="s">
        <v>5701</v>
      </c>
      <c r="F9953" s="21"/>
      <c r="G9953" s="16" t="str">
        <f>HYPERLINK("http://maps.google.com/maps?f=q&amp;hl=en&amp;geocode=&amp;q=49.6186828613281,6.09738683700562")</f>
        <v>http://maps.google.com/maps?f=q&amp;hl=en&amp;geocode=&amp;q=49.6186828613281,6.09738683700562</v>
      </c>
    </row>
    <row r="9954" spans="1:7" ht="15" x14ac:dyDescent="0.3">
      <c r="A9954">
        <v>50.612239837646499</v>
      </c>
      <c r="B9954">
        <v>-2.4585399627685498</v>
      </c>
      <c r="C9954" t="s">
        <v>41</v>
      </c>
      <c r="D9954" t="s">
        <v>5702</v>
      </c>
      <c r="F9954" s="21"/>
      <c r="G9954" s="16" t="str">
        <f>HYPERLINK("http://maps.google.com/maps?f=q&amp;hl=en&amp;geocode=&amp;q=50.6122398376465,-2.45853996276855")</f>
        <v>http://maps.google.com/maps?f=q&amp;hl=en&amp;geocode=&amp;q=50.6122398376465,-2.45853996276855</v>
      </c>
    </row>
    <row r="9955" spans="1:7" ht="15" x14ac:dyDescent="0.3">
      <c r="A9955">
        <v>50.612239837646499</v>
      </c>
      <c r="B9955">
        <v>-2.4585399627685498</v>
      </c>
      <c r="C9955" t="s">
        <v>41</v>
      </c>
      <c r="D9955" t="s">
        <v>5702</v>
      </c>
      <c r="F9955" s="21"/>
      <c r="G9955" s="16" t="str">
        <f>HYPERLINK("http://maps.google.com/maps?f=q&amp;hl=en&amp;geocode=&amp;q=50.6122398376465,-2.45853996276855")</f>
        <v>http://maps.google.com/maps?f=q&amp;hl=en&amp;geocode=&amp;q=50.6122398376465,-2.45853996276855</v>
      </c>
    </row>
    <row r="9956" spans="1:7" ht="15" x14ac:dyDescent="0.3">
      <c r="A9956">
        <v>51.447884999999999</v>
      </c>
      <c r="B9956">
        <v>-0.11938699999999999</v>
      </c>
      <c r="C9956" t="s">
        <v>41</v>
      </c>
      <c r="D9956" t="s">
        <v>5703</v>
      </c>
      <c r="F9956" s="21"/>
      <c r="G9956" s="16" t="str">
        <f>HYPERLINK("http://maps.google.com/maps?f=q&amp;hl=en&amp;geocode=&amp;q=51.447885,-0.119387")</f>
        <v>http://maps.google.com/maps?f=q&amp;hl=en&amp;geocode=&amp;q=51.447885,-0.119387</v>
      </c>
    </row>
    <row r="9957" spans="1:7" ht="15" x14ac:dyDescent="0.3">
      <c r="A9957">
        <v>35.098817491402698</v>
      </c>
      <c r="B9957">
        <v>-89.897156913723506</v>
      </c>
      <c r="C9957" t="s">
        <v>41</v>
      </c>
      <c r="D9957" t="s">
        <v>5704</v>
      </c>
      <c r="F9957" s="21"/>
      <c r="G9957" s="16" t="str">
        <f>HYPERLINK("http://maps.google.com/maps?f=q&amp;hl=en&amp;geocode=&amp;q=35.0988174914027,-89.8971569137235")</f>
        <v>http://maps.google.com/maps?f=q&amp;hl=en&amp;geocode=&amp;q=35.0988174914027,-89.8971569137235</v>
      </c>
    </row>
    <row r="9958" spans="1:7" ht="15" x14ac:dyDescent="0.3">
      <c r="A9958">
        <v>41.149993206539698</v>
      </c>
      <c r="B9958">
        <v>-111.913570873949</v>
      </c>
      <c r="C9958" t="s">
        <v>41</v>
      </c>
      <c r="D9958" t="s">
        <v>782</v>
      </c>
      <c r="F9958" s="21"/>
      <c r="G9958" s="16" t="str">
        <f>HYPERLINK("http://maps.google.com/maps?f=q&amp;hl=en&amp;geocode=&amp;q=41.1499932065397,-111.913570873949")</f>
        <v>http://maps.google.com/maps?f=q&amp;hl=en&amp;geocode=&amp;q=41.1499932065397,-111.913570873949</v>
      </c>
    </row>
    <row r="9959" spans="1:7" ht="15" x14ac:dyDescent="0.3">
      <c r="A9959">
        <v>7.6653890609741202</v>
      </c>
      <c r="B9959">
        <v>-66.145416259765597</v>
      </c>
      <c r="C9959" t="s">
        <v>41</v>
      </c>
      <c r="D9959" t="s">
        <v>5705</v>
      </c>
      <c r="F9959" s="21"/>
      <c r="G9959" s="16" t="str">
        <f>HYPERLINK("http://maps.google.com/maps?f=q&amp;hl=en&amp;geocode=&amp;q=7.66538906097412,-66.1454162597656")</f>
        <v>http://maps.google.com/maps?f=q&amp;hl=en&amp;geocode=&amp;q=7.66538906097412,-66.1454162597656</v>
      </c>
    </row>
    <row r="9960" spans="1:7" ht="15" x14ac:dyDescent="0.3">
      <c r="A9960">
        <v>41.05988</v>
      </c>
      <c r="B9960">
        <v>-111.91632</v>
      </c>
      <c r="C9960" t="s">
        <v>43</v>
      </c>
      <c r="D9960" t="s">
        <v>5706</v>
      </c>
      <c r="F9960" s="21"/>
      <c r="G9960" s="16" t="str">
        <f>HYPERLINK("http://maps.google.com/maps?f=q&amp;hl=en&amp;geocode=&amp;q=41.05988,-111.91632")</f>
        <v>http://maps.google.com/maps?f=q&amp;hl=en&amp;geocode=&amp;q=41.05988,-111.91632</v>
      </c>
    </row>
    <row r="9961" spans="1:7" ht="15" x14ac:dyDescent="0.3">
      <c r="A9961">
        <v>31.010861794446299</v>
      </c>
      <c r="B9961">
        <v>-86.338552900126203</v>
      </c>
      <c r="C9961" t="s">
        <v>41</v>
      </c>
      <c r="D9961" t="s">
        <v>5601</v>
      </c>
      <c r="F9961" s="21"/>
      <c r="G9961" s="16" t="str">
        <f>HYPERLINK("http://maps.google.com/maps?f=q&amp;hl=en&amp;geocode=&amp;q=31.0108617944463,-86.3385529001262")</f>
        <v>http://maps.google.com/maps?f=q&amp;hl=en&amp;geocode=&amp;q=31.0108617944463,-86.3385529001262</v>
      </c>
    </row>
    <row r="9962" spans="1:7" ht="15" x14ac:dyDescent="0.3">
      <c r="A9962" t="s">
        <v>44</v>
      </c>
      <c r="B9962" t="s">
        <v>44</v>
      </c>
      <c r="C9962" t="s">
        <v>44</v>
      </c>
      <c r="D9962" t="s">
        <v>1702</v>
      </c>
      <c r="F9962" s="21"/>
      <c r="G9962" s="16"/>
    </row>
    <row r="9963" spans="1:7" ht="15" x14ac:dyDescent="0.3">
      <c r="A9963">
        <v>33.258529197279202</v>
      </c>
      <c r="B9963">
        <v>-97.208371733583903</v>
      </c>
      <c r="C9963" t="s">
        <v>43</v>
      </c>
      <c r="D9963" t="s">
        <v>5707</v>
      </c>
      <c r="F9963" s="21"/>
      <c r="G9963" s="16" t="str">
        <f>HYPERLINK("http://maps.google.com/maps?f=q&amp;hl=en&amp;geocode=&amp;q=33.2585291972792,-97.2083717335839")</f>
        <v>http://maps.google.com/maps?f=q&amp;hl=en&amp;geocode=&amp;q=33.2585291972792,-97.2083717335839</v>
      </c>
    </row>
    <row r="9964" spans="1:7" ht="15" x14ac:dyDescent="0.3">
      <c r="A9964">
        <v>50.807346343994098</v>
      </c>
      <c r="B9964">
        <v>5.7348451614379901</v>
      </c>
      <c r="C9964" t="s">
        <v>43</v>
      </c>
      <c r="D9964" t="s">
        <v>2174</v>
      </c>
      <c r="F9964" s="21"/>
      <c r="G9964" s="16" t="str">
        <f>HYPERLINK("http://maps.google.com/maps?f=q&amp;hl=en&amp;geocode=&amp;q=50.8073463439941,5.73484516143799")</f>
        <v>http://maps.google.com/maps?f=q&amp;hl=en&amp;geocode=&amp;q=50.8073463439941,5.73484516143799</v>
      </c>
    </row>
    <row r="9965" spans="1:7" ht="15" x14ac:dyDescent="0.3">
      <c r="A9965" t="s">
        <v>44</v>
      </c>
      <c r="B9965" t="s">
        <v>44</v>
      </c>
      <c r="C9965" t="s">
        <v>44</v>
      </c>
      <c r="D9965" t="s">
        <v>5708</v>
      </c>
      <c r="F9965" s="21"/>
      <c r="G9965" s="16"/>
    </row>
    <row r="9966" spans="1:7" ht="15" x14ac:dyDescent="0.3">
      <c r="A9966">
        <v>40.024738311767599</v>
      </c>
      <c r="B9966">
        <v>-75.213882446289105</v>
      </c>
      <c r="C9966" t="s">
        <v>43</v>
      </c>
      <c r="D9966" t="s">
        <v>2367</v>
      </c>
      <c r="F9966" s="21"/>
      <c r="G9966" s="16" t="str">
        <f>HYPERLINK("http://maps.google.com/maps?f=q&amp;hl=en&amp;geocode=&amp;q=40.0247383117676,-75.2138824462891")</f>
        <v>http://maps.google.com/maps?f=q&amp;hl=en&amp;geocode=&amp;q=40.0247383117676,-75.2138824462891</v>
      </c>
    </row>
    <row r="9967" spans="1:7" ht="15" x14ac:dyDescent="0.3">
      <c r="A9967">
        <v>13.3421745300293</v>
      </c>
      <c r="B9967">
        <v>121.187538146973</v>
      </c>
      <c r="C9967" t="s">
        <v>43</v>
      </c>
      <c r="D9967" t="s">
        <v>1467</v>
      </c>
      <c r="F9967" s="21"/>
      <c r="G9967" s="16" t="str">
        <f>HYPERLINK("http://maps.google.com/maps?f=q&amp;hl=en&amp;geocode=&amp;q=13.3421745300293,121.187538146973")</f>
        <v>http://maps.google.com/maps?f=q&amp;hl=en&amp;geocode=&amp;q=13.3421745300293,121.187538146973</v>
      </c>
    </row>
    <row r="9968" spans="1:7" ht="15" x14ac:dyDescent="0.3">
      <c r="A9968" t="s">
        <v>44</v>
      </c>
      <c r="B9968" t="s">
        <v>44</v>
      </c>
      <c r="C9968" t="s">
        <v>44</v>
      </c>
      <c r="D9968" t="s">
        <v>196</v>
      </c>
      <c r="F9968" s="21"/>
      <c r="G9968" s="16"/>
    </row>
    <row r="9969" spans="1:7" ht="15" x14ac:dyDescent="0.3">
      <c r="A9969">
        <v>39.084159999999997</v>
      </c>
      <c r="B9969">
        <v>-94.70326</v>
      </c>
      <c r="C9969" t="s">
        <v>42</v>
      </c>
      <c r="D9969" t="s">
        <v>294</v>
      </c>
      <c r="F9969" s="21"/>
      <c r="G9969" s="16" t="str">
        <f>HYPERLINK("http://maps.google.com/maps?f=q&amp;hl=en&amp;geocode=&amp;q=39.08416,-94.70326")</f>
        <v>http://maps.google.com/maps?f=q&amp;hl=en&amp;geocode=&amp;q=39.08416,-94.70326</v>
      </c>
    </row>
    <row r="9970" spans="1:7" ht="15" x14ac:dyDescent="0.3">
      <c r="A9970">
        <v>39.969520568847699</v>
      </c>
      <c r="B9970">
        <v>-79.613929748535199</v>
      </c>
      <c r="C9970" t="s">
        <v>43</v>
      </c>
      <c r="D9970" t="s">
        <v>5709</v>
      </c>
      <c r="F9970" s="21"/>
      <c r="G9970" s="16" t="str">
        <f>HYPERLINK("http://maps.google.com/maps?f=q&amp;hl=en&amp;geocode=&amp;q=39.9695205688477,-79.6139297485352")</f>
        <v>http://maps.google.com/maps?f=q&amp;hl=en&amp;geocode=&amp;q=39.9695205688477,-79.6139297485352</v>
      </c>
    </row>
    <row r="9971" spans="1:7" ht="15" x14ac:dyDescent="0.3">
      <c r="A9971">
        <v>38.705654622684499</v>
      </c>
      <c r="B9971">
        <v>-85.322039451792605</v>
      </c>
      <c r="C9971" t="s">
        <v>41</v>
      </c>
      <c r="D9971" t="s">
        <v>5710</v>
      </c>
      <c r="F9971" s="21"/>
      <c r="G9971" s="16" t="str">
        <f>HYPERLINK("http://maps.google.com/maps?f=q&amp;hl=en&amp;geocode=&amp;q=38.7056546226845,-85.3220394517926")</f>
        <v>http://maps.google.com/maps?f=q&amp;hl=en&amp;geocode=&amp;q=38.7056546226845,-85.3220394517926</v>
      </c>
    </row>
    <row r="9972" spans="1:7" ht="15" x14ac:dyDescent="0.3">
      <c r="A9972">
        <v>46.637279510497997</v>
      </c>
      <c r="B9972">
        <v>2.3382620811462398</v>
      </c>
      <c r="C9972" t="s">
        <v>41</v>
      </c>
      <c r="D9972" t="s">
        <v>5711</v>
      </c>
      <c r="F9972" s="21"/>
      <c r="G9972" s="16" t="str">
        <f>HYPERLINK("http://maps.google.com/maps?f=q&amp;hl=en&amp;geocode=&amp;q=46.637279510498,2.33826208114624")</f>
        <v>http://maps.google.com/maps?f=q&amp;hl=en&amp;geocode=&amp;q=46.637279510498,2.33826208114624</v>
      </c>
    </row>
    <row r="9973" spans="1:7" ht="15" x14ac:dyDescent="0.3">
      <c r="A9973">
        <v>40.402369043342297</v>
      </c>
      <c r="B9973">
        <v>-75.284348264955995</v>
      </c>
      <c r="C9973" t="s">
        <v>41</v>
      </c>
      <c r="D9973" t="s">
        <v>5280</v>
      </c>
      <c r="F9973" s="21"/>
      <c r="G9973" s="16" t="str">
        <f>HYPERLINK("http://maps.google.com/maps?f=q&amp;hl=en&amp;geocode=&amp;q=40.4023690433423,-75.284348264956")</f>
        <v>http://maps.google.com/maps?f=q&amp;hl=en&amp;geocode=&amp;q=40.4023690433423,-75.284348264956</v>
      </c>
    </row>
    <row r="9974" spans="1:7" ht="15" x14ac:dyDescent="0.3">
      <c r="A9974">
        <v>-37.761684417724602</v>
      </c>
      <c r="B9974">
        <v>146.97302246093801</v>
      </c>
      <c r="C9974" t="s">
        <v>41</v>
      </c>
      <c r="D9974" t="s">
        <v>5712</v>
      </c>
      <c r="F9974" s="21"/>
      <c r="G9974" s="16" t="str">
        <f>HYPERLINK("http://maps.google.com/maps?f=q&amp;hl=en&amp;geocode=&amp;q=-37.7616844177246,146.973022460938")</f>
        <v>http://maps.google.com/maps?f=q&amp;hl=en&amp;geocode=&amp;q=-37.7616844177246,146.973022460938</v>
      </c>
    </row>
    <row r="9975" spans="1:7" ht="15" x14ac:dyDescent="0.3">
      <c r="A9975">
        <v>40.706339999999997</v>
      </c>
      <c r="B9975">
        <v>-73.498919999999998</v>
      </c>
      <c r="C9975" t="s">
        <v>41</v>
      </c>
      <c r="D9975" t="s">
        <v>5713</v>
      </c>
      <c r="F9975" s="21"/>
      <c r="G9975" s="16" t="str">
        <f>HYPERLINK("http://maps.google.com/maps?f=q&amp;hl=en&amp;geocode=&amp;q=40.70634,-73.49892")</f>
        <v>http://maps.google.com/maps?f=q&amp;hl=en&amp;geocode=&amp;q=40.70634,-73.49892</v>
      </c>
    </row>
    <row r="9976" spans="1:7" ht="15" x14ac:dyDescent="0.3">
      <c r="A9976">
        <v>40.047795024169403</v>
      </c>
      <c r="B9976">
        <v>-75.059858803679006</v>
      </c>
      <c r="C9976" t="s">
        <v>41</v>
      </c>
      <c r="D9976" t="s">
        <v>4156</v>
      </c>
      <c r="F9976" s="21"/>
      <c r="G9976" s="16" t="str">
        <f>HYPERLINK("http://maps.google.com/maps?f=q&amp;hl=en&amp;geocode=&amp;q=40.0477950241694,-75.059858803679")</f>
        <v>http://maps.google.com/maps?f=q&amp;hl=en&amp;geocode=&amp;q=40.0477950241694,-75.059858803679</v>
      </c>
    </row>
    <row r="9977" spans="1:7" ht="15" x14ac:dyDescent="0.3">
      <c r="A9977">
        <v>40.047795024169403</v>
      </c>
      <c r="B9977">
        <v>-75.059858803679006</v>
      </c>
      <c r="C9977" t="s">
        <v>41</v>
      </c>
      <c r="D9977" t="s">
        <v>4156</v>
      </c>
      <c r="F9977" s="21"/>
      <c r="G9977" s="16" t="str">
        <f>HYPERLINK("http://maps.google.com/maps?f=q&amp;hl=en&amp;geocode=&amp;q=40.0477950241694,-75.059858803679")</f>
        <v>http://maps.google.com/maps?f=q&amp;hl=en&amp;geocode=&amp;q=40.0477950241694,-75.059858803679</v>
      </c>
    </row>
    <row r="9978" spans="1:7" ht="15" x14ac:dyDescent="0.3">
      <c r="A9978">
        <v>42.999576568603501</v>
      </c>
      <c r="B9978">
        <v>-107.551513671875</v>
      </c>
      <c r="C9978" t="s">
        <v>41</v>
      </c>
      <c r="D9978" t="s">
        <v>5714</v>
      </c>
      <c r="F9978" s="21"/>
      <c r="G9978" s="16" t="str">
        <f>HYPERLINK("http://maps.google.com/maps?f=q&amp;hl=en&amp;geocode=&amp;q=42.9995765686035,-107.551513671875")</f>
        <v>http://maps.google.com/maps?f=q&amp;hl=en&amp;geocode=&amp;q=42.9995765686035,-107.551513671875</v>
      </c>
    </row>
    <row r="9979" spans="1:7" ht="15" x14ac:dyDescent="0.3">
      <c r="A9979">
        <v>42.999576568603501</v>
      </c>
      <c r="B9979">
        <v>-107.551513671875</v>
      </c>
      <c r="C9979" t="s">
        <v>41</v>
      </c>
      <c r="D9979" t="s">
        <v>1411</v>
      </c>
      <c r="F9979" s="21"/>
      <c r="G9979" s="16" t="str">
        <f>HYPERLINK("http://maps.google.com/maps?f=q&amp;hl=en&amp;geocode=&amp;q=42.9995765686035,-107.551513671875")</f>
        <v>http://maps.google.com/maps?f=q&amp;hl=en&amp;geocode=&amp;q=42.9995765686035,-107.551513671875</v>
      </c>
    </row>
    <row r="9980" spans="1:7" ht="15" x14ac:dyDescent="0.3">
      <c r="A9980">
        <v>37.776625687507597</v>
      </c>
      <c r="B9980">
        <v>-89.027739196058107</v>
      </c>
      <c r="C9980" t="s">
        <v>41</v>
      </c>
      <c r="D9980" t="s">
        <v>5715</v>
      </c>
      <c r="F9980" s="21"/>
      <c r="G9980" s="16" t="str">
        <f>HYPERLINK("http://maps.google.com/maps?f=q&amp;hl=en&amp;geocode=&amp;q=37.7766256875076,-89.0277391960581")</f>
        <v>http://maps.google.com/maps?f=q&amp;hl=en&amp;geocode=&amp;q=37.7766256875076,-89.0277391960581</v>
      </c>
    </row>
    <row r="9981" spans="1:7" ht="15" x14ac:dyDescent="0.3">
      <c r="A9981" t="s">
        <v>44</v>
      </c>
      <c r="B9981" t="s">
        <v>44</v>
      </c>
      <c r="C9981" t="s">
        <v>44</v>
      </c>
      <c r="D9981" t="s">
        <v>2444</v>
      </c>
      <c r="F9981" s="21"/>
      <c r="G9981" s="16"/>
    </row>
    <row r="9982" spans="1:7" ht="15" x14ac:dyDescent="0.3">
      <c r="A9982">
        <v>42.832415529968998</v>
      </c>
      <c r="B9982">
        <v>-77.381095667409696</v>
      </c>
      <c r="C9982" t="s">
        <v>41</v>
      </c>
      <c r="D9982" t="s">
        <v>221</v>
      </c>
      <c r="F9982" s="21"/>
      <c r="G9982" s="16" t="str">
        <f>HYPERLINK("http://maps.google.com/maps?f=q&amp;hl=en&amp;geocode=&amp;q=42.832415529969,-77.3810956674097")</f>
        <v>http://maps.google.com/maps?f=q&amp;hl=en&amp;geocode=&amp;q=42.832415529969,-77.3810956674097</v>
      </c>
    </row>
    <row r="9983" spans="1:7" ht="15" x14ac:dyDescent="0.3">
      <c r="A9983">
        <v>42.832415529968998</v>
      </c>
      <c r="B9983">
        <v>-77.381095667409696</v>
      </c>
      <c r="C9983" t="s">
        <v>41</v>
      </c>
      <c r="D9983" t="s">
        <v>221</v>
      </c>
      <c r="F9983" s="21"/>
      <c r="G9983" s="16" t="str">
        <f>HYPERLINK("http://maps.google.com/maps?f=q&amp;hl=en&amp;geocode=&amp;q=42.832415529969,-77.3810956674097")</f>
        <v>http://maps.google.com/maps?f=q&amp;hl=en&amp;geocode=&amp;q=42.832415529969,-77.3810956674097</v>
      </c>
    </row>
    <row r="9984" spans="1:7" ht="15" x14ac:dyDescent="0.3">
      <c r="A9984">
        <v>54.841087341308601</v>
      </c>
      <c r="B9984">
        <v>11.161624908447299</v>
      </c>
      <c r="C9984" t="s">
        <v>41</v>
      </c>
      <c r="D9984" t="s">
        <v>5716</v>
      </c>
      <c r="F9984" s="21"/>
      <c r="G9984" s="16" t="str">
        <f>HYPERLINK("http://maps.google.com/maps?f=q&amp;hl=en&amp;geocode=&amp;q=54.8410873413086,11.1616249084473")</f>
        <v>http://maps.google.com/maps?f=q&amp;hl=en&amp;geocode=&amp;q=54.8410873413086,11.1616249084473</v>
      </c>
    </row>
    <row r="9985" spans="1:7" ht="15" x14ac:dyDescent="0.3">
      <c r="A9985">
        <v>27.04149</v>
      </c>
      <c r="B9985">
        <v>-82.114320000000006</v>
      </c>
      <c r="C9985" t="s">
        <v>41</v>
      </c>
      <c r="D9985" t="s">
        <v>5717</v>
      </c>
      <c r="F9985" s="21"/>
      <c r="G9985" s="16" t="str">
        <f>HYPERLINK("http://maps.google.com/maps?f=q&amp;hl=en&amp;geocode=&amp;q=27.04149,-82.11432")</f>
        <v>http://maps.google.com/maps?f=q&amp;hl=en&amp;geocode=&amp;q=27.04149,-82.11432</v>
      </c>
    </row>
    <row r="9986" spans="1:7" ht="15" x14ac:dyDescent="0.3">
      <c r="A9986">
        <v>54.841087341308601</v>
      </c>
      <c r="B9986">
        <v>11.161624908447299</v>
      </c>
      <c r="C9986" t="s">
        <v>41</v>
      </c>
      <c r="D9986" t="s">
        <v>5716</v>
      </c>
      <c r="F9986" s="21"/>
      <c r="G9986" s="16" t="str">
        <f>HYPERLINK("http://maps.google.com/maps?f=q&amp;hl=en&amp;geocode=&amp;q=54.8410873413086,11.1616249084473")</f>
        <v>http://maps.google.com/maps?f=q&amp;hl=en&amp;geocode=&amp;q=54.8410873413086,11.1616249084473</v>
      </c>
    </row>
    <row r="9987" spans="1:7" ht="15" x14ac:dyDescent="0.3">
      <c r="A9987">
        <v>54.841087341308601</v>
      </c>
      <c r="B9987">
        <v>11.161624908447299</v>
      </c>
      <c r="C9987" t="s">
        <v>41</v>
      </c>
      <c r="D9987" t="s">
        <v>5716</v>
      </c>
      <c r="F9987" s="21"/>
      <c r="G9987" s="16" t="str">
        <f>HYPERLINK("http://maps.google.com/maps?f=q&amp;hl=en&amp;geocode=&amp;q=54.8410873413086,11.1616249084473")</f>
        <v>http://maps.google.com/maps?f=q&amp;hl=en&amp;geocode=&amp;q=54.8410873413086,11.1616249084473</v>
      </c>
    </row>
    <row r="9988" spans="1:7" ht="15" x14ac:dyDescent="0.3">
      <c r="A9988">
        <v>54.841087341308601</v>
      </c>
      <c r="B9988">
        <v>11.161624908447299</v>
      </c>
      <c r="C9988" t="s">
        <v>41</v>
      </c>
      <c r="D9988" t="s">
        <v>5716</v>
      </c>
      <c r="F9988" s="21"/>
      <c r="G9988" s="16" t="str">
        <f>HYPERLINK("http://maps.google.com/maps?f=q&amp;hl=en&amp;geocode=&amp;q=54.8410873413086,11.1616249084473")</f>
        <v>http://maps.google.com/maps?f=q&amp;hl=en&amp;geocode=&amp;q=54.8410873413086,11.1616249084473</v>
      </c>
    </row>
    <row r="9989" spans="1:7" ht="15" x14ac:dyDescent="0.3">
      <c r="A9989">
        <v>54.841087341308601</v>
      </c>
      <c r="B9989">
        <v>11.161624908447299</v>
      </c>
      <c r="C9989" t="s">
        <v>41</v>
      </c>
      <c r="D9989" t="s">
        <v>5716</v>
      </c>
      <c r="F9989" s="21"/>
      <c r="G9989" s="16" t="str">
        <f>HYPERLINK("http://maps.google.com/maps?f=q&amp;hl=en&amp;geocode=&amp;q=54.8410873413086,11.1616249084473")</f>
        <v>http://maps.google.com/maps?f=q&amp;hl=en&amp;geocode=&amp;q=54.8410873413086,11.1616249084473</v>
      </c>
    </row>
    <row r="9990" spans="1:7" ht="15" x14ac:dyDescent="0.3">
      <c r="A9990" t="s">
        <v>44</v>
      </c>
      <c r="B9990" t="s">
        <v>44</v>
      </c>
      <c r="C9990" t="s">
        <v>44</v>
      </c>
      <c r="D9990" t="s">
        <v>5718</v>
      </c>
      <c r="F9990" s="21"/>
      <c r="G9990" s="16"/>
    </row>
    <row r="9991" spans="1:7" ht="15" x14ac:dyDescent="0.3">
      <c r="A9991">
        <v>51.508678436279297</v>
      </c>
      <c r="B9991">
        <v>-0.14388999342918399</v>
      </c>
      <c r="C9991" t="s">
        <v>41</v>
      </c>
      <c r="D9991" t="s">
        <v>1348</v>
      </c>
      <c r="F9991" s="21"/>
      <c r="G9991" s="16" t="str">
        <f>HYPERLINK("http://maps.google.com/maps?f=q&amp;hl=en&amp;geocode=&amp;q=51.5086784362793,-0.143889993429184")</f>
        <v>http://maps.google.com/maps?f=q&amp;hl=en&amp;geocode=&amp;q=51.5086784362793,-0.143889993429184</v>
      </c>
    </row>
    <row r="9992" spans="1:7" ht="15" x14ac:dyDescent="0.3">
      <c r="A9992">
        <v>39.95655</v>
      </c>
      <c r="B9992">
        <v>-75.241889999999998</v>
      </c>
      <c r="C9992" t="s">
        <v>43</v>
      </c>
      <c r="D9992" t="s">
        <v>2770</v>
      </c>
      <c r="F9992" s="21"/>
      <c r="G9992" s="16" t="str">
        <f>HYPERLINK("http://maps.google.com/maps?f=q&amp;hl=en&amp;geocode=&amp;q=39.95655,-75.24189")</f>
        <v>http://maps.google.com/maps?f=q&amp;hl=en&amp;geocode=&amp;q=39.95655,-75.24189</v>
      </c>
    </row>
    <row r="9993" spans="1:7" ht="15" x14ac:dyDescent="0.3">
      <c r="A9993">
        <v>39.95655</v>
      </c>
      <c r="B9993">
        <v>-75.241889999999998</v>
      </c>
      <c r="C9993" t="s">
        <v>43</v>
      </c>
      <c r="D9993" t="s">
        <v>2770</v>
      </c>
      <c r="F9993" s="21"/>
      <c r="G9993" s="16" t="str">
        <f>HYPERLINK("http://maps.google.com/maps?f=q&amp;hl=en&amp;geocode=&amp;q=39.95655,-75.24189")</f>
        <v>http://maps.google.com/maps?f=q&amp;hl=en&amp;geocode=&amp;q=39.95655,-75.24189</v>
      </c>
    </row>
    <row r="9994" spans="1:7" ht="15" x14ac:dyDescent="0.3">
      <c r="A9994">
        <v>40.676959855917502</v>
      </c>
      <c r="B9994">
        <v>-73.919763299936307</v>
      </c>
      <c r="C9994" t="s">
        <v>41</v>
      </c>
      <c r="D9994" t="s">
        <v>5719</v>
      </c>
      <c r="F9994" s="21"/>
      <c r="G9994" s="16" t="str">
        <f>HYPERLINK("http://maps.google.com/maps?f=q&amp;hl=en&amp;geocode=&amp;q=40.6769598559175,-73.9197632999363")</f>
        <v>http://maps.google.com/maps?f=q&amp;hl=en&amp;geocode=&amp;q=40.6769598559175,-73.9197632999363</v>
      </c>
    </row>
    <row r="9995" spans="1:7" ht="15" x14ac:dyDescent="0.3">
      <c r="A9995">
        <v>33.616611480712898</v>
      </c>
      <c r="B9995">
        <v>-100.778861999512</v>
      </c>
      <c r="C9995" t="s">
        <v>43</v>
      </c>
      <c r="D9995" t="s">
        <v>5720</v>
      </c>
      <c r="F9995" s="21"/>
      <c r="G9995" s="16" t="str">
        <f>HYPERLINK("http://maps.google.com/maps?f=q&amp;hl=en&amp;geocode=&amp;q=33.6166114807129,-100.778861999512")</f>
        <v>http://maps.google.com/maps?f=q&amp;hl=en&amp;geocode=&amp;q=33.6166114807129,-100.778861999512</v>
      </c>
    </row>
    <row r="9996" spans="1:7" ht="15" x14ac:dyDescent="0.3">
      <c r="A9996">
        <v>51.508678436279297</v>
      </c>
      <c r="B9996">
        <v>-0.14388999342918399</v>
      </c>
      <c r="C9996" t="s">
        <v>41</v>
      </c>
      <c r="D9996" t="s">
        <v>1348</v>
      </c>
      <c r="F9996" s="21"/>
      <c r="G9996" s="16" t="str">
        <f>HYPERLINK("http://maps.google.com/maps?f=q&amp;hl=en&amp;geocode=&amp;q=51.5086784362793,-0.143889993429184")</f>
        <v>http://maps.google.com/maps?f=q&amp;hl=en&amp;geocode=&amp;q=51.5086784362793,-0.143889993429184</v>
      </c>
    </row>
    <row r="9997" spans="1:7" ht="15" x14ac:dyDescent="0.3">
      <c r="A9997">
        <v>51.508678436279297</v>
      </c>
      <c r="B9997">
        <v>-0.14388999342918399</v>
      </c>
      <c r="C9997" t="s">
        <v>41</v>
      </c>
      <c r="D9997" t="s">
        <v>1348</v>
      </c>
      <c r="F9997" s="21"/>
      <c r="G9997" s="16" t="str">
        <f>HYPERLINK("http://maps.google.com/maps?f=q&amp;hl=en&amp;geocode=&amp;q=51.5086784362793,-0.143889993429184")</f>
        <v>http://maps.google.com/maps?f=q&amp;hl=en&amp;geocode=&amp;q=51.5086784362793,-0.143889993429184</v>
      </c>
    </row>
    <row r="9998" spans="1:7" ht="15" x14ac:dyDescent="0.3">
      <c r="A9998">
        <v>51.508678436279297</v>
      </c>
      <c r="B9998">
        <v>-0.14388999342918399</v>
      </c>
      <c r="C9998" t="s">
        <v>41</v>
      </c>
      <c r="D9998" t="s">
        <v>1348</v>
      </c>
      <c r="F9998" s="21"/>
      <c r="G9998" s="16" t="str">
        <f>HYPERLINK("http://maps.google.com/maps?f=q&amp;hl=en&amp;geocode=&amp;q=51.5086784362793,-0.143889993429184")</f>
        <v>http://maps.google.com/maps?f=q&amp;hl=en&amp;geocode=&amp;q=51.5086784362793,-0.143889993429184</v>
      </c>
    </row>
    <row r="9999" spans="1:7" ht="15" x14ac:dyDescent="0.3">
      <c r="A9999">
        <v>35.220131025888399</v>
      </c>
      <c r="B9999">
        <v>-89.819616201691304</v>
      </c>
      <c r="C9999" t="s">
        <v>41</v>
      </c>
      <c r="D9999" t="s">
        <v>5721</v>
      </c>
      <c r="F9999" s="21"/>
      <c r="G9999" s="16" t="str">
        <f>HYPERLINK("http://maps.google.com/maps?f=q&amp;hl=en&amp;geocode=&amp;q=35.2201310258884,-89.8196162016913")</f>
        <v>http://maps.google.com/maps?f=q&amp;hl=en&amp;geocode=&amp;q=35.2201310258884,-89.8196162016913</v>
      </c>
    </row>
    <row r="10000" spans="1:7" ht="15" x14ac:dyDescent="0.3">
      <c r="A10000">
        <v>-26.188575744628899</v>
      </c>
      <c r="B10000">
        <v>27.929327011108398</v>
      </c>
      <c r="C10000" t="s">
        <v>43</v>
      </c>
      <c r="D10000" t="s">
        <v>5722</v>
      </c>
      <c r="F10000" s="21"/>
      <c r="G10000" s="16" t="str">
        <f>HYPERLINK("http://maps.google.com/maps?f=q&amp;hl=en&amp;geocode=&amp;q=-26.1885757446289,27.9293270111084")</f>
        <v>http://maps.google.com/maps?f=q&amp;hl=en&amp;geocode=&amp;q=-26.1885757446289,27.9293270111084</v>
      </c>
    </row>
    <row r="10001" spans="1:7" ht="15" x14ac:dyDescent="0.3">
      <c r="A10001">
        <v>39.956620000000001</v>
      </c>
      <c r="B10001">
        <v>-75.24579</v>
      </c>
      <c r="C10001" t="s">
        <v>41</v>
      </c>
      <c r="D10001" t="s">
        <v>5723</v>
      </c>
      <c r="F10001" s="21"/>
      <c r="G10001" s="16" t="str">
        <f>HYPERLINK("http://maps.google.com/maps?f=q&amp;hl=en&amp;geocode=&amp;q=39.95662,-75.24579")</f>
        <v>http://maps.google.com/maps?f=q&amp;hl=en&amp;geocode=&amp;q=39.95662,-75.24579</v>
      </c>
    </row>
    <row r="10002" spans="1:7" ht="15" x14ac:dyDescent="0.3">
      <c r="A10002" t="s">
        <v>44</v>
      </c>
      <c r="B10002" t="s">
        <v>44</v>
      </c>
      <c r="C10002" t="s">
        <v>44</v>
      </c>
      <c r="D10002" t="s">
        <v>1861</v>
      </c>
      <c r="F10002" s="21"/>
      <c r="G10002" s="16"/>
    </row>
    <row r="10003" spans="1:7" ht="15" x14ac:dyDescent="0.3">
      <c r="A10003" t="s">
        <v>44</v>
      </c>
      <c r="B10003" t="s">
        <v>44</v>
      </c>
      <c r="C10003" t="s">
        <v>44</v>
      </c>
      <c r="D10003" t="s">
        <v>1861</v>
      </c>
      <c r="F10003" s="21"/>
      <c r="G10003" s="16"/>
    </row>
    <row r="10004" spans="1:7" ht="15" x14ac:dyDescent="0.3">
      <c r="A10004">
        <v>31.010861794446299</v>
      </c>
      <c r="B10004">
        <v>-86.338552900126203</v>
      </c>
      <c r="C10004" t="s">
        <v>41</v>
      </c>
      <c r="D10004" t="s">
        <v>5601</v>
      </c>
      <c r="F10004" s="21"/>
      <c r="G10004" s="16" t="str">
        <f>HYPERLINK("http://maps.google.com/maps?f=q&amp;hl=en&amp;geocode=&amp;q=31.0108617944463,-86.3385529001262")</f>
        <v>http://maps.google.com/maps?f=q&amp;hl=en&amp;geocode=&amp;q=31.0108617944463,-86.3385529001262</v>
      </c>
    </row>
    <row r="10005" spans="1:7" ht="15" x14ac:dyDescent="0.3">
      <c r="A10005">
        <v>27.589342892899701</v>
      </c>
      <c r="B10005">
        <v>-82.051996660270504</v>
      </c>
      <c r="C10005" t="s">
        <v>42</v>
      </c>
      <c r="D10005" t="s">
        <v>3038</v>
      </c>
      <c r="F10005" s="21"/>
      <c r="G10005" s="16" t="str">
        <f>HYPERLINK("http://maps.google.com/maps?f=q&amp;hl=en&amp;geocode=&amp;q=27.5893428928997,-82.0519966602705")</f>
        <v>http://maps.google.com/maps?f=q&amp;hl=en&amp;geocode=&amp;q=27.5893428928997,-82.0519966602705</v>
      </c>
    </row>
    <row r="10006" spans="1:7" ht="15" x14ac:dyDescent="0.3">
      <c r="A10006" t="s">
        <v>44</v>
      </c>
      <c r="B10006" t="s">
        <v>44</v>
      </c>
      <c r="C10006" t="s">
        <v>44</v>
      </c>
      <c r="D10006" t="s">
        <v>981</v>
      </c>
      <c r="F10006" s="21"/>
      <c r="G10006" s="16"/>
    </row>
    <row r="10007" spans="1:7" ht="15" x14ac:dyDescent="0.3">
      <c r="A10007" t="s">
        <v>44</v>
      </c>
      <c r="B10007" t="s">
        <v>44</v>
      </c>
      <c r="C10007" t="s">
        <v>44</v>
      </c>
      <c r="D10007" t="s">
        <v>5197</v>
      </c>
      <c r="F10007" s="21"/>
      <c r="G10007" s="16"/>
    </row>
    <row r="10008" spans="1:7" ht="15" x14ac:dyDescent="0.3">
      <c r="A10008">
        <v>39.084159999999997</v>
      </c>
      <c r="B10008">
        <v>-94.70326</v>
      </c>
      <c r="C10008" t="s">
        <v>42</v>
      </c>
      <c r="D10008" t="s">
        <v>294</v>
      </c>
      <c r="F10008" s="21"/>
      <c r="G10008" s="16" t="str">
        <f>HYPERLINK("http://maps.google.com/maps?f=q&amp;hl=en&amp;geocode=&amp;q=39.08416,-94.70326")</f>
        <v>http://maps.google.com/maps?f=q&amp;hl=en&amp;geocode=&amp;q=39.08416,-94.70326</v>
      </c>
    </row>
    <row r="10009" spans="1:7" ht="15" x14ac:dyDescent="0.3">
      <c r="A10009" t="s">
        <v>44</v>
      </c>
      <c r="B10009" t="s">
        <v>44</v>
      </c>
      <c r="C10009" t="s">
        <v>44</v>
      </c>
      <c r="D10009" t="s">
        <v>120</v>
      </c>
      <c r="F10009" s="21"/>
      <c r="G10009" s="16"/>
    </row>
    <row r="10010" spans="1:7" ht="15" x14ac:dyDescent="0.3">
      <c r="A10010">
        <v>31.008949999999999</v>
      </c>
      <c r="B10010">
        <v>-86.337400000000002</v>
      </c>
      <c r="C10010" t="s">
        <v>42</v>
      </c>
      <c r="D10010" t="s">
        <v>4609</v>
      </c>
      <c r="F10010" s="21"/>
      <c r="G10010" s="16" t="str">
        <f>HYPERLINK("http://maps.google.com/maps?f=q&amp;hl=en&amp;geocode=&amp;q=31.00895,-86.3374")</f>
        <v>http://maps.google.com/maps?f=q&amp;hl=en&amp;geocode=&amp;q=31.00895,-86.3374</v>
      </c>
    </row>
    <row r="10011" spans="1:7" ht="15" x14ac:dyDescent="0.3">
      <c r="A10011">
        <v>31.318619999999999</v>
      </c>
      <c r="B10011">
        <v>-83.735780000000005</v>
      </c>
      <c r="C10011" t="s">
        <v>42</v>
      </c>
      <c r="D10011" t="s">
        <v>5724</v>
      </c>
      <c r="F10011" s="21"/>
      <c r="G10011" s="16" t="str">
        <f>HYPERLINK("http://maps.google.com/maps?f=q&amp;hl=en&amp;geocode=&amp;q=31.31862,-83.73578")</f>
        <v>http://maps.google.com/maps?f=q&amp;hl=en&amp;geocode=&amp;q=31.31862,-83.73578</v>
      </c>
    </row>
    <row r="10012" spans="1:7" ht="15" x14ac:dyDescent="0.3">
      <c r="A10012">
        <v>42.275969108603597</v>
      </c>
      <c r="B10012">
        <v>-71.416249306160495</v>
      </c>
      <c r="C10012" t="s">
        <v>41</v>
      </c>
      <c r="D10012" t="s">
        <v>5725</v>
      </c>
      <c r="F10012" s="21"/>
      <c r="G10012" s="16" t="str">
        <f>HYPERLINK("http://maps.google.com/maps?f=q&amp;hl=en&amp;geocode=&amp;q=42.2759691086036,-71.4162493061605")</f>
        <v>http://maps.google.com/maps?f=q&amp;hl=en&amp;geocode=&amp;q=42.2759691086036,-71.4162493061605</v>
      </c>
    </row>
    <row r="10013" spans="1:7" ht="15" x14ac:dyDescent="0.3">
      <c r="A10013">
        <v>51.432071685791001</v>
      </c>
      <c r="B10013">
        <v>-0.39385518431663502</v>
      </c>
      <c r="C10013" t="s">
        <v>41</v>
      </c>
      <c r="D10013" t="s">
        <v>5726</v>
      </c>
      <c r="F10013" s="21"/>
      <c r="G10013" s="16" t="str">
        <f>HYPERLINK("http://maps.google.com/maps?f=q&amp;hl=en&amp;geocode=&amp;q=51.432071685791,-0.393855184316635")</f>
        <v>http://maps.google.com/maps?f=q&amp;hl=en&amp;geocode=&amp;q=51.432071685791,-0.393855184316635</v>
      </c>
    </row>
    <row r="10014" spans="1:7" ht="15" x14ac:dyDescent="0.3">
      <c r="A10014" t="s">
        <v>44</v>
      </c>
      <c r="B10014" t="s">
        <v>44</v>
      </c>
      <c r="C10014" t="s">
        <v>44</v>
      </c>
      <c r="D10014" t="s">
        <v>5727</v>
      </c>
      <c r="F10014" s="21"/>
      <c r="G10014" s="16"/>
    </row>
    <row r="10015" spans="1:7" ht="15" x14ac:dyDescent="0.3">
      <c r="A10015">
        <v>40.497500000000002</v>
      </c>
      <c r="B10015">
        <v>-78.016859999999994</v>
      </c>
      <c r="C10015" t="s">
        <v>43</v>
      </c>
      <c r="D10015" t="s">
        <v>5728</v>
      </c>
      <c r="F10015" s="21"/>
      <c r="G10015" s="16" t="str">
        <f>HYPERLINK("http://maps.google.com/maps?f=q&amp;hl=en&amp;geocode=&amp;q=40.4975,-78.01686")</f>
        <v>http://maps.google.com/maps?f=q&amp;hl=en&amp;geocode=&amp;q=40.4975,-78.01686</v>
      </c>
    </row>
    <row r="10016" spans="1:7" ht="15" x14ac:dyDescent="0.3">
      <c r="A10016">
        <v>31.369479999999999</v>
      </c>
      <c r="B10016">
        <v>-84.94605</v>
      </c>
      <c r="C10016" t="s">
        <v>41</v>
      </c>
      <c r="D10016" t="s">
        <v>5729</v>
      </c>
      <c r="F10016" s="21"/>
      <c r="G10016" s="16" t="str">
        <f>HYPERLINK("http://maps.google.com/maps?f=q&amp;hl=en&amp;geocode=&amp;q=31.36948,-84.94605")</f>
        <v>http://maps.google.com/maps?f=q&amp;hl=en&amp;geocode=&amp;q=31.36948,-84.94605</v>
      </c>
    </row>
    <row r="10017" spans="1:7" ht="15" x14ac:dyDescent="0.3">
      <c r="A10017">
        <v>39.952509999999997</v>
      </c>
      <c r="B10017">
        <v>-75.238680000000002</v>
      </c>
      <c r="C10017" t="s">
        <v>43</v>
      </c>
      <c r="D10017" t="s">
        <v>5730</v>
      </c>
      <c r="F10017" s="21"/>
      <c r="G10017" s="16" t="str">
        <f>HYPERLINK("http://maps.google.com/maps?f=q&amp;hl=en&amp;geocode=&amp;q=39.95251,-75.23868")</f>
        <v>http://maps.google.com/maps?f=q&amp;hl=en&amp;geocode=&amp;q=39.95251,-75.23868</v>
      </c>
    </row>
    <row r="10018" spans="1:7" ht="15" x14ac:dyDescent="0.3">
      <c r="A10018">
        <v>40.168048858642599</v>
      </c>
      <c r="B10018">
        <v>-78.135139465332003</v>
      </c>
      <c r="C10018" t="s">
        <v>43</v>
      </c>
      <c r="D10018" t="s">
        <v>558</v>
      </c>
      <c r="F10018" s="21"/>
      <c r="G10018" s="16" t="str">
        <f>HYPERLINK("http://maps.google.com/maps?f=q&amp;hl=en&amp;geocode=&amp;q=40.1680488586426,-78.135139465332")</f>
        <v>http://maps.google.com/maps?f=q&amp;hl=en&amp;geocode=&amp;q=40.1680488586426,-78.135139465332</v>
      </c>
    </row>
    <row r="10019" spans="1:7" ht="15" x14ac:dyDescent="0.3">
      <c r="A10019">
        <v>41.361080946597099</v>
      </c>
      <c r="B10019">
        <v>-98.400756551118704</v>
      </c>
      <c r="C10019" t="s">
        <v>41</v>
      </c>
      <c r="D10019" t="s">
        <v>3731</v>
      </c>
      <c r="F10019" s="21"/>
      <c r="G10019" s="16" t="str">
        <f>HYPERLINK("http://maps.google.com/maps?f=q&amp;hl=en&amp;geocode=&amp;q=41.3610809465971,-98.4007565511187")</f>
        <v>http://maps.google.com/maps?f=q&amp;hl=en&amp;geocode=&amp;q=41.3610809465971,-98.4007565511187</v>
      </c>
    </row>
    <row r="10020" spans="1:7" ht="15" x14ac:dyDescent="0.3">
      <c r="A10020">
        <v>49.628986358642599</v>
      </c>
      <c r="B10020">
        <v>6.1489930152893102</v>
      </c>
      <c r="C10020" t="s">
        <v>41</v>
      </c>
      <c r="D10020" t="s">
        <v>5731</v>
      </c>
      <c r="F10020" s="21"/>
      <c r="G10020" s="16" t="str">
        <f>HYPERLINK("http://maps.google.com/maps?f=q&amp;hl=en&amp;geocode=&amp;q=49.6289863586426,6.14899301528931")</f>
        <v>http://maps.google.com/maps?f=q&amp;hl=en&amp;geocode=&amp;q=49.6289863586426,6.14899301528931</v>
      </c>
    </row>
    <row r="10021" spans="1:7" ht="15" x14ac:dyDescent="0.3">
      <c r="A10021">
        <v>33.290967775503702</v>
      </c>
      <c r="B10021">
        <v>-80.802670126782502</v>
      </c>
      <c r="C10021" t="s">
        <v>41</v>
      </c>
      <c r="D10021" t="s">
        <v>1965</v>
      </c>
      <c r="F10021" s="21"/>
      <c r="G10021" s="16" t="str">
        <f>HYPERLINK("http://maps.google.com/maps?f=q&amp;hl=en&amp;geocode=&amp;q=33.2909677755037,-80.8026701267825")</f>
        <v>http://maps.google.com/maps?f=q&amp;hl=en&amp;geocode=&amp;q=33.2909677755037,-80.8026701267825</v>
      </c>
    </row>
    <row r="10022" spans="1:7" ht="15" x14ac:dyDescent="0.3">
      <c r="A10022">
        <v>40.041930000000001</v>
      </c>
      <c r="B10022">
        <v>-75.068520000000007</v>
      </c>
      <c r="C10022" t="s">
        <v>41</v>
      </c>
      <c r="D10022" t="s">
        <v>5732</v>
      </c>
      <c r="F10022" s="21"/>
      <c r="G10022" s="16" t="str">
        <f>HYPERLINK("http://maps.google.com/maps?f=q&amp;hl=en&amp;geocode=&amp;q=40.04193,-75.06852")</f>
        <v>http://maps.google.com/maps?f=q&amp;hl=en&amp;geocode=&amp;q=40.04193,-75.06852</v>
      </c>
    </row>
    <row r="10023" spans="1:7" ht="15" x14ac:dyDescent="0.3">
      <c r="A10023">
        <v>32.920580000000001</v>
      </c>
      <c r="B10023">
        <v>-107.56554</v>
      </c>
      <c r="C10023" t="s">
        <v>42</v>
      </c>
      <c r="D10023" t="s">
        <v>1690</v>
      </c>
      <c r="F10023" s="21"/>
      <c r="G10023" s="16" t="str">
        <f>HYPERLINK("http://maps.google.com/maps?f=q&amp;hl=en&amp;geocode=&amp;q=32.92058,-107.56554")</f>
        <v>http://maps.google.com/maps?f=q&amp;hl=en&amp;geocode=&amp;q=32.92058,-107.56554</v>
      </c>
    </row>
    <row r="10024" spans="1:7" ht="15" x14ac:dyDescent="0.3">
      <c r="A10024" t="s">
        <v>44</v>
      </c>
      <c r="B10024" t="s">
        <v>44</v>
      </c>
      <c r="C10024" t="s">
        <v>44</v>
      </c>
      <c r="D10024" t="s">
        <v>5733</v>
      </c>
      <c r="F10024" s="21"/>
      <c r="G10024" s="16"/>
    </row>
    <row r="10025" spans="1:7" ht="15" x14ac:dyDescent="0.3">
      <c r="A10025">
        <v>43.181247718416799</v>
      </c>
      <c r="B10025">
        <v>-90.075310038096802</v>
      </c>
      <c r="C10025" t="s">
        <v>43</v>
      </c>
      <c r="D10025" t="s">
        <v>5734</v>
      </c>
      <c r="F10025" s="21"/>
      <c r="G10025" s="16" t="str">
        <f>HYPERLINK("http://maps.google.com/maps?f=q&amp;hl=en&amp;geocode=&amp;q=43.1812477184168,-90.0753100380968")</f>
        <v>http://maps.google.com/maps?f=q&amp;hl=en&amp;geocode=&amp;q=43.1812477184168,-90.0753100380968</v>
      </c>
    </row>
    <row r="10026" spans="1:7" ht="15" x14ac:dyDescent="0.3">
      <c r="A10026" t="s">
        <v>44</v>
      </c>
      <c r="B10026" t="s">
        <v>44</v>
      </c>
      <c r="C10026" t="s">
        <v>44</v>
      </c>
      <c r="D10026" t="s">
        <v>5735</v>
      </c>
      <c r="F10026" s="21"/>
      <c r="G10026" s="16"/>
    </row>
    <row r="10027" spans="1:7" ht="15" x14ac:dyDescent="0.3">
      <c r="A10027">
        <v>34.669071197509801</v>
      </c>
      <c r="B10027">
        <v>-87.3084716796875</v>
      </c>
      <c r="C10027" t="s">
        <v>41</v>
      </c>
      <c r="D10027" t="s">
        <v>5736</v>
      </c>
      <c r="F10027" s="21"/>
      <c r="G10027" s="16" t="str">
        <f>HYPERLINK("http://maps.google.com/maps?f=q&amp;hl=en&amp;geocode=&amp;q=34.6690711975098,-87.3084716796875")</f>
        <v>http://maps.google.com/maps?f=q&amp;hl=en&amp;geocode=&amp;q=34.6690711975098,-87.3084716796875</v>
      </c>
    </row>
    <row r="10028" spans="1:7" ht="15" x14ac:dyDescent="0.3">
      <c r="A10028">
        <v>42.470289999999999</v>
      </c>
      <c r="B10028">
        <v>-83.077780000000004</v>
      </c>
      <c r="C10028" t="s">
        <v>42</v>
      </c>
      <c r="D10028" t="s">
        <v>2324</v>
      </c>
      <c r="F10028" s="21"/>
      <c r="G10028" s="16" t="str">
        <f>HYPERLINK("http://maps.google.com/maps?f=q&amp;hl=en&amp;geocode=&amp;q=42.47029,-83.07778")</f>
        <v>http://maps.google.com/maps?f=q&amp;hl=en&amp;geocode=&amp;q=42.47029,-83.07778</v>
      </c>
    </row>
    <row r="10029" spans="1:7" ht="15" x14ac:dyDescent="0.3">
      <c r="A10029">
        <v>40.365169999999999</v>
      </c>
      <c r="B10029">
        <v>-75.911490000000001</v>
      </c>
      <c r="C10029" t="s">
        <v>43</v>
      </c>
      <c r="D10029" t="s">
        <v>5737</v>
      </c>
      <c r="F10029" s="21"/>
      <c r="G10029" s="16" t="str">
        <f>HYPERLINK("http://maps.google.com/maps?f=q&amp;hl=en&amp;geocode=&amp;q=40.36517,-75.91149")</f>
        <v>http://maps.google.com/maps?f=q&amp;hl=en&amp;geocode=&amp;q=40.36517,-75.91149</v>
      </c>
    </row>
    <row r="10030" spans="1:7" ht="15" x14ac:dyDescent="0.3">
      <c r="A10030">
        <v>-26.176935195922901</v>
      </c>
      <c r="B10030">
        <v>27.946619033813501</v>
      </c>
      <c r="C10030" t="s">
        <v>43</v>
      </c>
      <c r="D10030" t="s">
        <v>5738</v>
      </c>
      <c r="F10030" s="21"/>
      <c r="G10030" s="16" t="str">
        <f>HYPERLINK("http://maps.google.com/maps?f=q&amp;hl=en&amp;geocode=&amp;q=-26.1769351959229,27.9466190338135")</f>
        <v>http://maps.google.com/maps?f=q&amp;hl=en&amp;geocode=&amp;q=-26.1769351959229,27.9466190338135</v>
      </c>
    </row>
    <row r="10031" spans="1:7" ht="15" x14ac:dyDescent="0.3">
      <c r="A10031">
        <v>39.965986720822997</v>
      </c>
      <c r="B10031">
        <v>-75.240391149273293</v>
      </c>
      <c r="C10031" t="s">
        <v>41</v>
      </c>
      <c r="D10031" t="s">
        <v>5739</v>
      </c>
      <c r="F10031" s="21"/>
      <c r="G10031" s="16" t="str">
        <f>HYPERLINK("http://maps.google.com/maps?f=q&amp;hl=en&amp;geocode=&amp;q=39.965986720823,-75.2403911492733")</f>
        <v>http://maps.google.com/maps?f=q&amp;hl=en&amp;geocode=&amp;q=39.965986720823,-75.2403911492733</v>
      </c>
    </row>
    <row r="10032" spans="1:7" ht="15" x14ac:dyDescent="0.3">
      <c r="A10032">
        <v>39.989719999999998</v>
      </c>
      <c r="B10032">
        <v>-75.102149999999995</v>
      </c>
      <c r="C10032" t="s">
        <v>41</v>
      </c>
      <c r="D10032" t="s">
        <v>2973</v>
      </c>
      <c r="F10032" s="21"/>
      <c r="G10032" s="16" t="str">
        <f>HYPERLINK("http://maps.google.com/maps?f=q&amp;hl=en&amp;geocode=&amp;q=39.98972,-75.10215")</f>
        <v>http://maps.google.com/maps?f=q&amp;hl=en&amp;geocode=&amp;q=39.98972,-75.10215</v>
      </c>
    </row>
    <row r="10033" spans="1:7" ht="15" x14ac:dyDescent="0.3">
      <c r="A10033">
        <v>-5.0306301116943404</v>
      </c>
      <c r="B10033">
        <v>32.819759368896499</v>
      </c>
      <c r="C10033" t="s">
        <v>41</v>
      </c>
      <c r="D10033" t="s">
        <v>3418</v>
      </c>
      <c r="F10033" s="21"/>
      <c r="G10033" s="16" t="str">
        <f>HYPERLINK("http://maps.google.com/maps?f=q&amp;hl=en&amp;geocode=&amp;q=-5.03063011169434,32.8197593688965")</f>
        <v>http://maps.google.com/maps?f=q&amp;hl=en&amp;geocode=&amp;q=-5.03063011169434,32.8197593688965</v>
      </c>
    </row>
    <row r="10034" spans="1:7" ht="15" x14ac:dyDescent="0.3">
      <c r="A10034">
        <v>-5.0306301116943404</v>
      </c>
      <c r="B10034">
        <v>32.819759368896499</v>
      </c>
      <c r="C10034" t="s">
        <v>41</v>
      </c>
      <c r="D10034" t="s">
        <v>3418</v>
      </c>
      <c r="F10034" s="21"/>
      <c r="G10034" s="16" t="str">
        <f>HYPERLINK("http://maps.google.com/maps?f=q&amp;hl=en&amp;geocode=&amp;q=-5.03063011169434,32.8197593688965")</f>
        <v>http://maps.google.com/maps?f=q&amp;hl=en&amp;geocode=&amp;q=-5.03063011169434,32.8197593688965</v>
      </c>
    </row>
    <row r="10035" spans="1:7" ht="15" x14ac:dyDescent="0.3">
      <c r="A10035">
        <v>-5.0306301116943404</v>
      </c>
      <c r="B10035">
        <v>32.819759368896499</v>
      </c>
      <c r="C10035" t="s">
        <v>41</v>
      </c>
      <c r="D10035" t="s">
        <v>3418</v>
      </c>
      <c r="F10035" s="21"/>
      <c r="G10035" s="16" t="str">
        <f>HYPERLINK("http://maps.google.com/maps?f=q&amp;hl=en&amp;geocode=&amp;q=-5.03063011169434,32.8197593688965")</f>
        <v>http://maps.google.com/maps?f=q&amp;hl=en&amp;geocode=&amp;q=-5.03063011169434,32.8197593688965</v>
      </c>
    </row>
    <row r="10036" spans="1:7" ht="15" x14ac:dyDescent="0.3">
      <c r="A10036">
        <v>-5.0306301116943404</v>
      </c>
      <c r="B10036">
        <v>32.819759368896499</v>
      </c>
      <c r="C10036" t="s">
        <v>41</v>
      </c>
      <c r="D10036" t="s">
        <v>3418</v>
      </c>
      <c r="F10036" s="21"/>
      <c r="G10036" s="16" t="str">
        <f>HYPERLINK("http://maps.google.com/maps?f=q&amp;hl=en&amp;geocode=&amp;q=-5.03063011169434,32.8197593688965")</f>
        <v>http://maps.google.com/maps?f=q&amp;hl=en&amp;geocode=&amp;q=-5.03063011169434,32.8197593688965</v>
      </c>
    </row>
    <row r="10037" spans="1:7" ht="15" x14ac:dyDescent="0.3">
      <c r="A10037">
        <v>-5.0306301116943404</v>
      </c>
      <c r="B10037">
        <v>32.819759368896499</v>
      </c>
      <c r="C10037" t="s">
        <v>41</v>
      </c>
      <c r="D10037" t="s">
        <v>3418</v>
      </c>
      <c r="F10037" s="21"/>
      <c r="G10037" s="16" t="str">
        <f>HYPERLINK("http://maps.google.com/maps?f=q&amp;hl=en&amp;geocode=&amp;q=-5.03063011169434,32.8197593688965")</f>
        <v>http://maps.google.com/maps?f=q&amp;hl=en&amp;geocode=&amp;q=-5.03063011169434,32.8197593688965</v>
      </c>
    </row>
    <row r="10038" spans="1:7" ht="15" x14ac:dyDescent="0.3">
      <c r="A10038">
        <v>-5.0306301116943404</v>
      </c>
      <c r="B10038">
        <v>32.819759368896499</v>
      </c>
      <c r="C10038" t="s">
        <v>41</v>
      </c>
      <c r="D10038" t="s">
        <v>3418</v>
      </c>
      <c r="F10038" s="21"/>
      <c r="G10038" s="16" t="str">
        <f>HYPERLINK("http://maps.google.com/maps?f=q&amp;hl=en&amp;geocode=&amp;q=-5.03063011169434,32.8197593688965")</f>
        <v>http://maps.google.com/maps?f=q&amp;hl=en&amp;geocode=&amp;q=-5.03063011169434,32.8197593688965</v>
      </c>
    </row>
    <row r="10039" spans="1:7" ht="15" x14ac:dyDescent="0.3">
      <c r="A10039">
        <v>40.610939025878899</v>
      </c>
      <c r="B10039">
        <v>-77.616302490234403</v>
      </c>
      <c r="C10039" t="s">
        <v>41</v>
      </c>
      <c r="D10039" t="s">
        <v>5740</v>
      </c>
      <c r="F10039" s="21"/>
      <c r="G10039" s="16" t="str">
        <f>HYPERLINK("http://maps.google.com/maps?f=q&amp;hl=en&amp;geocode=&amp;q=40.6109390258789,-77.6163024902344")</f>
        <v>http://maps.google.com/maps?f=q&amp;hl=en&amp;geocode=&amp;q=40.6109390258789,-77.6163024902344</v>
      </c>
    </row>
    <row r="10040" spans="1:7" ht="15" x14ac:dyDescent="0.3">
      <c r="A10040">
        <v>39.928739999999998</v>
      </c>
      <c r="B10040">
        <v>-75.155289999999994</v>
      </c>
      <c r="C10040" t="s">
        <v>43</v>
      </c>
      <c r="D10040" t="s">
        <v>5741</v>
      </c>
      <c r="F10040" s="21"/>
      <c r="G10040" s="16" t="str">
        <f>HYPERLINK("http://maps.google.com/maps?f=q&amp;hl=en&amp;geocode=&amp;q=39.92874,-75.15529")</f>
        <v>http://maps.google.com/maps?f=q&amp;hl=en&amp;geocode=&amp;q=39.92874,-75.15529</v>
      </c>
    </row>
    <row r="10041" spans="1:7" ht="15" x14ac:dyDescent="0.3">
      <c r="A10041">
        <v>37.15155</v>
      </c>
      <c r="B10041">
        <v>-77.300139999999999</v>
      </c>
      <c r="C10041" t="s">
        <v>41</v>
      </c>
      <c r="D10041" t="s">
        <v>329</v>
      </c>
      <c r="F10041" s="21"/>
      <c r="G10041" s="16" t="str">
        <f>HYPERLINK("http://maps.google.com/maps?f=q&amp;hl=en&amp;geocode=&amp;q=37.15155,-77.30014")</f>
        <v>http://maps.google.com/maps?f=q&amp;hl=en&amp;geocode=&amp;q=37.15155,-77.30014</v>
      </c>
    </row>
    <row r="10042" spans="1:7" ht="15" x14ac:dyDescent="0.3">
      <c r="F10042" s="21"/>
      <c r="G10042" s="16"/>
    </row>
    <row r="10043" spans="1:7" ht="15" x14ac:dyDescent="0.3">
      <c r="A10043">
        <v>33.219488228867803</v>
      </c>
      <c r="B10043">
        <v>-90.015053387211196</v>
      </c>
      <c r="C10043" t="s">
        <v>42</v>
      </c>
      <c r="D10043" t="s">
        <v>5742</v>
      </c>
      <c r="F10043" s="21"/>
      <c r="G10043" s="16" t="str">
        <f>HYPERLINK("http://maps.google.com/maps?f=q&amp;hl=en&amp;geocode=&amp;q=33.2194882288678,-90.0150533872112")</f>
        <v>http://maps.google.com/maps?f=q&amp;hl=en&amp;geocode=&amp;q=33.2194882288678,-90.0150533872112</v>
      </c>
    </row>
    <row r="10044" spans="1:7" ht="15" x14ac:dyDescent="0.3">
      <c r="A10044">
        <v>47.055850982666001</v>
      </c>
      <c r="B10044">
        <v>6.7508301734924299</v>
      </c>
      <c r="C10044" t="s">
        <v>43</v>
      </c>
      <c r="D10044" t="s">
        <v>5743</v>
      </c>
      <c r="F10044" s="21"/>
      <c r="G10044" s="16" t="str">
        <f>HYPERLINK("http://maps.google.com/maps?f=q&amp;hl=en&amp;geocode=&amp;q=47.055850982666,6.75083017349243")</f>
        <v>http://maps.google.com/maps?f=q&amp;hl=en&amp;geocode=&amp;q=47.055850982666,6.75083017349243</v>
      </c>
    </row>
    <row r="10045" spans="1:7" ht="15" x14ac:dyDescent="0.3">
      <c r="A10045">
        <v>41.670424581941802</v>
      </c>
      <c r="B10045">
        <v>-81.377586842719495</v>
      </c>
      <c r="C10045" t="s">
        <v>41</v>
      </c>
      <c r="D10045" t="s">
        <v>5744</v>
      </c>
      <c r="F10045" s="21"/>
      <c r="G10045" s="16" t="str">
        <f>HYPERLINK("http://maps.google.com/maps?f=q&amp;hl=en&amp;geocode=&amp;q=41.6704245819418,-81.3775868427195")</f>
        <v>http://maps.google.com/maps?f=q&amp;hl=en&amp;geocode=&amp;q=41.6704245819418,-81.3775868427195</v>
      </c>
    </row>
    <row r="10046" spans="1:7" ht="15" x14ac:dyDescent="0.3">
      <c r="A10046">
        <v>47.37574</v>
      </c>
      <c r="B10046">
        <v>7.35372</v>
      </c>
      <c r="C10046" t="s">
        <v>41</v>
      </c>
      <c r="D10046" t="s">
        <v>5055</v>
      </c>
      <c r="F10046" s="21"/>
      <c r="G10046" s="16" t="str">
        <f>HYPERLINK("http://maps.google.com/maps?f=q&amp;hl=en&amp;geocode=&amp;q=47.37574,7.35372")</f>
        <v>http://maps.google.com/maps?f=q&amp;hl=en&amp;geocode=&amp;q=47.37574,7.35372</v>
      </c>
    </row>
    <row r="10047" spans="1:7" ht="15" x14ac:dyDescent="0.3">
      <c r="A10047">
        <v>42.014074365332597</v>
      </c>
      <c r="B10047">
        <v>-86.280685707919403</v>
      </c>
      <c r="C10047" t="s">
        <v>41</v>
      </c>
      <c r="D10047" t="s">
        <v>5745</v>
      </c>
      <c r="F10047" s="21"/>
      <c r="G10047" s="16" t="str">
        <f>HYPERLINK("http://maps.google.com/maps?f=q&amp;hl=en&amp;geocode=&amp;q=42.0140743653326,-86.2806857079194")</f>
        <v>http://maps.google.com/maps?f=q&amp;hl=en&amp;geocode=&amp;q=42.0140743653326,-86.2806857079194</v>
      </c>
    </row>
    <row r="10048" spans="1:7" ht="15" x14ac:dyDescent="0.3">
      <c r="A10048" t="s">
        <v>44</v>
      </c>
      <c r="B10048" t="s">
        <v>44</v>
      </c>
      <c r="C10048" t="s">
        <v>44</v>
      </c>
      <c r="D10048" t="s">
        <v>5746</v>
      </c>
      <c r="F10048" s="21"/>
      <c r="G10048" s="16"/>
    </row>
    <row r="10049" spans="1:7" ht="15" x14ac:dyDescent="0.3">
      <c r="A10049">
        <v>40.090143336672199</v>
      </c>
      <c r="B10049">
        <v>-88.162334169822998</v>
      </c>
      <c r="C10049" t="s">
        <v>41</v>
      </c>
      <c r="D10049" t="s">
        <v>4553</v>
      </c>
      <c r="F10049" s="21"/>
      <c r="G10049" s="16" t="str">
        <f>HYPERLINK("http://maps.google.com/maps?f=q&amp;hl=en&amp;geocode=&amp;q=40.0901433366722,-88.162334169823")</f>
        <v>http://maps.google.com/maps?f=q&amp;hl=en&amp;geocode=&amp;q=40.0901433366722,-88.162334169823</v>
      </c>
    </row>
    <row r="10050" spans="1:7" ht="15" x14ac:dyDescent="0.3">
      <c r="A10050">
        <v>42.822775595264297</v>
      </c>
      <c r="B10050">
        <v>-74.475350031150896</v>
      </c>
      <c r="C10050" t="s">
        <v>41</v>
      </c>
      <c r="D10050" t="s">
        <v>5747</v>
      </c>
      <c r="F10050" s="21"/>
      <c r="G10050" s="16" t="str">
        <f>HYPERLINK("http://maps.google.com/maps?f=q&amp;hl=en&amp;geocode=&amp;q=42.8227755952643,-74.4753500311509")</f>
        <v>http://maps.google.com/maps?f=q&amp;hl=en&amp;geocode=&amp;q=42.8227755952643,-74.4753500311509</v>
      </c>
    </row>
    <row r="10051" spans="1:7" ht="15" x14ac:dyDescent="0.3">
      <c r="A10051">
        <v>48.89501953125</v>
      </c>
      <c r="B10051">
        <v>8.1058301925659197</v>
      </c>
      <c r="C10051" t="s">
        <v>41</v>
      </c>
      <c r="D10051" t="s">
        <v>5748</v>
      </c>
      <c r="F10051" s="21"/>
      <c r="G10051" s="16" t="str">
        <f>HYPERLINK("http://maps.google.com/maps?f=q&amp;hl=en&amp;geocode=&amp;q=48.89501953125,8.10583019256592")</f>
        <v>http://maps.google.com/maps?f=q&amp;hl=en&amp;geocode=&amp;q=48.89501953125,8.10583019256592</v>
      </c>
    </row>
    <row r="10052" spans="1:7" ht="15" x14ac:dyDescent="0.3">
      <c r="A10052">
        <v>31.522350870070799</v>
      </c>
      <c r="B10052">
        <v>-84.407667608984994</v>
      </c>
      <c r="C10052" t="s">
        <v>41</v>
      </c>
      <c r="D10052" t="s">
        <v>5749</v>
      </c>
      <c r="F10052" s="21"/>
      <c r="G10052" s="16" t="str">
        <f>HYPERLINK("http://maps.google.com/maps?f=q&amp;hl=en&amp;geocode=&amp;q=31.5223508700708,-84.407667608985")</f>
        <v>http://maps.google.com/maps?f=q&amp;hl=en&amp;geocode=&amp;q=31.5223508700708,-84.407667608985</v>
      </c>
    </row>
    <row r="10053" spans="1:7" ht="15" x14ac:dyDescent="0.3">
      <c r="A10053">
        <v>40.433480000000003</v>
      </c>
      <c r="B10053">
        <v>-88.884100000000004</v>
      </c>
      <c r="C10053" t="s">
        <v>42</v>
      </c>
      <c r="D10053" t="s">
        <v>5750</v>
      </c>
      <c r="F10053" s="21"/>
      <c r="G10053" s="16" t="str">
        <f>HYPERLINK("http://maps.google.com/maps?f=q&amp;hl=en&amp;geocode=&amp;q=40.43348,-88.8841")</f>
        <v>http://maps.google.com/maps?f=q&amp;hl=en&amp;geocode=&amp;q=40.43348,-88.8841</v>
      </c>
    </row>
    <row r="10054" spans="1:7" ht="15" x14ac:dyDescent="0.3">
      <c r="A10054">
        <v>52.880680084228501</v>
      </c>
      <c r="B10054">
        <v>1.0268900394439699</v>
      </c>
      <c r="C10054" t="s">
        <v>43</v>
      </c>
      <c r="D10054" t="s">
        <v>3883</v>
      </c>
      <c r="F10054" s="21"/>
      <c r="G10054" s="16" t="str">
        <f>HYPERLINK("http://maps.google.com/maps?f=q&amp;hl=en&amp;geocode=&amp;q=52.8806800842285,1.02689003944397")</f>
        <v>http://maps.google.com/maps?f=q&amp;hl=en&amp;geocode=&amp;q=52.8806800842285,1.02689003944397</v>
      </c>
    </row>
    <row r="10055" spans="1:7" ht="15" x14ac:dyDescent="0.3">
      <c r="A10055">
        <v>36.411072431575697</v>
      </c>
      <c r="B10055">
        <v>-102.53833303256</v>
      </c>
      <c r="C10055" t="s">
        <v>41</v>
      </c>
      <c r="D10055" t="s">
        <v>2899</v>
      </c>
      <c r="F10055" s="21"/>
      <c r="G10055" s="16" t="str">
        <f>HYPERLINK("http://maps.google.com/maps?f=q&amp;hl=en&amp;geocode=&amp;q=36.4110724315757,-102.53833303256")</f>
        <v>http://maps.google.com/maps?f=q&amp;hl=en&amp;geocode=&amp;q=36.4110724315757,-102.53833303256</v>
      </c>
    </row>
    <row r="10056" spans="1:7" ht="15" x14ac:dyDescent="0.3">
      <c r="A10056">
        <v>40.004899999999999</v>
      </c>
      <c r="B10056">
        <v>-75.171189999999996</v>
      </c>
      <c r="C10056" t="s">
        <v>41</v>
      </c>
      <c r="D10056" t="s">
        <v>5751</v>
      </c>
      <c r="F10056" s="21"/>
      <c r="G10056" s="16" t="str">
        <f>HYPERLINK("http://maps.google.com/maps?f=q&amp;hl=en&amp;geocode=&amp;q=40.0049,-75.17119")</f>
        <v>http://maps.google.com/maps?f=q&amp;hl=en&amp;geocode=&amp;q=40.0049,-75.17119</v>
      </c>
    </row>
    <row r="10057" spans="1:7" ht="15" x14ac:dyDescent="0.3">
      <c r="A10057">
        <v>-35.759830474853501</v>
      </c>
      <c r="B10057">
        <v>148.25622558593801</v>
      </c>
      <c r="C10057" t="s">
        <v>41</v>
      </c>
      <c r="D10057" t="s">
        <v>5752</v>
      </c>
      <c r="F10057" s="21"/>
      <c r="G10057" s="16" t="str">
        <f>HYPERLINK("http://maps.google.com/maps?f=q&amp;hl=en&amp;geocode=&amp;q=-35.7598304748535,148.256225585938")</f>
        <v>http://maps.google.com/maps?f=q&amp;hl=en&amp;geocode=&amp;q=-35.7598304748535,148.256225585938</v>
      </c>
    </row>
    <row r="10058" spans="1:7" ht="15" x14ac:dyDescent="0.3">
      <c r="A10058">
        <v>41.255760000000002</v>
      </c>
      <c r="B10058">
        <v>-81.447999999999993</v>
      </c>
      <c r="C10058" t="s">
        <v>41</v>
      </c>
      <c r="D10058" t="s">
        <v>3338</v>
      </c>
      <c r="F10058" s="21"/>
      <c r="G10058" s="16" t="str">
        <f>HYPERLINK("http://maps.google.com/maps?f=q&amp;hl=en&amp;geocode=&amp;q=41.25576,-81.448")</f>
        <v>http://maps.google.com/maps?f=q&amp;hl=en&amp;geocode=&amp;q=41.25576,-81.448</v>
      </c>
    </row>
    <row r="10059" spans="1:7" ht="15" x14ac:dyDescent="0.3">
      <c r="A10059">
        <v>40.046130298062899</v>
      </c>
      <c r="B10059">
        <v>-75.134816356595493</v>
      </c>
      <c r="C10059" t="s">
        <v>41</v>
      </c>
      <c r="D10059" t="s">
        <v>5753</v>
      </c>
      <c r="F10059" s="21"/>
      <c r="G10059" s="16" t="str">
        <f>HYPERLINK("http://maps.google.com/maps?f=q&amp;hl=en&amp;geocode=&amp;q=40.0461302980629,-75.1348163565955")</f>
        <v>http://maps.google.com/maps?f=q&amp;hl=en&amp;geocode=&amp;q=40.0461302980629,-75.1348163565955</v>
      </c>
    </row>
    <row r="10060" spans="1:7" ht="15" x14ac:dyDescent="0.3">
      <c r="A10060">
        <v>46.687984466552699</v>
      </c>
      <c r="B10060">
        <v>7.6761589050293004</v>
      </c>
      <c r="C10060" t="s">
        <v>43</v>
      </c>
      <c r="D10060" t="s">
        <v>5754</v>
      </c>
      <c r="F10060" s="21"/>
      <c r="G10060" s="16" t="str">
        <f>HYPERLINK("http://maps.google.com/maps?f=q&amp;hl=en&amp;geocode=&amp;q=46.6879844665527,7.6761589050293")</f>
        <v>http://maps.google.com/maps?f=q&amp;hl=en&amp;geocode=&amp;q=46.6879844665527,7.6761589050293</v>
      </c>
    </row>
    <row r="10061" spans="1:7" ht="15" x14ac:dyDescent="0.3">
      <c r="A10061">
        <v>43.199013940817402</v>
      </c>
      <c r="B10061">
        <v>-88.230398615300999</v>
      </c>
      <c r="C10061" t="s">
        <v>41</v>
      </c>
      <c r="D10061" t="s">
        <v>5755</v>
      </c>
      <c r="F10061" s="21"/>
      <c r="G10061" s="16" t="str">
        <f>HYPERLINK("http://maps.google.com/maps?f=q&amp;hl=en&amp;geocode=&amp;q=43.1990139408174,-88.230398615301")</f>
        <v>http://maps.google.com/maps?f=q&amp;hl=en&amp;geocode=&amp;q=43.1990139408174,-88.230398615301</v>
      </c>
    </row>
    <row r="10062" spans="1:7" ht="15" x14ac:dyDescent="0.3">
      <c r="A10062">
        <v>33.370102031188402</v>
      </c>
      <c r="B10062">
        <v>-82.353364406038494</v>
      </c>
      <c r="C10062" t="s">
        <v>41</v>
      </c>
      <c r="D10062" t="s">
        <v>5633</v>
      </c>
      <c r="F10062" s="21"/>
      <c r="G10062" s="16" t="str">
        <f>HYPERLINK("http://maps.google.com/maps?f=q&amp;hl=en&amp;geocode=&amp;q=33.3701020311884,-82.3533644060385")</f>
        <v>http://maps.google.com/maps?f=q&amp;hl=en&amp;geocode=&amp;q=33.3701020311884,-82.3533644060385</v>
      </c>
    </row>
    <row r="10063" spans="1:7" ht="15" x14ac:dyDescent="0.3">
      <c r="A10063" t="s">
        <v>44</v>
      </c>
      <c r="B10063" t="s">
        <v>44</v>
      </c>
      <c r="C10063" t="s">
        <v>44</v>
      </c>
      <c r="D10063" t="s">
        <v>1243</v>
      </c>
      <c r="F10063" s="21"/>
      <c r="G10063" s="16"/>
    </row>
    <row r="10064" spans="1:7" ht="15" x14ac:dyDescent="0.3">
      <c r="A10064">
        <v>39.995420000000003</v>
      </c>
      <c r="B10064">
        <v>-75.167749999999998</v>
      </c>
      <c r="C10064" t="s">
        <v>41</v>
      </c>
      <c r="D10064" t="s">
        <v>2442</v>
      </c>
      <c r="F10064" s="21"/>
      <c r="G10064" s="16" t="str">
        <f>HYPERLINK("http://maps.google.com/maps?f=q&amp;hl=en&amp;geocode=&amp;q=39.99542,-75.16775")</f>
        <v>http://maps.google.com/maps?f=q&amp;hl=en&amp;geocode=&amp;q=39.99542,-75.16775</v>
      </c>
    </row>
    <row r="10065" spans="1:7" ht="15" x14ac:dyDescent="0.3">
      <c r="A10065">
        <v>39.995584999999998</v>
      </c>
      <c r="B10065">
        <v>-75.170052999999996</v>
      </c>
      <c r="C10065" t="s">
        <v>41</v>
      </c>
      <c r="D10065" t="s">
        <v>5756</v>
      </c>
      <c r="F10065" s="21"/>
      <c r="G10065" s="16" t="str">
        <f>HYPERLINK("http://maps.google.com/maps?f=q&amp;hl=en&amp;geocode=&amp;q=39.995585,-75.170053")</f>
        <v>http://maps.google.com/maps?f=q&amp;hl=en&amp;geocode=&amp;q=39.995585,-75.170053</v>
      </c>
    </row>
    <row r="10066" spans="1:7" ht="15" x14ac:dyDescent="0.3">
      <c r="A10066">
        <v>39.996009999999998</v>
      </c>
      <c r="B10066">
        <v>-75.172529999999995</v>
      </c>
      <c r="C10066" t="s">
        <v>41</v>
      </c>
      <c r="D10066" t="s">
        <v>4331</v>
      </c>
      <c r="F10066" s="21"/>
      <c r="G10066" s="16" t="str">
        <f>HYPERLINK("http://maps.google.com/maps?f=q&amp;hl=en&amp;geocode=&amp;q=39.99601,-75.17253")</f>
        <v>http://maps.google.com/maps?f=q&amp;hl=en&amp;geocode=&amp;q=39.99601,-75.17253</v>
      </c>
    </row>
    <row r="10067" spans="1:7" ht="15" x14ac:dyDescent="0.3">
      <c r="A10067">
        <v>39.990549999999999</v>
      </c>
      <c r="B10067">
        <v>-75.100309999999993</v>
      </c>
      <c r="C10067" t="s">
        <v>41</v>
      </c>
      <c r="D10067" t="s">
        <v>1630</v>
      </c>
      <c r="F10067" s="21"/>
      <c r="G10067" s="16" t="str">
        <f>HYPERLINK("http://maps.google.com/maps?f=q&amp;hl=en&amp;geocode=&amp;q=39.99055,-75.10031")</f>
        <v>http://maps.google.com/maps?f=q&amp;hl=en&amp;geocode=&amp;q=39.99055,-75.10031</v>
      </c>
    </row>
    <row r="10068" spans="1:7" ht="15" x14ac:dyDescent="0.3">
      <c r="A10068">
        <v>40.101529999999997</v>
      </c>
      <c r="B10068">
        <v>-75.0304</v>
      </c>
      <c r="C10068" t="s">
        <v>41</v>
      </c>
      <c r="D10068" t="s">
        <v>5757</v>
      </c>
      <c r="F10068" s="21"/>
      <c r="G10068" s="16" t="str">
        <f>HYPERLINK("http://maps.google.com/maps?f=q&amp;hl=en&amp;geocode=&amp;q=40.10153,-75.0304")</f>
        <v>http://maps.google.com/maps?f=q&amp;hl=en&amp;geocode=&amp;q=40.10153,-75.0304</v>
      </c>
    </row>
    <row r="10069" spans="1:7" ht="15" x14ac:dyDescent="0.3">
      <c r="A10069" t="s">
        <v>44</v>
      </c>
      <c r="B10069" t="s">
        <v>44</v>
      </c>
      <c r="C10069" t="s">
        <v>44</v>
      </c>
      <c r="D10069" t="s">
        <v>4438</v>
      </c>
      <c r="F10069" s="21"/>
      <c r="G10069" s="16"/>
    </row>
    <row r="10070" spans="1:7" ht="15" x14ac:dyDescent="0.3">
      <c r="A10070">
        <v>-38.185139900000003</v>
      </c>
      <c r="B10070">
        <v>144.34313</v>
      </c>
      <c r="C10070" t="s">
        <v>41</v>
      </c>
      <c r="D10070" t="s">
        <v>5758</v>
      </c>
      <c r="F10070" s="21"/>
      <c r="G10070" s="16" t="str">
        <f>HYPERLINK("http://maps.google.com/maps?f=q&amp;hl=en&amp;geocode=&amp;q=-38.1851399,144.34313")</f>
        <v>http://maps.google.com/maps?f=q&amp;hl=en&amp;geocode=&amp;q=-38.1851399,144.34313</v>
      </c>
    </row>
    <row r="10071" spans="1:7" ht="15" x14ac:dyDescent="0.3">
      <c r="A10071" t="s">
        <v>44</v>
      </c>
      <c r="B10071" t="s">
        <v>44</v>
      </c>
      <c r="C10071" t="s">
        <v>44</v>
      </c>
      <c r="D10071" t="s">
        <v>5418</v>
      </c>
      <c r="F10071" s="21"/>
      <c r="G10071" s="16"/>
    </row>
    <row r="10072" spans="1:7" ht="15" x14ac:dyDescent="0.3">
      <c r="A10072">
        <v>-34.807872772216797</v>
      </c>
      <c r="B10072">
        <v>147.01838684082</v>
      </c>
      <c r="C10072" t="s">
        <v>43</v>
      </c>
      <c r="D10072" t="s">
        <v>5759</v>
      </c>
      <c r="F10072" s="21"/>
      <c r="G10072" s="16" t="str">
        <f>HYPERLINK("http://maps.google.com/maps?f=q&amp;hl=en&amp;geocode=&amp;q=-34.8078727722168,147.01838684082")</f>
        <v>http://maps.google.com/maps?f=q&amp;hl=en&amp;geocode=&amp;q=-34.8078727722168,147.01838684082</v>
      </c>
    </row>
    <row r="10073" spans="1:7" ht="15" x14ac:dyDescent="0.3">
      <c r="A10073">
        <v>27.342559999999999</v>
      </c>
      <c r="B10073">
        <v>-81.340509999999995</v>
      </c>
      <c r="C10073" t="s">
        <v>41</v>
      </c>
      <c r="D10073" t="s">
        <v>5760</v>
      </c>
      <c r="F10073" s="21"/>
      <c r="G10073" s="16" t="str">
        <f>HYPERLINK("http://maps.google.com/maps?f=q&amp;hl=en&amp;geocode=&amp;q=27.34256,-81.34051")</f>
        <v>http://maps.google.com/maps?f=q&amp;hl=en&amp;geocode=&amp;q=27.34256,-81.34051</v>
      </c>
    </row>
    <row r="10074" spans="1:7" ht="15" x14ac:dyDescent="0.3">
      <c r="A10074">
        <v>39.971800000000002</v>
      </c>
      <c r="B10074">
        <v>-75.135980000000004</v>
      </c>
      <c r="C10074" t="s">
        <v>41</v>
      </c>
      <c r="D10074" t="s">
        <v>5761</v>
      </c>
      <c r="F10074" s="21"/>
      <c r="G10074" s="16" t="str">
        <f>HYPERLINK("http://maps.google.com/maps?f=q&amp;hl=en&amp;geocode=&amp;q=39.9718,-75.13598")</f>
        <v>http://maps.google.com/maps?f=q&amp;hl=en&amp;geocode=&amp;q=39.9718,-75.13598</v>
      </c>
    </row>
    <row r="10075" spans="1:7" ht="15" x14ac:dyDescent="0.3">
      <c r="A10075">
        <v>40.013440000000003</v>
      </c>
      <c r="B10075">
        <v>-75.135540000000006</v>
      </c>
      <c r="C10075" t="s">
        <v>42</v>
      </c>
      <c r="D10075" t="s">
        <v>5762</v>
      </c>
      <c r="F10075" s="21"/>
      <c r="G10075" s="16" t="str">
        <f>HYPERLINK("http://maps.google.com/maps?f=q&amp;hl=en&amp;geocode=&amp;q=40.01344,-75.13554")</f>
        <v>http://maps.google.com/maps?f=q&amp;hl=en&amp;geocode=&amp;q=40.01344,-75.13554</v>
      </c>
    </row>
    <row r="10076" spans="1:7" ht="15" x14ac:dyDescent="0.3">
      <c r="A10076">
        <v>39.978769999999997</v>
      </c>
      <c r="B10076">
        <v>-75.124219999999994</v>
      </c>
      <c r="C10076" t="s">
        <v>41</v>
      </c>
      <c r="D10076" t="s">
        <v>5763</v>
      </c>
      <c r="F10076" s="21"/>
      <c r="G10076" s="16" t="str">
        <f>HYPERLINK("http://maps.google.com/maps?f=q&amp;hl=en&amp;geocode=&amp;q=39.97877,-75.12422")</f>
        <v>http://maps.google.com/maps?f=q&amp;hl=en&amp;geocode=&amp;q=39.97877,-75.12422</v>
      </c>
    </row>
    <row r="10077" spans="1:7" ht="15" x14ac:dyDescent="0.3">
      <c r="A10077">
        <v>39.979980598252602</v>
      </c>
      <c r="B10077">
        <v>-75.125571201268698</v>
      </c>
      <c r="C10077" t="s">
        <v>41</v>
      </c>
      <c r="D10077" t="s">
        <v>5764</v>
      </c>
      <c r="F10077" s="21"/>
      <c r="G10077" s="16" t="str">
        <f>HYPERLINK("http://maps.google.com/maps?f=q&amp;hl=en&amp;geocode=&amp;q=39.9799805982526,-75.1255712012687")</f>
        <v>http://maps.google.com/maps?f=q&amp;hl=en&amp;geocode=&amp;q=39.9799805982526,-75.1255712012687</v>
      </c>
    </row>
    <row r="10078" spans="1:7" ht="15" x14ac:dyDescent="0.3">
      <c r="A10078">
        <v>38.367965698242202</v>
      </c>
      <c r="B10078">
        <v>-92.477882385253906</v>
      </c>
      <c r="C10078" t="s">
        <v>41</v>
      </c>
      <c r="D10078" t="s">
        <v>5765</v>
      </c>
      <c r="F10078" s="21"/>
      <c r="G10078" s="16" t="str">
        <f>HYPERLINK("http://maps.google.com/maps?f=q&amp;hl=en&amp;geocode=&amp;q=38.3679656982422,-92.4778823852539")</f>
        <v>http://maps.google.com/maps?f=q&amp;hl=en&amp;geocode=&amp;q=38.3679656982422,-92.4778823852539</v>
      </c>
    </row>
    <row r="10079" spans="1:7" ht="15" x14ac:dyDescent="0.3">
      <c r="A10079">
        <v>40.647795037652401</v>
      </c>
      <c r="B10079">
        <v>-98.909186679678399</v>
      </c>
      <c r="C10079" t="s">
        <v>41</v>
      </c>
      <c r="D10079" t="s">
        <v>5766</v>
      </c>
      <c r="F10079" s="21"/>
      <c r="G10079" s="16" t="str">
        <f>HYPERLINK("http://maps.google.com/maps?f=q&amp;hl=en&amp;geocode=&amp;q=40.6477950376524,-98.9091866796784")</f>
        <v>http://maps.google.com/maps?f=q&amp;hl=en&amp;geocode=&amp;q=40.6477950376524,-98.9091866796784</v>
      </c>
    </row>
    <row r="10080" spans="1:7" ht="15" x14ac:dyDescent="0.3">
      <c r="A10080" t="s">
        <v>44</v>
      </c>
      <c r="B10080" t="s">
        <v>44</v>
      </c>
      <c r="C10080" t="s">
        <v>44</v>
      </c>
      <c r="D10080" t="s">
        <v>5767</v>
      </c>
      <c r="F10080" s="21"/>
      <c r="G10080" s="16"/>
    </row>
    <row r="10081" spans="1:7" ht="15" x14ac:dyDescent="0.3">
      <c r="A10081" t="s">
        <v>44</v>
      </c>
      <c r="B10081" t="s">
        <v>44</v>
      </c>
      <c r="C10081" t="s">
        <v>44</v>
      </c>
      <c r="D10081" t="s">
        <v>4726</v>
      </c>
      <c r="F10081" s="21"/>
      <c r="G10081" s="16"/>
    </row>
    <row r="10082" spans="1:7" ht="15" x14ac:dyDescent="0.3">
      <c r="A10082">
        <v>40.04372</v>
      </c>
      <c r="B10082">
        <v>-75.075419999999994</v>
      </c>
      <c r="C10082" t="s">
        <v>41</v>
      </c>
      <c r="D10082" t="s">
        <v>5768</v>
      </c>
      <c r="F10082" s="21"/>
      <c r="G10082" s="16" t="str">
        <f>HYPERLINK("http://maps.google.com/maps?f=q&amp;hl=en&amp;geocode=&amp;q=40.04372,-75.07542")</f>
        <v>http://maps.google.com/maps?f=q&amp;hl=en&amp;geocode=&amp;q=40.04372,-75.07542</v>
      </c>
    </row>
    <row r="10083" spans="1:7" ht="15" x14ac:dyDescent="0.3">
      <c r="A10083">
        <v>43.1462056492663</v>
      </c>
      <c r="B10083">
        <v>-75.463922665397305</v>
      </c>
      <c r="C10083" t="s">
        <v>41</v>
      </c>
      <c r="D10083" t="s">
        <v>2440</v>
      </c>
      <c r="F10083" s="21"/>
      <c r="G10083" s="16" t="str">
        <f>HYPERLINK("http://maps.google.com/maps?f=q&amp;hl=en&amp;geocode=&amp;q=43.1462056492663,-75.4639226653973")</f>
        <v>http://maps.google.com/maps?f=q&amp;hl=en&amp;geocode=&amp;q=43.1462056492663,-75.4639226653973</v>
      </c>
    </row>
    <row r="10084" spans="1:7" ht="15" x14ac:dyDescent="0.3">
      <c r="A10084">
        <v>-26.188575744628899</v>
      </c>
      <c r="B10084">
        <v>27.929327011108398</v>
      </c>
      <c r="C10084" t="s">
        <v>43</v>
      </c>
      <c r="D10084" t="s">
        <v>5694</v>
      </c>
      <c r="F10084" s="21"/>
      <c r="G10084" s="16" t="str">
        <f>HYPERLINK("http://maps.google.com/maps?f=q&amp;hl=en&amp;geocode=&amp;q=-26.1885757446289,27.9293270111084")</f>
        <v>http://maps.google.com/maps?f=q&amp;hl=en&amp;geocode=&amp;q=-26.1885757446289,27.9293270111084</v>
      </c>
    </row>
    <row r="10085" spans="1:7" ht="15" x14ac:dyDescent="0.3">
      <c r="A10085" t="s">
        <v>44</v>
      </c>
      <c r="B10085" t="s">
        <v>44</v>
      </c>
      <c r="C10085" t="s">
        <v>44</v>
      </c>
      <c r="D10085" t="s">
        <v>1483</v>
      </c>
      <c r="F10085" s="21"/>
      <c r="G10085" s="16"/>
    </row>
    <row r="10086" spans="1:7" ht="15" x14ac:dyDescent="0.3">
      <c r="F10086" s="21"/>
      <c r="G10086" s="16"/>
    </row>
    <row r="10087" spans="1:7" ht="15" x14ac:dyDescent="0.3">
      <c r="A10087">
        <v>40.064219999999999</v>
      </c>
      <c r="B10087">
        <v>-75.150300000000001</v>
      </c>
      <c r="C10087" t="s">
        <v>43</v>
      </c>
      <c r="D10087" t="s">
        <v>5769</v>
      </c>
      <c r="F10087" s="21"/>
      <c r="G10087" s="16" t="str">
        <f>HYPERLINK("http://maps.google.com/maps?f=q&amp;hl=en&amp;geocode=&amp;q=40.06422,-75.1503")</f>
        <v>http://maps.google.com/maps?f=q&amp;hl=en&amp;geocode=&amp;q=40.06422,-75.1503</v>
      </c>
    </row>
    <row r="10088" spans="1:7" ht="15" x14ac:dyDescent="0.3">
      <c r="A10088">
        <v>38.588470000000001</v>
      </c>
      <c r="B10088">
        <v>-122.58041</v>
      </c>
      <c r="C10088" t="s">
        <v>42</v>
      </c>
      <c r="D10088" t="s">
        <v>4507</v>
      </c>
      <c r="F10088" s="21"/>
      <c r="G10088" s="16" t="str">
        <f>HYPERLINK("http://maps.google.com/maps?f=q&amp;hl=en&amp;geocode=&amp;q=38.58847,-122.58041")</f>
        <v>http://maps.google.com/maps?f=q&amp;hl=en&amp;geocode=&amp;q=38.58847,-122.58041</v>
      </c>
    </row>
    <row r="10089" spans="1:7" ht="15" x14ac:dyDescent="0.3">
      <c r="A10089">
        <v>26.628741502289301</v>
      </c>
      <c r="B10089">
        <v>-80.113355605914606</v>
      </c>
      <c r="C10089" t="s">
        <v>41</v>
      </c>
      <c r="D10089" t="s">
        <v>2844</v>
      </c>
      <c r="F10089" s="21"/>
      <c r="G10089" s="16" t="str">
        <f>HYPERLINK("http://maps.google.com/maps?f=q&amp;hl=en&amp;geocode=&amp;q=26.6287415022893,-80.1133556059146")</f>
        <v>http://maps.google.com/maps?f=q&amp;hl=en&amp;geocode=&amp;q=26.6287415022893,-80.1133556059146</v>
      </c>
    </row>
    <row r="10090" spans="1:7" ht="15" x14ac:dyDescent="0.3">
      <c r="A10090">
        <v>40.040999999999997</v>
      </c>
      <c r="B10090">
        <v>-75.128389999999996</v>
      </c>
      <c r="C10090" t="s">
        <v>41</v>
      </c>
      <c r="D10090" t="s">
        <v>3178</v>
      </c>
      <c r="F10090" s="21"/>
      <c r="G10090" s="16" t="str">
        <f>HYPERLINK("http://maps.google.com/maps?f=q&amp;hl=en&amp;geocode=&amp;q=40.041,-75.12839")</f>
        <v>http://maps.google.com/maps?f=q&amp;hl=en&amp;geocode=&amp;q=40.041,-75.12839</v>
      </c>
    </row>
    <row r="10091" spans="1:7" ht="15" x14ac:dyDescent="0.3">
      <c r="A10091">
        <v>29.69594</v>
      </c>
      <c r="B10091">
        <v>-95.225110000000001</v>
      </c>
      <c r="C10091" t="s">
        <v>41</v>
      </c>
      <c r="D10091" t="s">
        <v>5770</v>
      </c>
      <c r="F10091" s="21"/>
      <c r="G10091" s="16" t="str">
        <f>HYPERLINK("http://maps.google.com/maps?f=q&amp;hl=en&amp;geocode=&amp;q=29.69594,-95.22511")</f>
        <v>http://maps.google.com/maps?f=q&amp;hl=en&amp;geocode=&amp;q=29.69594,-95.22511</v>
      </c>
    </row>
    <row r="10092" spans="1:7" ht="15" x14ac:dyDescent="0.3">
      <c r="A10092">
        <v>39.926830000000002</v>
      </c>
      <c r="B10092">
        <v>-75.225729999999999</v>
      </c>
      <c r="C10092" t="s">
        <v>43</v>
      </c>
      <c r="D10092" t="s">
        <v>588</v>
      </c>
      <c r="F10092" s="21"/>
      <c r="G10092" s="16" t="str">
        <f>HYPERLINK("http://maps.google.com/maps?f=q&amp;hl=en&amp;geocode=&amp;q=39.92683,-75.22573")</f>
        <v>http://maps.google.com/maps?f=q&amp;hl=en&amp;geocode=&amp;q=39.92683,-75.22573</v>
      </c>
    </row>
    <row r="10093" spans="1:7" ht="15" x14ac:dyDescent="0.3">
      <c r="A10093">
        <v>40.007539999999999</v>
      </c>
      <c r="B10093">
        <v>-75.133870000000002</v>
      </c>
      <c r="C10093" t="s">
        <v>42</v>
      </c>
      <c r="D10093" t="s">
        <v>5771</v>
      </c>
      <c r="F10093" s="21"/>
      <c r="G10093" s="16" t="str">
        <f>HYPERLINK("http://maps.google.com/maps?f=q&amp;hl=en&amp;geocode=&amp;q=40.00754,-75.13387")</f>
        <v>http://maps.google.com/maps?f=q&amp;hl=en&amp;geocode=&amp;q=40.00754,-75.13387</v>
      </c>
    </row>
    <row r="10094" spans="1:7" ht="15" x14ac:dyDescent="0.3">
      <c r="A10094">
        <v>40.040280000000003</v>
      </c>
      <c r="B10094">
        <v>-75.120570000000001</v>
      </c>
      <c r="C10094" t="s">
        <v>41</v>
      </c>
      <c r="D10094" t="s">
        <v>5387</v>
      </c>
      <c r="F10094" s="21"/>
      <c r="G10094" s="16" t="str">
        <f>HYPERLINK("http://maps.google.com/maps?f=q&amp;hl=en&amp;geocode=&amp;q=40.04028,-75.12057")</f>
        <v>http://maps.google.com/maps?f=q&amp;hl=en&amp;geocode=&amp;q=40.04028,-75.12057</v>
      </c>
    </row>
    <row r="10095" spans="1:7" ht="15" x14ac:dyDescent="0.3">
      <c r="A10095">
        <v>40.040280000000003</v>
      </c>
      <c r="B10095">
        <v>-75.120570000000001</v>
      </c>
      <c r="C10095" t="s">
        <v>41</v>
      </c>
      <c r="D10095" t="s">
        <v>5387</v>
      </c>
      <c r="F10095" s="21"/>
      <c r="G10095" s="16" t="str">
        <f>HYPERLINK("http://maps.google.com/maps?f=q&amp;hl=en&amp;geocode=&amp;q=40.04028,-75.12057")</f>
        <v>http://maps.google.com/maps?f=q&amp;hl=en&amp;geocode=&amp;q=40.04028,-75.12057</v>
      </c>
    </row>
    <row r="10096" spans="1:7" ht="15" x14ac:dyDescent="0.3">
      <c r="A10096">
        <v>35.958046935190303</v>
      </c>
      <c r="B10096">
        <v>-77.473397765092201</v>
      </c>
      <c r="C10096" t="s">
        <v>41</v>
      </c>
      <c r="D10096" t="s">
        <v>3222</v>
      </c>
      <c r="F10096" s="21"/>
      <c r="G10096" s="16" t="str">
        <f>HYPERLINK("http://maps.google.com/maps?f=q&amp;hl=en&amp;geocode=&amp;q=35.9580469351903,-77.4733977650922")</f>
        <v>http://maps.google.com/maps?f=q&amp;hl=en&amp;geocode=&amp;q=35.9580469351903,-77.4733977650922</v>
      </c>
    </row>
    <row r="10097" spans="1:7" ht="15" x14ac:dyDescent="0.3">
      <c r="A10097">
        <v>32.433700000000002</v>
      </c>
      <c r="B10097">
        <v>-80.677400000000006</v>
      </c>
      <c r="C10097" t="s">
        <v>42</v>
      </c>
      <c r="D10097" t="s">
        <v>5772</v>
      </c>
      <c r="F10097" s="21"/>
      <c r="G10097" s="16" t="str">
        <f>HYPERLINK("http://maps.google.com/maps?f=q&amp;hl=en&amp;geocode=&amp;q=32.4337,-80.6774")</f>
        <v>http://maps.google.com/maps?f=q&amp;hl=en&amp;geocode=&amp;q=32.4337,-80.6774</v>
      </c>
    </row>
    <row r="10098" spans="1:7" ht="15" x14ac:dyDescent="0.3">
      <c r="A10098">
        <v>40.03098</v>
      </c>
      <c r="B10098">
        <v>-75.129930000000002</v>
      </c>
      <c r="C10098" t="s">
        <v>41</v>
      </c>
      <c r="D10098" t="s">
        <v>5208</v>
      </c>
      <c r="F10098" s="21"/>
      <c r="G10098" s="16" t="str">
        <f>HYPERLINK("http://maps.google.com/maps?f=q&amp;hl=en&amp;geocode=&amp;q=40.03098,-75.12993")</f>
        <v>http://maps.google.com/maps?f=q&amp;hl=en&amp;geocode=&amp;q=40.03098,-75.12993</v>
      </c>
    </row>
    <row r="10099" spans="1:7" ht="15" x14ac:dyDescent="0.3">
      <c r="A10099">
        <v>41.834501071589301</v>
      </c>
      <c r="B10099">
        <v>-111.97812339901201</v>
      </c>
      <c r="C10099" t="s">
        <v>41</v>
      </c>
      <c r="D10099" t="s">
        <v>5773</v>
      </c>
      <c r="F10099" s="21"/>
      <c r="G10099" s="16" t="str">
        <f>HYPERLINK("http://maps.google.com/maps?f=q&amp;hl=en&amp;geocode=&amp;q=41.8345010715893,-111.978123399012")</f>
        <v>http://maps.google.com/maps?f=q&amp;hl=en&amp;geocode=&amp;q=41.8345010715893,-111.978123399012</v>
      </c>
    </row>
    <row r="10100" spans="1:7" ht="15" x14ac:dyDescent="0.3">
      <c r="A10100">
        <v>23.7733478546143</v>
      </c>
      <c r="B10100">
        <v>87.994697570800795</v>
      </c>
      <c r="C10100" t="s">
        <v>41</v>
      </c>
      <c r="D10100" t="s">
        <v>4994</v>
      </c>
      <c r="F10100" s="21"/>
      <c r="G10100" s="16" t="str">
        <f>HYPERLINK("http://maps.google.com/maps?f=q&amp;hl=en&amp;geocode=&amp;q=23.7733478546143,87.9946975708008")</f>
        <v>http://maps.google.com/maps?f=q&amp;hl=en&amp;geocode=&amp;q=23.7733478546143,87.9946975708008</v>
      </c>
    </row>
    <row r="10101" spans="1:7" ht="15" x14ac:dyDescent="0.3">
      <c r="A10101" t="s">
        <v>44</v>
      </c>
      <c r="B10101" t="s">
        <v>44</v>
      </c>
      <c r="C10101" t="s">
        <v>44</v>
      </c>
      <c r="D10101" t="s">
        <v>4474</v>
      </c>
      <c r="F10101" s="21"/>
      <c r="G10101" s="16"/>
    </row>
    <row r="10102" spans="1:7" ht="15" x14ac:dyDescent="0.3">
      <c r="A10102">
        <v>47.339530000000003</v>
      </c>
      <c r="B10102">
        <v>-122.93443000000001</v>
      </c>
      <c r="C10102" t="s">
        <v>43</v>
      </c>
      <c r="D10102" t="s">
        <v>5774</v>
      </c>
      <c r="F10102" s="21"/>
      <c r="G10102" s="16" t="str">
        <f>HYPERLINK("http://maps.google.com/maps?f=q&amp;hl=en&amp;geocode=&amp;q=47.33953,-122.93443")</f>
        <v>http://maps.google.com/maps?f=q&amp;hl=en&amp;geocode=&amp;q=47.33953,-122.93443</v>
      </c>
    </row>
    <row r="10103" spans="1:7" ht="15" x14ac:dyDescent="0.3">
      <c r="A10103">
        <v>41.094352882729098</v>
      </c>
      <c r="B10103">
        <v>-85.112670712314198</v>
      </c>
      <c r="C10103" t="s">
        <v>41</v>
      </c>
      <c r="D10103" t="s">
        <v>5775</v>
      </c>
      <c r="F10103" s="21"/>
      <c r="G10103" s="16" t="str">
        <f>HYPERLINK("http://maps.google.com/maps?f=q&amp;hl=en&amp;geocode=&amp;q=41.0943528827291,-85.1126707123142")</f>
        <v>http://maps.google.com/maps?f=q&amp;hl=en&amp;geocode=&amp;q=41.0943528827291,-85.1126707123142</v>
      </c>
    </row>
    <row r="10104" spans="1:7" ht="15" x14ac:dyDescent="0.3">
      <c r="F10104" s="21"/>
      <c r="G10104" s="16"/>
    </row>
    <row r="10105" spans="1:7" ht="15" x14ac:dyDescent="0.3">
      <c r="A10105">
        <v>52.370571136474602</v>
      </c>
      <c r="B10105">
        <v>-2.7190001010894802</v>
      </c>
      <c r="C10105" t="s">
        <v>41</v>
      </c>
      <c r="D10105" t="s">
        <v>900</v>
      </c>
      <c r="F10105" s="21"/>
      <c r="G10105" s="16" t="str">
        <f>HYPERLINK("http://maps.google.com/maps?f=q&amp;hl=en&amp;geocode=&amp;q=52.3705711364746,-2.71900010108948")</f>
        <v>http://maps.google.com/maps?f=q&amp;hl=en&amp;geocode=&amp;q=52.3705711364746,-2.71900010108948</v>
      </c>
    </row>
    <row r="10106" spans="1:7" ht="15" x14ac:dyDescent="0.3">
      <c r="A10106">
        <v>39.045158386230497</v>
      </c>
      <c r="B10106">
        <v>-91.172317504882798</v>
      </c>
      <c r="C10106" t="s">
        <v>43</v>
      </c>
      <c r="D10106" t="s">
        <v>5776</v>
      </c>
      <c r="F10106" s="21"/>
      <c r="G10106" s="16" t="str">
        <f>HYPERLINK("http://maps.google.com/maps?f=q&amp;hl=en&amp;geocode=&amp;q=39.0451583862305,-91.1723175048828")</f>
        <v>http://maps.google.com/maps?f=q&amp;hl=en&amp;geocode=&amp;q=39.0451583862305,-91.1723175048828</v>
      </c>
    </row>
    <row r="10107" spans="1:7" ht="15" x14ac:dyDescent="0.3">
      <c r="A10107">
        <v>32.039610000000003</v>
      </c>
      <c r="B10107">
        <v>-81.084450000000004</v>
      </c>
      <c r="C10107" t="s">
        <v>43</v>
      </c>
      <c r="D10107" t="s">
        <v>5777</v>
      </c>
      <c r="F10107" s="21"/>
      <c r="G10107" s="16" t="str">
        <f>HYPERLINK("http://maps.google.com/maps?f=q&amp;hl=en&amp;geocode=&amp;q=32.03961,-81.08445")</f>
        <v>http://maps.google.com/maps?f=q&amp;hl=en&amp;geocode=&amp;q=32.03961,-81.08445</v>
      </c>
    </row>
    <row r="10108" spans="1:7" ht="15" x14ac:dyDescent="0.3">
      <c r="A10108">
        <v>30.0136216124925</v>
      </c>
      <c r="B10108">
        <v>-90.177056425948606</v>
      </c>
      <c r="C10108" t="s">
        <v>41</v>
      </c>
      <c r="D10108" t="s">
        <v>5778</v>
      </c>
      <c r="F10108" s="21"/>
      <c r="G10108" s="16" t="str">
        <f>HYPERLINK("http://maps.google.com/maps?f=q&amp;hl=en&amp;geocode=&amp;q=30.0136216124925,-90.1770564259486")</f>
        <v>http://maps.google.com/maps?f=q&amp;hl=en&amp;geocode=&amp;q=30.0136216124925,-90.1770564259486</v>
      </c>
    </row>
    <row r="10109" spans="1:7" ht="15" x14ac:dyDescent="0.3">
      <c r="A10109">
        <v>41.261953903056799</v>
      </c>
      <c r="B10109">
        <v>-79.715838900365398</v>
      </c>
      <c r="C10109" t="s">
        <v>41</v>
      </c>
      <c r="D10109" t="s">
        <v>5239</v>
      </c>
      <c r="F10109" s="21"/>
      <c r="G10109" s="16" t="str">
        <f>HYPERLINK("http://maps.google.com/maps?f=q&amp;hl=en&amp;geocode=&amp;q=41.2619539030568,-79.7158389003654")</f>
        <v>http://maps.google.com/maps?f=q&amp;hl=en&amp;geocode=&amp;q=41.2619539030568,-79.7158389003654</v>
      </c>
    </row>
    <row r="10110" spans="1:7" ht="15" x14ac:dyDescent="0.3">
      <c r="A10110">
        <v>49.518180847167997</v>
      </c>
      <c r="B10110">
        <v>5.8978409767150897</v>
      </c>
      <c r="C10110" t="s">
        <v>41</v>
      </c>
      <c r="D10110" t="s">
        <v>2510</v>
      </c>
      <c r="F10110" s="21"/>
      <c r="G10110" s="16" t="str">
        <f>HYPERLINK("http://maps.google.com/maps?f=q&amp;hl=en&amp;geocode=&amp;q=49.518180847168,5.89784097671509")</f>
        <v>http://maps.google.com/maps?f=q&amp;hl=en&amp;geocode=&amp;q=49.518180847168,5.89784097671509</v>
      </c>
    </row>
    <row r="10111" spans="1:7" ht="15" x14ac:dyDescent="0.3">
      <c r="A10111">
        <v>38.783990000000003</v>
      </c>
      <c r="B10111">
        <v>-77.096450000000004</v>
      </c>
      <c r="C10111" t="s">
        <v>42</v>
      </c>
      <c r="D10111" t="s">
        <v>5779</v>
      </c>
      <c r="F10111" s="21"/>
      <c r="G10111" s="16" t="str">
        <f>HYPERLINK("http://maps.google.com/maps?f=q&amp;hl=en&amp;geocode=&amp;q=38.78399,-77.09645")</f>
        <v>http://maps.google.com/maps?f=q&amp;hl=en&amp;geocode=&amp;q=38.78399,-77.09645</v>
      </c>
    </row>
    <row r="10112" spans="1:7" ht="15" x14ac:dyDescent="0.3">
      <c r="A10112">
        <v>39.196950835231803</v>
      </c>
      <c r="B10112">
        <v>-76.843095297582593</v>
      </c>
      <c r="C10112" t="s">
        <v>43</v>
      </c>
      <c r="D10112" t="s">
        <v>5780</v>
      </c>
      <c r="F10112" s="21"/>
      <c r="G10112" s="16" t="str">
        <f>HYPERLINK("http://maps.google.com/maps?f=q&amp;hl=en&amp;geocode=&amp;q=39.1969508352318,-76.8430952975826")</f>
        <v>http://maps.google.com/maps?f=q&amp;hl=en&amp;geocode=&amp;q=39.1969508352318,-76.8430952975826</v>
      </c>
    </row>
    <row r="10113" spans="1:7" ht="15" x14ac:dyDescent="0.3">
      <c r="A10113">
        <v>39.196950835231803</v>
      </c>
      <c r="B10113">
        <v>-76.843095297582593</v>
      </c>
      <c r="C10113" t="s">
        <v>43</v>
      </c>
      <c r="D10113" t="s">
        <v>5780</v>
      </c>
      <c r="F10113" s="21"/>
      <c r="G10113" s="16" t="str">
        <f>HYPERLINK("http://maps.google.com/maps?f=q&amp;hl=en&amp;geocode=&amp;q=39.1969508352318,-76.8430952975826")</f>
        <v>http://maps.google.com/maps?f=q&amp;hl=en&amp;geocode=&amp;q=39.1969508352318,-76.8430952975826</v>
      </c>
    </row>
    <row r="10114" spans="1:7" ht="15" x14ac:dyDescent="0.3">
      <c r="A10114">
        <v>-32.032665252685497</v>
      </c>
      <c r="B10114">
        <v>115.899574279785</v>
      </c>
      <c r="C10114" t="s">
        <v>43</v>
      </c>
      <c r="D10114" t="s">
        <v>5781</v>
      </c>
      <c r="F10114" s="21"/>
      <c r="G10114" s="16" t="str">
        <f>HYPERLINK("http://maps.google.com/maps?f=q&amp;hl=en&amp;geocode=&amp;q=-32.0326652526855,115.899574279785")</f>
        <v>http://maps.google.com/maps?f=q&amp;hl=en&amp;geocode=&amp;q=-32.0326652526855,115.899574279785</v>
      </c>
    </row>
    <row r="10115" spans="1:7" ht="15" x14ac:dyDescent="0.3">
      <c r="A10115">
        <v>54.562068939208999</v>
      </c>
      <c r="B10115">
        <v>-125.10440063476599</v>
      </c>
      <c r="C10115" t="s">
        <v>41</v>
      </c>
      <c r="D10115" t="s">
        <v>5441</v>
      </c>
      <c r="F10115" s="21"/>
      <c r="G10115" s="16" t="str">
        <f>HYPERLINK("http://maps.google.com/maps?f=q&amp;hl=en&amp;geocode=&amp;q=54.562068939209,-125.104400634766")</f>
        <v>http://maps.google.com/maps?f=q&amp;hl=en&amp;geocode=&amp;q=54.562068939209,-125.104400634766</v>
      </c>
    </row>
    <row r="10116" spans="1:7" ht="15" x14ac:dyDescent="0.3">
      <c r="A10116">
        <v>39.924098249446899</v>
      </c>
      <c r="B10116">
        <v>-75.236173156249393</v>
      </c>
      <c r="C10116" t="s">
        <v>43</v>
      </c>
      <c r="D10116" t="s">
        <v>125</v>
      </c>
      <c r="F10116" s="21"/>
      <c r="G10116" s="16" t="str">
        <f>HYPERLINK("http://maps.google.com/maps?f=q&amp;hl=en&amp;geocode=&amp;q=39.9240982494469,-75.2361731562494")</f>
        <v>http://maps.google.com/maps?f=q&amp;hl=en&amp;geocode=&amp;q=39.9240982494469,-75.2361731562494</v>
      </c>
    </row>
    <row r="10117" spans="1:7" ht="15" x14ac:dyDescent="0.3">
      <c r="A10117">
        <v>48.672306060791001</v>
      </c>
      <c r="B10117">
        <v>7.5540661811828604</v>
      </c>
      <c r="C10117" t="s">
        <v>43</v>
      </c>
      <c r="D10117" t="s">
        <v>5375</v>
      </c>
      <c r="F10117" s="21"/>
      <c r="G10117" s="16" t="str">
        <f>HYPERLINK("http://maps.google.com/maps?f=q&amp;hl=en&amp;geocode=&amp;q=48.672306060791,7.55406618118286")</f>
        <v>http://maps.google.com/maps?f=q&amp;hl=en&amp;geocode=&amp;q=48.672306060791,7.55406618118286</v>
      </c>
    </row>
    <row r="10118" spans="1:7" ht="15" x14ac:dyDescent="0.3">
      <c r="A10118" t="s">
        <v>44</v>
      </c>
      <c r="B10118" t="s">
        <v>44</v>
      </c>
      <c r="C10118" t="s">
        <v>44</v>
      </c>
      <c r="D10118" t="s">
        <v>4438</v>
      </c>
      <c r="F10118" s="21"/>
      <c r="G10118" s="16"/>
    </row>
    <row r="10119" spans="1:7" ht="15" x14ac:dyDescent="0.3">
      <c r="A10119">
        <v>39.984690000000001</v>
      </c>
      <c r="B10119">
        <v>-75.101299999999995</v>
      </c>
      <c r="C10119" t="s">
        <v>41</v>
      </c>
      <c r="D10119" t="s">
        <v>5782</v>
      </c>
      <c r="F10119" s="21"/>
      <c r="G10119" s="16" t="str">
        <f>HYPERLINK("http://maps.google.com/maps?f=q&amp;hl=en&amp;geocode=&amp;q=39.98469,-75.1013")</f>
        <v>http://maps.google.com/maps?f=q&amp;hl=en&amp;geocode=&amp;q=39.98469,-75.1013</v>
      </c>
    </row>
    <row r="10120" spans="1:7" ht="15" x14ac:dyDescent="0.3">
      <c r="F10120" s="21"/>
      <c r="G10120" s="16"/>
    </row>
    <row r="10121" spans="1:7" ht="15" x14ac:dyDescent="0.3">
      <c r="A10121">
        <v>32.137379284511802</v>
      </c>
      <c r="B10121">
        <v>-110.995171068888</v>
      </c>
      <c r="C10121" t="s">
        <v>43</v>
      </c>
      <c r="D10121" t="s">
        <v>5783</v>
      </c>
      <c r="F10121" s="21"/>
      <c r="G10121" s="16" t="str">
        <f>HYPERLINK("http://maps.google.com/maps?f=q&amp;hl=en&amp;geocode=&amp;q=32.1373792845118,-110.995171068888")</f>
        <v>http://maps.google.com/maps?f=q&amp;hl=en&amp;geocode=&amp;q=32.1373792845118,-110.995171068888</v>
      </c>
    </row>
    <row r="10122" spans="1:7" ht="15" x14ac:dyDescent="0.3">
      <c r="A10122" t="s">
        <v>44</v>
      </c>
      <c r="B10122" t="s">
        <v>44</v>
      </c>
      <c r="C10122" t="s">
        <v>44</v>
      </c>
      <c r="D10122" t="s">
        <v>5784</v>
      </c>
      <c r="F10122" s="21"/>
      <c r="G10122" s="16"/>
    </row>
    <row r="10123" spans="1:7" ht="15" x14ac:dyDescent="0.3">
      <c r="A10123">
        <v>39.684371948242202</v>
      </c>
      <c r="B10123">
        <v>21.8974094390869</v>
      </c>
      <c r="C10123" t="s">
        <v>41</v>
      </c>
      <c r="D10123" t="s">
        <v>94</v>
      </c>
      <c r="F10123" s="21"/>
      <c r="G10123" s="16" t="str">
        <f>HYPERLINK("http://maps.google.com/maps?f=q&amp;hl=en&amp;geocode=&amp;q=39.6843719482422,21.8974094390869")</f>
        <v>http://maps.google.com/maps?f=q&amp;hl=en&amp;geocode=&amp;q=39.6843719482422,21.8974094390869</v>
      </c>
    </row>
    <row r="10124" spans="1:7" ht="15" x14ac:dyDescent="0.3">
      <c r="A10124">
        <v>35.25123</v>
      </c>
      <c r="B10124">
        <v>-80.758679999999998</v>
      </c>
      <c r="C10124" t="s">
        <v>42</v>
      </c>
      <c r="D10124" t="s">
        <v>5785</v>
      </c>
      <c r="F10124" s="21"/>
      <c r="G10124" s="16" t="str">
        <f>HYPERLINK("http://maps.google.com/maps?f=q&amp;hl=en&amp;geocode=&amp;q=35.25123,-80.75868")</f>
        <v>http://maps.google.com/maps?f=q&amp;hl=en&amp;geocode=&amp;q=35.25123,-80.75868</v>
      </c>
    </row>
    <row r="10125" spans="1:7" ht="15" x14ac:dyDescent="0.3">
      <c r="A10125">
        <v>42.308714292646101</v>
      </c>
      <c r="B10125">
        <v>-89.0055262333873</v>
      </c>
      <c r="C10125" t="s">
        <v>41</v>
      </c>
      <c r="D10125" t="s">
        <v>5786</v>
      </c>
      <c r="F10125" s="21"/>
      <c r="G10125" s="16" t="str">
        <f>HYPERLINK("http://maps.google.com/maps?f=q&amp;hl=en&amp;geocode=&amp;q=42.3087142926461,-89.0055262333873")</f>
        <v>http://maps.google.com/maps?f=q&amp;hl=en&amp;geocode=&amp;q=42.3087142926461,-89.0055262333873</v>
      </c>
    </row>
    <row r="10126" spans="1:7" ht="15" x14ac:dyDescent="0.3">
      <c r="A10126">
        <v>32.990949999999998</v>
      </c>
      <c r="B10126">
        <v>-97.446380000000005</v>
      </c>
      <c r="C10126" t="s">
        <v>42</v>
      </c>
      <c r="D10126" t="s">
        <v>3196</v>
      </c>
      <c r="F10126" s="21"/>
      <c r="G10126" s="16" t="str">
        <f>HYPERLINK("http://maps.google.com/maps?f=q&amp;hl=en&amp;geocode=&amp;q=32.99095,-97.44638")</f>
        <v>http://maps.google.com/maps?f=q&amp;hl=en&amp;geocode=&amp;q=32.99095,-97.44638</v>
      </c>
    </row>
    <row r="10127" spans="1:7" ht="15" x14ac:dyDescent="0.3">
      <c r="A10127">
        <v>32.990949999999998</v>
      </c>
      <c r="B10127">
        <v>-97.446380000000005</v>
      </c>
      <c r="C10127" t="s">
        <v>42</v>
      </c>
      <c r="D10127" t="s">
        <v>3196</v>
      </c>
      <c r="F10127" s="21"/>
      <c r="G10127" s="16" t="str">
        <f>HYPERLINK("http://maps.google.com/maps?f=q&amp;hl=en&amp;geocode=&amp;q=32.99095,-97.44638")</f>
        <v>http://maps.google.com/maps?f=q&amp;hl=en&amp;geocode=&amp;q=32.99095,-97.44638</v>
      </c>
    </row>
    <row r="10128" spans="1:7" ht="15" x14ac:dyDescent="0.3">
      <c r="A10128">
        <v>47.572238068551897</v>
      </c>
      <c r="B10128">
        <v>-122.65321999989</v>
      </c>
      <c r="C10128" t="s">
        <v>41</v>
      </c>
      <c r="D10128" t="s">
        <v>5787</v>
      </c>
      <c r="F10128" s="21"/>
      <c r="G10128" s="16" t="str">
        <f>HYPERLINK("http://maps.google.com/maps?f=q&amp;hl=en&amp;geocode=&amp;q=47.5722380685519,-122.65321999989")</f>
        <v>http://maps.google.com/maps?f=q&amp;hl=en&amp;geocode=&amp;q=47.5722380685519,-122.65321999989</v>
      </c>
    </row>
    <row r="10129" spans="1:7" ht="15" x14ac:dyDescent="0.3">
      <c r="A10129">
        <v>40.055344959282202</v>
      </c>
      <c r="B10129">
        <v>-75.185214356015194</v>
      </c>
      <c r="C10129" t="s">
        <v>41</v>
      </c>
      <c r="D10129" t="s">
        <v>5788</v>
      </c>
      <c r="F10129" s="21"/>
      <c r="G10129" s="16" t="str">
        <f>HYPERLINK("http://maps.google.com/maps?f=q&amp;hl=en&amp;geocode=&amp;q=40.0553449592822,-75.1852143560152")</f>
        <v>http://maps.google.com/maps?f=q&amp;hl=en&amp;geocode=&amp;q=40.0553449592822,-75.1852143560152</v>
      </c>
    </row>
    <row r="10130" spans="1:7" ht="15" x14ac:dyDescent="0.3">
      <c r="A10130">
        <v>40.826839999999997</v>
      </c>
      <c r="B10130">
        <v>-86.794939999999997</v>
      </c>
      <c r="C10130" t="s">
        <v>43</v>
      </c>
      <c r="D10130" t="s">
        <v>4580</v>
      </c>
      <c r="F10130" s="21"/>
      <c r="G10130" s="16" t="str">
        <f>HYPERLINK("http://maps.google.com/maps?f=q&amp;hl=en&amp;geocode=&amp;q=40.82684,-86.79494")</f>
        <v>http://maps.google.com/maps?f=q&amp;hl=en&amp;geocode=&amp;q=40.82684,-86.79494</v>
      </c>
    </row>
    <row r="10131" spans="1:7" ht="15" x14ac:dyDescent="0.3">
      <c r="A10131">
        <v>40.2404296974237</v>
      </c>
      <c r="B10131">
        <v>-74.7521123635089</v>
      </c>
      <c r="C10131" t="s">
        <v>41</v>
      </c>
      <c r="D10131" t="s">
        <v>5789</v>
      </c>
      <c r="F10131" s="21"/>
      <c r="G10131" s="16" t="str">
        <f>HYPERLINK("http://maps.google.com/maps?f=q&amp;hl=en&amp;geocode=&amp;q=40.2404296974237,-74.7521123635089")</f>
        <v>http://maps.google.com/maps?f=q&amp;hl=en&amp;geocode=&amp;q=40.2404296974237,-74.7521123635089</v>
      </c>
    </row>
    <row r="10132" spans="1:7" ht="15" x14ac:dyDescent="0.3">
      <c r="A10132">
        <v>-38.054340000000003</v>
      </c>
      <c r="B10132">
        <v>145.33036989999999</v>
      </c>
      <c r="C10132" t="s">
        <v>41</v>
      </c>
      <c r="D10132" t="s">
        <v>3210</v>
      </c>
      <c r="F10132" s="21"/>
      <c r="G10132" s="16" t="str">
        <f>HYPERLINK("http://maps.google.com/maps?f=q&amp;hl=en&amp;geocode=&amp;q=-38.05434,145.3303699")</f>
        <v>http://maps.google.com/maps?f=q&amp;hl=en&amp;geocode=&amp;q=-38.05434,145.3303699</v>
      </c>
    </row>
    <row r="10133" spans="1:7" ht="15" x14ac:dyDescent="0.3">
      <c r="A10133">
        <v>40.309894377938598</v>
      </c>
      <c r="B10133">
        <v>-78.320210399052002</v>
      </c>
      <c r="C10133" t="s">
        <v>41</v>
      </c>
      <c r="D10133" t="s">
        <v>5790</v>
      </c>
      <c r="F10133" s="21"/>
      <c r="G10133" s="16" t="str">
        <f>HYPERLINK("http://maps.google.com/maps?f=q&amp;hl=en&amp;geocode=&amp;q=40.3098943779386,-78.320210399052")</f>
        <v>http://maps.google.com/maps?f=q&amp;hl=en&amp;geocode=&amp;q=40.3098943779386,-78.320210399052</v>
      </c>
    </row>
    <row r="10134" spans="1:7" ht="15" x14ac:dyDescent="0.3">
      <c r="A10134">
        <v>40.04712</v>
      </c>
      <c r="B10134">
        <v>-75.158339999999995</v>
      </c>
      <c r="C10134" t="s">
        <v>41</v>
      </c>
      <c r="D10134" t="s">
        <v>5791</v>
      </c>
      <c r="F10134" s="21"/>
      <c r="G10134" s="16" t="str">
        <f>HYPERLINK("http://maps.google.com/maps?f=q&amp;hl=en&amp;geocode=&amp;q=40.04712,-75.15834")</f>
        <v>http://maps.google.com/maps?f=q&amp;hl=en&amp;geocode=&amp;q=40.04712,-75.15834</v>
      </c>
    </row>
    <row r="10135" spans="1:7" ht="15" x14ac:dyDescent="0.3">
      <c r="A10135">
        <v>51.479621887207003</v>
      </c>
      <c r="B10135">
        <v>0.32697001099586498</v>
      </c>
      <c r="C10135" t="s">
        <v>41</v>
      </c>
      <c r="D10135" t="s">
        <v>5792</v>
      </c>
      <c r="F10135" s="21"/>
      <c r="G10135" s="16" t="str">
        <f>HYPERLINK("http://maps.google.com/maps?f=q&amp;hl=en&amp;geocode=&amp;q=51.479621887207,0.326970010995865")</f>
        <v>http://maps.google.com/maps?f=q&amp;hl=en&amp;geocode=&amp;q=51.479621887207,0.326970010995865</v>
      </c>
    </row>
    <row r="10136" spans="1:7" ht="15" x14ac:dyDescent="0.3">
      <c r="A10136">
        <v>51.479621887207003</v>
      </c>
      <c r="B10136">
        <v>0.32697001099586498</v>
      </c>
      <c r="C10136" t="s">
        <v>41</v>
      </c>
      <c r="D10136" t="s">
        <v>5792</v>
      </c>
      <c r="F10136" s="21"/>
      <c r="G10136" s="16" t="str">
        <f>HYPERLINK("http://maps.google.com/maps?f=q&amp;hl=en&amp;geocode=&amp;q=51.479621887207,0.326970010995865")</f>
        <v>http://maps.google.com/maps?f=q&amp;hl=en&amp;geocode=&amp;q=51.479621887207,0.326970010995865</v>
      </c>
    </row>
    <row r="10137" spans="1:7" ht="15" x14ac:dyDescent="0.3">
      <c r="A10137">
        <v>51.479621887207003</v>
      </c>
      <c r="B10137">
        <v>0.32697001099586498</v>
      </c>
      <c r="C10137" t="s">
        <v>41</v>
      </c>
      <c r="D10137" t="s">
        <v>5792</v>
      </c>
      <c r="F10137" s="21"/>
      <c r="G10137" s="16" t="str">
        <f>HYPERLINK("http://maps.google.com/maps?f=q&amp;hl=en&amp;geocode=&amp;q=51.479621887207,0.326970010995865")</f>
        <v>http://maps.google.com/maps?f=q&amp;hl=en&amp;geocode=&amp;q=51.479621887207,0.326970010995865</v>
      </c>
    </row>
    <row r="10138" spans="1:7" ht="15" x14ac:dyDescent="0.3">
      <c r="A10138">
        <v>51.479621887207003</v>
      </c>
      <c r="B10138">
        <v>0.32697001099586498</v>
      </c>
      <c r="C10138" t="s">
        <v>41</v>
      </c>
      <c r="D10138" t="s">
        <v>5792</v>
      </c>
      <c r="F10138" s="21"/>
      <c r="G10138" s="16" t="str">
        <f>HYPERLINK("http://maps.google.com/maps?f=q&amp;hl=en&amp;geocode=&amp;q=51.479621887207,0.326970010995865")</f>
        <v>http://maps.google.com/maps?f=q&amp;hl=en&amp;geocode=&amp;q=51.479621887207,0.326970010995865</v>
      </c>
    </row>
    <row r="10139" spans="1:7" ht="15" x14ac:dyDescent="0.3">
      <c r="A10139">
        <v>51.479621887207003</v>
      </c>
      <c r="B10139">
        <v>0.32697001099586498</v>
      </c>
      <c r="C10139" t="s">
        <v>41</v>
      </c>
      <c r="D10139" t="s">
        <v>5792</v>
      </c>
      <c r="F10139" s="21"/>
      <c r="G10139" s="16" t="str">
        <f>HYPERLINK("http://maps.google.com/maps?f=q&amp;hl=en&amp;geocode=&amp;q=51.479621887207,0.326970010995865")</f>
        <v>http://maps.google.com/maps?f=q&amp;hl=en&amp;geocode=&amp;q=51.479621887207,0.326970010995865</v>
      </c>
    </row>
    <row r="10140" spans="1:7" ht="15" x14ac:dyDescent="0.3">
      <c r="A10140">
        <v>51.479621887207003</v>
      </c>
      <c r="B10140">
        <v>0.32697001099586498</v>
      </c>
      <c r="C10140" t="s">
        <v>41</v>
      </c>
      <c r="D10140" t="s">
        <v>5792</v>
      </c>
      <c r="F10140" s="21"/>
      <c r="G10140" s="16" t="str">
        <f>HYPERLINK("http://maps.google.com/maps?f=q&amp;hl=en&amp;geocode=&amp;q=51.479621887207,0.326970010995865")</f>
        <v>http://maps.google.com/maps?f=q&amp;hl=en&amp;geocode=&amp;q=51.479621887207,0.326970010995865</v>
      </c>
    </row>
    <row r="10141" spans="1:7" ht="15" x14ac:dyDescent="0.3">
      <c r="A10141">
        <v>51.479621887207003</v>
      </c>
      <c r="B10141">
        <v>0.32697001099586498</v>
      </c>
      <c r="C10141" t="s">
        <v>41</v>
      </c>
      <c r="D10141" t="s">
        <v>5792</v>
      </c>
      <c r="F10141" s="21"/>
      <c r="G10141" s="16" t="str">
        <f>HYPERLINK("http://maps.google.com/maps?f=q&amp;hl=en&amp;geocode=&amp;q=51.479621887207,0.326970010995865")</f>
        <v>http://maps.google.com/maps?f=q&amp;hl=en&amp;geocode=&amp;q=51.479621887207,0.326970010995865</v>
      </c>
    </row>
    <row r="10142" spans="1:7" ht="15" x14ac:dyDescent="0.3">
      <c r="A10142">
        <v>47.055850982666001</v>
      </c>
      <c r="B10142">
        <v>6.7508301734924299</v>
      </c>
      <c r="C10142" t="s">
        <v>43</v>
      </c>
      <c r="D10142" t="s">
        <v>5793</v>
      </c>
      <c r="F10142" s="21"/>
      <c r="G10142" s="16" t="str">
        <f>HYPERLINK("http://maps.google.com/maps?f=q&amp;hl=en&amp;geocode=&amp;q=47.055850982666,6.75083017349243")</f>
        <v>http://maps.google.com/maps?f=q&amp;hl=en&amp;geocode=&amp;q=47.055850982666,6.75083017349243</v>
      </c>
    </row>
    <row r="10143" spans="1:7" ht="15" x14ac:dyDescent="0.3">
      <c r="A10143">
        <v>38.8445660359085</v>
      </c>
      <c r="B10143">
        <v>-104.867950200473</v>
      </c>
      <c r="C10143" t="s">
        <v>41</v>
      </c>
      <c r="D10143" t="s">
        <v>245</v>
      </c>
      <c r="F10143" s="21"/>
      <c r="G10143" s="16" t="str">
        <f>HYPERLINK("http://maps.google.com/maps?f=q&amp;hl=en&amp;geocode=&amp;q=38.8445660359085,-104.867950200473")</f>
        <v>http://maps.google.com/maps?f=q&amp;hl=en&amp;geocode=&amp;q=38.8445660359085,-104.867950200473</v>
      </c>
    </row>
    <row r="10144" spans="1:7" ht="15" x14ac:dyDescent="0.3">
      <c r="A10144" t="s">
        <v>44</v>
      </c>
      <c r="B10144" t="s">
        <v>44</v>
      </c>
      <c r="C10144" t="s">
        <v>44</v>
      </c>
      <c r="D10144" t="s">
        <v>5794</v>
      </c>
      <c r="F10144" s="21"/>
      <c r="G10144" s="16"/>
    </row>
    <row r="10145" spans="1:7" ht="15" x14ac:dyDescent="0.3">
      <c r="A10145">
        <v>-26.188575744628899</v>
      </c>
      <c r="B10145">
        <v>27.929327011108398</v>
      </c>
      <c r="C10145" t="s">
        <v>43</v>
      </c>
      <c r="D10145" t="s">
        <v>3207</v>
      </c>
      <c r="F10145" s="21"/>
      <c r="G10145" s="16" t="str">
        <f>HYPERLINK("http://maps.google.com/maps?f=q&amp;hl=en&amp;geocode=&amp;q=-26.1885757446289,27.9293270111084")</f>
        <v>http://maps.google.com/maps?f=q&amp;hl=en&amp;geocode=&amp;q=-26.1885757446289,27.9293270111084</v>
      </c>
    </row>
    <row r="10146" spans="1:7" ht="15" x14ac:dyDescent="0.3">
      <c r="A10146">
        <v>44.3092168758076</v>
      </c>
      <c r="B10146">
        <v>-96.788466019724694</v>
      </c>
      <c r="C10146" t="s">
        <v>43</v>
      </c>
      <c r="D10146" t="s">
        <v>5795</v>
      </c>
      <c r="F10146" s="21"/>
      <c r="G10146" s="16" t="str">
        <f>HYPERLINK("http://maps.google.com/maps?f=q&amp;hl=en&amp;geocode=&amp;q=44.3092168758076,-96.7884660197247")</f>
        <v>http://maps.google.com/maps?f=q&amp;hl=en&amp;geocode=&amp;q=44.3092168758076,-96.7884660197247</v>
      </c>
    </row>
    <row r="10147" spans="1:7" ht="15" x14ac:dyDescent="0.3">
      <c r="A10147">
        <v>39.684371948242202</v>
      </c>
      <c r="B10147">
        <v>21.8974094390869</v>
      </c>
      <c r="C10147" t="s">
        <v>41</v>
      </c>
      <c r="D10147" t="s">
        <v>94</v>
      </c>
      <c r="F10147" s="21"/>
      <c r="G10147" s="16" t="str">
        <f>HYPERLINK("http://maps.google.com/maps?f=q&amp;hl=en&amp;geocode=&amp;q=39.6843719482422,21.8974094390869")</f>
        <v>http://maps.google.com/maps?f=q&amp;hl=en&amp;geocode=&amp;q=39.6843719482422,21.8974094390869</v>
      </c>
    </row>
    <row r="10148" spans="1:7" ht="15" x14ac:dyDescent="0.3">
      <c r="A10148">
        <v>59.922351837158203</v>
      </c>
      <c r="B10148">
        <v>11.178321838378899</v>
      </c>
      <c r="C10148" t="s">
        <v>43</v>
      </c>
      <c r="D10148" t="s">
        <v>5651</v>
      </c>
      <c r="F10148" s="21"/>
      <c r="G10148" s="16" t="str">
        <f>HYPERLINK("http://maps.google.com/maps?f=q&amp;hl=en&amp;geocode=&amp;q=59.9223518371582,11.1783218383789")</f>
        <v>http://maps.google.com/maps?f=q&amp;hl=en&amp;geocode=&amp;q=59.9223518371582,11.1783218383789</v>
      </c>
    </row>
    <row r="10149" spans="1:7" ht="15" x14ac:dyDescent="0.3">
      <c r="A10149" t="s">
        <v>44</v>
      </c>
      <c r="B10149" t="s">
        <v>44</v>
      </c>
      <c r="C10149" t="s">
        <v>44</v>
      </c>
      <c r="D10149" t="s">
        <v>5796</v>
      </c>
      <c r="F10149" s="21"/>
      <c r="G10149" s="16"/>
    </row>
    <row r="10150" spans="1:7" ht="15" x14ac:dyDescent="0.3">
      <c r="A10150">
        <v>47.116134643554702</v>
      </c>
      <c r="B10150">
        <v>6.8440089225768999</v>
      </c>
      <c r="C10150" t="s">
        <v>43</v>
      </c>
      <c r="D10150" t="s">
        <v>3751</v>
      </c>
      <c r="F10150" s="21"/>
      <c r="G10150" s="16" t="str">
        <f>HYPERLINK("http://maps.google.com/maps?f=q&amp;hl=en&amp;geocode=&amp;q=47.1161346435547,6.8440089225769")</f>
        <v>http://maps.google.com/maps?f=q&amp;hl=en&amp;geocode=&amp;q=47.1161346435547,6.8440089225769</v>
      </c>
    </row>
    <row r="10151" spans="1:7" ht="15" x14ac:dyDescent="0.3">
      <c r="A10151">
        <v>39.974420000000002</v>
      </c>
      <c r="B10151">
        <v>-75.18374</v>
      </c>
      <c r="C10151" t="s">
        <v>41</v>
      </c>
      <c r="D10151" t="s">
        <v>5458</v>
      </c>
      <c r="F10151" s="21"/>
      <c r="G10151" s="16" t="str">
        <f>HYPERLINK("http://maps.google.com/maps?f=q&amp;hl=en&amp;geocode=&amp;q=39.97442,-75.18374")</f>
        <v>http://maps.google.com/maps?f=q&amp;hl=en&amp;geocode=&amp;q=39.97442,-75.18374</v>
      </c>
    </row>
    <row r="10152" spans="1:7" ht="15" x14ac:dyDescent="0.3">
      <c r="A10152">
        <v>39.655235791120703</v>
      </c>
      <c r="B10152">
        <v>-105.025388455206</v>
      </c>
      <c r="C10152" t="s">
        <v>41</v>
      </c>
      <c r="D10152" t="s">
        <v>5797</v>
      </c>
      <c r="F10152" s="21"/>
      <c r="G10152" s="16" t="str">
        <f>HYPERLINK("http://maps.google.com/maps?f=q&amp;hl=en&amp;geocode=&amp;q=39.6552357911207,-105.025388455206")</f>
        <v>http://maps.google.com/maps?f=q&amp;hl=en&amp;geocode=&amp;q=39.6552357911207,-105.025388455206</v>
      </c>
    </row>
    <row r="10153" spans="1:7" ht="15" x14ac:dyDescent="0.3">
      <c r="A10153">
        <v>39.001528529784601</v>
      </c>
      <c r="B10153">
        <v>-98.449032120018302</v>
      </c>
      <c r="C10153" t="s">
        <v>41</v>
      </c>
      <c r="D10153" t="s">
        <v>5798</v>
      </c>
      <c r="F10153" s="21"/>
      <c r="G10153" s="16" t="str">
        <f>HYPERLINK("http://maps.google.com/maps?f=q&amp;hl=en&amp;geocode=&amp;q=39.0015285297846,-98.4490321200183")</f>
        <v>http://maps.google.com/maps?f=q&amp;hl=en&amp;geocode=&amp;q=39.0015285297846,-98.4490321200183</v>
      </c>
    </row>
    <row r="10154" spans="1:7" ht="15" x14ac:dyDescent="0.3">
      <c r="A10154">
        <v>35.4474903403244</v>
      </c>
      <c r="B10154">
        <v>-88.6465063511735</v>
      </c>
      <c r="C10154" t="s">
        <v>41</v>
      </c>
      <c r="D10154" t="s">
        <v>5799</v>
      </c>
      <c r="F10154" s="21"/>
      <c r="G10154" s="16" t="str">
        <f>HYPERLINK("http://maps.google.com/maps?f=q&amp;hl=en&amp;geocode=&amp;q=35.4474903403244,-88.6465063511735")</f>
        <v>http://maps.google.com/maps?f=q&amp;hl=en&amp;geocode=&amp;q=35.4474903403244,-88.6465063511735</v>
      </c>
    </row>
    <row r="10155" spans="1:7" ht="15" x14ac:dyDescent="0.3">
      <c r="A10155">
        <v>38.62068</v>
      </c>
      <c r="B10155">
        <v>-90.190629999999999</v>
      </c>
      <c r="C10155" t="s">
        <v>43</v>
      </c>
      <c r="D10155" t="s">
        <v>4872</v>
      </c>
      <c r="F10155" s="21"/>
      <c r="G10155" s="16" t="str">
        <f>HYPERLINK("http://maps.google.com/maps?f=q&amp;hl=en&amp;geocode=&amp;q=38.62068,-90.19063")</f>
        <v>http://maps.google.com/maps?f=q&amp;hl=en&amp;geocode=&amp;q=38.62068,-90.19063</v>
      </c>
    </row>
    <row r="10156" spans="1:7" ht="15" x14ac:dyDescent="0.3">
      <c r="A10156">
        <v>39.920610000000003</v>
      </c>
      <c r="B10156">
        <v>-75.180289999999999</v>
      </c>
      <c r="C10156" t="s">
        <v>42</v>
      </c>
      <c r="D10156" t="s">
        <v>3891</v>
      </c>
      <c r="F10156" s="21"/>
      <c r="G10156" s="16" t="str">
        <f>HYPERLINK("http://maps.google.com/maps?f=q&amp;hl=en&amp;geocode=&amp;q=39.92061,-75.18029")</f>
        <v>http://maps.google.com/maps?f=q&amp;hl=en&amp;geocode=&amp;q=39.92061,-75.18029</v>
      </c>
    </row>
    <row r="10157" spans="1:7" ht="15" x14ac:dyDescent="0.3">
      <c r="A10157">
        <v>39.920610000000003</v>
      </c>
      <c r="B10157">
        <v>-75.180289999999999</v>
      </c>
      <c r="C10157" t="s">
        <v>42</v>
      </c>
      <c r="D10157" t="s">
        <v>3891</v>
      </c>
      <c r="F10157" s="21"/>
      <c r="G10157" s="16" t="str">
        <f>HYPERLINK("http://maps.google.com/maps?f=q&amp;hl=en&amp;geocode=&amp;q=39.92061,-75.18029")</f>
        <v>http://maps.google.com/maps?f=q&amp;hl=en&amp;geocode=&amp;q=39.92061,-75.18029</v>
      </c>
    </row>
    <row r="10158" spans="1:7" ht="15" x14ac:dyDescent="0.3">
      <c r="A10158" t="s">
        <v>44</v>
      </c>
      <c r="B10158" t="s">
        <v>44</v>
      </c>
      <c r="C10158" t="s">
        <v>44</v>
      </c>
      <c r="D10158" t="s">
        <v>5197</v>
      </c>
      <c r="F10158" s="21"/>
      <c r="G10158" s="16"/>
    </row>
    <row r="10159" spans="1:7" ht="15" x14ac:dyDescent="0.3">
      <c r="A10159" t="s">
        <v>44</v>
      </c>
      <c r="B10159" t="s">
        <v>44</v>
      </c>
      <c r="C10159" t="s">
        <v>44</v>
      </c>
      <c r="D10159" t="s">
        <v>5605</v>
      </c>
      <c r="F10159" s="21"/>
      <c r="G10159" s="16"/>
    </row>
    <row r="10160" spans="1:7" ht="15" x14ac:dyDescent="0.3">
      <c r="A10160" t="s">
        <v>44</v>
      </c>
      <c r="B10160" t="s">
        <v>44</v>
      </c>
      <c r="C10160" t="s">
        <v>44</v>
      </c>
      <c r="D10160" t="s">
        <v>5605</v>
      </c>
      <c r="F10160" s="21"/>
      <c r="G10160" s="16"/>
    </row>
    <row r="10161" spans="1:7" ht="15" x14ac:dyDescent="0.3">
      <c r="A10161" t="s">
        <v>44</v>
      </c>
      <c r="B10161" t="s">
        <v>44</v>
      </c>
      <c r="C10161" t="s">
        <v>44</v>
      </c>
      <c r="D10161" t="s">
        <v>5605</v>
      </c>
      <c r="F10161" s="21"/>
      <c r="G10161" s="16"/>
    </row>
    <row r="10162" spans="1:7" ht="15" x14ac:dyDescent="0.3">
      <c r="A10162" t="s">
        <v>44</v>
      </c>
      <c r="B10162" t="s">
        <v>44</v>
      </c>
      <c r="C10162" t="s">
        <v>44</v>
      </c>
      <c r="D10162" t="s">
        <v>5605</v>
      </c>
      <c r="F10162" s="21"/>
      <c r="G10162" s="16"/>
    </row>
    <row r="10163" spans="1:7" ht="15" x14ac:dyDescent="0.3">
      <c r="A10163" t="s">
        <v>44</v>
      </c>
      <c r="B10163" t="s">
        <v>44</v>
      </c>
      <c r="C10163" t="s">
        <v>44</v>
      </c>
      <c r="D10163" t="s">
        <v>5605</v>
      </c>
      <c r="F10163" s="21"/>
      <c r="G10163" s="16"/>
    </row>
    <row r="10164" spans="1:7" ht="15" x14ac:dyDescent="0.3">
      <c r="A10164">
        <v>35.054090000000002</v>
      </c>
      <c r="B10164">
        <v>-89.87115</v>
      </c>
      <c r="C10164" t="s">
        <v>42</v>
      </c>
      <c r="D10164" t="s">
        <v>5800</v>
      </c>
      <c r="F10164" s="21"/>
      <c r="G10164" s="16" t="str">
        <f>HYPERLINK("http://maps.google.com/maps?f=q&amp;hl=en&amp;geocode=&amp;q=35.05409,-89.87115")</f>
        <v>http://maps.google.com/maps?f=q&amp;hl=en&amp;geocode=&amp;q=35.05409,-89.87115</v>
      </c>
    </row>
    <row r="10165" spans="1:7" ht="15" x14ac:dyDescent="0.3">
      <c r="A10165">
        <v>40.731639999999999</v>
      </c>
      <c r="B10165">
        <v>-74.155670000000001</v>
      </c>
      <c r="C10165" t="s">
        <v>41</v>
      </c>
      <c r="D10165" t="s">
        <v>3936</v>
      </c>
      <c r="F10165" s="21"/>
      <c r="G10165" s="16" t="str">
        <f>HYPERLINK("http://maps.google.com/maps?f=q&amp;hl=en&amp;geocode=&amp;q=40.73164,-74.15567")</f>
        <v>http://maps.google.com/maps?f=q&amp;hl=en&amp;geocode=&amp;q=40.73164,-74.15567</v>
      </c>
    </row>
    <row r="10166" spans="1:7" ht="15" x14ac:dyDescent="0.3">
      <c r="A10166">
        <v>33.241298840394499</v>
      </c>
      <c r="B10166">
        <v>-97.197583355669806</v>
      </c>
      <c r="C10166" t="s">
        <v>43</v>
      </c>
      <c r="D10166" t="s">
        <v>5801</v>
      </c>
      <c r="F10166" s="21"/>
      <c r="G10166" s="16" t="str">
        <f>HYPERLINK("http://maps.google.com/maps?f=q&amp;hl=en&amp;geocode=&amp;q=33.2412988403945,-97.1975833556698")</f>
        <v>http://maps.google.com/maps?f=q&amp;hl=en&amp;geocode=&amp;q=33.2412988403945,-97.1975833556698</v>
      </c>
    </row>
    <row r="10167" spans="1:7" ht="15" x14ac:dyDescent="0.3">
      <c r="A10167">
        <v>-26.034427642822301</v>
      </c>
      <c r="B10167">
        <v>28.5431098937988</v>
      </c>
      <c r="C10167" t="s">
        <v>43</v>
      </c>
      <c r="D10167" t="s">
        <v>5802</v>
      </c>
      <c r="F10167" s="21"/>
      <c r="G10167" s="16" t="str">
        <f>HYPERLINK("http://maps.google.com/maps?f=q&amp;hl=en&amp;geocode=&amp;q=-26.0344276428223,28.5431098937988")</f>
        <v>http://maps.google.com/maps?f=q&amp;hl=en&amp;geocode=&amp;q=-26.0344276428223,28.5431098937988</v>
      </c>
    </row>
    <row r="10168" spans="1:7" ht="15" x14ac:dyDescent="0.3">
      <c r="A10168">
        <v>49.518180847167997</v>
      </c>
      <c r="B10168">
        <v>5.8978409767150897</v>
      </c>
      <c r="C10168" t="s">
        <v>41</v>
      </c>
      <c r="D10168" t="s">
        <v>2510</v>
      </c>
      <c r="F10168" s="21"/>
      <c r="G10168" s="16" t="str">
        <f>HYPERLINK("http://maps.google.com/maps?f=q&amp;hl=en&amp;geocode=&amp;q=49.518180847168,5.89784097671509")</f>
        <v>http://maps.google.com/maps?f=q&amp;hl=en&amp;geocode=&amp;q=49.518180847168,5.89784097671509</v>
      </c>
    </row>
    <row r="10169" spans="1:7" ht="15" x14ac:dyDescent="0.3">
      <c r="A10169">
        <v>30.756440172127402</v>
      </c>
      <c r="B10169">
        <v>-88.120927948582207</v>
      </c>
      <c r="C10169" t="s">
        <v>41</v>
      </c>
      <c r="D10169" t="s">
        <v>5803</v>
      </c>
      <c r="F10169" s="21"/>
      <c r="G10169" s="16" t="str">
        <f>HYPERLINK("http://maps.google.com/maps?f=q&amp;hl=en&amp;geocode=&amp;q=30.7564401721274,-88.1209279485822")</f>
        <v>http://maps.google.com/maps?f=q&amp;hl=en&amp;geocode=&amp;q=30.7564401721274,-88.1209279485822</v>
      </c>
    </row>
    <row r="10170" spans="1:7" ht="15" x14ac:dyDescent="0.3">
      <c r="A10170" t="s">
        <v>44</v>
      </c>
      <c r="B10170" t="s">
        <v>44</v>
      </c>
      <c r="C10170" t="s">
        <v>44</v>
      </c>
      <c r="D10170" t="s">
        <v>1004</v>
      </c>
      <c r="F10170" s="21"/>
      <c r="G10170" s="16"/>
    </row>
    <row r="10171" spans="1:7" ht="15" x14ac:dyDescent="0.3">
      <c r="A10171">
        <v>40.683799999999998</v>
      </c>
      <c r="B10171">
        <v>-89.614840000000001</v>
      </c>
      <c r="C10171" t="s">
        <v>41</v>
      </c>
      <c r="D10171" t="s">
        <v>4642</v>
      </c>
      <c r="F10171" s="21"/>
      <c r="G10171" s="16" t="str">
        <f>HYPERLINK("http://maps.google.com/maps?f=q&amp;hl=en&amp;geocode=&amp;q=40.6838,-89.61484")</f>
        <v>http://maps.google.com/maps?f=q&amp;hl=en&amp;geocode=&amp;q=40.6838,-89.61484</v>
      </c>
    </row>
    <row r="10172" spans="1:7" ht="15" x14ac:dyDescent="0.3">
      <c r="A10172">
        <v>40.683799999999998</v>
      </c>
      <c r="B10172">
        <v>-89.614840000000001</v>
      </c>
      <c r="C10172" t="s">
        <v>41</v>
      </c>
      <c r="D10172" t="s">
        <v>4642</v>
      </c>
      <c r="F10172" s="21"/>
      <c r="G10172" s="16" t="str">
        <f>HYPERLINK("http://maps.google.com/maps?f=q&amp;hl=en&amp;geocode=&amp;q=40.6838,-89.61484")</f>
        <v>http://maps.google.com/maps?f=q&amp;hl=en&amp;geocode=&amp;q=40.6838,-89.61484</v>
      </c>
    </row>
    <row r="10173" spans="1:7" ht="15" x14ac:dyDescent="0.3">
      <c r="A10173" t="s">
        <v>44</v>
      </c>
      <c r="B10173" t="s">
        <v>44</v>
      </c>
      <c r="C10173" t="s">
        <v>44</v>
      </c>
      <c r="D10173" t="s">
        <v>5804</v>
      </c>
      <c r="F10173" s="21"/>
      <c r="G10173" s="16"/>
    </row>
    <row r="10174" spans="1:7" ht="15" x14ac:dyDescent="0.3">
      <c r="A10174">
        <v>39.996290000000002</v>
      </c>
      <c r="B10174">
        <v>-75.171109999999999</v>
      </c>
      <c r="C10174" t="s">
        <v>41</v>
      </c>
      <c r="D10174" t="s">
        <v>5468</v>
      </c>
      <c r="F10174" s="21"/>
      <c r="G10174" s="16" t="str">
        <f>HYPERLINK("http://maps.google.com/maps?f=q&amp;hl=en&amp;geocode=&amp;q=39.99629,-75.17111")</f>
        <v>http://maps.google.com/maps?f=q&amp;hl=en&amp;geocode=&amp;q=39.99629,-75.17111</v>
      </c>
    </row>
    <row r="10175" spans="1:7" ht="15" x14ac:dyDescent="0.3">
      <c r="A10175">
        <v>39.996252611624001</v>
      </c>
      <c r="B10175">
        <v>-75.171338983185706</v>
      </c>
      <c r="C10175" t="s">
        <v>41</v>
      </c>
      <c r="D10175" t="s">
        <v>5144</v>
      </c>
      <c r="F10175" s="21"/>
      <c r="G10175" s="16" t="str">
        <f>HYPERLINK("http://maps.google.com/maps?f=q&amp;hl=en&amp;geocode=&amp;q=39.996252611624,-75.1713389831857")</f>
        <v>http://maps.google.com/maps?f=q&amp;hl=en&amp;geocode=&amp;q=39.996252611624,-75.1713389831857</v>
      </c>
    </row>
    <row r="10176" spans="1:7" ht="15" x14ac:dyDescent="0.3">
      <c r="A10176">
        <v>39.994370000000004</v>
      </c>
      <c r="B10176">
        <v>-75.156300000000002</v>
      </c>
      <c r="C10176" t="s">
        <v>41</v>
      </c>
      <c r="D10176" t="s">
        <v>5805</v>
      </c>
      <c r="F10176" s="21"/>
      <c r="G10176" s="16" t="str">
        <f>HYPERLINK("http://maps.google.com/maps?f=q&amp;hl=en&amp;geocode=&amp;q=39.99437,-75.1563")</f>
        <v>http://maps.google.com/maps?f=q&amp;hl=en&amp;geocode=&amp;q=39.99437,-75.1563</v>
      </c>
    </row>
    <row r="10177" spans="1:7" ht="15" x14ac:dyDescent="0.3">
      <c r="A10177">
        <v>43.089822304348303</v>
      </c>
      <c r="B10177">
        <v>-88.528764393030102</v>
      </c>
      <c r="C10177" t="s">
        <v>43</v>
      </c>
      <c r="D10177" t="s">
        <v>5806</v>
      </c>
      <c r="F10177" s="21"/>
      <c r="G10177" s="16" t="str">
        <f>HYPERLINK("http://maps.google.com/maps?f=q&amp;hl=en&amp;geocode=&amp;q=43.0898223043483,-88.5287643930301")</f>
        <v>http://maps.google.com/maps?f=q&amp;hl=en&amp;geocode=&amp;q=43.0898223043483,-88.5287643930301</v>
      </c>
    </row>
    <row r="10178" spans="1:7" ht="15" x14ac:dyDescent="0.3">
      <c r="A10178" t="s">
        <v>44</v>
      </c>
      <c r="B10178" t="s">
        <v>44</v>
      </c>
      <c r="C10178" t="s">
        <v>44</v>
      </c>
      <c r="D10178" t="s">
        <v>5784</v>
      </c>
      <c r="F10178" s="21"/>
      <c r="G10178" s="16"/>
    </row>
    <row r="10179" spans="1:7" ht="15" x14ac:dyDescent="0.3">
      <c r="A10179">
        <v>58.332550048828097</v>
      </c>
      <c r="B10179">
        <v>11.8203802108765</v>
      </c>
      <c r="C10179" t="s">
        <v>41</v>
      </c>
      <c r="D10179" t="s">
        <v>5807</v>
      </c>
      <c r="F10179" s="21"/>
      <c r="G10179" s="16" t="str">
        <f>HYPERLINK("http://maps.google.com/maps?f=q&amp;hl=en&amp;geocode=&amp;q=58.3325500488281,11.8203802108765")</f>
        <v>http://maps.google.com/maps?f=q&amp;hl=en&amp;geocode=&amp;q=58.3325500488281,11.8203802108765</v>
      </c>
    </row>
    <row r="10180" spans="1:7" ht="15" x14ac:dyDescent="0.3">
      <c r="A10180">
        <v>44.982422425905902</v>
      </c>
      <c r="B10180">
        <v>-88.827673331787807</v>
      </c>
      <c r="C10180" t="s">
        <v>41</v>
      </c>
      <c r="D10180" t="s">
        <v>5808</v>
      </c>
      <c r="F10180" s="21"/>
      <c r="G10180" s="16" t="str">
        <f>HYPERLINK("http://maps.google.com/maps?f=q&amp;hl=en&amp;geocode=&amp;q=44.9824224259059,-88.8276733317878")</f>
        <v>http://maps.google.com/maps?f=q&amp;hl=en&amp;geocode=&amp;q=44.9824224259059,-88.8276733317878</v>
      </c>
    </row>
    <row r="10181" spans="1:7" ht="15" x14ac:dyDescent="0.3">
      <c r="A10181">
        <v>39.950628136933901</v>
      </c>
      <c r="B10181">
        <v>-75.233096100469496</v>
      </c>
      <c r="C10181" t="s">
        <v>41</v>
      </c>
      <c r="D10181" t="s">
        <v>911</v>
      </c>
      <c r="F10181" s="21"/>
      <c r="G10181" s="16" t="str">
        <f>HYPERLINK("http://maps.google.com/maps?f=q&amp;hl=en&amp;geocode=&amp;q=39.9506281369339,-75.2330961004695")</f>
        <v>http://maps.google.com/maps?f=q&amp;hl=en&amp;geocode=&amp;q=39.9506281369339,-75.2330961004695</v>
      </c>
    </row>
    <row r="10182" spans="1:7" ht="15" x14ac:dyDescent="0.3">
      <c r="A10182">
        <v>39.950628136933901</v>
      </c>
      <c r="B10182">
        <v>-75.233096100469496</v>
      </c>
      <c r="C10182" t="s">
        <v>41</v>
      </c>
      <c r="D10182" t="s">
        <v>911</v>
      </c>
      <c r="F10182" s="21"/>
      <c r="G10182" s="16" t="str">
        <f>HYPERLINK("http://maps.google.com/maps?f=q&amp;hl=en&amp;geocode=&amp;q=39.9506281369339,-75.2330961004695")</f>
        <v>http://maps.google.com/maps?f=q&amp;hl=en&amp;geocode=&amp;q=39.9506281369339,-75.2330961004695</v>
      </c>
    </row>
    <row r="10183" spans="1:7" ht="15" x14ac:dyDescent="0.3">
      <c r="A10183">
        <v>-37.742954254150398</v>
      </c>
      <c r="B10183">
        <v>144.80043029785199</v>
      </c>
      <c r="C10183" t="s">
        <v>41</v>
      </c>
      <c r="D10183" t="s">
        <v>2078</v>
      </c>
      <c r="F10183" s="21"/>
      <c r="G10183" s="16" t="str">
        <f>HYPERLINK("http://maps.google.com/maps?f=q&amp;hl=en&amp;geocode=&amp;q=-37.7429542541504,144.800430297852")</f>
        <v>http://maps.google.com/maps?f=q&amp;hl=en&amp;geocode=&amp;q=-37.7429542541504,144.800430297852</v>
      </c>
    </row>
    <row r="10184" spans="1:7" ht="15" x14ac:dyDescent="0.3">
      <c r="A10184">
        <v>42.249320983886697</v>
      </c>
      <c r="B10184">
        <v>-73.648323059082003</v>
      </c>
      <c r="C10184" t="s">
        <v>43</v>
      </c>
      <c r="D10184" t="s">
        <v>5809</v>
      </c>
      <c r="F10184" s="21"/>
      <c r="G10184" s="16" t="str">
        <f>HYPERLINK("http://maps.google.com/maps?f=q&amp;hl=en&amp;geocode=&amp;q=42.2493209838867,-73.648323059082")</f>
        <v>http://maps.google.com/maps?f=q&amp;hl=en&amp;geocode=&amp;q=42.2493209838867,-73.648323059082</v>
      </c>
    </row>
    <row r="10185" spans="1:7" ht="15" x14ac:dyDescent="0.3">
      <c r="A10185">
        <v>31.028939999999999</v>
      </c>
      <c r="B10185">
        <v>-87.526110000000003</v>
      </c>
      <c r="C10185" t="s">
        <v>41</v>
      </c>
      <c r="D10185" t="s">
        <v>3474</v>
      </c>
      <c r="F10185" s="21"/>
      <c r="G10185" s="16" t="str">
        <f>HYPERLINK("http://maps.google.com/maps?f=q&amp;hl=en&amp;geocode=&amp;q=31.02894,-87.52611")</f>
        <v>http://maps.google.com/maps?f=q&amp;hl=en&amp;geocode=&amp;q=31.02894,-87.52611</v>
      </c>
    </row>
    <row r="10186" spans="1:7" ht="15" x14ac:dyDescent="0.3">
      <c r="A10186">
        <v>42.470289999999999</v>
      </c>
      <c r="B10186">
        <v>-83.077780000000004</v>
      </c>
      <c r="C10186" t="s">
        <v>42</v>
      </c>
      <c r="D10186" t="s">
        <v>2324</v>
      </c>
      <c r="F10186" s="21"/>
      <c r="G10186" s="16" t="str">
        <f>HYPERLINK("http://maps.google.com/maps?f=q&amp;hl=en&amp;geocode=&amp;q=42.47029,-83.07778")</f>
        <v>http://maps.google.com/maps?f=q&amp;hl=en&amp;geocode=&amp;q=42.47029,-83.07778</v>
      </c>
    </row>
    <row r="10187" spans="1:7" ht="15" x14ac:dyDescent="0.3">
      <c r="A10187">
        <v>34.796852387209903</v>
      </c>
      <c r="B10187">
        <v>-85.498981757462104</v>
      </c>
      <c r="C10187" t="s">
        <v>43</v>
      </c>
      <c r="D10187" t="s">
        <v>5810</v>
      </c>
      <c r="F10187" s="21"/>
      <c r="G10187" s="16" t="str">
        <f>HYPERLINK("http://maps.google.com/maps?f=q&amp;hl=en&amp;geocode=&amp;q=34.7968523872099,-85.4989817574621")</f>
        <v>http://maps.google.com/maps?f=q&amp;hl=en&amp;geocode=&amp;q=34.7968523872099,-85.4989817574621</v>
      </c>
    </row>
    <row r="10188" spans="1:7" ht="15" x14ac:dyDescent="0.3">
      <c r="A10188">
        <v>-37.039199829101598</v>
      </c>
      <c r="B10188">
        <v>174.919998168945</v>
      </c>
      <c r="C10188" t="s">
        <v>43</v>
      </c>
      <c r="D10188" t="s">
        <v>5811</v>
      </c>
      <c r="F10188" s="21"/>
      <c r="G10188" s="16" t="str">
        <f>HYPERLINK("http://maps.google.com/maps?f=q&amp;hl=en&amp;geocode=&amp;q=-37.0391998291016,174.919998168945")</f>
        <v>http://maps.google.com/maps?f=q&amp;hl=en&amp;geocode=&amp;q=-37.0391998291016,174.919998168945</v>
      </c>
    </row>
    <row r="10189" spans="1:7" ht="15" x14ac:dyDescent="0.3">
      <c r="A10189">
        <v>39.776338162197497</v>
      </c>
      <c r="B10189">
        <v>-84.206281367090995</v>
      </c>
      <c r="C10189" t="s">
        <v>41</v>
      </c>
      <c r="D10189" t="s">
        <v>5812</v>
      </c>
      <c r="F10189" s="21"/>
      <c r="G10189" s="16" t="str">
        <f>HYPERLINK("http://maps.google.com/maps?f=q&amp;hl=en&amp;geocode=&amp;q=39.7763381621975,-84.206281367091")</f>
        <v>http://maps.google.com/maps?f=q&amp;hl=en&amp;geocode=&amp;q=39.7763381621975,-84.206281367091</v>
      </c>
    </row>
    <row r="10190" spans="1:7" ht="15" x14ac:dyDescent="0.3">
      <c r="A10190">
        <v>27.395532608032202</v>
      </c>
      <c r="B10190">
        <v>-80.713394165039105</v>
      </c>
      <c r="C10190" t="s">
        <v>43</v>
      </c>
      <c r="D10190" t="s">
        <v>5813</v>
      </c>
      <c r="F10190" s="21"/>
      <c r="G10190" s="16" t="str">
        <f>HYPERLINK("http://maps.google.com/maps?f=q&amp;hl=en&amp;geocode=&amp;q=27.3955326080322,-80.7133941650391")</f>
        <v>http://maps.google.com/maps?f=q&amp;hl=en&amp;geocode=&amp;q=27.3955326080322,-80.7133941650391</v>
      </c>
    </row>
    <row r="10191" spans="1:7" ht="15" x14ac:dyDescent="0.3">
      <c r="A10191">
        <v>39.934269999999998</v>
      </c>
      <c r="B10191">
        <v>-75.155659999999997</v>
      </c>
      <c r="C10191" t="s">
        <v>43</v>
      </c>
      <c r="D10191" t="s">
        <v>5814</v>
      </c>
      <c r="F10191" s="21"/>
      <c r="G10191" s="16" t="str">
        <f>HYPERLINK("http://maps.google.com/maps?f=q&amp;hl=en&amp;geocode=&amp;q=39.93427,-75.15566")</f>
        <v>http://maps.google.com/maps?f=q&amp;hl=en&amp;geocode=&amp;q=39.93427,-75.15566</v>
      </c>
    </row>
    <row r="10192" spans="1:7" ht="15" x14ac:dyDescent="0.3">
      <c r="A10192" t="s">
        <v>44</v>
      </c>
      <c r="B10192" t="s">
        <v>44</v>
      </c>
      <c r="C10192" t="s">
        <v>44</v>
      </c>
      <c r="D10192" t="s">
        <v>5488</v>
      </c>
      <c r="F10192" s="21"/>
      <c r="G10192" s="16"/>
    </row>
    <row r="10193" spans="1:7" ht="15" x14ac:dyDescent="0.3">
      <c r="A10193">
        <v>52.08764</v>
      </c>
      <c r="B10193">
        <v>5.7288300000000003</v>
      </c>
      <c r="C10193" t="s">
        <v>41</v>
      </c>
      <c r="D10193" t="s">
        <v>5815</v>
      </c>
      <c r="F10193" s="21"/>
      <c r="G10193" s="16" t="str">
        <f>HYPERLINK("http://maps.google.com/maps?f=q&amp;hl=en&amp;geocode=&amp;q=52.08764,5.72883")</f>
        <v>http://maps.google.com/maps?f=q&amp;hl=en&amp;geocode=&amp;q=52.08764,5.72883</v>
      </c>
    </row>
    <row r="10194" spans="1:7" ht="15" x14ac:dyDescent="0.3">
      <c r="A10194">
        <v>39.5642045883408</v>
      </c>
      <c r="B10194">
        <v>-90.132601938524502</v>
      </c>
      <c r="C10194" t="s">
        <v>41</v>
      </c>
      <c r="D10194" t="s">
        <v>3758</v>
      </c>
      <c r="F10194" s="21"/>
      <c r="G10194" s="16" t="str">
        <f>HYPERLINK("http://maps.google.com/maps?f=q&amp;hl=en&amp;geocode=&amp;q=39.5642045883408,-90.1326019385245")</f>
        <v>http://maps.google.com/maps?f=q&amp;hl=en&amp;geocode=&amp;q=39.5642045883408,-90.1326019385245</v>
      </c>
    </row>
    <row r="10195" spans="1:7" ht="15" x14ac:dyDescent="0.3">
      <c r="A10195">
        <v>39.5642023482715</v>
      </c>
      <c r="B10195">
        <v>-90.142017543293903</v>
      </c>
      <c r="C10195" t="s">
        <v>41</v>
      </c>
      <c r="D10195" t="s">
        <v>3759</v>
      </c>
      <c r="F10195" s="21"/>
      <c r="G10195" s="16" t="str">
        <f>HYPERLINK("http://maps.google.com/maps?f=q&amp;hl=en&amp;geocode=&amp;q=39.5642023482715,-90.1420175432939")</f>
        <v>http://maps.google.com/maps?f=q&amp;hl=en&amp;geocode=&amp;q=39.5642023482715,-90.1420175432939</v>
      </c>
    </row>
    <row r="10196" spans="1:7" ht="15" x14ac:dyDescent="0.3">
      <c r="A10196">
        <v>39.5642023482715</v>
      </c>
      <c r="B10196">
        <v>-90.142017543293903</v>
      </c>
      <c r="C10196" t="s">
        <v>41</v>
      </c>
      <c r="D10196" t="s">
        <v>3759</v>
      </c>
      <c r="F10196" s="21"/>
      <c r="G10196" s="16" t="str">
        <f>HYPERLINK("http://maps.google.com/maps?f=q&amp;hl=en&amp;geocode=&amp;q=39.5642023482715,-90.1420175432939")</f>
        <v>http://maps.google.com/maps?f=q&amp;hl=en&amp;geocode=&amp;q=39.5642023482715,-90.1420175432939</v>
      </c>
    </row>
    <row r="10197" spans="1:7" ht="15" x14ac:dyDescent="0.3">
      <c r="A10197">
        <v>31.028939999999999</v>
      </c>
      <c r="B10197">
        <v>-87.526110000000003</v>
      </c>
      <c r="C10197" t="s">
        <v>41</v>
      </c>
      <c r="D10197" t="s">
        <v>3474</v>
      </c>
      <c r="F10197" s="21"/>
      <c r="G10197" s="16" t="str">
        <f>HYPERLINK("http://maps.google.com/maps?f=q&amp;hl=en&amp;geocode=&amp;q=31.02894,-87.52611")</f>
        <v>http://maps.google.com/maps?f=q&amp;hl=en&amp;geocode=&amp;q=31.02894,-87.52611</v>
      </c>
    </row>
    <row r="10198" spans="1:7" ht="15" x14ac:dyDescent="0.3">
      <c r="A10198">
        <v>31.028939999999999</v>
      </c>
      <c r="B10198">
        <v>-87.526110000000003</v>
      </c>
      <c r="C10198" t="s">
        <v>41</v>
      </c>
      <c r="D10198" t="s">
        <v>3474</v>
      </c>
      <c r="F10198" s="21"/>
      <c r="G10198" s="16" t="str">
        <f>HYPERLINK("http://maps.google.com/maps?f=q&amp;hl=en&amp;geocode=&amp;q=31.02894,-87.52611")</f>
        <v>http://maps.google.com/maps?f=q&amp;hl=en&amp;geocode=&amp;q=31.02894,-87.52611</v>
      </c>
    </row>
    <row r="10199" spans="1:7" ht="15" x14ac:dyDescent="0.3">
      <c r="A10199">
        <v>32.082221916476598</v>
      </c>
      <c r="B10199">
        <v>-83.800202174656306</v>
      </c>
      <c r="C10199" t="s">
        <v>41</v>
      </c>
      <c r="D10199" t="s">
        <v>2230</v>
      </c>
      <c r="F10199" s="21"/>
      <c r="G10199" s="16" t="str">
        <f>HYPERLINK("http://maps.google.com/maps?f=q&amp;hl=en&amp;geocode=&amp;q=32.0822219164766,-83.8002021746563")</f>
        <v>http://maps.google.com/maps?f=q&amp;hl=en&amp;geocode=&amp;q=32.0822219164766,-83.8002021746563</v>
      </c>
    </row>
    <row r="10200" spans="1:7" ht="15" x14ac:dyDescent="0.3">
      <c r="A10200">
        <v>47.753849029541001</v>
      </c>
      <c r="B10200">
        <v>27.864404678344702</v>
      </c>
      <c r="C10200" t="s">
        <v>43</v>
      </c>
      <c r="D10200" t="s">
        <v>5816</v>
      </c>
      <c r="F10200" s="21"/>
      <c r="G10200" s="16" t="str">
        <f>HYPERLINK("http://maps.google.com/maps?f=q&amp;hl=en&amp;geocode=&amp;q=47.753849029541,27.8644046783447")</f>
        <v>http://maps.google.com/maps?f=q&amp;hl=en&amp;geocode=&amp;q=47.753849029541,27.8644046783447</v>
      </c>
    </row>
    <row r="10201" spans="1:7" ht="15" x14ac:dyDescent="0.3">
      <c r="A10201">
        <v>42.257129999999997</v>
      </c>
      <c r="B10201">
        <v>-88.819670000000002</v>
      </c>
      <c r="C10201" t="s">
        <v>41</v>
      </c>
      <c r="D10201" t="s">
        <v>830</v>
      </c>
      <c r="F10201" s="21"/>
      <c r="G10201" s="16" t="str">
        <f>HYPERLINK("http://maps.google.com/maps?f=q&amp;hl=en&amp;geocode=&amp;q=42.25713,-88.81967")</f>
        <v>http://maps.google.com/maps?f=q&amp;hl=en&amp;geocode=&amp;q=42.25713,-88.81967</v>
      </c>
    </row>
    <row r="10202" spans="1:7" ht="15" x14ac:dyDescent="0.3">
      <c r="A10202">
        <v>54.562068939208999</v>
      </c>
      <c r="B10202">
        <v>-125.10440063476599</v>
      </c>
      <c r="C10202" t="s">
        <v>41</v>
      </c>
      <c r="D10202" t="s">
        <v>4472</v>
      </c>
      <c r="F10202" s="21"/>
      <c r="G10202" s="16" t="str">
        <f>HYPERLINK("http://maps.google.com/maps?f=q&amp;hl=en&amp;geocode=&amp;q=54.562068939209,-125.104400634766")</f>
        <v>http://maps.google.com/maps?f=q&amp;hl=en&amp;geocode=&amp;q=54.562068939209,-125.104400634766</v>
      </c>
    </row>
    <row r="10203" spans="1:7" ht="15" x14ac:dyDescent="0.3">
      <c r="A10203">
        <v>30.013470000000002</v>
      </c>
      <c r="B10203">
        <v>-90.176649999999995</v>
      </c>
      <c r="C10203" t="s">
        <v>41</v>
      </c>
      <c r="D10203" t="s">
        <v>390</v>
      </c>
      <c r="F10203" s="21"/>
      <c r="G10203" s="16" t="str">
        <f>HYPERLINK("http://maps.google.com/maps?f=q&amp;hl=en&amp;geocode=&amp;q=30.01347,-90.17665")</f>
        <v>http://maps.google.com/maps?f=q&amp;hl=en&amp;geocode=&amp;q=30.01347,-90.17665</v>
      </c>
    </row>
    <row r="10204" spans="1:7" ht="15" x14ac:dyDescent="0.3">
      <c r="A10204">
        <v>40.894489288330099</v>
      </c>
      <c r="B10204">
        <v>-72.892898559570298</v>
      </c>
      <c r="C10204" t="s">
        <v>43</v>
      </c>
      <c r="D10204" t="s">
        <v>5817</v>
      </c>
      <c r="F10204" s="21"/>
      <c r="G10204" s="16" t="str">
        <f>HYPERLINK("http://maps.google.com/maps?f=q&amp;hl=en&amp;geocode=&amp;q=40.8944892883301,-72.8928985595703")</f>
        <v>http://maps.google.com/maps?f=q&amp;hl=en&amp;geocode=&amp;q=40.8944892883301,-72.8928985595703</v>
      </c>
    </row>
    <row r="10205" spans="1:7" ht="15" x14ac:dyDescent="0.3">
      <c r="A10205">
        <v>-31.946370000000002</v>
      </c>
      <c r="B10205">
        <v>115.86225</v>
      </c>
      <c r="C10205" t="s">
        <v>41</v>
      </c>
      <c r="D10205" t="s">
        <v>5818</v>
      </c>
      <c r="F10205" s="21"/>
      <c r="G10205" s="16" t="str">
        <f>HYPERLINK("http://maps.google.com/maps?f=q&amp;hl=en&amp;geocode=&amp;q=-31.94637,115.86225")</f>
        <v>http://maps.google.com/maps?f=q&amp;hl=en&amp;geocode=&amp;q=-31.94637,115.86225</v>
      </c>
    </row>
    <row r="10206" spans="1:7" ht="15" x14ac:dyDescent="0.3">
      <c r="A10206" t="s">
        <v>44</v>
      </c>
      <c r="B10206" t="s">
        <v>44</v>
      </c>
      <c r="C10206" t="s">
        <v>44</v>
      </c>
      <c r="D10206" t="s">
        <v>1004</v>
      </c>
      <c r="F10206" s="21"/>
      <c r="G10206" s="16"/>
    </row>
    <row r="10207" spans="1:7" ht="15" x14ac:dyDescent="0.3">
      <c r="A10207">
        <v>54.562068939208999</v>
      </c>
      <c r="B10207">
        <v>-125.10440063476599</v>
      </c>
      <c r="C10207" t="s">
        <v>41</v>
      </c>
      <c r="D10207" t="s">
        <v>4472</v>
      </c>
      <c r="F10207" s="21"/>
      <c r="G10207" s="16" t="str">
        <f>HYPERLINK("http://maps.google.com/maps?f=q&amp;hl=en&amp;geocode=&amp;q=54.562068939209,-125.104400634766")</f>
        <v>http://maps.google.com/maps?f=q&amp;hl=en&amp;geocode=&amp;q=54.562068939209,-125.104400634766</v>
      </c>
    </row>
    <row r="10208" spans="1:7" ht="15" x14ac:dyDescent="0.3">
      <c r="A10208" t="s">
        <v>44</v>
      </c>
      <c r="B10208" t="s">
        <v>44</v>
      </c>
      <c r="C10208" t="s">
        <v>44</v>
      </c>
      <c r="D10208" t="s">
        <v>5819</v>
      </c>
      <c r="F10208" s="21"/>
      <c r="G10208" s="16"/>
    </row>
    <row r="10209" spans="1:7" ht="15" x14ac:dyDescent="0.3">
      <c r="A10209">
        <v>44.2076632331135</v>
      </c>
      <c r="B10209">
        <v>-69.1689213676527</v>
      </c>
      <c r="C10209" t="s">
        <v>41</v>
      </c>
      <c r="D10209" t="s">
        <v>5114</v>
      </c>
      <c r="F10209" s="21"/>
      <c r="G10209" s="16" t="str">
        <f>HYPERLINK("http://maps.google.com/maps?f=q&amp;hl=en&amp;geocode=&amp;q=44.2076632331135,-69.1689213676527")</f>
        <v>http://maps.google.com/maps?f=q&amp;hl=en&amp;geocode=&amp;q=44.2076632331135,-69.1689213676527</v>
      </c>
    </row>
    <row r="10210" spans="1:7" ht="15" x14ac:dyDescent="0.3">
      <c r="A10210">
        <v>45.837741851806598</v>
      </c>
      <c r="B10210">
        <v>25.005935668945298</v>
      </c>
      <c r="C10210" t="s">
        <v>41</v>
      </c>
      <c r="D10210" t="s">
        <v>2819</v>
      </c>
      <c r="F10210" s="21"/>
      <c r="G10210" s="16" t="str">
        <f>HYPERLINK("http://maps.google.com/maps?f=q&amp;hl=en&amp;geocode=&amp;q=45.8377418518066,25.0059356689453")</f>
        <v>http://maps.google.com/maps?f=q&amp;hl=en&amp;geocode=&amp;q=45.8377418518066,25.0059356689453</v>
      </c>
    </row>
    <row r="10211" spans="1:7" ht="15" x14ac:dyDescent="0.3">
      <c r="A10211" t="s">
        <v>44</v>
      </c>
      <c r="B10211" t="s">
        <v>44</v>
      </c>
      <c r="C10211" t="s">
        <v>44</v>
      </c>
      <c r="D10211" t="s">
        <v>5820</v>
      </c>
      <c r="F10211" s="21"/>
      <c r="G10211" s="16"/>
    </row>
    <row r="10212" spans="1:7" ht="15" x14ac:dyDescent="0.3">
      <c r="A10212" t="s">
        <v>44</v>
      </c>
      <c r="B10212" t="s">
        <v>44</v>
      </c>
      <c r="C10212" t="s">
        <v>44</v>
      </c>
      <c r="D10212" t="s">
        <v>5820</v>
      </c>
      <c r="F10212" s="21"/>
      <c r="G10212" s="16"/>
    </row>
    <row r="10213" spans="1:7" ht="15" x14ac:dyDescent="0.3">
      <c r="A10213">
        <v>45.3201293945313</v>
      </c>
      <c r="B10213">
        <v>-93.285453796386705</v>
      </c>
      <c r="C10213" t="s">
        <v>43</v>
      </c>
      <c r="D10213" t="s">
        <v>5821</v>
      </c>
      <c r="F10213" s="21"/>
      <c r="G10213" s="16" t="str">
        <f>HYPERLINK("http://maps.google.com/maps?f=q&amp;hl=en&amp;geocode=&amp;q=45.3201293945313,-93.2854537963867")</f>
        <v>http://maps.google.com/maps?f=q&amp;hl=en&amp;geocode=&amp;q=45.3201293945313,-93.2854537963867</v>
      </c>
    </row>
    <row r="10214" spans="1:7" ht="15" x14ac:dyDescent="0.3">
      <c r="A10214">
        <v>36.50808</v>
      </c>
      <c r="B10214">
        <v>-87.194249999999997</v>
      </c>
      <c r="C10214" t="s">
        <v>42</v>
      </c>
      <c r="D10214" t="s">
        <v>5822</v>
      </c>
      <c r="F10214" s="21"/>
      <c r="G10214" s="16" t="str">
        <f>HYPERLINK("http://maps.google.com/maps?f=q&amp;hl=en&amp;geocode=&amp;q=36.50808,-87.19425")</f>
        <v>http://maps.google.com/maps?f=q&amp;hl=en&amp;geocode=&amp;q=36.50808,-87.19425</v>
      </c>
    </row>
    <row r="10215" spans="1:7" ht="15" x14ac:dyDescent="0.3">
      <c r="A10215">
        <v>42.284374984463298</v>
      </c>
      <c r="B10215">
        <v>-112.61639908038801</v>
      </c>
      <c r="C10215" t="s">
        <v>43</v>
      </c>
      <c r="D10215" t="s">
        <v>696</v>
      </c>
      <c r="F10215" s="21"/>
      <c r="G10215" s="16" t="str">
        <f>HYPERLINK("http://maps.google.com/maps?f=q&amp;hl=en&amp;geocode=&amp;q=42.2843749844633,-112.616399080388")</f>
        <v>http://maps.google.com/maps?f=q&amp;hl=en&amp;geocode=&amp;q=42.2843749844633,-112.616399080388</v>
      </c>
    </row>
    <row r="10216" spans="1:7" ht="15" x14ac:dyDescent="0.3">
      <c r="A10216">
        <v>32.990949999999998</v>
      </c>
      <c r="B10216">
        <v>-97.446380000000005</v>
      </c>
      <c r="C10216" t="s">
        <v>43</v>
      </c>
      <c r="D10216" t="s">
        <v>3665</v>
      </c>
      <c r="F10216" s="21"/>
      <c r="G10216" s="16" t="str">
        <f>HYPERLINK("http://maps.google.com/maps?f=q&amp;hl=en&amp;geocode=&amp;q=32.99095,-97.44638")</f>
        <v>http://maps.google.com/maps?f=q&amp;hl=en&amp;geocode=&amp;q=32.99095,-97.44638</v>
      </c>
    </row>
    <row r="10217" spans="1:7" ht="15" x14ac:dyDescent="0.3">
      <c r="A10217">
        <v>40.025145798607802</v>
      </c>
      <c r="B10217">
        <v>-88.556051262325596</v>
      </c>
      <c r="C10217" t="s">
        <v>43</v>
      </c>
      <c r="D10217" t="s">
        <v>1688</v>
      </c>
      <c r="F10217" s="21"/>
      <c r="G10217" s="16" t="str">
        <f>HYPERLINK("http://maps.google.com/maps?f=q&amp;hl=en&amp;geocode=&amp;q=40.0251457986078,-88.5560512623256")</f>
        <v>http://maps.google.com/maps?f=q&amp;hl=en&amp;geocode=&amp;q=40.0251457986078,-88.5560512623256</v>
      </c>
    </row>
    <row r="10218" spans="1:7" ht="15" x14ac:dyDescent="0.3">
      <c r="A10218">
        <v>43.1462056492663</v>
      </c>
      <c r="B10218">
        <v>-75.463922665397305</v>
      </c>
      <c r="C10218" t="s">
        <v>41</v>
      </c>
      <c r="D10218" t="s">
        <v>2440</v>
      </c>
      <c r="F10218" s="21"/>
      <c r="G10218" s="16" t="str">
        <f>HYPERLINK("http://maps.google.com/maps?f=q&amp;hl=en&amp;geocode=&amp;q=43.1462056492663,-75.4639226653973")</f>
        <v>http://maps.google.com/maps?f=q&amp;hl=en&amp;geocode=&amp;q=43.1462056492663,-75.4639226653973</v>
      </c>
    </row>
    <row r="10219" spans="1:7" ht="15" x14ac:dyDescent="0.3">
      <c r="A10219">
        <v>34.995820000000002</v>
      </c>
      <c r="B10219">
        <v>-81.136610000000005</v>
      </c>
      <c r="C10219" t="s">
        <v>42</v>
      </c>
      <c r="D10219" t="s">
        <v>3198</v>
      </c>
      <c r="F10219" s="21"/>
      <c r="G10219" s="16" t="str">
        <f>HYPERLINK("http://maps.google.com/maps?f=q&amp;hl=en&amp;geocode=&amp;q=34.99582,-81.13661")</f>
        <v>http://maps.google.com/maps?f=q&amp;hl=en&amp;geocode=&amp;q=34.99582,-81.13661</v>
      </c>
    </row>
    <row r="10220" spans="1:7" ht="15" x14ac:dyDescent="0.3">
      <c r="A10220">
        <v>40.683799999999998</v>
      </c>
      <c r="B10220">
        <v>-89.614840000000001</v>
      </c>
      <c r="C10220" t="s">
        <v>41</v>
      </c>
      <c r="D10220" t="s">
        <v>4642</v>
      </c>
      <c r="F10220" s="21"/>
      <c r="G10220" s="16" t="str">
        <f>HYPERLINK("http://maps.google.com/maps?f=q&amp;hl=en&amp;geocode=&amp;q=40.6838,-89.61484")</f>
        <v>http://maps.google.com/maps?f=q&amp;hl=en&amp;geocode=&amp;q=40.6838,-89.61484</v>
      </c>
    </row>
    <row r="10221" spans="1:7" ht="15" x14ac:dyDescent="0.3">
      <c r="A10221">
        <v>-26.142440000000001</v>
      </c>
      <c r="B10221">
        <v>27.91825</v>
      </c>
      <c r="C10221" t="s">
        <v>41</v>
      </c>
      <c r="D10221" t="s">
        <v>2558</v>
      </c>
      <c r="F10221" s="21"/>
      <c r="G10221" s="16" t="str">
        <f>HYPERLINK("http://maps.google.com/maps?f=q&amp;hl=en&amp;geocode=&amp;q=-26.14244,27.91825")</f>
        <v>http://maps.google.com/maps?f=q&amp;hl=en&amp;geocode=&amp;q=-26.14244,27.91825</v>
      </c>
    </row>
    <row r="10222" spans="1:7" ht="15" x14ac:dyDescent="0.3">
      <c r="F10222" s="21"/>
      <c r="G10222" s="16"/>
    </row>
    <row r="10223" spans="1:7" ht="15" x14ac:dyDescent="0.3">
      <c r="A10223">
        <v>32.663196563720703</v>
      </c>
      <c r="B10223">
        <v>-17.003662109375</v>
      </c>
      <c r="C10223" t="s">
        <v>43</v>
      </c>
      <c r="D10223" t="s">
        <v>5823</v>
      </c>
      <c r="F10223" s="21"/>
      <c r="G10223" s="16" t="str">
        <f>HYPERLINK("http://maps.google.com/maps?f=q&amp;hl=en&amp;geocode=&amp;q=32.6631965637207,-17.003662109375")</f>
        <v>http://maps.google.com/maps?f=q&amp;hl=en&amp;geocode=&amp;q=32.6631965637207,-17.003662109375</v>
      </c>
    </row>
    <row r="10224" spans="1:7" ht="15" x14ac:dyDescent="0.3">
      <c r="A10224" t="s">
        <v>44</v>
      </c>
      <c r="B10224" t="s">
        <v>44</v>
      </c>
      <c r="C10224" t="s">
        <v>44</v>
      </c>
      <c r="D10224" t="s">
        <v>5824</v>
      </c>
      <c r="F10224" s="21"/>
      <c r="G10224" s="16"/>
    </row>
    <row r="10225" spans="1:7" ht="15" x14ac:dyDescent="0.3">
      <c r="A10225">
        <v>39.983104789618302</v>
      </c>
      <c r="B10225">
        <v>-75.101295818850005</v>
      </c>
      <c r="C10225" t="s">
        <v>41</v>
      </c>
      <c r="D10225" t="s">
        <v>3636</v>
      </c>
      <c r="F10225" s="21"/>
      <c r="G10225" s="16" t="str">
        <f>HYPERLINK("http://maps.google.com/maps?f=q&amp;hl=en&amp;geocode=&amp;q=39.9831047896183,-75.10129581885")</f>
        <v>http://maps.google.com/maps?f=q&amp;hl=en&amp;geocode=&amp;q=39.9831047896183,-75.10129581885</v>
      </c>
    </row>
    <row r="10226" spans="1:7" ht="15" x14ac:dyDescent="0.3">
      <c r="A10226">
        <v>32.987343667725497</v>
      </c>
      <c r="B10226">
        <v>-96.740307588167894</v>
      </c>
      <c r="C10226" t="s">
        <v>43</v>
      </c>
      <c r="D10226" t="s">
        <v>5825</v>
      </c>
      <c r="F10226" s="21"/>
      <c r="G10226" s="16" t="str">
        <f>HYPERLINK("http://maps.google.com/maps?f=q&amp;hl=en&amp;geocode=&amp;q=32.9873436677255,-96.7403075881679")</f>
        <v>http://maps.google.com/maps?f=q&amp;hl=en&amp;geocode=&amp;q=32.9873436677255,-96.7403075881679</v>
      </c>
    </row>
    <row r="10227" spans="1:7" ht="15" x14ac:dyDescent="0.3">
      <c r="A10227">
        <v>-32.052129999999998</v>
      </c>
      <c r="B10227">
        <v>115.98860000000001</v>
      </c>
      <c r="C10227" t="s">
        <v>41</v>
      </c>
      <c r="D10227" t="s">
        <v>5826</v>
      </c>
      <c r="F10227" s="21"/>
      <c r="G10227" s="16" t="str">
        <f>HYPERLINK("http://maps.google.com/maps?f=q&amp;hl=en&amp;geocode=&amp;q=-32.05213,115.9886")</f>
        <v>http://maps.google.com/maps?f=q&amp;hl=en&amp;geocode=&amp;q=-32.05213,115.9886</v>
      </c>
    </row>
    <row r="10228" spans="1:7" ht="15" x14ac:dyDescent="0.3">
      <c r="A10228">
        <v>-32.052129999999998</v>
      </c>
      <c r="B10228">
        <v>115.98860000000001</v>
      </c>
      <c r="C10228" t="s">
        <v>41</v>
      </c>
      <c r="D10228" t="s">
        <v>5826</v>
      </c>
      <c r="F10228" s="21"/>
      <c r="G10228" s="16" t="str">
        <f>HYPERLINK("http://maps.google.com/maps?f=q&amp;hl=en&amp;geocode=&amp;q=-32.05213,115.9886")</f>
        <v>http://maps.google.com/maps?f=q&amp;hl=en&amp;geocode=&amp;q=-32.05213,115.9886</v>
      </c>
    </row>
    <row r="10229" spans="1:7" ht="15" x14ac:dyDescent="0.3">
      <c r="A10229">
        <v>-32.052129999999998</v>
      </c>
      <c r="B10229">
        <v>115.98860000000001</v>
      </c>
      <c r="C10229" t="s">
        <v>41</v>
      </c>
      <c r="D10229" t="s">
        <v>5827</v>
      </c>
      <c r="F10229" s="21"/>
      <c r="G10229" s="16" t="str">
        <f>HYPERLINK("http://maps.google.com/maps?f=q&amp;hl=en&amp;geocode=&amp;q=-32.05213,115.9886")</f>
        <v>http://maps.google.com/maps?f=q&amp;hl=en&amp;geocode=&amp;q=-32.05213,115.9886</v>
      </c>
    </row>
    <row r="10230" spans="1:7" ht="15" x14ac:dyDescent="0.3">
      <c r="A10230">
        <v>40.061570000000003</v>
      </c>
      <c r="B10230">
        <v>-75.190049999999999</v>
      </c>
      <c r="C10230" t="s">
        <v>41</v>
      </c>
      <c r="D10230" t="s">
        <v>5828</v>
      </c>
      <c r="F10230" s="21"/>
      <c r="G10230" s="16" t="str">
        <f>HYPERLINK("http://maps.google.com/maps?f=q&amp;hl=en&amp;geocode=&amp;q=40.06157,-75.19005")</f>
        <v>http://maps.google.com/maps?f=q&amp;hl=en&amp;geocode=&amp;q=40.06157,-75.19005</v>
      </c>
    </row>
    <row r="10231" spans="1:7" ht="15" x14ac:dyDescent="0.3">
      <c r="A10231">
        <v>-26.034427642822301</v>
      </c>
      <c r="B10231">
        <v>28.5431098937988</v>
      </c>
      <c r="C10231" t="s">
        <v>43</v>
      </c>
      <c r="D10231" t="s">
        <v>115</v>
      </c>
      <c r="F10231" s="21"/>
      <c r="G10231" s="16" t="str">
        <f>HYPERLINK("http://maps.google.com/maps?f=q&amp;hl=en&amp;geocode=&amp;q=-26.0344276428223,28.5431098937988")</f>
        <v>http://maps.google.com/maps?f=q&amp;hl=en&amp;geocode=&amp;q=-26.0344276428223,28.5431098937988</v>
      </c>
    </row>
    <row r="10232" spans="1:7" ht="15" x14ac:dyDescent="0.3">
      <c r="A10232">
        <v>40.055344959282202</v>
      </c>
      <c r="B10232">
        <v>-75.185214356015194</v>
      </c>
      <c r="C10232" t="s">
        <v>41</v>
      </c>
      <c r="D10232" t="s">
        <v>5788</v>
      </c>
      <c r="F10232" s="21"/>
      <c r="G10232" s="16" t="str">
        <f>HYPERLINK("http://maps.google.com/maps?f=q&amp;hl=en&amp;geocode=&amp;q=40.0553449592822,-75.1852143560152")</f>
        <v>http://maps.google.com/maps?f=q&amp;hl=en&amp;geocode=&amp;q=40.0553449592822,-75.1852143560152</v>
      </c>
    </row>
    <row r="10233" spans="1:7" ht="15" x14ac:dyDescent="0.3">
      <c r="A10233">
        <v>47.033481597900398</v>
      </c>
      <c r="B10233">
        <v>-109.64508056640599</v>
      </c>
      <c r="C10233" t="s">
        <v>41</v>
      </c>
      <c r="D10233" t="s">
        <v>5829</v>
      </c>
      <c r="F10233" s="21"/>
      <c r="G10233" s="16" t="str">
        <f>HYPERLINK("http://maps.google.com/maps?f=q&amp;hl=en&amp;geocode=&amp;q=47.0334815979004,-109.645080566406")</f>
        <v>http://maps.google.com/maps?f=q&amp;hl=en&amp;geocode=&amp;q=47.0334815979004,-109.645080566406</v>
      </c>
    </row>
    <row r="10234" spans="1:7" ht="15" x14ac:dyDescent="0.3">
      <c r="A10234">
        <v>42.156185150146499</v>
      </c>
      <c r="B10234">
        <v>-71.566192626953097</v>
      </c>
      <c r="C10234" t="s">
        <v>41</v>
      </c>
      <c r="D10234" t="s">
        <v>5830</v>
      </c>
      <c r="F10234" s="21"/>
      <c r="G10234" s="16" t="str">
        <f>HYPERLINK("http://maps.google.com/maps?f=q&amp;hl=en&amp;geocode=&amp;q=42.1561851501465,-71.5661926269531")</f>
        <v>http://maps.google.com/maps?f=q&amp;hl=en&amp;geocode=&amp;q=42.1561851501465,-71.5661926269531</v>
      </c>
    </row>
    <row r="10235" spans="1:7" ht="15" x14ac:dyDescent="0.3">
      <c r="A10235">
        <v>40.040443352264099</v>
      </c>
      <c r="B10235">
        <v>-75.181967878970994</v>
      </c>
      <c r="C10235" t="s">
        <v>41</v>
      </c>
      <c r="D10235" t="s">
        <v>4433</v>
      </c>
      <c r="F10235" s="21"/>
      <c r="G10235" s="16" t="str">
        <f>HYPERLINK("http://maps.google.com/maps?f=q&amp;hl=en&amp;geocode=&amp;q=40.0404433522641,-75.181967878971")</f>
        <v>http://maps.google.com/maps?f=q&amp;hl=en&amp;geocode=&amp;q=40.0404433522641,-75.181967878971</v>
      </c>
    </row>
    <row r="10236" spans="1:7" ht="15" x14ac:dyDescent="0.3">
      <c r="A10236">
        <v>36.167869133102997</v>
      </c>
      <c r="B10236">
        <v>-90.526234737718795</v>
      </c>
      <c r="C10236" t="s">
        <v>43</v>
      </c>
      <c r="D10236" t="s">
        <v>5831</v>
      </c>
      <c r="F10236" s="21"/>
      <c r="G10236" s="16" t="str">
        <f>HYPERLINK("http://maps.google.com/maps?f=q&amp;hl=en&amp;geocode=&amp;q=36.167869133103,-90.5262347377188")</f>
        <v>http://maps.google.com/maps?f=q&amp;hl=en&amp;geocode=&amp;q=36.167869133103,-90.5262347377188</v>
      </c>
    </row>
    <row r="10237" spans="1:7" ht="15" x14ac:dyDescent="0.3">
      <c r="A10237">
        <v>36.167938202010802</v>
      </c>
      <c r="B10237">
        <v>-90.526346618317902</v>
      </c>
      <c r="C10237" t="s">
        <v>42</v>
      </c>
      <c r="D10237" t="s">
        <v>5832</v>
      </c>
      <c r="F10237" s="21"/>
      <c r="G10237" s="16" t="str">
        <f>HYPERLINK("http://maps.google.com/maps?f=q&amp;hl=en&amp;geocode=&amp;q=36.1679382020108,-90.5263466183179")</f>
        <v>http://maps.google.com/maps?f=q&amp;hl=en&amp;geocode=&amp;q=36.1679382020108,-90.5263466183179</v>
      </c>
    </row>
    <row r="10238" spans="1:7" ht="15" x14ac:dyDescent="0.3">
      <c r="A10238">
        <v>36.167973095479802</v>
      </c>
      <c r="B10238">
        <v>-90.526400897077295</v>
      </c>
      <c r="C10238" t="s">
        <v>42</v>
      </c>
      <c r="D10238" t="s">
        <v>2106</v>
      </c>
      <c r="F10238" s="21"/>
      <c r="G10238" s="16" t="str">
        <f>HYPERLINK("http://maps.google.com/maps?f=q&amp;hl=en&amp;geocode=&amp;q=36.1679730954798,-90.5264008970773")</f>
        <v>http://maps.google.com/maps?f=q&amp;hl=en&amp;geocode=&amp;q=36.1679730954798,-90.5264008970773</v>
      </c>
    </row>
    <row r="10239" spans="1:7" ht="15" x14ac:dyDescent="0.3">
      <c r="A10239">
        <v>12.130418777465801</v>
      </c>
      <c r="B10239">
        <v>97.733337402343807</v>
      </c>
      <c r="C10239" t="s">
        <v>43</v>
      </c>
      <c r="D10239" t="s">
        <v>5833</v>
      </c>
      <c r="F10239" s="21"/>
      <c r="G10239" s="16" t="str">
        <f>HYPERLINK("http://maps.google.com/maps?f=q&amp;hl=en&amp;geocode=&amp;q=12.1304187774658,97.7333374023438")</f>
        <v>http://maps.google.com/maps?f=q&amp;hl=en&amp;geocode=&amp;q=12.1304187774658,97.7333374023438</v>
      </c>
    </row>
    <row r="10240" spans="1:7" ht="15" x14ac:dyDescent="0.3">
      <c r="A10240" t="s">
        <v>44</v>
      </c>
      <c r="B10240" t="s">
        <v>44</v>
      </c>
      <c r="C10240" t="s">
        <v>44</v>
      </c>
      <c r="D10240" t="s">
        <v>5834</v>
      </c>
      <c r="F10240" s="21"/>
      <c r="G10240" s="16"/>
    </row>
    <row r="10241" spans="1:7" ht="15" x14ac:dyDescent="0.3">
      <c r="A10241">
        <v>35.550861358642599</v>
      </c>
      <c r="B10241">
        <v>-121.072059631348</v>
      </c>
      <c r="C10241" t="s">
        <v>43</v>
      </c>
      <c r="D10241" t="s">
        <v>5835</v>
      </c>
      <c r="F10241" s="21"/>
      <c r="G10241" s="16" t="str">
        <f>HYPERLINK("http://maps.google.com/maps?f=q&amp;hl=en&amp;geocode=&amp;q=35.5508613586426,-121.072059631348")</f>
        <v>http://maps.google.com/maps?f=q&amp;hl=en&amp;geocode=&amp;q=35.5508613586426,-121.072059631348</v>
      </c>
    </row>
    <row r="10242" spans="1:7" ht="15" x14ac:dyDescent="0.3">
      <c r="A10242">
        <v>12.130418777465801</v>
      </c>
      <c r="B10242">
        <v>97.733337402343807</v>
      </c>
      <c r="C10242" t="s">
        <v>43</v>
      </c>
      <c r="D10242" t="s">
        <v>5833</v>
      </c>
      <c r="F10242" s="21"/>
      <c r="G10242" s="16" t="str">
        <f>HYPERLINK("http://maps.google.com/maps?f=q&amp;hl=en&amp;geocode=&amp;q=12.1304187774658,97.7333374023438")</f>
        <v>http://maps.google.com/maps?f=q&amp;hl=en&amp;geocode=&amp;q=12.1304187774658,97.7333374023438</v>
      </c>
    </row>
    <row r="10243" spans="1:7" ht="15" x14ac:dyDescent="0.3">
      <c r="A10243">
        <v>12.130418777465801</v>
      </c>
      <c r="B10243">
        <v>97.733337402343807</v>
      </c>
      <c r="C10243" t="s">
        <v>43</v>
      </c>
      <c r="D10243" t="s">
        <v>5833</v>
      </c>
      <c r="F10243" s="21"/>
      <c r="G10243" s="16" t="str">
        <f>HYPERLINK("http://maps.google.com/maps?f=q&amp;hl=en&amp;geocode=&amp;q=12.1304187774658,97.7333374023438")</f>
        <v>http://maps.google.com/maps?f=q&amp;hl=en&amp;geocode=&amp;q=12.1304187774658,97.7333374023438</v>
      </c>
    </row>
    <row r="10244" spans="1:7" ht="15" x14ac:dyDescent="0.3">
      <c r="A10244">
        <v>30.7295020636335</v>
      </c>
      <c r="B10244">
        <v>-88.193778374084303</v>
      </c>
      <c r="C10244" t="s">
        <v>43</v>
      </c>
      <c r="D10244" t="s">
        <v>5836</v>
      </c>
      <c r="F10244" s="21"/>
      <c r="G10244" s="16" t="str">
        <f>HYPERLINK("http://maps.google.com/maps?f=q&amp;hl=en&amp;geocode=&amp;q=30.7295020636335,-88.1937783740843")</f>
        <v>http://maps.google.com/maps?f=q&amp;hl=en&amp;geocode=&amp;q=30.7295020636335,-88.1937783740843</v>
      </c>
    </row>
    <row r="10245" spans="1:7" ht="15" x14ac:dyDescent="0.3">
      <c r="A10245">
        <v>31.356929999999998</v>
      </c>
      <c r="B10245">
        <v>-89.800349999999995</v>
      </c>
      <c r="C10245" t="s">
        <v>43</v>
      </c>
      <c r="D10245" t="s">
        <v>5837</v>
      </c>
      <c r="F10245" s="21"/>
      <c r="G10245" s="16" t="str">
        <f>HYPERLINK("http://maps.google.com/maps?f=q&amp;hl=en&amp;geocode=&amp;q=31.35693,-89.80035")</f>
        <v>http://maps.google.com/maps?f=q&amp;hl=en&amp;geocode=&amp;q=31.35693,-89.80035</v>
      </c>
    </row>
    <row r="10246" spans="1:7" ht="15" x14ac:dyDescent="0.3">
      <c r="A10246">
        <v>49.657131195068402</v>
      </c>
      <c r="B10246">
        <v>6.1779217720031703</v>
      </c>
      <c r="C10246" t="s">
        <v>41</v>
      </c>
      <c r="D10246" t="s">
        <v>5838</v>
      </c>
      <c r="F10246" s="21"/>
      <c r="G10246" s="16" t="str">
        <f>HYPERLINK("http://maps.google.com/maps?f=q&amp;hl=en&amp;geocode=&amp;q=49.6571311950684,6.17792177200317")</f>
        <v>http://maps.google.com/maps?f=q&amp;hl=en&amp;geocode=&amp;q=49.6571311950684,6.17792177200317</v>
      </c>
    </row>
    <row r="10247" spans="1:7" ht="15" x14ac:dyDescent="0.3">
      <c r="A10247">
        <v>40.731639999999999</v>
      </c>
      <c r="B10247">
        <v>-74.155670000000001</v>
      </c>
      <c r="C10247" t="s">
        <v>41</v>
      </c>
      <c r="D10247" t="s">
        <v>3936</v>
      </c>
      <c r="F10247" s="21"/>
      <c r="G10247" s="16" t="str">
        <f>HYPERLINK("http://maps.google.com/maps?f=q&amp;hl=en&amp;geocode=&amp;q=40.73164,-74.15567")</f>
        <v>http://maps.google.com/maps?f=q&amp;hl=en&amp;geocode=&amp;q=40.73164,-74.15567</v>
      </c>
    </row>
    <row r="10248" spans="1:7" ht="15" x14ac:dyDescent="0.3">
      <c r="A10248">
        <v>39.924819999999997</v>
      </c>
      <c r="B10248">
        <v>-75.183009999999996</v>
      </c>
      <c r="C10248" t="s">
        <v>41</v>
      </c>
      <c r="D10248" t="s">
        <v>5839</v>
      </c>
      <c r="F10248" s="21"/>
      <c r="G10248" s="16" t="str">
        <f>HYPERLINK("http://maps.google.com/maps?f=q&amp;hl=en&amp;geocode=&amp;q=39.92482,-75.18301")</f>
        <v>http://maps.google.com/maps?f=q&amp;hl=en&amp;geocode=&amp;q=39.92482,-75.18301</v>
      </c>
    </row>
    <row r="10249" spans="1:7" ht="15" x14ac:dyDescent="0.3">
      <c r="F10249" s="21"/>
      <c r="G10249" s="16"/>
    </row>
    <row r="10250" spans="1:7" ht="15" x14ac:dyDescent="0.3">
      <c r="A10250" t="s">
        <v>44</v>
      </c>
      <c r="B10250" t="s">
        <v>44</v>
      </c>
      <c r="C10250" t="s">
        <v>44</v>
      </c>
      <c r="D10250" t="s">
        <v>5840</v>
      </c>
      <c r="F10250" s="21"/>
      <c r="G10250" s="16"/>
    </row>
    <row r="10251" spans="1:7" ht="15" x14ac:dyDescent="0.3">
      <c r="A10251" t="s">
        <v>44</v>
      </c>
      <c r="B10251" t="s">
        <v>44</v>
      </c>
      <c r="C10251" t="s">
        <v>44</v>
      </c>
      <c r="D10251" t="s">
        <v>981</v>
      </c>
      <c r="F10251" s="21"/>
      <c r="G10251" s="16"/>
    </row>
    <row r="10252" spans="1:7" ht="15" x14ac:dyDescent="0.3">
      <c r="A10252">
        <v>36.410994102443098</v>
      </c>
      <c r="B10252">
        <v>-102.540449969036</v>
      </c>
      <c r="C10252" t="s">
        <v>41</v>
      </c>
      <c r="D10252" t="s">
        <v>2179</v>
      </c>
      <c r="F10252" s="21"/>
      <c r="G10252" s="16" t="str">
        <f>HYPERLINK("http://maps.google.com/maps?f=q&amp;hl=en&amp;geocode=&amp;q=36.4109941024431,-102.540449969036")</f>
        <v>http://maps.google.com/maps?f=q&amp;hl=en&amp;geocode=&amp;q=36.4109941024431,-102.540449969036</v>
      </c>
    </row>
    <row r="10253" spans="1:7" ht="15" x14ac:dyDescent="0.3">
      <c r="A10253">
        <v>31.187072560810901</v>
      </c>
      <c r="B10253">
        <v>-94.779123271395306</v>
      </c>
      <c r="C10253" t="s">
        <v>41</v>
      </c>
      <c r="D10253" t="s">
        <v>5841</v>
      </c>
      <c r="F10253" s="21"/>
      <c r="G10253" s="16" t="str">
        <f>HYPERLINK("http://maps.google.com/maps?f=q&amp;hl=en&amp;geocode=&amp;q=31.1870725608109,-94.7791232713953")</f>
        <v>http://maps.google.com/maps?f=q&amp;hl=en&amp;geocode=&amp;q=31.1870725608109,-94.7791232713953</v>
      </c>
    </row>
    <row r="10254" spans="1:7" ht="15" x14ac:dyDescent="0.3">
      <c r="A10254">
        <v>-15.792110443115201</v>
      </c>
      <c r="B10254">
        <v>-47.897750854492202</v>
      </c>
      <c r="C10254" t="s">
        <v>41</v>
      </c>
      <c r="D10254" t="s">
        <v>5842</v>
      </c>
      <c r="F10254" s="21"/>
      <c r="G10254" s="16" t="str">
        <f>HYPERLINK("http://maps.google.com/maps?f=q&amp;hl=en&amp;geocode=&amp;q=-15.7921104431152,-47.8977508544922")</f>
        <v>http://maps.google.com/maps?f=q&amp;hl=en&amp;geocode=&amp;q=-15.7921104431152,-47.8977508544922</v>
      </c>
    </row>
    <row r="10255" spans="1:7" ht="15" x14ac:dyDescent="0.3">
      <c r="A10255">
        <v>-15.792110443115201</v>
      </c>
      <c r="B10255">
        <v>-47.897750854492202</v>
      </c>
      <c r="C10255" t="s">
        <v>41</v>
      </c>
      <c r="D10255" t="s">
        <v>5843</v>
      </c>
      <c r="F10255" s="21"/>
      <c r="G10255" s="16" t="str">
        <f>HYPERLINK("http://maps.google.com/maps?f=q&amp;hl=en&amp;geocode=&amp;q=-15.7921104431152,-47.8977508544922")</f>
        <v>http://maps.google.com/maps?f=q&amp;hl=en&amp;geocode=&amp;q=-15.7921104431152,-47.8977508544922</v>
      </c>
    </row>
    <row r="10256" spans="1:7" ht="15" x14ac:dyDescent="0.3">
      <c r="A10256">
        <v>-15.792110443115201</v>
      </c>
      <c r="B10256">
        <v>-47.897750854492202</v>
      </c>
      <c r="C10256" t="s">
        <v>41</v>
      </c>
      <c r="D10256" t="s">
        <v>5844</v>
      </c>
      <c r="F10256" s="21"/>
      <c r="G10256" s="16" t="str">
        <f>HYPERLINK("http://maps.google.com/maps?f=q&amp;hl=en&amp;geocode=&amp;q=-15.7921104431152,-47.8977508544922")</f>
        <v>http://maps.google.com/maps?f=q&amp;hl=en&amp;geocode=&amp;q=-15.7921104431152,-47.8977508544922</v>
      </c>
    </row>
    <row r="10257" spans="1:7" ht="15" x14ac:dyDescent="0.3">
      <c r="A10257">
        <v>40.025460000000002</v>
      </c>
      <c r="B10257">
        <v>-75.131270000000001</v>
      </c>
      <c r="C10257" t="s">
        <v>41</v>
      </c>
      <c r="D10257" t="s">
        <v>5405</v>
      </c>
      <c r="F10257" s="21"/>
      <c r="G10257" s="16" t="str">
        <f>HYPERLINK("http://maps.google.com/maps?f=q&amp;hl=en&amp;geocode=&amp;q=40.02546,-75.13127")</f>
        <v>http://maps.google.com/maps?f=q&amp;hl=en&amp;geocode=&amp;q=40.02546,-75.13127</v>
      </c>
    </row>
    <row r="10258" spans="1:7" ht="15" x14ac:dyDescent="0.3">
      <c r="A10258" t="s">
        <v>44</v>
      </c>
      <c r="B10258" t="s">
        <v>44</v>
      </c>
      <c r="C10258" t="s">
        <v>44</v>
      </c>
      <c r="D10258" t="s">
        <v>5845</v>
      </c>
      <c r="F10258" s="21"/>
      <c r="G10258" s="16"/>
    </row>
    <row r="10259" spans="1:7" ht="15" x14ac:dyDescent="0.3">
      <c r="A10259">
        <v>39.040599822997997</v>
      </c>
      <c r="B10259">
        <v>-120.63067626953099</v>
      </c>
      <c r="C10259" t="s">
        <v>43</v>
      </c>
      <c r="D10259" t="s">
        <v>2809</v>
      </c>
      <c r="F10259" s="21"/>
      <c r="G10259" s="16" t="str">
        <f>HYPERLINK("http://maps.google.com/maps?f=q&amp;hl=en&amp;geocode=&amp;q=39.040599822998,-120.630676269531")</f>
        <v>http://maps.google.com/maps?f=q&amp;hl=en&amp;geocode=&amp;q=39.040599822998,-120.630676269531</v>
      </c>
    </row>
    <row r="10260" spans="1:7" ht="15" x14ac:dyDescent="0.3">
      <c r="A10260" t="s">
        <v>44</v>
      </c>
      <c r="B10260" t="s">
        <v>44</v>
      </c>
      <c r="C10260" t="s">
        <v>44</v>
      </c>
      <c r="D10260" t="s">
        <v>1004</v>
      </c>
      <c r="F10260" s="21"/>
      <c r="G10260" s="16"/>
    </row>
    <row r="10261" spans="1:7" ht="15" x14ac:dyDescent="0.3">
      <c r="A10261">
        <v>42.8890991210938</v>
      </c>
      <c r="B10261">
        <v>-0.115970000624657</v>
      </c>
      <c r="C10261" t="s">
        <v>41</v>
      </c>
      <c r="D10261" t="s">
        <v>5846</v>
      </c>
      <c r="F10261" s="21"/>
      <c r="G10261" s="16" t="str">
        <f>HYPERLINK("http://maps.google.com/maps?f=q&amp;hl=en&amp;geocode=&amp;q=42.8890991210938,-0.115970000624657")</f>
        <v>http://maps.google.com/maps?f=q&amp;hl=en&amp;geocode=&amp;q=42.8890991210938,-0.115970000624657</v>
      </c>
    </row>
    <row r="10262" spans="1:7" ht="15" x14ac:dyDescent="0.3">
      <c r="A10262">
        <v>39.596282946410099</v>
      </c>
      <c r="B10262">
        <v>-75.934767639079396</v>
      </c>
      <c r="C10262" t="s">
        <v>41</v>
      </c>
      <c r="D10262" t="s">
        <v>5847</v>
      </c>
      <c r="F10262" s="21"/>
      <c r="G10262" s="16" t="str">
        <f>HYPERLINK("http://maps.google.com/maps?f=q&amp;hl=en&amp;geocode=&amp;q=39.5962829464101,-75.9347676390794")</f>
        <v>http://maps.google.com/maps?f=q&amp;hl=en&amp;geocode=&amp;q=39.5962829464101,-75.9347676390794</v>
      </c>
    </row>
    <row r="10263" spans="1:7" ht="15" x14ac:dyDescent="0.3">
      <c r="A10263">
        <v>40.472073935817498</v>
      </c>
      <c r="B10263">
        <v>-85.5051407227526</v>
      </c>
      <c r="C10263" t="s">
        <v>41</v>
      </c>
      <c r="D10263" t="s">
        <v>5848</v>
      </c>
      <c r="F10263" s="21"/>
      <c r="G10263" s="16" t="str">
        <f>HYPERLINK("http://maps.google.com/maps?f=q&amp;hl=en&amp;geocode=&amp;q=40.4720739358175,-85.5051407227526")</f>
        <v>http://maps.google.com/maps?f=q&amp;hl=en&amp;geocode=&amp;q=40.4720739358175,-85.5051407227526</v>
      </c>
    </row>
    <row r="10264" spans="1:7" ht="15" x14ac:dyDescent="0.3">
      <c r="A10264">
        <v>-36.718856811523402</v>
      </c>
      <c r="B10264">
        <v>142.19622802734401</v>
      </c>
      <c r="C10264" t="s">
        <v>43</v>
      </c>
      <c r="D10264" t="s">
        <v>86</v>
      </c>
      <c r="F10264" s="21"/>
      <c r="G10264" s="16" t="str">
        <f>HYPERLINK("http://maps.google.com/maps?f=q&amp;hl=en&amp;geocode=&amp;q=-36.7188568115234,142.196228027344")</f>
        <v>http://maps.google.com/maps?f=q&amp;hl=en&amp;geocode=&amp;q=-36.7188568115234,142.196228027344</v>
      </c>
    </row>
    <row r="10265" spans="1:7" ht="15" x14ac:dyDescent="0.3">
      <c r="A10265">
        <v>-36.718856811523402</v>
      </c>
      <c r="B10265">
        <v>142.19622802734401</v>
      </c>
      <c r="C10265" t="s">
        <v>43</v>
      </c>
      <c r="D10265" t="s">
        <v>86</v>
      </c>
      <c r="F10265" s="21"/>
      <c r="G10265" s="16" t="str">
        <f>HYPERLINK("http://maps.google.com/maps?f=q&amp;hl=en&amp;geocode=&amp;q=-36.7188568115234,142.196228027344")</f>
        <v>http://maps.google.com/maps?f=q&amp;hl=en&amp;geocode=&amp;q=-36.7188568115234,142.196228027344</v>
      </c>
    </row>
    <row r="10266" spans="1:7" ht="15" x14ac:dyDescent="0.3">
      <c r="A10266">
        <v>-26.142440000000001</v>
      </c>
      <c r="B10266">
        <v>27.91825</v>
      </c>
      <c r="C10266" t="s">
        <v>41</v>
      </c>
      <c r="D10266" t="s">
        <v>2558</v>
      </c>
      <c r="F10266" s="21"/>
      <c r="G10266" s="16" t="str">
        <f>HYPERLINK("http://maps.google.com/maps?f=q&amp;hl=en&amp;geocode=&amp;q=-26.14244,27.91825")</f>
        <v>http://maps.google.com/maps?f=q&amp;hl=en&amp;geocode=&amp;q=-26.14244,27.91825</v>
      </c>
    </row>
    <row r="10267" spans="1:7" ht="15" x14ac:dyDescent="0.3">
      <c r="A10267">
        <v>-26.142440000000001</v>
      </c>
      <c r="B10267">
        <v>27.91825</v>
      </c>
      <c r="C10267" t="s">
        <v>41</v>
      </c>
      <c r="D10267" t="s">
        <v>2558</v>
      </c>
      <c r="F10267" s="21"/>
      <c r="G10267" s="16" t="str">
        <f>HYPERLINK("http://maps.google.com/maps?f=q&amp;hl=en&amp;geocode=&amp;q=-26.14244,27.91825")</f>
        <v>http://maps.google.com/maps?f=q&amp;hl=en&amp;geocode=&amp;q=-26.14244,27.91825</v>
      </c>
    </row>
    <row r="10268" spans="1:7" ht="15" x14ac:dyDescent="0.3">
      <c r="A10268">
        <v>40.068809999999999</v>
      </c>
      <c r="B10268">
        <v>-75.054550000000006</v>
      </c>
      <c r="C10268" t="s">
        <v>41</v>
      </c>
      <c r="D10268" t="s">
        <v>5849</v>
      </c>
      <c r="F10268" s="21"/>
      <c r="G10268" s="16" t="str">
        <f>HYPERLINK("http://maps.google.com/maps?f=q&amp;hl=en&amp;geocode=&amp;q=40.06881,-75.05455")</f>
        <v>http://maps.google.com/maps?f=q&amp;hl=en&amp;geocode=&amp;q=40.06881,-75.05455</v>
      </c>
    </row>
    <row r="10269" spans="1:7" ht="15" x14ac:dyDescent="0.3">
      <c r="A10269">
        <v>42.7791938781738</v>
      </c>
      <c r="B10269">
        <v>-73.691421508789105</v>
      </c>
      <c r="C10269" t="s">
        <v>43</v>
      </c>
      <c r="D10269" t="s">
        <v>5850</v>
      </c>
      <c r="F10269" s="21"/>
      <c r="G10269" s="16" t="str">
        <f>HYPERLINK("http://maps.google.com/maps?f=q&amp;hl=en&amp;geocode=&amp;q=42.7791938781738,-73.6914215087891")</f>
        <v>http://maps.google.com/maps?f=q&amp;hl=en&amp;geocode=&amp;q=42.7791938781738,-73.6914215087891</v>
      </c>
    </row>
    <row r="10270" spans="1:7" ht="15" x14ac:dyDescent="0.3">
      <c r="A10270">
        <v>40.411601392660501</v>
      </c>
      <c r="B10270">
        <v>-84.471190364349894</v>
      </c>
      <c r="C10270" t="s">
        <v>41</v>
      </c>
      <c r="D10270" t="s">
        <v>5851</v>
      </c>
      <c r="F10270" s="21"/>
      <c r="G10270" s="16" t="str">
        <f>HYPERLINK("http://maps.google.com/maps?f=q&amp;hl=en&amp;geocode=&amp;q=40.4116013926605,-84.4711903643499")</f>
        <v>http://maps.google.com/maps?f=q&amp;hl=en&amp;geocode=&amp;q=40.4116013926605,-84.4711903643499</v>
      </c>
    </row>
    <row r="10271" spans="1:7" ht="15" x14ac:dyDescent="0.3">
      <c r="A10271">
        <v>46.593341827392599</v>
      </c>
      <c r="B10271">
        <v>4.8848099708557102</v>
      </c>
      <c r="C10271" t="s">
        <v>43</v>
      </c>
      <c r="D10271" t="s">
        <v>5852</v>
      </c>
      <c r="F10271" s="21"/>
      <c r="G10271" s="16" t="str">
        <f>HYPERLINK("http://maps.google.com/maps?f=q&amp;hl=en&amp;geocode=&amp;q=46.5933418273926,4.88480997085571")</f>
        <v>http://maps.google.com/maps?f=q&amp;hl=en&amp;geocode=&amp;q=46.5933418273926,4.88480997085571</v>
      </c>
    </row>
    <row r="10272" spans="1:7" ht="15" x14ac:dyDescent="0.3">
      <c r="A10272">
        <v>31.590142062035302</v>
      </c>
      <c r="B10272">
        <v>-100.560830409264</v>
      </c>
      <c r="C10272" t="s">
        <v>41</v>
      </c>
      <c r="D10272" t="s">
        <v>5687</v>
      </c>
      <c r="F10272" s="21"/>
      <c r="G10272" s="16" t="str">
        <f>HYPERLINK("http://maps.google.com/maps?f=q&amp;hl=en&amp;geocode=&amp;q=31.5901420620353,-100.560830409264")</f>
        <v>http://maps.google.com/maps?f=q&amp;hl=en&amp;geocode=&amp;q=31.5901420620353,-100.560830409264</v>
      </c>
    </row>
    <row r="10273" spans="1:7" ht="15" x14ac:dyDescent="0.3">
      <c r="A10273">
        <v>49.518180847167997</v>
      </c>
      <c r="B10273">
        <v>5.8978409767150897</v>
      </c>
      <c r="C10273" t="s">
        <v>41</v>
      </c>
      <c r="D10273" t="s">
        <v>2510</v>
      </c>
      <c r="F10273" s="21"/>
      <c r="G10273" s="16" t="str">
        <f>HYPERLINK("http://maps.google.com/maps?f=q&amp;hl=en&amp;geocode=&amp;q=49.518180847168,5.89784097671509")</f>
        <v>http://maps.google.com/maps?f=q&amp;hl=en&amp;geocode=&amp;q=49.518180847168,5.89784097671509</v>
      </c>
    </row>
    <row r="10274" spans="1:7" ht="15" x14ac:dyDescent="0.3">
      <c r="A10274">
        <v>49.518180847167997</v>
      </c>
      <c r="B10274">
        <v>5.8978409767150897</v>
      </c>
      <c r="C10274" t="s">
        <v>41</v>
      </c>
      <c r="D10274" t="s">
        <v>2510</v>
      </c>
      <c r="F10274" s="21"/>
      <c r="G10274" s="16" t="str">
        <f>HYPERLINK("http://maps.google.com/maps?f=q&amp;hl=en&amp;geocode=&amp;q=49.518180847168,5.89784097671509")</f>
        <v>http://maps.google.com/maps?f=q&amp;hl=en&amp;geocode=&amp;q=49.518180847168,5.89784097671509</v>
      </c>
    </row>
    <row r="10275" spans="1:7" ht="15" x14ac:dyDescent="0.3">
      <c r="A10275">
        <v>49.518180847167997</v>
      </c>
      <c r="B10275">
        <v>5.8978409767150897</v>
      </c>
      <c r="C10275" t="s">
        <v>41</v>
      </c>
      <c r="D10275" t="s">
        <v>2510</v>
      </c>
      <c r="F10275" s="21"/>
      <c r="G10275" s="16" t="str">
        <f>HYPERLINK("http://maps.google.com/maps?f=q&amp;hl=en&amp;geocode=&amp;q=49.518180847168,5.89784097671509")</f>
        <v>http://maps.google.com/maps?f=q&amp;hl=en&amp;geocode=&amp;q=49.518180847168,5.89784097671509</v>
      </c>
    </row>
    <row r="10276" spans="1:7" ht="15" x14ac:dyDescent="0.3">
      <c r="A10276">
        <v>39.993279999999999</v>
      </c>
      <c r="B10276">
        <v>-75.098560000000006</v>
      </c>
      <c r="C10276" t="s">
        <v>41</v>
      </c>
      <c r="D10276" t="s">
        <v>1697</v>
      </c>
      <c r="F10276" s="21"/>
      <c r="G10276" s="16" t="str">
        <f>HYPERLINK("http://maps.google.com/maps?f=q&amp;hl=en&amp;geocode=&amp;q=39.99328,-75.09856")</f>
        <v>http://maps.google.com/maps?f=q&amp;hl=en&amp;geocode=&amp;q=39.99328,-75.09856</v>
      </c>
    </row>
    <row r="10277" spans="1:7" ht="15" x14ac:dyDescent="0.3">
      <c r="A10277">
        <v>32.825830000000003</v>
      </c>
      <c r="B10277">
        <v>-79.808769999999996</v>
      </c>
      <c r="C10277" t="s">
        <v>42</v>
      </c>
      <c r="D10277" t="s">
        <v>5853</v>
      </c>
      <c r="F10277" s="21"/>
      <c r="G10277" s="16" t="str">
        <f>HYPERLINK("http://maps.google.com/maps?f=q&amp;hl=en&amp;geocode=&amp;q=32.82583,-79.80877")</f>
        <v>http://maps.google.com/maps?f=q&amp;hl=en&amp;geocode=&amp;q=32.82583,-79.80877</v>
      </c>
    </row>
    <row r="10278" spans="1:7" ht="15" x14ac:dyDescent="0.3">
      <c r="A10278">
        <v>38.025058746337898</v>
      </c>
      <c r="B10278">
        <v>-80.276618957519503</v>
      </c>
      <c r="C10278" t="s">
        <v>43</v>
      </c>
      <c r="D10278" t="s">
        <v>5854</v>
      </c>
      <c r="F10278" s="21"/>
      <c r="G10278" s="16" t="str">
        <f>HYPERLINK("http://maps.google.com/maps?f=q&amp;hl=en&amp;geocode=&amp;q=38.0250587463379,-80.2766189575195")</f>
        <v>http://maps.google.com/maps?f=q&amp;hl=en&amp;geocode=&amp;q=38.0250587463379,-80.2766189575195</v>
      </c>
    </row>
    <row r="10279" spans="1:7" ht="15" x14ac:dyDescent="0.3">
      <c r="A10279" t="s">
        <v>44</v>
      </c>
      <c r="B10279" t="s">
        <v>44</v>
      </c>
      <c r="C10279" t="s">
        <v>44</v>
      </c>
      <c r="D10279" t="s">
        <v>235</v>
      </c>
      <c r="F10279" s="21"/>
      <c r="G10279" s="16"/>
    </row>
    <row r="10280" spans="1:7" ht="15" x14ac:dyDescent="0.3">
      <c r="A10280">
        <v>40.061505963198499</v>
      </c>
      <c r="B10280">
        <v>-75.189721330044094</v>
      </c>
      <c r="C10280" t="s">
        <v>41</v>
      </c>
      <c r="D10280" t="s">
        <v>5855</v>
      </c>
      <c r="F10280" s="21"/>
      <c r="G10280" s="16" t="str">
        <f>HYPERLINK("http://maps.google.com/maps?f=q&amp;hl=en&amp;geocode=&amp;q=40.0615059631985,-75.1897213300441")</f>
        <v>http://maps.google.com/maps?f=q&amp;hl=en&amp;geocode=&amp;q=40.0615059631985,-75.1897213300441</v>
      </c>
    </row>
    <row r="10281" spans="1:7" ht="15" x14ac:dyDescent="0.3">
      <c r="A10281">
        <v>39.997210000000003</v>
      </c>
      <c r="B10281">
        <v>-75.178190000000001</v>
      </c>
      <c r="C10281" t="s">
        <v>41</v>
      </c>
      <c r="D10281" t="s">
        <v>4629</v>
      </c>
      <c r="F10281" s="21"/>
      <c r="G10281" s="16" t="str">
        <f>HYPERLINK("http://maps.google.com/maps?f=q&amp;hl=en&amp;geocode=&amp;q=39.99721,-75.17819")</f>
        <v>http://maps.google.com/maps?f=q&amp;hl=en&amp;geocode=&amp;q=39.99721,-75.17819</v>
      </c>
    </row>
    <row r="10282" spans="1:7" ht="15" x14ac:dyDescent="0.3">
      <c r="A10282">
        <v>40.9253</v>
      </c>
      <c r="B10282">
        <v>-79.952449999999999</v>
      </c>
      <c r="C10282" t="s">
        <v>41</v>
      </c>
      <c r="D10282" t="s">
        <v>5856</v>
      </c>
      <c r="F10282" s="21"/>
      <c r="G10282" s="16" t="str">
        <f>HYPERLINK("http://maps.google.com/maps?f=q&amp;hl=en&amp;geocode=&amp;q=40.9253,-79.95245")</f>
        <v>http://maps.google.com/maps?f=q&amp;hl=en&amp;geocode=&amp;q=40.9253,-79.95245</v>
      </c>
    </row>
    <row r="10283" spans="1:7" ht="15" x14ac:dyDescent="0.3">
      <c r="A10283" t="s">
        <v>44</v>
      </c>
      <c r="B10283" t="s">
        <v>44</v>
      </c>
      <c r="C10283" t="s">
        <v>44</v>
      </c>
      <c r="D10283" t="s">
        <v>5857</v>
      </c>
      <c r="F10283" s="21"/>
      <c r="G10283" s="16"/>
    </row>
    <row r="10284" spans="1:7" ht="15" x14ac:dyDescent="0.3">
      <c r="A10284">
        <v>29.751570766128001</v>
      </c>
      <c r="B10284">
        <v>-95.391962657526406</v>
      </c>
      <c r="C10284" t="s">
        <v>41</v>
      </c>
      <c r="D10284" t="s">
        <v>4887</v>
      </c>
      <c r="F10284" s="21"/>
      <c r="G10284" s="16" t="str">
        <f>HYPERLINK("http://maps.google.com/maps?f=q&amp;hl=en&amp;geocode=&amp;q=29.751570766128,-95.3919626575264")</f>
        <v>http://maps.google.com/maps?f=q&amp;hl=en&amp;geocode=&amp;q=29.751570766128,-95.3919626575264</v>
      </c>
    </row>
    <row r="10285" spans="1:7" ht="15" x14ac:dyDescent="0.3">
      <c r="A10285">
        <v>40.035670000000003</v>
      </c>
      <c r="B10285">
        <v>-75.185040000000001</v>
      </c>
      <c r="C10285" t="s">
        <v>41</v>
      </c>
      <c r="D10285" t="s">
        <v>5533</v>
      </c>
      <c r="F10285" s="21"/>
      <c r="G10285" s="16" t="str">
        <f>HYPERLINK("http://maps.google.com/maps?f=q&amp;hl=en&amp;geocode=&amp;q=40.03567,-75.18504")</f>
        <v>http://maps.google.com/maps?f=q&amp;hl=en&amp;geocode=&amp;q=40.03567,-75.18504</v>
      </c>
    </row>
    <row r="10286" spans="1:7" ht="15" x14ac:dyDescent="0.3">
      <c r="A10286">
        <v>37.540699005127003</v>
      </c>
      <c r="B10286">
        <v>-77.433647155761705</v>
      </c>
      <c r="C10286" t="s">
        <v>41</v>
      </c>
      <c r="D10286" t="s">
        <v>5858</v>
      </c>
      <c r="F10286" s="21"/>
      <c r="G10286" s="16" t="str">
        <f>HYPERLINK("http://maps.google.com/maps?f=q&amp;hl=en&amp;geocode=&amp;q=37.540699005127,-77.4336471557617")</f>
        <v>http://maps.google.com/maps?f=q&amp;hl=en&amp;geocode=&amp;q=37.540699005127,-77.4336471557617</v>
      </c>
    </row>
    <row r="10287" spans="1:7" ht="15" x14ac:dyDescent="0.3">
      <c r="A10287">
        <v>33.123768626313499</v>
      </c>
      <c r="B10287">
        <v>-85.060373123335395</v>
      </c>
      <c r="C10287" t="s">
        <v>43</v>
      </c>
      <c r="D10287" t="s">
        <v>5859</v>
      </c>
      <c r="F10287" s="21"/>
      <c r="G10287" s="16" t="str">
        <f>HYPERLINK("http://maps.google.com/maps?f=q&amp;hl=en&amp;geocode=&amp;q=33.1237686263135,-85.0603731233354")</f>
        <v>http://maps.google.com/maps?f=q&amp;hl=en&amp;geocode=&amp;q=33.1237686263135,-85.0603731233354</v>
      </c>
    </row>
    <row r="10288" spans="1:7" ht="15" x14ac:dyDescent="0.3">
      <c r="A10288">
        <v>33.123768626313499</v>
      </c>
      <c r="B10288">
        <v>-85.060373123335395</v>
      </c>
      <c r="C10288" t="s">
        <v>43</v>
      </c>
      <c r="D10288" t="s">
        <v>5859</v>
      </c>
      <c r="F10288" s="21"/>
      <c r="G10288" s="16" t="str">
        <f>HYPERLINK("http://maps.google.com/maps?f=q&amp;hl=en&amp;geocode=&amp;q=33.1237686263135,-85.0603731233354")</f>
        <v>http://maps.google.com/maps?f=q&amp;hl=en&amp;geocode=&amp;q=33.1237686263135,-85.0603731233354</v>
      </c>
    </row>
    <row r="10289" spans="1:7" ht="15" x14ac:dyDescent="0.3">
      <c r="A10289">
        <v>33.123768626313499</v>
      </c>
      <c r="B10289">
        <v>-85.060373123335395</v>
      </c>
      <c r="C10289" t="s">
        <v>43</v>
      </c>
      <c r="D10289" t="s">
        <v>5860</v>
      </c>
      <c r="F10289" s="21"/>
      <c r="G10289" s="16" t="str">
        <f>HYPERLINK("http://maps.google.com/maps?f=q&amp;hl=en&amp;geocode=&amp;q=33.1237686263135,-85.0603731233354")</f>
        <v>http://maps.google.com/maps?f=q&amp;hl=en&amp;geocode=&amp;q=33.1237686263135,-85.0603731233354</v>
      </c>
    </row>
    <row r="10290" spans="1:7" ht="15" x14ac:dyDescent="0.3">
      <c r="A10290">
        <v>33.123768626313499</v>
      </c>
      <c r="B10290">
        <v>-85.060373123335395</v>
      </c>
      <c r="C10290" t="s">
        <v>43</v>
      </c>
      <c r="D10290" t="s">
        <v>5860</v>
      </c>
      <c r="F10290" s="21"/>
      <c r="G10290" s="16" t="str">
        <f>HYPERLINK("http://maps.google.com/maps?f=q&amp;hl=en&amp;geocode=&amp;q=33.1237686263135,-85.0603731233354")</f>
        <v>http://maps.google.com/maps?f=q&amp;hl=en&amp;geocode=&amp;q=33.1237686263135,-85.0603731233354</v>
      </c>
    </row>
    <row r="10291" spans="1:7" ht="15" x14ac:dyDescent="0.3">
      <c r="A10291">
        <v>38.221339999999998</v>
      </c>
      <c r="B10291">
        <v>-85.797889999999995</v>
      </c>
      <c r="C10291" t="s">
        <v>43</v>
      </c>
      <c r="D10291" t="s">
        <v>5861</v>
      </c>
      <c r="F10291" s="21"/>
      <c r="G10291" s="16" t="str">
        <f>HYPERLINK("http://maps.google.com/maps?f=q&amp;hl=en&amp;geocode=&amp;q=38.22134,-85.79789")</f>
        <v>http://maps.google.com/maps?f=q&amp;hl=en&amp;geocode=&amp;q=38.22134,-85.79789</v>
      </c>
    </row>
    <row r="10292" spans="1:7" ht="15" x14ac:dyDescent="0.3">
      <c r="A10292">
        <v>33.123768626313499</v>
      </c>
      <c r="B10292">
        <v>-85.060373123335395</v>
      </c>
      <c r="C10292" t="s">
        <v>43</v>
      </c>
      <c r="D10292" t="s">
        <v>5860</v>
      </c>
      <c r="F10292" s="21"/>
      <c r="G10292" s="16" t="str">
        <f>HYPERLINK("http://maps.google.com/maps?f=q&amp;hl=en&amp;geocode=&amp;q=33.1237686263135,-85.0603731233354")</f>
        <v>http://maps.google.com/maps?f=q&amp;hl=en&amp;geocode=&amp;q=33.1237686263135,-85.0603731233354</v>
      </c>
    </row>
    <row r="10293" spans="1:7" ht="15" x14ac:dyDescent="0.3">
      <c r="A10293">
        <v>33.123768626313499</v>
      </c>
      <c r="B10293">
        <v>-85.060373123335395</v>
      </c>
      <c r="C10293" t="s">
        <v>43</v>
      </c>
      <c r="D10293" t="s">
        <v>5859</v>
      </c>
      <c r="F10293" s="21"/>
      <c r="G10293" s="16" t="str">
        <f>HYPERLINK("http://maps.google.com/maps?f=q&amp;hl=en&amp;geocode=&amp;q=33.1237686263135,-85.0603731233354")</f>
        <v>http://maps.google.com/maps?f=q&amp;hl=en&amp;geocode=&amp;q=33.1237686263135,-85.0603731233354</v>
      </c>
    </row>
    <row r="10294" spans="1:7" ht="15" x14ac:dyDescent="0.3">
      <c r="A10294">
        <v>33.123768626313499</v>
      </c>
      <c r="B10294">
        <v>-85.060373123335395</v>
      </c>
      <c r="C10294" t="s">
        <v>43</v>
      </c>
      <c r="D10294" t="s">
        <v>5860</v>
      </c>
      <c r="F10294" s="21"/>
      <c r="G10294" s="16" t="str">
        <f>HYPERLINK("http://maps.google.com/maps?f=q&amp;hl=en&amp;geocode=&amp;q=33.1237686263135,-85.0603731233354")</f>
        <v>http://maps.google.com/maps?f=q&amp;hl=en&amp;geocode=&amp;q=33.1237686263135,-85.0603731233354</v>
      </c>
    </row>
    <row r="10295" spans="1:7" ht="15" x14ac:dyDescent="0.3">
      <c r="A10295">
        <v>40.0385823652814</v>
      </c>
      <c r="B10295">
        <v>-75.171810157920902</v>
      </c>
      <c r="C10295" t="s">
        <v>41</v>
      </c>
      <c r="D10295" t="s">
        <v>5862</v>
      </c>
      <c r="F10295" s="21"/>
      <c r="G10295" s="16" t="str">
        <f>HYPERLINK("http://maps.google.com/maps?f=q&amp;hl=en&amp;geocode=&amp;q=40.0385823652814,-75.1718101579209")</f>
        <v>http://maps.google.com/maps?f=q&amp;hl=en&amp;geocode=&amp;q=40.0385823652814,-75.1718101579209</v>
      </c>
    </row>
    <row r="10296" spans="1:7" ht="15" x14ac:dyDescent="0.3">
      <c r="A10296">
        <v>49.4110107421875</v>
      </c>
      <c r="B10296">
        <v>14.675889968872101</v>
      </c>
      <c r="C10296" t="s">
        <v>41</v>
      </c>
      <c r="D10296" t="s">
        <v>5863</v>
      </c>
      <c r="F10296" s="21"/>
      <c r="G10296" s="16" t="str">
        <f>HYPERLINK("http://maps.google.com/maps?f=q&amp;hl=en&amp;geocode=&amp;q=49.4110107421875,14.6758899688721")</f>
        <v>http://maps.google.com/maps?f=q&amp;hl=en&amp;geocode=&amp;q=49.4110107421875,14.6758899688721</v>
      </c>
    </row>
    <row r="10297" spans="1:7" ht="15" x14ac:dyDescent="0.3">
      <c r="A10297">
        <v>49.4110107421875</v>
      </c>
      <c r="B10297">
        <v>14.675889968872101</v>
      </c>
      <c r="C10297" t="s">
        <v>41</v>
      </c>
      <c r="D10297" t="s">
        <v>5863</v>
      </c>
      <c r="F10297" s="21"/>
      <c r="G10297" s="16" t="str">
        <f>HYPERLINK("http://maps.google.com/maps?f=q&amp;hl=en&amp;geocode=&amp;q=49.4110107421875,14.6758899688721")</f>
        <v>http://maps.google.com/maps?f=q&amp;hl=en&amp;geocode=&amp;q=49.4110107421875,14.6758899688721</v>
      </c>
    </row>
    <row r="10298" spans="1:7" ht="15" x14ac:dyDescent="0.3">
      <c r="A10298">
        <v>49.4110107421875</v>
      </c>
      <c r="B10298">
        <v>14.675889968872101</v>
      </c>
      <c r="C10298" t="s">
        <v>41</v>
      </c>
      <c r="D10298" t="s">
        <v>5863</v>
      </c>
      <c r="F10298" s="21"/>
      <c r="G10298" s="16" t="str">
        <f>HYPERLINK("http://maps.google.com/maps?f=q&amp;hl=en&amp;geocode=&amp;q=49.4110107421875,14.6758899688721")</f>
        <v>http://maps.google.com/maps?f=q&amp;hl=en&amp;geocode=&amp;q=49.4110107421875,14.6758899688721</v>
      </c>
    </row>
    <row r="10299" spans="1:7" ht="15" x14ac:dyDescent="0.3">
      <c r="A10299">
        <v>39.018270000000001</v>
      </c>
      <c r="B10299">
        <v>-84.659059999999997</v>
      </c>
      <c r="C10299" t="s">
        <v>41</v>
      </c>
      <c r="D10299" t="s">
        <v>1296</v>
      </c>
      <c r="F10299" s="21"/>
      <c r="G10299" s="16" t="str">
        <f>HYPERLINK("http://maps.google.com/maps?f=q&amp;hl=en&amp;geocode=&amp;q=39.01827,-84.65906")</f>
        <v>http://maps.google.com/maps?f=q&amp;hl=en&amp;geocode=&amp;q=39.01827,-84.65906</v>
      </c>
    </row>
    <row r="10300" spans="1:7" ht="15" x14ac:dyDescent="0.3">
      <c r="A10300">
        <v>35.958046935190303</v>
      </c>
      <c r="B10300">
        <v>-77.473397765092201</v>
      </c>
      <c r="C10300" t="s">
        <v>41</v>
      </c>
      <c r="D10300" t="s">
        <v>3222</v>
      </c>
      <c r="F10300" s="21"/>
      <c r="G10300" s="16" t="str">
        <f>HYPERLINK("http://maps.google.com/maps?f=q&amp;hl=en&amp;geocode=&amp;q=35.9580469351903,-77.4733977650922")</f>
        <v>http://maps.google.com/maps?f=q&amp;hl=en&amp;geocode=&amp;q=35.9580469351903,-77.4733977650922</v>
      </c>
    </row>
    <row r="10301" spans="1:7" ht="15" x14ac:dyDescent="0.3">
      <c r="A10301" t="s">
        <v>44</v>
      </c>
      <c r="B10301" t="s">
        <v>44</v>
      </c>
      <c r="C10301" t="s">
        <v>44</v>
      </c>
      <c r="D10301" t="s">
        <v>254</v>
      </c>
      <c r="F10301" s="21"/>
      <c r="G10301" s="16"/>
    </row>
    <row r="10302" spans="1:7" ht="15" x14ac:dyDescent="0.3">
      <c r="A10302">
        <v>40.984580000000001</v>
      </c>
      <c r="B10302">
        <v>-81.435839999999999</v>
      </c>
      <c r="C10302" t="s">
        <v>42</v>
      </c>
      <c r="D10302" t="s">
        <v>2261</v>
      </c>
      <c r="F10302" s="21"/>
      <c r="G10302" s="16" t="str">
        <f>HYPERLINK("http://maps.google.com/maps?f=q&amp;hl=en&amp;geocode=&amp;q=40.98458,-81.43584")</f>
        <v>http://maps.google.com/maps?f=q&amp;hl=en&amp;geocode=&amp;q=40.98458,-81.43584</v>
      </c>
    </row>
    <row r="10303" spans="1:7" ht="15" x14ac:dyDescent="0.3">
      <c r="A10303">
        <v>39.040599822997997</v>
      </c>
      <c r="B10303">
        <v>-120.63067626953099</v>
      </c>
      <c r="C10303" t="s">
        <v>43</v>
      </c>
      <c r="D10303" t="s">
        <v>2809</v>
      </c>
      <c r="F10303" s="21"/>
      <c r="G10303" s="16" t="str">
        <f>HYPERLINK("http://maps.google.com/maps?f=q&amp;hl=en&amp;geocode=&amp;q=39.040599822998,-120.630676269531")</f>
        <v>http://maps.google.com/maps?f=q&amp;hl=en&amp;geocode=&amp;q=39.040599822998,-120.630676269531</v>
      </c>
    </row>
    <row r="10304" spans="1:7" ht="15" x14ac:dyDescent="0.3">
      <c r="A10304">
        <v>40.86157</v>
      </c>
      <c r="B10304">
        <v>-111.88437</v>
      </c>
      <c r="C10304" t="s">
        <v>42</v>
      </c>
      <c r="D10304" t="s">
        <v>2478</v>
      </c>
      <c r="F10304" s="21"/>
      <c r="G10304" s="16" t="str">
        <f>HYPERLINK("http://maps.google.com/maps?f=q&amp;hl=en&amp;geocode=&amp;q=40.86157,-111.88437")</f>
        <v>http://maps.google.com/maps?f=q&amp;hl=en&amp;geocode=&amp;q=40.86157,-111.88437</v>
      </c>
    </row>
    <row r="10305" spans="1:7" ht="15" x14ac:dyDescent="0.3">
      <c r="A10305">
        <v>43.626619473716502</v>
      </c>
      <c r="B10305">
        <v>-84.2213102067726</v>
      </c>
      <c r="C10305" t="s">
        <v>41</v>
      </c>
      <c r="D10305" t="s">
        <v>5864</v>
      </c>
      <c r="F10305" s="21"/>
      <c r="G10305" s="16" t="str">
        <f>HYPERLINK("http://maps.google.com/maps?f=q&amp;hl=en&amp;geocode=&amp;q=43.6266194737165,-84.2213102067726")</f>
        <v>http://maps.google.com/maps?f=q&amp;hl=en&amp;geocode=&amp;q=43.6266194737165,-84.2213102067726</v>
      </c>
    </row>
    <row r="10306" spans="1:7" ht="15" x14ac:dyDescent="0.3">
      <c r="A10306">
        <v>36.264324988896803</v>
      </c>
      <c r="B10306">
        <v>-87.366783350203093</v>
      </c>
      <c r="C10306" t="s">
        <v>42</v>
      </c>
      <c r="D10306" t="s">
        <v>3510</v>
      </c>
      <c r="F10306" s="21"/>
      <c r="G10306" s="16" t="str">
        <f>HYPERLINK("http://maps.google.com/maps?f=q&amp;hl=en&amp;geocode=&amp;q=36.2643249888968,-87.3667833502031")</f>
        <v>http://maps.google.com/maps?f=q&amp;hl=en&amp;geocode=&amp;q=36.2643249888968,-87.3667833502031</v>
      </c>
    </row>
    <row r="10307" spans="1:7" ht="15" x14ac:dyDescent="0.3">
      <c r="A10307">
        <v>36.264324988896803</v>
      </c>
      <c r="B10307">
        <v>-87.366783350203093</v>
      </c>
      <c r="C10307" t="s">
        <v>42</v>
      </c>
      <c r="D10307" t="s">
        <v>3510</v>
      </c>
      <c r="F10307" s="21"/>
      <c r="G10307" s="16" t="str">
        <f>HYPERLINK("http://maps.google.com/maps?f=q&amp;hl=en&amp;geocode=&amp;q=36.2643249888968,-87.3667833502031")</f>
        <v>http://maps.google.com/maps?f=q&amp;hl=en&amp;geocode=&amp;q=36.2643249888968,-87.3667833502031</v>
      </c>
    </row>
    <row r="10308" spans="1:7" ht="15" x14ac:dyDescent="0.3">
      <c r="A10308">
        <v>36.264324988896803</v>
      </c>
      <c r="B10308">
        <v>-87.366783350203093</v>
      </c>
      <c r="C10308" t="s">
        <v>42</v>
      </c>
      <c r="D10308" t="s">
        <v>3510</v>
      </c>
      <c r="F10308" s="21"/>
      <c r="G10308" s="16" t="str">
        <f>HYPERLINK("http://maps.google.com/maps?f=q&amp;hl=en&amp;geocode=&amp;q=36.2643249888968,-87.3667833502031")</f>
        <v>http://maps.google.com/maps?f=q&amp;hl=en&amp;geocode=&amp;q=36.2643249888968,-87.3667833502031</v>
      </c>
    </row>
    <row r="10309" spans="1:7" ht="15" x14ac:dyDescent="0.3">
      <c r="A10309">
        <v>43.032909393310497</v>
      </c>
      <c r="B10309">
        <v>23.385480880737301</v>
      </c>
      <c r="C10309" t="s">
        <v>43</v>
      </c>
      <c r="D10309" t="s">
        <v>5865</v>
      </c>
      <c r="F10309" s="21"/>
      <c r="G10309" s="16" t="str">
        <f>HYPERLINK("http://maps.google.com/maps?f=q&amp;hl=en&amp;geocode=&amp;q=43.0329093933105,23.3854808807373")</f>
        <v>http://maps.google.com/maps?f=q&amp;hl=en&amp;geocode=&amp;q=43.0329093933105,23.3854808807373</v>
      </c>
    </row>
    <row r="10310" spans="1:7" ht="15" x14ac:dyDescent="0.3">
      <c r="A10310">
        <v>49.518180847167997</v>
      </c>
      <c r="B10310">
        <v>5.8978409767150897</v>
      </c>
      <c r="C10310" t="s">
        <v>41</v>
      </c>
      <c r="D10310" t="s">
        <v>2510</v>
      </c>
      <c r="F10310" s="21"/>
      <c r="G10310" s="16" t="str">
        <f>HYPERLINK("http://maps.google.com/maps?f=q&amp;hl=en&amp;geocode=&amp;q=49.518180847168,5.89784097671509")</f>
        <v>http://maps.google.com/maps?f=q&amp;hl=en&amp;geocode=&amp;q=49.518180847168,5.89784097671509</v>
      </c>
    </row>
    <row r="10311" spans="1:7" ht="15" x14ac:dyDescent="0.3">
      <c r="A10311">
        <v>49.518180847167997</v>
      </c>
      <c r="B10311">
        <v>5.8978409767150897</v>
      </c>
      <c r="C10311" t="s">
        <v>41</v>
      </c>
      <c r="D10311" t="s">
        <v>2510</v>
      </c>
      <c r="F10311" s="21"/>
      <c r="G10311" s="16" t="str">
        <f>HYPERLINK("http://maps.google.com/maps?f=q&amp;hl=en&amp;geocode=&amp;q=49.518180847168,5.89784097671509")</f>
        <v>http://maps.google.com/maps?f=q&amp;hl=en&amp;geocode=&amp;q=49.518180847168,5.89784097671509</v>
      </c>
    </row>
    <row r="10312" spans="1:7" ht="15" x14ac:dyDescent="0.3">
      <c r="A10312">
        <v>49.518180847167997</v>
      </c>
      <c r="B10312">
        <v>5.8978409767150897</v>
      </c>
      <c r="C10312" t="s">
        <v>41</v>
      </c>
      <c r="D10312" t="s">
        <v>2510</v>
      </c>
      <c r="F10312" s="21"/>
      <c r="G10312" s="16" t="str">
        <f>HYPERLINK("http://maps.google.com/maps?f=q&amp;hl=en&amp;geocode=&amp;q=49.518180847168,5.89784097671509")</f>
        <v>http://maps.google.com/maps?f=q&amp;hl=en&amp;geocode=&amp;q=49.518180847168,5.89784097671509</v>
      </c>
    </row>
    <row r="10313" spans="1:7" ht="15" x14ac:dyDescent="0.3">
      <c r="A10313">
        <v>49.518180847167997</v>
      </c>
      <c r="B10313">
        <v>5.8978409767150897</v>
      </c>
      <c r="C10313" t="s">
        <v>41</v>
      </c>
      <c r="D10313" t="s">
        <v>2510</v>
      </c>
      <c r="F10313" s="21"/>
      <c r="G10313" s="16" t="str">
        <f>HYPERLINK("http://maps.google.com/maps?f=q&amp;hl=en&amp;geocode=&amp;q=49.518180847168,5.89784097671509")</f>
        <v>http://maps.google.com/maps?f=q&amp;hl=en&amp;geocode=&amp;q=49.518180847168,5.89784097671509</v>
      </c>
    </row>
    <row r="10314" spans="1:7" ht="15" x14ac:dyDescent="0.3">
      <c r="A10314">
        <v>-26.541507720947301</v>
      </c>
      <c r="B10314">
        <v>151.51295471191401</v>
      </c>
      <c r="C10314" t="s">
        <v>41</v>
      </c>
      <c r="D10314" t="s">
        <v>5866</v>
      </c>
      <c r="F10314" s="21"/>
      <c r="G10314" s="16" t="str">
        <f>HYPERLINK("http://maps.google.com/maps?f=q&amp;hl=en&amp;geocode=&amp;q=-26.5415077209473,151.512954711914")</f>
        <v>http://maps.google.com/maps?f=q&amp;hl=en&amp;geocode=&amp;q=-26.5415077209473,151.512954711914</v>
      </c>
    </row>
    <row r="10315" spans="1:7" ht="15" x14ac:dyDescent="0.3">
      <c r="A10315">
        <v>33.731787494988403</v>
      </c>
      <c r="B10315">
        <v>-84.263395931295506</v>
      </c>
      <c r="C10315" t="s">
        <v>41</v>
      </c>
      <c r="D10315" t="s">
        <v>5867</v>
      </c>
      <c r="F10315" s="21"/>
      <c r="G10315" s="16" t="str">
        <f>HYPERLINK("http://maps.google.com/maps?f=q&amp;hl=en&amp;geocode=&amp;q=33.7317874949884,-84.2633959312955")</f>
        <v>http://maps.google.com/maps?f=q&amp;hl=en&amp;geocode=&amp;q=33.7317874949884,-84.2633959312955</v>
      </c>
    </row>
    <row r="10316" spans="1:7" ht="15" x14ac:dyDescent="0.3">
      <c r="A10316" t="s">
        <v>44</v>
      </c>
      <c r="B10316" t="s">
        <v>44</v>
      </c>
      <c r="C10316" t="s">
        <v>44</v>
      </c>
      <c r="D10316" t="s">
        <v>1004</v>
      </c>
      <c r="F10316" s="21"/>
      <c r="G10316" s="16"/>
    </row>
    <row r="10317" spans="1:7" ht="15" x14ac:dyDescent="0.3">
      <c r="A10317">
        <v>55.444797515869098</v>
      </c>
      <c r="B10317">
        <v>12.1309967041016</v>
      </c>
      <c r="C10317" t="s">
        <v>41</v>
      </c>
      <c r="D10317" t="s">
        <v>5662</v>
      </c>
      <c r="F10317" s="21"/>
      <c r="G10317" s="16" t="str">
        <f>HYPERLINK("http://maps.google.com/maps?f=q&amp;hl=en&amp;geocode=&amp;q=55.4447975158691,12.1309967041016")</f>
        <v>http://maps.google.com/maps?f=q&amp;hl=en&amp;geocode=&amp;q=55.4447975158691,12.1309967041016</v>
      </c>
    </row>
    <row r="10318" spans="1:7" ht="15" x14ac:dyDescent="0.3">
      <c r="A10318">
        <v>37.424826122514403</v>
      </c>
      <c r="B10318">
        <v>-93.368583138985301</v>
      </c>
      <c r="C10318" t="s">
        <v>41</v>
      </c>
      <c r="D10318" t="s">
        <v>5868</v>
      </c>
      <c r="F10318" s="21"/>
      <c r="G10318" s="16" t="str">
        <f>HYPERLINK("http://maps.google.com/maps?f=q&amp;hl=en&amp;geocode=&amp;q=37.4248261225144,-93.3685831389853")</f>
        <v>http://maps.google.com/maps?f=q&amp;hl=en&amp;geocode=&amp;q=37.4248261225144,-93.3685831389853</v>
      </c>
    </row>
    <row r="10319" spans="1:7" ht="15" x14ac:dyDescent="0.3">
      <c r="A10319">
        <v>-33.274250000000002</v>
      </c>
      <c r="B10319">
        <v>115.7165</v>
      </c>
      <c r="C10319" t="s">
        <v>41</v>
      </c>
      <c r="D10319" t="s">
        <v>5869</v>
      </c>
      <c r="F10319" s="21"/>
      <c r="G10319" s="16" t="str">
        <f>HYPERLINK("http://maps.google.com/maps?f=q&amp;hl=en&amp;geocode=&amp;q=-33.27425,115.7165")</f>
        <v>http://maps.google.com/maps?f=q&amp;hl=en&amp;geocode=&amp;q=-33.27425,115.7165</v>
      </c>
    </row>
    <row r="10320" spans="1:7" ht="15" x14ac:dyDescent="0.3">
      <c r="A10320">
        <v>33.980416433089303</v>
      </c>
      <c r="B10320">
        <v>-117.99126226228699</v>
      </c>
      <c r="C10320" t="s">
        <v>43</v>
      </c>
      <c r="D10320" t="s">
        <v>5870</v>
      </c>
      <c r="F10320" s="21"/>
      <c r="G10320" s="16" t="str">
        <f>HYPERLINK("http://maps.google.com/maps?f=q&amp;hl=en&amp;geocode=&amp;q=33.9804164330893,-117.991262262287")</f>
        <v>http://maps.google.com/maps?f=q&amp;hl=en&amp;geocode=&amp;q=33.9804164330893,-117.991262262287</v>
      </c>
    </row>
    <row r="10321" spans="1:7" ht="15" x14ac:dyDescent="0.3">
      <c r="A10321">
        <v>40.043520000000001</v>
      </c>
      <c r="B10321">
        <v>-75.098870000000005</v>
      </c>
      <c r="C10321" t="s">
        <v>41</v>
      </c>
      <c r="D10321" t="s">
        <v>5871</v>
      </c>
      <c r="F10321" s="21"/>
      <c r="G10321" s="16" t="str">
        <f>HYPERLINK("http://maps.google.com/maps?f=q&amp;hl=en&amp;geocode=&amp;q=40.04352,-75.09887")</f>
        <v>http://maps.google.com/maps?f=q&amp;hl=en&amp;geocode=&amp;q=40.04352,-75.09887</v>
      </c>
    </row>
    <row r="10322" spans="1:7" ht="15" x14ac:dyDescent="0.3">
      <c r="A10322">
        <v>40.008600000000001</v>
      </c>
      <c r="B10322">
        <v>-75.099540000000005</v>
      </c>
      <c r="C10322" t="s">
        <v>41</v>
      </c>
      <c r="D10322" t="s">
        <v>2820</v>
      </c>
      <c r="F10322" s="21"/>
      <c r="G10322" s="16" t="str">
        <f>HYPERLINK("http://maps.google.com/maps?f=q&amp;hl=en&amp;geocode=&amp;q=40.0086,-75.09954")</f>
        <v>http://maps.google.com/maps?f=q&amp;hl=en&amp;geocode=&amp;q=40.0086,-75.09954</v>
      </c>
    </row>
    <row r="10323" spans="1:7" ht="15" x14ac:dyDescent="0.3">
      <c r="A10323">
        <v>40.039963098159802</v>
      </c>
      <c r="B10323">
        <v>-75.076729436956697</v>
      </c>
      <c r="C10323" t="s">
        <v>41</v>
      </c>
      <c r="D10323" t="s">
        <v>5546</v>
      </c>
      <c r="F10323" s="21"/>
      <c r="G10323" s="16" t="str">
        <f>HYPERLINK("http://maps.google.com/maps?f=q&amp;hl=en&amp;geocode=&amp;q=40.0399630981598,-75.0767294369567")</f>
        <v>http://maps.google.com/maps?f=q&amp;hl=en&amp;geocode=&amp;q=40.0399630981598,-75.0767294369567</v>
      </c>
    </row>
    <row r="10324" spans="1:7" ht="15" x14ac:dyDescent="0.3">
      <c r="A10324">
        <v>36.170515501552003</v>
      </c>
      <c r="B10324">
        <v>-86.802620158386205</v>
      </c>
      <c r="C10324" t="s">
        <v>41</v>
      </c>
      <c r="D10324" t="s">
        <v>5872</v>
      </c>
      <c r="F10324" s="21"/>
      <c r="G10324" s="16" t="str">
        <f>HYPERLINK("http://maps.google.com/maps?f=q&amp;hl=en&amp;geocode=&amp;q=36.170515501552,-86.8026201583862")</f>
        <v>http://maps.google.com/maps?f=q&amp;hl=en&amp;geocode=&amp;q=36.170515501552,-86.8026201583862</v>
      </c>
    </row>
    <row r="10325" spans="1:7" ht="15" x14ac:dyDescent="0.3">
      <c r="A10325">
        <v>40.043282529474297</v>
      </c>
      <c r="B10325">
        <v>-75.075860464798893</v>
      </c>
      <c r="C10325" t="s">
        <v>41</v>
      </c>
      <c r="D10325" t="s">
        <v>2445</v>
      </c>
      <c r="F10325" s="21"/>
      <c r="G10325" s="16" t="str">
        <f>HYPERLINK("http://maps.google.com/maps?f=q&amp;hl=en&amp;geocode=&amp;q=40.0432825294743,-75.0758604647989")</f>
        <v>http://maps.google.com/maps?f=q&amp;hl=en&amp;geocode=&amp;q=40.0432825294743,-75.0758604647989</v>
      </c>
    </row>
    <row r="10326" spans="1:7" ht="15" x14ac:dyDescent="0.3">
      <c r="A10326">
        <v>39.8439545413529</v>
      </c>
      <c r="B10326">
        <v>-77.6063966345653</v>
      </c>
      <c r="C10326" t="s">
        <v>41</v>
      </c>
      <c r="D10326" t="s">
        <v>3669</v>
      </c>
      <c r="F10326" s="21"/>
      <c r="G10326" s="16" t="str">
        <f>HYPERLINK("http://maps.google.com/maps?f=q&amp;hl=en&amp;geocode=&amp;q=39.8439545413529,-77.6063966345653")</f>
        <v>http://maps.google.com/maps?f=q&amp;hl=en&amp;geocode=&amp;q=39.8439545413529,-77.6063966345653</v>
      </c>
    </row>
    <row r="10327" spans="1:7" ht="15" x14ac:dyDescent="0.3">
      <c r="A10327">
        <v>39.843861603458301</v>
      </c>
      <c r="B10327">
        <v>-77.606246319923102</v>
      </c>
      <c r="C10327" t="s">
        <v>41</v>
      </c>
      <c r="D10327" t="s">
        <v>5243</v>
      </c>
      <c r="F10327" s="21"/>
      <c r="G10327" s="16" t="str">
        <f>HYPERLINK("http://maps.google.com/maps?f=q&amp;hl=en&amp;geocode=&amp;q=39.8438616034583,-77.6062463199231")</f>
        <v>http://maps.google.com/maps?f=q&amp;hl=en&amp;geocode=&amp;q=39.8438616034583,-77.6062463199231</v>
      </c>
    </row>
    <row r="10328" spans="1:7" ht="15" x14ac:dyDescent="0.3">
      <c r="A10328">
        <v>-32.476999900000003</v>
      </c>
      <c r="B10328">
        <v>115.78574</v>
      </c>
      <c r="C10328" t="s">
        <v>41</v>
      </c>
      <c r="D10328" t="s">
        <v>306</v>
      </c>
      <c r="F10328" s="21"/>
      <c r="G10328" s="16" t="str">
        <f>HYPERLINK("http://maps.google.com/maps?f=q&amp;hl=en&amp;geocode=&amp;q=-32.4769999,115.78574")</f>
        <v>http://maps.google.com/maps?f=q&amp;hl=en&amp;geocode=&amp;q=-32.4769999,115.78574</v>
      </c>
    </row>
    <row r="10329" spans="1:7" ht="15" x14ac:dyDescent="0.3">
      <c r="A10329">
        <v>40.03978</v>
      </c>
      <c r="B10329">
        <v>-75.071520000000007</v>
      </c>
      <c r="C10329" t="s">
        <v>41</v>
      </c>
      <c r="D10329" t="s">
        <v>5873</v>
      </c>
      <c r="F10329" s="21"/>
      <c r="G10329" s="16" t="str">
        <f>HYPERLINK("http://maps.google.com/maps?f=q&amp;hl=en&amp;geocode=&amp;q=40.03978,-75.07152")</f>
        <v>http://maps.google.com/maps?f=q&amp;hl=en&amp;geocode=&amp;q=40.03978,-75.07152</v>
      </c>
    </row>
    <row r="10330" spans="1:7" ht="15" x14ac:dyDescent="0.3">
      <c r="A10330">
        <v>40.84984</v>
      </c>
      <c r="B10330">
        <v>-73.918869999999998</v>
      </c>
      <c r="C10330" t="s">
        <v>41</v>
      </c>
      <c r="D10330" t="s">
        <v>5874</v>
      </c>
      <c r="F10330" s="21"/>
      <c r="G10330" s="16" t="str">
        <f>HYPERLINK("http://maps.google.com/maps?f=q&amp;hl=en&amp;geocode=&amp;q=40.84984,-73.91887")</f>
        <v>http://maps.google.com/maps?f=q&amp;hl=en&amp;geocode=&amp;q=40.84984,-73.91887</v>
      </c>
    </row>
    <row r="10331" spans="1:7" ht="15" x14ac:dyDescent="0.3">
      <c r="A10331">
        <v>39.972670000000001</v>
      </c>
      <c r="B10331">
        <v>-75.180880000000002</v>
      </c>
      <c r="C10331" t="s">
        <v>41</v>
      </c>
      <c r="D10331" t="s">
        <v>5875</v>
      </c>
      <c r="F10331" s="21"/>
      <c r="G10331" s="16" t="str">
        <f>HYPERLINK("http://maps.google.com/maps?f=q&amp;hl=en&amp;geocode=&amp;q=39.97267,-75.18088")</f>
        <v>http://maps.google.com/maps?f=q&amp;hl=en&amp;geocode=&amp;q=39.97267,-75.18088</v>
      </c>
    </row>
    <row r="10332" spans="1:7" ht="15" x14ac:dyDescent="0.3">
      <c r="A10332">
        <v>39.972670000000001</v>
      </c>
      <c r="B10332">
        <v>-75.180880000000002</v>
      </c>
      <c r="C10332" t="s">
        <v>41</v>
      </c>
      <c r="D10332" t="s">
        <v>5875</v>
      </c>
      <c r="F10332" s="21"/>
      <c r="G10332" s="16" t="str">
        <f>HYPERLINK("http://maps.google.com/maps?f=q&amp;hl=en&amp;geocode=&amp;q=39.97267,-75.18088")</f>
        <v>http://maps.google.com/maps?f=q&amp;hl=en&amp;geocode=&amp;q=39.97267,-75.18088</v>
      </c>
    </row>
    <row r="10333" spans="1:7" ht="15" x14ac:dyDescent="0.3">
      <c r="A10333">
        <v>39.972670000000001</v>
      </c>
      <c r="B10333">
        <v>-75.180880000000002</v>
      </c>
      <c r="C10333" t="s">
        <v>41</v>
      </c>
      <c r="D10333" t="s">
        <v>5875</v>
      </c>
      <c r="F10333" s="21"/>
      <c r="G10333" s="16" t="str">
        <f>HYPERLINK("http://maps.google.com/maps?f=q&amp;hl=en&amp;geocode=&amp;q=39.97267,-75.18088")</f>
        <v>http://maps.google.com/maps?f=q&amp;hl=en&amp;geocode=&amp;q=39.97267,-75.18088</v>
      </c>
    </row>
    <row r="10334" spans="1:7" ht="15" x14ac:dyDescent="0.3">
      <c r="A10334">
        <v>39.972670000000001</v>
      </c>
      <c r="B10334">
        <v>-75.180880000000002</v>
      </c>
      <c r="C10334" t="s">
        <v>41</v>
      </c>
      <c r="D10334" t="s">
        <v>5875</v>
      </c>
      <c r="F10334" s="21"/>
      <c r="G10334" s="16" t="str">
        <f>HYPERLINK("http://maps.google.com/maps?f=q&amp;hl=en&amp;geocode=&amp;q=39.97267,-75.18088")</f>
        <v>http://maps.google.com/maps?f=q&amp;hl=en&amp;geocode=&amp;q=39.97267,-75.18088</v>
      </c>
    </row>
    <row r="10335" spans="1:7" ht="15" x14ac:dyDescent="0.3">
      <c r="A10335">
        <v>39.586230718683403</v>
      </c>
      <c r="B10335">
        <v>-87.462616023764298</v>
      </c>
      <c r="C10335" t="s">
        <v>41</v>
      </c>
      <c r="D10335" t="s">
        <v>5876</v>
      </c>
      <c r="F10335" s="21"/>
      <c r="G10335" s="16" t="str">
        <f>HYPERLINK("http://maps.google.com/maps?f=q&amp;hl=en&amp;geocode=&amp;q=39.5862307186834,-87.4626160237643")</f>
        <v>http://maps.google.com/maps?f=q&amp;hl=en&amp;geocode=&amp;q=39.5862307186834,-87.4626160237643</v>
      </c>
    </row>
    <row r="10336" spans="1:7" ht="15" x14ac:dyDescent="0.3">
      <c r="A10336">
        <v>39.973269999999999</v>
      </c>
      <c r="B10336">
        <v>-75.185540000000003</v>
      </c>
      <c r="C10336" t="s">
        <v>41</v>
      </c>
      <c r="D10336" t="s">
        <v>5877</v>
      </c>
      <c r="F10336" s="21"/>
      <c r="G10336" s="16" t="str">
        <f>HYPERLINK("http://maps.google.com/maps?f=q&amp;hl=en&amp;geocode=&amp;q=39.97327,-75.18554")</f>
        <v>http://maps.google.com/maps?f=q&amp;hl=en&amp;geocode=&amp;q=39.97327,-75.18554</v>
      </c>
    </row>
    <row r="10337" spans="1:7" ht="15" x14ac:dyDescent="0.3">
      <c r="A10337">
        <v>51.501274108886697</v>
      </c>
      <c r="B10337">
        <v>-0.224337592720985</v>
      </c>
      <c r="C10337" t="s">
        <v>41</v>
      </c>
      <c r="D10337" t="s">
        <v>5878</v>
      </c>
      <c r="F10337" s="21"/>
      <c r="G10337" s="16" t="str">
        <f>HYPERLINK("http://maps.google.com/maps?f=q&amp;hl=en&amp;geocode=&amp;q=51.5012741088867,-0.224337592720985")</f>
        <v>http://maps.google.com/maps?f=q&amp;hl=en&amp;geocode=&amp;q=51.5012741088867,-0.224337592720985</v>
      </c>
    </row>
    <row r="10338" spans="1:7" ht="15" x14ac:dyDescent="0.3">
      <c r="A10338">
        <v>39.156637618296799</v>
      </c>
      <c r="B10338">
        <v>-84.462920962186999</v>
      </c>
      <c r="C10338" t="s">
        <v>41</v>
      </c>
      <c r="D10338" t="s">
        <v>5879</v>
      </c>
      <c r="F10338" s="21"/>
      <c r="G10338" s="16" t="str">
        <f>HYPERLINK("http://maps.google.com/maps?f=q&amp;hl=en&amp;geocode=&amp;q=39.1566376182968,-84.462920962187")</f>
        <v>http://maps.google.com/maps?f=q&amp;hl=en&amp;geocode=&amp;q=39.1566376182968,-84.462920962187</v>
      </c>
    </row>
    <row r="10339" spans="1:7" ht="15" x14ac:dyDescent="0.3">
      <c r="A10339">
        <v>32.920580000000001</v>
      </c>
      <c r="B10339">
        <v>-107.56554</v>
      </c>
      <c r="C10339" t="s">
        <v>42</v>
      </c>
      <c r="D10339" t="s">
        <v>1690</v>
      </c>
      <c r="F10339" s="21"/>
      <c r="G10339" s="16" t="str">
        <f>HYPERLINK("http://maps.google.com/maps?f=q&amp;hl=en&amp;geocode=&amp;q=32.92058,-107.56554")</f>
        <v>http://maps.google.com/maps?f=q&amp;hl=en&amp;geocode=&amp;q=32.92058,-107.56554</v>
      </c>
    </row>
    <row r="10340" spans="1:7" ht="15" x14ac:dyDescent="0.3">
      <c r="A10340">
        <v>51.402931213378899</v>
      </c>
      <c r="B10340">
        <v>-0.26279401779174799</v>
      </c>
      <c r="C10340" t="s">
        <v>41</v>
      </c>
      <c r="D10340" t="s">
        <v>5880</v>
      </c>
      <c r="F10340" s="21"/>
      <c r="G10340" s="16" t="str">
        <f>HYPERLINK("http://maps.google.com/maps?f=q&amp;hl=en&amp;geocode=&amp;q=51.4029312133789,-0.262794017791748")</f>
        <v>http://maps.google.com/maps?f=q&amp;hl=en&amp;geocode=&amp;q=51.4029312133789,-0.262794017791748</v>
      </c>
    </row>
    <row r="10341" spans="1:7" ht="15" x14ac:dyDescent="0.3">
      <c r="A10341">
        <v>41.1077880859375</v>
      </c>
      <c r="B10341">
        <v>-74.133483886718807</v>
      </c>
      <c r="C10341" t="s">
        <v>41</v>
      </c>
      <c r="D10341" t="s">
        <v>570</v>
      </c>
      <c r="F10341" s="21"/>
      <c r="G10341" s="16" t="str">
        <f>HYPERLINK("http://maps.google.com/maps?f=q&amp;hl=en&amp;geocode=&amp;q=41.1077880859375,-74.1334838867188")</f>
        <v>http://maps.google.com/maps?f=q&amp;hl=en&amp;geocode=&amp;q=41.1077880859375,-74.1334838867188</v>
      </c>
    </row>
    <row r="10342" spans="1:7" ht="15" x14ac:dyDescent="0.3">
      <c r="A10342">
        <v>39.980020000000003</v>
      </c>
      <c r="B10342">
        <v>-86.160129999999995</v>
      </c>
      <c r="C10342" t="s">
        <v>42</v>
      </c>
      <c r="D10342" t="s">
        <v>5881</v>
      </c>
      <c r="F10342" s="21"/>
      <c r="G10342" s="16" t="str">
        <f>HYPERLINK("http://maps.google.com/maps?f=q&amp;hl=en&amp;geocode=&amp;q=39.98002,-86.16013")</f>
        <v>http://maps.google.com/maps?f=q&amp;hl=en&amp;geocode=&amp;q=39.98002,-86.16013</v>
      </c>
    </row>
    <row r="10343" spans="1:7" ht="15" x14ac:dyDescent="0.3">
      <c r="A10343">
        <v>49.4110107421875</v>
      </c>
      <c r="B10343">
        <v>14.675889968872101</v>
      </c>
      <c r="C10343" t="s">
        <v>41</v>
      </c>
      <c r="D10343" t="s">
        <v>5863</v>
      </c>
      <c r="F10343" s="21"/>
      <c r="G10343" s="16" t="str">
        <f>HYPERLINK("http://maps.google.com/maps?f=q&amp;hl=en&amp;geocode=&amp;q=49.4110107421875,14.6758899688721")</f>
        <v>http://maps.google.com/maps?f=q&amp;hl=en&amp;geocode=&amp;q=49.4110107421875,14.6758899688721</v>
      </c>
    </row>
    <row r="10344" spans="1:7" ht="15" x14ac:dyDescent="0.3">
      <c r="A10344">
        <v>49.4110107421875</v>
      </c>
      <c r="B10344">
        <v>14.675889968872101</v>
      </c>
      <c r="C10344" t="s">
        <v>41</v>
      </c>
      <c r="D10344" t="s">
        <v>5863</v>
      </c>
      <c r="F10344" s="21"/>
      <c r="G10344" s="16" t="str">
        <f>HYPERLINK("http://maps.google.com/maps?f=q&amp;hl=en&amp;geocode=&amp;q=49.4110107421875,14.6758899688721")</f>
        <v>http://maps.google.com/maps?f=q&amp;hl=en&amp;geocode=&amp;q=49.4110107421875,14.6758899688721</v>
      </c>
    </row>
    <row r="10345" spans="1:7" ht="15" x14ac:dyDescent="0.3">
      <c r="A10345">
        <v>49.4110107421875</v>
      </c>
      <c r="B10345">
        <v>14.675889968872101</v>
      </c>
      <c r="C10345" t="s">
        <v>41</v>
      </c>
      <c r="D10345" t="s">
        <v>5863</v>
      </c>
      <c r="F10345" s="21"/>
      <c r="G10345" s="16" t="str">
        <f>HYPERLINK("http://maps.google.com/maps?f=q&amp;hl=en&amp;geocode=&amp;q=49.4110107421875,14.6758899688721")</f>
        <v>http://maps.google.com/maps?f=q&amp;hl=en&amp;geocode=&amp;q=49.4110107421875,14.6758899688721</v>
      </c>
    </row>
    <row r="10346" spans="1:7" ht="15" x14ac:dyDescent="0.3">
      <c r="A10346">
        <v>39.957380000000001</v>
      </c>
      <c r="B10346">
        <v>-75.241709999999998</v>
      </c>
      <c r="C10346" t="s">
        <v>43</v>
      </c>
      <c r="D10346" t="s">
        <v>2104</v>
      </c>
      <c r="F10346" s="21"/>
      <c r="G10346" s="16" t="str">
        <f>HYPERLINK("http://maps.google.com/maps?f=q&amp;hl=en&amp;geocode=&amp;q=39.95738,-75.24171")</f>
        <v>http://maps.google.com/maps?f=q&amp;hl=en&amp;geocode=&amp;q=39.95738,-75.24171</v>
      </c>
    </row>
    <row r="10347" spans="1:7" ht="15" x14ac:dyDescent="0.3">
      <c r="A10347">
        <v>40.029089999999997</v>
      </c>
      <c r="B10347">
        <v>-75.174970000000002</v>
      </c>
      <c r="C10347" t="s">
        <v>41</v>
      </c>
      <c r="D10347" t="s">
        <v>5882</v>
      </c>
      <c r="F10347" s="21"/>
      <c r="G10347" s="16" t="str">
        <f>HYPERLINK("http://maps.google.com/maps?f=q&amp;hl=en&amp;geocode=&amp;q=40.02909,-75.17497")</f>
        <v>http://maps.google.com/maps?f=q&amp;hl=en&amp;geocode=&amp;q=40.02909,-75.17497</v>
      </c>
    </row>
    <row r="10348" spans="1:7" ht="15" x14ac:dyDescent="0.3">
      <c r="A10348">
        <v>40.029089999999997</v>
      </c>
      <c r="B10348">
        <v>-75.174970000000002</v>
      </c>
      <c r="C10348" t="s">
        <v>41</v>
      </c>
      <c r="D10348" t="s">
        <v>5882</v>
      </c>
      <c r="F10348" s="21"/>
      <c r="G10348" s="16" t="str">
        <f>HYPERLINK("http://maps.google.com/maps?f=q&amp;hl=en&amp;geocode=&amp;q=40.02909,-75.17497")</f>
        <v>http://maps.google.com/maps?f=q&amp;hl=en&amp;geocode=&amp;q=40.02909,-75.17497</v>
      </c>
    </row>
    <row r="10349" spans="1:7" ht="15" x14ac:dyDescent="0.3">
      <c r="A10349">
        <v>39.934869999999997</v>
      </c>
      <c r="B10349">
        <v>-75.157129999999995</v>
      </c>
      <c r="C10349" t="s">
        <v>43</v>
      </c>
      <c r="D10349" t="s">
        <v>5883</v>
      </c>
      <c r="F10349" s="21"/>
      <c r="G10349" s="16" t="str">
        <f>HYPERLINK("http://maps.google.com/maps?f=q&amp;hl=en&amp;geocode=&amp;q=39.93487,-75.15713")</f>
        <v>http://maps.google.com/maps?f=q&amp;hl=en&amp;geocode=&amp;q=39.93487,-75.15713</v>
      </c>
    </row>
    <row r="10350" spans="1:7" ht="15" x14ac:dyDescent="0.3">
      <c r="A10350">
        <v>39.964037151577102</v>
      </c>
      <c r="B10350">
        <v>-75.143602617569897</v>
      </c>
      <c r="C10350" t="s">
        <v>41</v>
      </c>
      <c r="D10350" t="s">
        <v>5102</v>
      </c>
      <c r="F10350" s="21"/>
      <c r="G10350" s="16" t="str">
        <f>HYPERLINK("http://maps.google.com/maps?f=q&amp;hl=en&amp;geocode=&amp;q=39.9640371515771,-75.1436026175699")</f>
        <v>http://maps.google.com/maps?f=q&amp;hl=en&amp;geocode=&amp;q=39.9640371515771,-75.1436026175699</v>
      </c>
    </row>
    <row r="10351" spans="1:7" ht="15" x14ac:dyDescent="0.3">
      <c r="A10351">
        <v>39.963999999999999</v>
      </c>
      <c r="B10351">
        <v>-75.143820000000005</v>
      </c>
      <c r="C10351" t="s">
        <v>41</v>
      </c>
      <c r="D10351" t="s">
        <v>5884</v>
      </c>
      <c r="F10351" s="21"/>
      <c r="G10351" s="16" t="str">
        <f>HYPERLINK("http://maps.google.com/maps?f=q&amp;hl=en&amp;geocode=&amp;q=39.964,-75.14382")</f>
        <v>http://maps.google.com/maps?f=q&amp;hl=en&amp;geocode=&amp;q=39.964,-75.14382</v>
      </c>
    </row>
    <row r="10352" spans="1:7" ht="15" x14ac:dyDescent="0.3">
      <c r="A10352">
        <v>31.154450000000001</v>
      </c>
      <c r="B10352">
        <v>-89.410439999999994</v>
      </c>
      <c r="C10352" t="s">
        <v>43</v>
      </c>
      <c r="D10352" t="s">
        <v>3023</v>
      </c>
      <c r="F10352" s="21"/>
      <c r="G10352" s="16" t="str">
        <f>HYPERLINK("http://maps.google.com/maps?f=q&amp;hl=en&amp;geocode=&amp;q=31.15445,-89.41044")</f>
        <v>http://maps.google.com/maps?f=q&amp;hl=en&amp;geocode=&amp;q=31.15445,-89.41044</v>
      </c>
    </row>
    <row r="10353" spans="1:7" ht="15" x14ac:dyDescent="0.3">
      <c r="A10353">
        <v>27.589342892899701</v>
      </c>
      <c r="B10353">
        <v>-82.051996660270504</v>
      </c>
      <c r="C10353" t="s">
        <v>42</v>
      </c>
      <c r="D10353" t="s">
        <v>3038</v>
      </c>
      <c r="F10353" s="21"/>
      <c r="G10353" s="16" t="str">
        <f>HYPERLINK("http://maps.google.com/maps?f=q&amp;hl=en&amp;geocode=&amp;q=27.5893428928997,-82.0519966602705")</f>
        <v>http://maps.google.com/maps?f=q&amp;hl=en&amp;geocode=&amp;q=27.5893428928997,-82.0519966602705</v>
      </c>
    </row>
    <row r="10354" spans="1:7" ht="15" x14ac:dyDescent="0.3">
      <c r="A10354">
        <v>41.092289282046401</v>
      </c>
      <c r="B10354">
        <v>-85.112539796044999</v>
      </c>
      <c r="C10354" t="s">
        <v>41</v>
      </c>
      <c r="D10354" t="s">
        <v>3634</v>
      </c>
      <c r="F10354" s="21"/>
      <c r="G10354" s="16" t="str">
        <f>HYPERLINK("http://maps.google.com/maps?f=q&amp;hl=en&amp;geocode=&amp;q=41.0922892820464,-85.112539796045")</f>
        <v>http://maps.google.com/maps?f=q&amp;hl=en&amp;geocode=&amp;q=41.0922892820464,-85.112539796045</v>
      </c>
    </row>
    <row r="10355" spans="1:7" ht="15" x14ac:dyDescent="0.3">
      <c r="A10355">
        <v>31.8939322751534</v>
      </c>
      <c r="B10355">
        <v>-106.648518581378</v>
      </c>
      <c r="C10355" t="s">
        <v>41</v>
      </c>
      <c r="D10355" t="s">
        <v>5885</v>
      </c>
      <c r="F10355" s="21"/>
      <c r="G10355" s="16" t="str">
        <f>HYPERLINK("http://maps.google.com/maps?f=q&amp;hl=en&amp;geocode=&amp;q=31.8939322751534,-106.648518581378")</f>
        <v>http://maps.google.com/maps?f=q&amp;hl=en&amp;geocode=&amp;q=31.8939322751534,-106.648518581378</v>
      </c>
    </row>
    <row r="10356" spans="1:7" ht="15" x14ac:dyDescent="0.3">
      <c r="A10356">
        <v>33.4358463621722</v>
      </c>
      <c r="B10356">
        <v>-82.037363795235194</v>
      </c>
      <c r="C10356" t="s">
        <v>43</v>
      </c>
      <c r="D10356" t="s">
        <v>5886</v>
      </c>
      <c r="F10356" s="21"/>
      <c r="G10356" s="16" t="str">
        <f>HYPERLINK("http://maps.google.com/maps?f=q&amp;hl=en&amp;geocode=&amp;q=33.4358463621722,-82.0373637952352")</f>
        <v>http://maps.google.com/maps?f=q&amp;hl=en&amp;geocode=&amp;q=33.4358463621722,-82.0373637952352</v>
      </c>
    </row>
    <row r="10357" spans="1:7" ht="15" x14ac:dyDescent="0.3">
      <c r="A10357" t="s">
        <v>44</v>
      </c>
      <c r="B10357" t="s">
        <v>44</v>
      </c>
      <c r="C10357" t="s">
        <v>44</v>
      </c>
      <c r="D10357" t="s">
        <v>5887</v>
      </c>
      <c r="F10357" s="21"/>
      <c r="G10357" s="16"/>
    </row>
    <row r="10358" spans="1:7" ht="15" x14ac:dyDescent="0.3">
      <c r="F10358" s="21"/>
      <c r="G10358" s="16"/>
    </row>
    <row r="10359" spans="1:7" ht="15" x14ac:dyDescent="0.3">
      <c r="A10359">
        <v>32.971829999999997</v>
      </c>
      <c r="B10359">
        <v>-96.742890000000003</v>
      </c>
      <c r="C10359" t="s">
        <v>41</v>
      </c>
      <c r="D10359" t="s">
        <v>5888</v>
      </c>
      <c r="F10359" s="21"/>
      <c r="G10359" s="16" t="str">
        <f>HYPERLINK("http://maps.google.com/maps?f=q&amp;hl=en&amp;geocode=&amp;q=32.97183,-96.74289")</f>
        <v>http://maps.google.com/maps?f=q&amp;hl=en&amp;geocode=&amp;q=32.97183,-96.74289</v>
      </c>
    </row>
    <row r="10360" spans="1:7" ht="15" x14ac:dyDescent="0.3">
      <c r="A10360">
        <v>39.209804929879901</v>
      </c>
      <c r="B10360">
        <v>-76.772517683574307</v>
      </c>
      <c r="C10360" t="s">
        <v>41</v>
      </c>
      <c r="D10360" t="s">
        <v>5889</v>
      </c>
      <c r="F10360" s="21"/>
      <c r="G10360" s="16" t="str">
        <f>HYPERLINK("http://maps.google.com/maps?f=q&amp;hl=en&amp;geocode=&amp;q=39.2098049298799,-76.7725176835743")</f>
        <v>http://maps.google.com/maps?f=q&amp;hl=en&amp;geocode=&amp;q=39.2098049298799,-76.7725176835743</v>
      </c>
    </row>
    <row r="10361" spans="1:7" ht="15" x14ac:dyDescent="0.3">
      <c r="A10361">
        <v>26.152360000000002</v>
      </c>
      <c r="B10361">
        <v>-80.118799999999993</v>
      </c>
      <c r="C10361" t="s">
        <v>42</v>
      </c>
      <c r="D10361" t="s">
        <v>5890</v>
      </c>
      <c r="F10361" s="21"/>
      <c r="G10361" s="16" t="str">
        <f>HYPERLINK("http://maps.google.com/maps?f=q&amp;hl=en&amp;geocode=&amp;q=26.15236,-80.1188")</f>
        <v>http://maps.google.com/maps?f=q&amp;hl=en&amp;geocode=&amp;q=26.15236,-80.1188</v>
      </c>
    </row>
    <row r="10362" spans="1:7" ht="15" x14ac:dyDescent="0.3">
      <c r="A10362">
        <v>40.047795024169403</v>
      </c>
      <c r="B10362">
        <v>-75.059858803679006</v>
      </c>
      <c r="C10362" t="s">
        <v>41</v>
      </c>
      <c r="D10362" t="s">
        <v>4156</v>
      </c>
      <c r="F10362" s="21"/>
      <c r="G10362" s="16" t="str">
        <f>HYPERLINK("http://maps.google.com/maps?f=q&amp;hl=en&amp;geocode=&amp;q=40.0477950241694,-75.059858803679")</f>
        <v>http://maps.google.com/maps?f=q&amp;hl=en&amp;geocode=&amp;q=40.0477950241694,-75.059858803679</v>
      </c>
    </row>
    <row r="10363" spans="1:7" ht="15" x14ac:dyDescent="0.3">
      <c r="A10363">
        <v>40.063580000000002</v>
      </c>
      <c r="B10363">
        <v>-75.087429999999998</v>
      </c>
      <c r="C10363" t="s">
        <v>43</v>
      </c>
      <c r="D10363" t="s">
        <v>5891</v>
      </c>
      <c r="F10363" s="21"/>
      <c r="G10363" s="16" t="str">
        <f>HYPERLINK("http://maps.google.com/maps?f=q&amp;hl=en&amp;geocode=&amp;q=40.06358,-75.08743")</f>
        <v>http://maps.google.com/maps?f=q&amp;hl=en&amp;geocode=&amp;q=40.06358,-75.08743</v>
      </c>
    </row>
    <row r="10364" spans="1:7" ht="15" x14ac:dyDescent="0.3">
      <c r="A10364">
        <v>49.602840423583999</v>
      </c>
      <c r="B10364">
        <v>6.1260719299316397</v>
      </c>
      <c r="C10364" t="s">
        <v>41</v>
      </c>
      <c r="D10364" t="s">
        <v>5892</v>
      </c>
      <c r="F10364" s="21"/>
      <c r="G10364" s="16" t="str">
        <f>HYPERLINK("http://maps.google.com/maps?f=q&amp;hl=en&amp;geocode=&amp;q=49.602840423584,6.12607192993164")</f>
        <v>http://maps.google.com/maps?f=q&amp;hl=en&amp;geocode=&amp;q=49.602840423584,6.12607192993164</v>
      </c>
    </row>
    <row r="10365" spans="1:7" ht="15" x14ac:dyDescent="0.3">
      <c r="A10365">
        <v>39.939839999999997</v>
      </c>
      <c r="B10365">
        <v>-75.176130000000001</v>
      </c>
      <c r="C10365" t="s">
        <v>43</v>
      </c>
      <c r="D10365" t="s">
        <v>5893</v>
      </c>
      <c r="F10365" s="21"/>
      <c r="G10365" s="16" t="str">
        <f>HYPERLINK("http://maps.google.com/maps?f=q&amp;hl=en&amp;geocode=&amp;q=39.93984,-75.17613")</f>
        <v>http://maps.google.com/maps?f=q&amp;hl=en&amp;geocode=&amp;q=39.93984,-75.17613</v>
      </c>
    </row>
    <row r="10366" spans="1:7" ht="15" x14ac:dyDescent="0.3">
      <c r="A10366">
        <v>40.171120000000002</v>
      </c>
      <c r="B10366">
        <v>-74.019080000000002</v>
      </c>
      <c r="C10366" t="s">
        <v>43</v>
      </c>
      <c r="D10366" t="s">
        <v>5894</v>
      </c>
      <c r="F10366" s="21"/>
      <c r="G10366" s="16" t="str">
        <f>HYPERLINK("http://maps.google.com/maps?f=q&amp;hl=en&amp;geocode=&amp;q=40.17112,-74.01908")</f>
        <v>http://maps.google.com/maps?f=q&amp;hl=en&amp;geocode=&amp;q=40.17112,-74.01908</v>
      </c>
    </row>
    <row r="10367" spans="1:7" ht="15" x14ac:dyDescent="0.3">
      <c r="A10367" t="s">
        <v>44</v>
      </c>
      <c r="B10367" t="s">
        <v>44</v>
      </c>
      <c r="C10367" t="s">
        <v>44</v>
      </c>
      <c r="D10367" t="s">
        <v>227</v>
      </c>
      <c r="F10367" s="21"/>
      <c r="G10367" s="16"/>
    </row>
    <row r="10368" spans="1:7" ht="15" x14ac:dyDescent="0.3">
      <c r="A10368">
        <v>39.745369956936102</v>
      </c>
      <c r="B10368">
        <v>-84.637328641982805</v>
      </c>
      <c r="C10368" t="s">
        <v>41</v>
      </c>
      <c r="D10368" t="s">
        <v>1282</v>
      </c>
      <c r="F10368" s="21"/>
      <c r="G10368" s="16" t="str">
        <f>HYPERLINK("http://maps.google.com/maps?f=q&amp;hl=en&amp;geocode=&amp;q=39.7453699569361,-84.6373286419828")</f>
        <v>http://maps.google.com/maps?f=q&amp;hl=en&amp;geocode=&amp;q=39.7453699569361,-84.6373286419828</v>
      </c>
    </row>
    <row r="10369" spans="1:7" ht="15" x14ac:dyDescent="0.3">
      <c r="A10369">
        <v>40.044568783568899</v>
      </c>
      <c r="B10369">
        <v>-77.204327093664403</v>
      </c>
      <c r="C10369" t="s">
        <v>41</v>
      </c>
      <c r="D10369" t="s">
        <v>5895</v>
      </c>
      <c r="F10369" s="21"/>
      <c r="G10369" s="16" t="str">
        <f>HYPERLINK("http://maps.google.com/maps?f=q&amp;hl=en&amp;geocode=&amp;q=40.0445687835689,-77.2043270936644")</f>
        <v>http://maps.google.com/maps?f=q&amp;hl=en&amp;geocode=&amp;q=40.0445687835689,-77.2043270936644</v>
      </c>
    </row>
    <row r="10370" spans="1:7" ht="15" x14ac:dyDescent="0.3">
      <c r="A10370">
        <v>40.044568783568899</v>
      </c>
      <c r="B10370">
        <v>-77.204327093664403</v>
      </c>
      <c r="C10370" t="s">
        <v>41</v>
      </c>
      <c r="D10370" t="s">
        <v>5895</v>
      </c>
      <c r="F10370" s="21"/>
      <c r="G10370" s="16" t="str">
        <f>HYPERLINK("http://maps.google.com/maps?f=q&amp;hl=en&amp;geocode=&amp;q=40.0445687835689,-77.2043270936644")</f>
        <v>http://maps.google.com/maps?f=q&amp;hl=en&amp;geocode=&amp;q=40.0445687835689,-77.2043270936644</v>
      </c>
    </row>
    <row r="10371" spans="1:7" ht="15" x14ac:dyDescent="0.3">
      <c r="A10371">
        <v>40.045740000000002</v>
      </c>
      <c r="B10371">
        <v>-75.095939999999999</v>
      </c>
      <c r="C10371" t="s">
        <v>43</v>
      </c>
      <c r="D10371" t="s">
        <v>2596</v>
      </c>
      <c r="F10371" s="21"/>
      <c r="G10371" s="16" t="str">
        <f>HYPERLINK("http://maps.google.com/maps?f=q&amp;hl=en&amp;geocode=&amp;q=40.04574,-75.09594")</f>
        <v>http://maps.google.com/maps?f=q&amp;hl=en&amp;geocode=&amp;q=40.04574,-75.09594</v>
      </c>
    </row>
    <row r="10372" spans="1:7" ht="15" x14ac:dyDescent="0.3">
      <c r="A10372" t="s">
        <v>44</v>
      </c>
      <c r="B10372" t="s">
        <v>44</v>
      </c>
      <c r="C10372" t="s">
        <v>44</v>
      </c>
      <c r="D10372" t="s">
        <v>5896</v>
      </c>
      <c r="F10372" s="21"/>
      <c r="G10372" s="16"/>
    </row>
    <row r="10373" spans="1:7" ht="15" x14ac:dyDescent="0.3">
      <c r="A10373">
        <v>44.909599632022598</v>
      </c>
      <c r="B10373">
        <v>-90.318035958060705</v>
      </c>
      <c r="C10373" t="s">
        <v>41</v>
      </c>
      <c r="D10373" t="s">
        <v>5897</v>
      </c>
      <c r="F10373" s="21"/>
      <c r="G10373" s="16" t="str">
        <f>HYPERLINK("http://maps.google.com/maps?f=q&amp;hl=en&amp;geocode=&amp;q=44.9095996320226,-90.3180359580607")</f>
        <v>http://maps.google.com/maps?f=q&amp;hl=en&amp;geocode=&amp;q=44.9095996320226,-90.3180359580607</v>
      </c>
    </row>
    <row r="10374" spans="1:7" ht="15" x14ac:dyDescent="0.3">
      <c r="A10374">
        <v>46.237621307372997</v>
      </c>
      <c r="B10374">
        <v>10.094079017639199</v>
      </c>
      <c r="C10374" t="s">
        <v>41</v>
      </c>
      <c r="D10374" t="s">
        <v>4162</v>
      </c>
      <c r="F10374" s="21"/>
      <c r="G10374" s="16" t="str">
        <f>HYPERLINK("http://maps.google.com/maps?f=q&amp;hl=en&amp;geocode=&amp;q=46.237621307373,10.0940790176392")</f>
        <v>http://maps.google.com/maps?f=q&amp;hl=en&amp;geocode=&amp;q=46.237621307373,10.0940790176392</v>
      </c>
    </row>
    <row r="10375" spans="1:7" ht="15" x14ac:dyDescent="0.3">
      <c r="A10375">
        <v>39.343631999999999</v>
      </c>
      <c r="B10375">
        <v>-78.757249000000002</v>
      </c>
      <c r="C10375" t="s">
        <v>41</v>
      </c>
      <c r="D10375" t="s">
        <v>560</v>
      </c>
      <c r="F10375" s="21"/>
      <c r="G10375" s="16" t="str">
        <f>HYPERLINK("http://maps.google.com/maps?f=q&amp;hl=en&amp;geocode=&amp;q=39.343632,-78.757249")</f>
        <v>http://maps.google.com/maps?f=q&amp;hl=en&amp;geocode=&amp;q=39.343632,-78.757249</v>
      </c>
    </row>
    <row r="10376" spans="1:7" ht="15" x14ac:dyDescent="0.3">
      <c r="A10376">
        <v>31.5120037287071</v>
      </c>
      <c r="B10376">
        <v>-81.884060393956901</v>
      </c>
      <c r="C10376" t="s">
        <v>41</v>
      </c>
      <c r="D10376" t="s">
        <v>5898</v>
      </c>
      <c r="F10376" s="21"/>
      <c r="G10376" s="16" t="str">
        <f>HYPERLINK("http://maps.google.com/maps?f=q&amp;hl=en&amp;geocode=&amp;q=31.5120037287071,-81.8840603939569")</f>
        <v>http://maps.google.com/maps?f=q&amp;hl=en&amp;geocode=&amp;q=31.5120037287071,-81.8840603939569</v>
      </c>
    </row>
    <row r="10377" spans="1:7" ht="15" x14ac:dyDescent="0.3">
      <c r="A10377">
        <v>-35.705992199999997</v>
      </c>
      <c r="B10377">
        <v>147.33055179999999</v>
      </c>
      <c r="C10377" t="s">
        <v>41</v>
      </c>
      <c r="D10377" t="s">
        <v>5899</v>
      </c>
      <c r="F10377" s="21"/>
      <c r="G10377" s="16" t="str">
        <f>HYPERLINK("http://maps.google.com/maps?f=q&amp;hl=en&amp;geocode=&amp;q=-35.7059922,147.3305518")</f>
        <v>http://maps.google.com/maps?f=q&amp;hl=en&amp;geocode=&amp;q=-35.7059922,147.3305518</v>
      </c>
    </row>
    <row r="10378" spans="1:7" ht="15" x14ac:dyDescent="0.3">
      <c r="A10378">
        <v>54.562068939208999</v>
      </c>
      <c r="B10378">
        <v>-125.10440063476599</v>
      </c>
      <c r="C10378" t="s">
        <v>41</v>
      </c>
      <c r="D10378" t="s">
        <v>4472</v>
      </c>
      <c r="F10378" s="21"/>
      <c r="G10378" s="16" t="str">
        <f>HYPERLINK("http://maps.google.com/maps?f=q&amp;hl=en&amp;geocode=&amp;q=54.562068939209,-125.104400634766")</f>
        <v>http://maps.google.com/maps?f=q&amp;hl=en&amp;geocode=&amp;q=54.562068939209,-125.104400634766</v>
      </c>
    </row>
    <row r="10379" spans="1:7" ht="15" x14ac:dyDescent="0.3">
      <c r="A10379">
        <v>42.165990000000001</v>
      </c>
      <c r="B10379">
        <v>-79.371619999999993</v>
      </c>
      <c r="C10379" t="s">
        <v>41</v>
      </c>
      <c r="D10379" t="s">
        <v>5900</v>
      </c>
      <c r="F10379" s="21"/>
      <c r="G10379" s="16" t="str">
        <f>HYPERLINK("http://maps.google.com/maps?f=q&amp;hl=en&amp;geocode=&amp;q=42.16599,-79.37162")</f>
        <v>http://maps.google.com/maps?f=q&amp;hl=en&amp;geocode=&amp;q=42.16599,-79.37162</v>
      </c>
    </row>
    <row r="10380" spans="1:7" ht="15" x14ac:dyDescent="0.3">
      <c r="A10380">
        <v>40.85745</v>
      </c>
      <c r="B10380">
        <v>-111.86629000000001</v>
      </c>
      <c r="C10380" t="s">
        <v>43</v>
      </c>
      <c r="D10380" t="s">
        <v>1735</v>
      </c>
      <c r="F10380" s="21"/>
      <c r="G10380" s="16" t="str">
        <f>HYPERLINK("http://maps.google.com/maps?f=q&amp;hl=en&amp;geocode=&amp;q=40.85745,-111.86629")</f>
        <v>http://maps.google.com/maps?f=q&amp;hl=en&amp;geocode=&amp;q=40.85745,-111.86629</v>
      </c>
    </row>
    <row r="10381" spans="1:7" ht="15" x14ac:dyDescent="0.3">
      <c r="A10381">
        <v>39.993279999999999</v>
      </c>
      <c r="B10381">
        <v>-75.098560000000006</v>
      </c>
      <c r="C10381" t="s">
        <v>41</v>
      </c>
      <c r="D10381" t="s">
        <v>1697</v>
      </c>
      <c r="F10381" s="21"/>
      <c r="G10381" s="16" t="str">
        <f>HYPERLINK("http://maps.google.com/maps?f=q&amp;hl=en&amp;geocode=&amp;q=39.99328,-75.09856")</f>
        <v>http://maps.google.com/maps?f=q&amp;hl=en&amp;geocode=&amp;q=39.99328,-75.09856</v>
      </c>
    </row>
    <row r="10382" spans="1:7" ht="15" x14ac:dyDescent="0.3">
      <c r="A10382">
        <v>42.067241631885999</v>
      </c>
      <c r="B10382">
        <v>-89.277120768334399</v>
      </c>
      <c r="C10382" t="s">
        <v>43</v>
      </c>
      <c r="D10382" t="s">
        <v>5901</v>
      </c>
      <c r="F10382" s="21"/>
      <c r="G10382" s="16" t="str">
        <f>HYPERLINK("http://maps.google.com/maps?f=q&amp;hl=en&amp;geocode=&amp;q=42.067241631886,-89.2771207683344")</f>
        <v>http://maps.google.com/maps?f=q&amp;hl=en&amp;geocode=&amp;q=42.067241631886,-89.2771207683344</v>
      </c>
    </row>
    <row r="10383" spans="1:7" ht="15" x14ac:dyDescent="0.3">
      <c r="A10383">
        <v>42.067241631885999</v>
      </c>
      <c r="B10383">
        <v>-89.277120768334399</v>
      </c>
      <c r="C10383" t="s">
        <v>43</v>
      </c>
      <c r="D10383" t="s">
        <v>5901</v>
      </c>
      <c r="F10383" s="21"/>
      <c r="G10383" s="16" t="str">
        <f>HYPERLINK("http://maps.google.com/maps?f=q&amp;hl=en&amp;geocode=&amp;q=42.067241631886,-89.2771207683344")</f>
        <v>http://maps.google.com/maps?f=q&amp;hl=en&amp;geocode=&amp;q=42.067241631886,-89.2771207683344</v>
      </c>
    </row>
    <row r="10384" spans="1:7" ht="15" x14ac:dyDescent="0.3">
      <c r="A10384">
        <v>44.556671142578097</v>
      </c>
      <c r="B10384">
        <v>-90.4869384765625</v>
      </c>
      <c r="C10384" t="s">
        <v>41</v>
      </c>
      <c r="D10384" t="s">
        <v>5902</v>
      </c>
      <c r="F10384" s="21"/>
      <c r="G10384" s="16" t="str">
        <f>HYPERLINK("http://maps.google.com/maps?f=q&amp;hl=en&amp;geocode=&amp;q=44.5566711425781,-90.4869384765625")</f>
        <v>http://maps.google.com/maps?f=q&amp;hl=en&amp;geocode=&amp;q=44.5566711425781,-90.4869384765625</v>
      </c>
    </row>
    <row r="10385" spans="1:7" ht="15" x14ac:dyDescent="0.3">
      <c r="A10385" t="s">
        <v>44</v>
      </c>
      <c r="B10385" t="s">
        <v>44</v>
      </c>
      <c r="C10385" t="s">
        <v>44</v>
      </c>
      <c r="D10385" t="s">
        <v>5903</v>
      </c>
      <c r="F10385" s="21"/>
      <c r="G10385" s="16"/>
    </row>
    <row r="10386" spans="1:7" ht="15" x14ac:dyDescent="0.3">
      <c r="A10386">
        <v>42.067502672057799</v>
      </c>
      <c r="B10386">
        <v>-89.277126235170698</v>
      </c>
      <c r="C10386" t="s">
        <v>43</v>
      </c>
      <c r="D10386" t="s">
        <v>5904</v>
      </c>
      <c r="F10386" s="21"/>
      <c r="G10386" s="16" t="str">
        <f>HYPERLINK("http://maps.google.com/maps?f=q&amp;hl=en&amp;geocode=&amp;q=42.0675026720578,-89.2771262351707")</f>
        <v>http://maps.google.com/maps?f=q&amp;hl=en&amp;geocode=&amp;q=42.0675026720578,-89.2771262351707</v>
      </c>
    </row>
    <row r="10387" spans="1:7" ht="15" x14ac:dyDescent="0.3">
      <c r="A10387">
        <v>34.203040000000001</v>
      </c>
      <c r="B10387">
        <v>-118.49751000000001</v>
      </c>
      <c r="C10387" t="s">
        <v>41</v>
      </c>
      <c r="D10387" t="s">
        <v>938</v>
      </c>
      <c r="F10387" s="21"/>
      <c r="G10387" s="16" t="str">
        <f>HYPERLINK("http://maps.google.com/maps?f=q&amp;hl=en&amp;geocode=&amp;q=34.20304,-118.49751")</f>
        <v>http://maps.google.com/maps?f=q&amp;hl=en&amp;geocode=&amp;q=34.20304,-118.49751</v>
      </c>
    </row>
    <row r="10388" spans="1:7" ht="15" x14ac:dyDescent="0.3">
      <c r="A10388">
        <v>46.408790588378899</v>
      </c>
      <c r="B10388">
        <v>12.017880439758301</v>
      </c>
      <c r="C10388" t="s">
        <v>41</v>
      </c>
      <c r="D10388" t="s">
        <v>5905</v>
      </c>
      <c r="F10388" s="21"/>
      <c r="G10388" s="16" t="str">
        <f>HYPERLINK("http://maps.google.com/maps?f=q&amp;hl=en&amp;geocode=&amp;q=46.4087905883789,12.0178804397583")</f>
        <v>http://maps.google.com/maps?f=q&amp;hl=en&amp;geocode=&amp;q=46.4087905883789,12.0178804397583</v>
      </c>
    </row>
    <row r="10389" spans="1:7" ht="15" x14ac:dyDescent="0.3">
      <c r="A10389">
        <v>46.408790588378899</v>
      </c>
      <c r="B10389">
        <v>12.017880439758301</v>
      </c>
      <c r="C10389" t="s">
        <v>41</v>
      </c>
      <c r="D10389" t="s">
        <v>5905</v>
      </c>
      <c r="F10389" s="21"/>
      <c r="G10389" s="16" t="str">
        <f>HYPERLINK("http://maps.google.com/maps?f=q&amp;hl=en&amp;geocode=&amp;q=46.4087905883789,12.0178804397583")</f>
        <v>http://maps.google.com/maps?f=q&amp;hl=en&amp;geocode=&amp;q=46.4087905883789,12.0178804397583</v>
      </c>
    </row>
    <row r="10390" spans="1:7" ht="15" x14ac:dyDescent="0.3">
      <c r="A10390">
        <v>41.255760000000002</v>
      </c>
      <c r="B10390">
        <v>-81.447999999999993</v>
      </c>
      <c r="C10390" t="s">
        <v>41</v>
      </c>
      <c r="D10390" t="s">
        <v>3338</v>
      </c>
      <c r="F10390" s="21"/>
      <c r="G10390" s="16" t="str">
        <f>HYPERLINK("http://maps.google.com/maps?f=q&amp;hl=en&amp;geocode=&amp;q=41.25576,-81.448")</f>
        <v>http://maps.google.com/maps?f=q&amp;hl=en&amp;geocode=&amp;q=41.25576,-81.448</v>
      </c>
    </row>
    <row r="10391" spans="1:7" ht="15" x14ac:dyDescent="0.3">
      <c r="A10391">
        <v>40.047795024169403</v>
      </c>
      <c r="B10391">
        <v>-75.059858803679006</v>
      </c>
      <c r="C10391" t="s">
        <v>41</v>
      </c>
      <c r="D10391" t="s">
        <v>4156</v>
      </c>
      <c r="F10391" s="21"/>
      <c r="G10391" s="16" t="str">
        <f>HYPERLINK("http://maps.google.com/maps?f=q&amp;hl=en&amp;geocode=&amp;q=40.0477950241694,-75.059858803679")</f>
        <v>http://maps.google.com/maps?f=q&amp;hl=en&amp;geocode=&amp;q=40.0477950241694,-75.059858803679</v>
      </c>
    </row>
    <row r="10392" spans="1:7" ht="15" x14ac:dyDescent="0.3">
      <c r="A10392">
        <v>40.018901852138903</v>
      </c>
      <c r="B10392">
        <v>-75.115245230081001</v>
      </c>
      <c r="C10392" t="s">
        <v>41</v>
      </c>
      <c r="D10392" t="s">
        <v>1117</v>
      </c>
      <c r="F10392" s="21"/>
      <c r="G10392" s="16" t="str">
        <f>HYPERLINK("http://maps.google.com/maps?f=q&amp;hl=en&amp;geocode=&amp;q=40.0189018521389,-75.115245230081")</f>
        <v>http://maps.google.com/maps?f=q&amp;hl=en&amp;geocode=&amp;q=40.0189018521389,-75.115245230081</v>
      </c>
    </row>
    <row r="10393" spans="1:7" ht="15" x14ac:dyDescent="0.3">
      <c r="A10393">
        <v>40.018901852138903</v>
      </c>
      <c r="B10393">
        <v>-75.115245230081001</v>
      </c>
      <c r="C10393" t="s">
        <v>41</v>
      </c>
      <c r="D10393" t="s">
        <v>1117</v>
      </c>
      <c r="F10393" s="21"/>
      <c r="G10393" s="16" t="str">
        <f>HYPERLINK("http://maps.google.com/maps?f=q&amp;hl=en&amp;geocode=&amp;q=40.0189018521389,-75.115245230081")</f>
        <v>http://maps.google.com/maps?f=q&amp;hl=en&amp;geocode=&amp;q=40.0189018521389,-75.115245230081</v>
      </c>
    </row>
    <row r="10394" spans="1:7" ht="15" x14ac:dyDescent="0.3">
      <c r="A10394">
        <v>40.020427036841397</v>
      </c>
      <c r="B10394">
        <v>-75.114040848973801</v>
      </c>
      <c r="C10394" t="s">
        <v>41</v>
      </c>
      <c r="D10394" t="s">
        <v>5906</v>
      </c>
      <c r="F10394" s="21"/>
      <c r="G10394" s="16" t="str">
        <f>HYPERLINK("http://maps.google.com/maps?f=q&amp;hl=en&amp;geocode=&amp;q=40.0204270368414,-75.1140408489738")</f>
        <v>http://maps.google.com/maps?f=q&amp;hl=en&amp;geocode=&amp;q=40.0204270368414,-75.1140408489738</v>
      </c>
    </row>
    <row r="10395" spans="1:7" ht="15" x14ac:dyDescent="0.3">
      <c r="A10395">
        <v>40.020427036841397</v>
      </c>
      <c r="B10395">
        <v>-75.114040848973801</v>
      </c>
      <c r="C10395" t="s">
        <v>41</v>
      </c>
      <c r="D10395" t="s">
        <v>5906</v>
      </c>
      <c r="F10395" s="21"/>
      <c r="G10395" s="16" t="str">
        <f>HYPERLINK("http://maps.google.com/maps?f=q&amp;hl=en&amp;geocode=&amp;q=40.0204270368414,-75.1140408489738")</f>
        <v>http://maps.google.com/maps?f=q&amp;hl=en&amp;geocode=&amp;q=40.0204270368414,-75.1140408489738</v>
      </c>
    </row>
    <row r="10396" spans="1:7" ht="15" x14ac:dyDescent="0.3">
      <c r="A10396">
        <v>33.602054967272998</v>
      </c>
      <c r="B10396">
        <v>-101.92885466049</v>
      </c>
      <c r="C10396" t="s">
        <v>41</v>
      </c>
      <c r="D10396" t="s">
        <v>5907</v>
      </c>
      <c r="F10396" s="21"/>
      <c r="G10396" s="16" t="str">
        <f>HYPERLINK("http://maps.google.com/maps?f=q&amp;hl=en&amp;geocode=&amp;q=33.602054967273,-101.92885466049")</f>
        <v>http://maps.google.com/maps?f=q&amp;hl=en&amp;geocode=&amp;q=33.602054967273,-101.92885466049</v>
      </c>
    </row>
    <row r="10397" spans="1:7" ht="15" x14ac:dyDescent="0.3">
      <c r="A10397" t="s">
        <v>44</v>
      </c>
      <c r="B10397" t="s">
        <v>44</v>
      </c>
      <c r="C10397" t="s">
        <v>44</v>
      </c>
      <c r="D10397" t="s">
        <v>5908</v>
      </c>
      <c r="F10397" s="21"/>
      <c r="G10397" s="16"/>
    </row>
    <row r="10398" spans="1:7" ht="15" x14ac:dyDescent="0.3">
      <c r="A10398">
        <v>42.999576568603501</v>
      </c>
      <c r="B10398">
        <v>-107.551513671875</v>
      </c>
      <c r="C10398" t="s">
        <v>41</v>
      </c>
      <c r="D10398" t="s">
        <v>5909</v>
      </c>
      <c r="F10398" s="21"/>
      <c r="G10398" s="16" t="str">
        <f>HYPERLINK("http://maps.google.com/maps?f=q&amp;hl=en&amp;geocode=&amp;q=42.9995765686035,-107.551513671875")</f>
        <v>http://maps.google.com/maps?f=q&amp;hl=en&amp;geocode=&amp;q=42.9995765686035,-107.551513671875</v>
      </c>
    </row>
    <row r="10399" spans="1:7" ht="15" x14ac:dyDescent="0.3">
      <c r="A10399">
        <v>26.628741502289301</v>
      </c>
      <c r="B10399">
        <v>-80.113355605914606</v>
      </c>
      <c r="C10399" t="s">
        <v>41</v>
      </c>
      <c r="D10399" t="s">
        <v>2844</v>
      </c>
      <c r="F10399" s="21"/>
      <c r="G10399" s="16" t="str">
        <f>HYPERLINK("http://maps.google.com/maps?f=q&amp;hl=en&amp;geocode=&amp;q=26.6287415022893,-80.1133556059146")</f>
        <v>http://maps.google.com/maps?f=q&amp;hl=en&amp;geocode=&amp;q=26.6287415022893,-80.1133556059146</v>
      </c>
    </row>
    <row r="10400" spans="1:7" ht="15" x14ac:dyDescent="0.3">
      <c r="A10400">
        <v>44.773998260497997</v>
      </c>
      <c r="B10400">
        <v>-117.829887390137</v>
      </c>
      <c r="C10400" t="s">
        <v>43</v>
      </c>
      <c r="D10400" t="s">
        <v>5910</v>
      </c>
      <c r="F10400" s="21"/>
      <c r="G10400" s="16" t="str">
        <f>HYPERLINK("http://maps.google.com/maps?f=q&amp;hl=en&amp;geocode=&amp;q=44.773998260498,-117.829887390137")</f>
        <v>http://maps.google.com/maps?f=q&amp;hl=en&amp;geocode=&amp;q=44.773998260498,-117.829887390137</v>
      </c>
    </row>
    <row r="10401" spans="1:7" ht="15" x14ac:dyDescent="0.3">
      <c r="A10401">
        <v>41.5136034660826</v>
      </c>
      <c r="B10401">
        <v>-78.242848315700002</v>
      </c>
      <c r="C10401" t="s">
        <v>41</v>
      </c>
      <c r="D10401" t="s">
        <v>5911</v>
      </c>
      <c r="F10401" s="21"/>
      <c r="G10401" s="16" t="str">
        <f>HYPERLINK("http://maps.google.com/maps?f=q&amp;hl=en&amp;geocode=&amp;q=41.5136034660826,-78.2428483157")</f>
        <v>http://maps.google.com/maps?f=q&amp;hl=en&amp;geocode=&amp;q=41.5136034660826,-78.2428483157</v>
      </c>
    </row>
    <row r="10402" spans="1:7" ht="15" x14ac:dyDescent="0.3">
      <c r="A10402" t="s">
        <v>44</v>
      </c>
      <c r="B10402" t="s">
        <v>44</v>
      </c>
      <c r="C10402" t="s">
        <v>44</v>
      </c>
      <c r="D10402" t="s">
        <v>5912</v>
      </c>
      <c r="F10402" s="21"/>
      <c r="G10402" s="16"/>
    </row>
    <row r="10403" spans="1:7" ht="15" x14ac:dyDescent="0.3">
      <c r="A10403">
        <v>42.999576568603501</v>
      </c>
      <c r="B10403">
        <v>-107.551513671875</v>
      </c>
      <c r="C10403" t="s">
        <v>41</v>
      </c>
      <c r="D10403" t="s">
        <v>5909</v>
      </c>
      <c r="F10403" s="21"/>
      <c r="G10403" s="16" t="str">
        <f>HYPERLINK("http://maps.google.com/maps?f=q&amp;hl=en&amp;geocode=&amp;q=42.9995765686035,-107.551513671875")</f>
        <v>http://maps.google.com/maps?f=q&amp;hl=en&amp;geocode=&amp;q=42.9995765686035,-107.551513671875</v>
      </c>
    </row>
    <row r="10404" spans="1:7" ht="15" x14ac:dyDescent="0.3">
      <c r="A10404">
        <v>35.775171535181101</v>
      </c>
      <c r="B10404">
        <v>-78.792276168534798</v>
      </c>
      <c r="C10404" t="s">
        <v>41</v>
      </c>
      <c r="D10404" t="s">
        <v>5913</v>
      </c>
      <c r="F10404" s="21"/>
      <c r="G10404" s="16" t="str">
        <f>HYPERLINK("http://maps.google.com/maps?f=q&amp;hl=en&amp;geocode=&amp;q=35.7751715351811,-78.7922761685348")</f>
        <v>http://maps.google.com/maps?f=q&amp;hl=en&amp;geocode=&amp;q=35.7751715351811,-78.7922761685348</v>
      </c>
    </row>
    <row r="10405" spans="1:7" ht="15" x14ac:dyDescent="0.3">
      <c r="A10405">
        <v>46.461601257324197</v>
      </c>
      <c r="B10405">
        <v>3.5171000957489</v>
      </c>
      <c r="C10405" t="s">
        <v>43</v>
      </c>
      <c r="D10405" t="s">
        <v>5914</v>
      </c>
      <c r="F10405" s="21"/>
      <c r="G10405" s="16" t="str">
        <f>HYPERLINK("http://maps.google.com/maps?f=q&amp;hl=en&amp;geocode=&amp;q=46.4616012573242,3.5171000957489")</f>
        <v>http://maps.google.com/maps?f=q&amp;hl=en&amp;geocode=&amp;q=46.4616012573242,3.5171000957489</v>
      </c>
    </row>
    <row r="10406" spans="1:7" ht="15" x14ac:dyDescent="0.3">
      <c r="A10406">
        <v>28.3072335186211</v>
      </c>
      <c r="B10406">
        <v>-81.227708596908897</v>
      </c>
      <c r="C10406" t="s">
        <v>41</v>
      </c>
      <c r="D10406" t="s">
        <v>5915</v>
      </c>
      <c r="F10406" s="21"/>
      <c r="G10406" s="16" t="str">
        <f>HYPERLINK("http://maps.google.com/maps?f=q&amp;hl=en&amp;geocode=&amp;q=28.3072335186211,-81.2277085969089")</f>
        <v>http://maps.google.com/maps?f=q&amp;hl=en&amp;geocode=&amp;q=28.3072335186211,-81.2277085969089</v>
      </c>
    </row>
    <row r="10407" spans="1:7" ht="15" x14ac:dyDescent="0.3">
      <c r="A10407">
        <v>-32.841529846191399</v>
      </c>
      <c r="B10407">
        <v>137.54057312011699</v>
      </c>
      <c r="C10407" t="s">
        <v>41</v>
      </c>
      <c r="D10407" t="s">
        <v>5916</v>
      </c>
      <c r="F10407" s="21"/>
      <c r="G10407" s="16" t="str">
        <f>HYPERLINK("http://maps.google.com/maps?f=q&amp;hl=en&amp;geocode=&amp;q=-32.8415298461914,137.540573120117")</f>
        <v>http://maps.google.com/maps?f=q&amp;hl=en&amp;geocode=&amp;q=-32.8415298461914,137.540573120117</v>
      </c>
    </row>
    <row r="10408" spans="1:7" ht="15" x14ac:dyDescent="0.3">
      <c r="A10408">
        <v>-25.924503326416001</v>
      </c>
      <c r="B10408">
        <v>28.8633728027344</v>
      </c>
      <c r="C10408" t="s">
        <v>41</v>
      </c>
      <c r="D10408" t="s">
        <v>5917</v>
      </c>
      <c r="F10408" s="21"/>
      <c r="G10408" s="16" t="str">
        <f>HYPERLINK("http://maps.google.com/maps?f=q&amp;hl=en&amp;geocode=&amp;q=-25.924503326416,28.8633728027344")</f>
        <v>http://maps.google.com/maps?f=q&amp;hl=en&amp;geocode=&amp;q=-25.924503326416,28.8633728027344</v>
      </c>
    </row>
    <row r="10409" spans="1:7" ht="15" x14ac:dyDescent="0.3">
      <c r="A10409">
        <v>30.3366794586182</v>
      </c>
      <c r="B10409">
        <v>-81.641181945800795</v>
      </c>
      <c r="C10409" t="s">
        <v>43</v>
      </c>
      <c r="D10409" t="s">
        <v>5918</v>
      </c>
      <c r="F10409" s="21"/>
      <c r="G10409" s="16" t="str">
        <f>HYPERLINK("http://maps.google.com/maps?f=q&amp;hl=en&amp;geocode=&amp;q=30.3366794586182,-81.6411819458008")</f>
        <v>http://maps.google.com/maps?f=q&amp;hl=en&amp;geocode=&amp;q=30.3366794586182,-81.6411819458008</v>
      </c>
    </row>
    <row r="10410" spans="1:7" ht="15" x14ac:dyDescent="0.3">
      <c r="A10410">
        <v>39.975650000000002</v>
      </c>
      <c r="B10410">
        <v>-75.135480000000001</v>
      </c>
      <c r="C10410" t="s">
        <v>41</v>
      </c>
      <c r="D10410" t="s">
        <v>2705</v>
      </c>
      <c r="F10410" s="21"/>
      <c r="G10410" s="16" t="str">
        <f>HYPERLINK("http://maps.google.com/maps?f=q&amp;hl=en&amp;geocode=&amp;q=39.97565,-75.13548")</f>
        <v>http://maps.google.com/maps?f=q&amp;hl=en&amp;geocode=&amp;q=39.97565,-75.13548</v>
      </c>
    </row>
    <row r="10411" spans="1:7" ht="15" x14ac:dyDescent="0.3">
      <c r="A10411">
        <v>36.381991983039399</v>
      </c>
      <c r="B10411">
        <v>-78.627411749341306</v>
      </c>
      <c r="C10411" t="s">
        <v>41</v>
      </c>
      <c r="D10411" t="s">
        <v>5919</v>
      </c>
      <c r="F10411" s="21"/>
      <c r="G10411" s="16" t="str">
        <f>HYPERLINK("http://maps.google.com/maps?f=q&amp;hl=en&amp;geocode=&amp;q=36.3819919830394,-78.6274117493413")</f>
        <v>http://maps.google.com/maps?f=q&amp;hl=en&amp;geocode=&amp;q=36.3819919830394,-78.6274117493413</v>
      </c>
    </row>
    <row r="10412" spans="1:7" ht="15" x14ac:dyDescent="0.3">
      <c r="A10412" t="s">
        <v>44</v>
      </c>
      <c r="B10412" t="s">
        <v>44</v>
      </c>
      <c r="C10412" t="s">
        <v>44</v>
      </c>
      <c r="D10412" t="s">
        <v>5903</v>
      </c>
      <c r="F10412" s="21"/>
      <c r="G10412" s="16"/>
    </row>
    <row r="10413" spans="1:7" ht="15" x14ac:dyDescent="0.3">
      <c r="A10413">
        <v>36.500750021181503</v>
      </c>
      <c r="B10413">
        <v>-75.918351560204997</v>
      </c>
      <c r="C10413" t="s">
        <v>43</v>
      </c>
      <c r="D10413" t="s">
        <v>5920</v>
      </c>
      <c r="F10413" s="21"/>
      <c r="G10413" s="16" t="str">
        <f>HYPERLINK("http://maps.google.com/maps?f=q&amp;hl=en&amp;geocode=&amp;q=36.5007500211815,-75.918351560205")</f>
        <v>http://maps.google.com/maps?f=q&amp;hl=en&amp;geocode=&amp;q=36.5007500211815,-75.918351560205</v>
      </c>
    </row>
    <row r="10414" spans="1:7" ht="15" x14ac:dyDescent="0.3">
      <c r="A10414">
        <v>39.891780853271499</v>
      </c>
      <c r="B10414">
        <v>-88.361022949218807</v>
      </c>
      <c r="C10414" t="s">
        <v>43</v>
      </c>
      <c r="D10414" t="s">
        <v>5921</v>
      </c>
      <c r="F10414" s="21"/>
      <c r="G10414" s="16" t="str">
        <f>HYPERLINK("http://maps.google.com/maps?f=q&amp;hl=en&amp;geocode=&amp;q=39.8917808532715,-88.3610229492188")</f>
        <v>http://maps.google.com/maps?f=q&amp;hl=en&amp;geocode=&amp;q=39.8917808532715,-88.3610229492188</v>
      </c>
    </row>
    <row r="10415" spans="1:7" ht="15" x14ac:dyDescent="0.3">
      <c r="A10415">
        <v>43.1462056492663</v>
      </c>
      <c r="B10415">
        <v>-75.463922665397305</v>
      </c>
      <c r="C10415" t="s">
        <v>41</v>
      </c>
      <c r="D10415" t="s">
        <v>2440</v>
      </c>
      <c r="F10415" s="21"/>
      <c r="G10415" s="16" t="str">
        <f>HYPERLINK("http://maps.google.com/maps?f=q&amp;hl=en&amp;geocode=&amp;q=43.1462056492663,-75.4639226653973")</f>
        <v>http://maps.google.com/maps?f=q&amp;hl=en&amp;geocode=&amp;q=43.1462056492663,-75.4639226653973</v>
      </c>
    </row>
    <row r="10416" spans="1:7" ht="15" x14ac:dyDescent="0.3">
      <c r="A10416">
        <v>38.866889953613303</v>
      </c>
      <c r="B10416">
        <v>-84.611846923828097</v>
      </c>
      <c r="C10416" t="s">
        <v>43</v>
      </c>
      <c r="D10416" t="s">
        <v>5922</v>
      </c>
      <c r="F10416" s="21"/>
      <c r="G10416" s="16" t="str">
        <f>HYPERLINK("http://maps.google.com/maps?f=q&amp;hl=en&amp;geocode=&amp;q=38.8668899536133,-84.6118469238281")</f>
        <v>http://maps.google.com/maps?f=q&amp;hl=en&amp;geocode=&amp;q=38.8668899536133,-84.6118469238281</v>
      </c>
    </row>
    <row r="10417" spans="1:7" ht="15" x14ac:dyDescent="0.3">
      <c r="A10417">
        <v>39.999470000000002</v>
      </c>
      <c r="B10417">
        <v>-75.113339999999994</v>
      </c>
      <c r="C10417" t="s">
        <v>41</v>
      </c>
      <c r="D10417" t="s">
        <v>366</v>
      </c>
      <c r="F10417" s="21"/>
      <c r="G10417" s="16" t="str">
        <f>HYPERLINK("http://maps.google.com/maps?f=q&amp;hl=en&amp;geocode=&amp;q=39.99947,-75.11334")</f>
        <v>http://maps.google.com/maps?f=q&amp;hl=en&amp;geocode=&amp;q=39.99947,-75.11334</v>
      </c>
    </row>
    <row r="10418" spans="1:7" ht="15" x14ac:dyDescent="0.3">
      <c r="A10418">
        <v>-35.043930000000003</v>
      </c>
      <c r="B10418">
        <v>138.52257</v>
      </c>
      <c r="C10418" t="s">
        <v>41</v>
      </c>
      <c r="D10418" t="s">
        <v>5923</v>
      </c>
      <c r="F10418" s="21"/>
      <c r="G10418" s="16" t="str">
        <f>HYPERLINK("http://maps.google.com/maps?f=q&amp;hl=en&amp;geocode=&amp;q=-35.04393,138.52257")</f>
        <v>http://maps.google.com/maps?f=q&amp;hl=en&amp;geocode=&amp;q=-35.04393,138.52257</v>
      </c>
    </row>
    <row r="10419" spans="1:7" ht="15" x14ac:dyDescent="0.3">
      <c r="A10419">
        <v>42.067556278021897</v>
      </c>
      <c r="B10419">
        <v>-89.277006198958901</v>
      </c>
      <c r="C10419" t="s">
        <v>43</v>
      </c>
      <c r="D10419" t="s">
        <v>5924</v>
      </c>
      <c r="F10419" s="21"/>
      <c r="G10419" s="16" t="str">
        <f>HYPERLINK("http://maps.google.com/maps?f=q&amp;hl=en&amp;geocode=&amp;q=42.0675562780219,-89.2770061989589")</f>
        <v>http://maps.google.com/maps?f=q&amp;hl=en&amp;geocode=&amp;q=42.0675562780219,-89.2770061989589</v>
      </c>
    </row>
    <row r="10420" spans="1:7" ht="15" x14ac:dyDescent="0.3">
      <c r="A10420">
        <v>37.194240570068402</v>
      </c>
      <c r="B10420">
        <v>-8.5855684280395508</v>
      </c>
      <c r="C10420" t="s">
        <v>41</v>
      </c>
      <c r="D10420" t="s">
        <v>4068</v>
      </c>
      <c r="F10420" s="21"/>
      <c r="G10420" s="16" t="str">
        <f>HYPERLINK("http://maps.google.com/maps?f=q&amp;hl=en&amp;geocode=&amp;q=37.1942405700684,-8.58556842803955")</f>
        <v>http://maps.google.com/maps?f=q&amp;hl=en&amp;geocode=&amp;q=37.1942405700684,-8.58556842803955</v>
      </c>
    </row>
    <row r="10421" spans="1:7" ht="15" x14ac:dyDescent="0.3">
      <c r="A10421">
        <v>-34.450752258300803</v>
      </c>
      <c r="B10421">
        <v>138.66142272949199</v>
      </c>
      <c r="C10421" t="s">
        <v>41</v>
      </c>
      <c r="D10421" t="s">
        <v>5925</v>
      </c>
      <c r="F10421" s="21"/>
      <c r="G10421" s="16" t="str">
        <f>HYPERLINK("http://maps.google.com/maps?f=q&amp;hl=en&amp;geocode=&amp;q=-34.4507522583008,138.661422729492")</f>
        <v>http://maps.google.com/maps?f=q&amp;hl=en&amp;geocode=&amp;q=-34.4507522583008,138.661422729492</v>
      </c>
    </row>
    <row r="10422" spans="1:7" ht="15" x14ac:dyDescent="0.3">
      <c r="A10422">
        <v>39.305960143236497</v>
      </c>
      <c r="B10422">
        <v>-76.594435092052805</v>
      </c>
      <c r="C10422" t="s">
        <v>41</v>
      </c>
      <c r="D10422" t="s">
        <v>4029</v>
      </c>
      <c r="F10422" s="21"/>
      <c r="G10422" s="16" t="str">
        <f>HYPERLINK("http://maps.google.com/maps?f=q&amp;hl=en&amp;geocode=&amp;q=39.3059601432365,-76.5944350920528")</f>
        <v>http://maps.google.com/maps?f=q&amp;hl=en&amp;geocode=&amp;q=39.3059601432365,-76.5944350920528</v>
      </c>
    </row>
    <row r="10423" spans="1:7" ht="15" x14ac:dyDescent="0.3">
      <c r="A10423" t="s">
        <v>44</v>
      </c>
      <c r="B10423" t="s">
        <v>44</v>
      </c>
      <c r="C10423" t="s">
        <v>44</v>
      </c>
      <c r="D10423" t="s">
        <v>5926</v>
      </c>
      <c r="F10423" s="21"/>
      <c r="G10423" s="16"/>
    </row>
    <row r="10424" spans="1:7" ht="15" x14ac:dyDescent="0.3">
      <c r="A10424">
        <v>41.419338226318402</v>
      </c>
      <c r="B10424">
        <v>-75.072662353515597</v>
      </c>
      <c r="C10424" t="s">
        <v>41</v>
      </c>
      <c r="D10424" t="s">
        <v>3911</v>
      </c>
      <c r="F10424" s="21"/>
      <c r="G10424" s="16" t="str">
        <f>HYPERLINK("http://maps.google.com/maps?f=q&amp;hl=en&amp;geocode=&amp;q=41.4193382263184,-75.0726623535156")</f>
        <v>http://maps.google.com/maps?f=q&amp;hl=en&amp;geocode=&amp;q=41.4193382263184,-75.0726623535156</v>
      </c>
    </row>
    <row r="10425" spans="1:7" ht="15" x14ac:dyDescent="0.3">
      <c r="A10425">
        <v>41.419338226318402</v>
      </c>
      <c r="B10425">
        <v>-75.072662353515597</v>
      </c>
      <c r="C10425" t="s">
        <v>41</v>
      </c>
      <c r="D10425" t="s">
        <v>3911</v>
      </c>
      <c r="F10425" s="21"/>
      <c r="G10425" s="16" t="str">
        <f>HYPERLINK("http://maps.google.com/maps?f=q&amp;hl=en&amp;geocode=&amp;q=41.4193382263184,-75.0726623535156")</f>
        <v>http://maps.google.com/maps?f=q&amp;hl=en&amp;geocode=&amp;q=41.4193382263184,-75.0726623535156</v>
      </c>
    </row>
    <row r="10426" spans="1:7" ht="15" x14ac:dyDescent="0.3">
      <c r="A10426">
        <v>41.419338226318402</v>
      </c>
      <c r="B10426">
        <v>-75.072662353515597</v>
      </c>
      <c r="C10426" t="s">
        <v>41</v>
      </c>
      <c r="D10426" t="s">
        <v>3911</v>
      </c>
      <c r="F10426" s="21"/>
      <c r="G10426" s="16" t="str">
        <f>HYPERLINK("http://maps.google.com/maps?f=q&amp;hl=en&amp;geocode=&amp;q=41.4193382263184,-75.0726623535156")</f>
        <v>http://maps.google.com/maps?f=q&amp;hl=en&amp;geocode=&amp;q=41.4193382263184,-75.0726623535156</v>
      </c>
    </row>
    <row r="10427" spans="1:7" ht="15" x14ac:dyDescent="0.3">
      <c r="A10427">
        <v>39.182571411132798</v>
      </c>
      <c r="B10427">
        <v>-77.270347595214801</v>
      </c>
      <c r="C10427" t="s">
        <v>41</v>
      </c>
      <c r="D10427" t="s">
        <v>3450</v>
      </c>
      <c r="F10427" s="21"/>
      <c r="G10427" s="16" t="str">
        <f>HYPERLINK("http://maps.google.com/maps?f=q&amp;hl=en&amp;geocode=&amp;q=39.1825714111328,-77.2703475952148")</f>
        <v>http://maps.google.com/maps?f=q&amp;hl=en&amp;geocode=&amp;q=39.1825714111328,-77.2703475952148</v>
      </c>
    </row>
    <row r="10428" spans="1:7" ht="15" x14ac:dyDescent="0.3">
      <c r="A10428">
        <v>46.955550088374103</v>
      </c>
      <c r="B10428">
        <v>-114.011225417834</v>
      </c>
      <c r="C10428" t="s">
        <v>41</v>
      </c>
      <c r="D10428" t="s">
        <v>5927</v>
      </c>
      <c r="F10428" s="21"/>
      <c r="G10428" s="16" t="str">
        <f>HYPERLINK("http://maps.google.com/maps?f=q&amp;hl=en&amp;geocode=&amp;q=46.9555500883741,-114.011225417834")</f>
        <v>http://maps.google.com/maps?f=q&amp;hl=en&amp;geocode=&amp;q=46.9555500883741,-114.011225417834</v>
      </c>
    </row>
    <row r="10429" spans="1:7" ht="15" x14ac:dyDescent="0.3">
      <c r="A10429">
        <v>39.981029999999997</v>
      </c>
      <c r="B10429">
        <v>-75.110590000000002</v>
      </c>
      <c r="C10429" t="s">
        <v>41</v>
      </c>
      <c r="D10429" t="s">
        <v>1309</v>
      </c>
      <c r="F10429" s="21"/>
      <c r="G10429" s="16" t="str">
        <f>HYPERLINK("http://maps.google.com/maps?f=q&amp;hl=en&amp;geocode=&amp;q=39.98103,-75.11059")</f>
        <v>http://maps.google.com/maps?f=q&amp;hl=en&amp;geocode=&amp;q=39.98103,-75.11059</v>
      </c>
    </row>
    <row r="10430" spans="1:7" ht="15" x14ac:dyDescent="0.3">
      <c r="A10430">
        <v>42.338218688964801</v>
      </c>
      <c r="B10430">
        <v>-112.60504150390599</v>
      </c>
      <c r="C10430" t="s">
        <v>43</v>
      </c>
      <c r="D10430" t="s">
        <v>5928</v>
      </c>
      <c r="F10430" s="21"/>
      <c r="G10430" s="16" t="str">
        <f>HYPERLINK("http://maps.google.com/maps?f=q&amp;hl=en&amp;geocode=&amp;q=42.3382186889648,-112.605041503906")</f>
        <v>http://maps.google.com/maps?f=q&amp;hl=en&amp;geocode=&amp;q=42.3382186889648,-112.605041503906</v>
      </c>
    </row>
    <row r="10431" spans="1:7" ht="15" x14ac:dyDescent="0.3">
      <c r="A10431">
        <v>40.015673540799</v>
      </c>
      <c r="B10431">
        <v>-75.140275258600496</v>
      </c>
      <c r="C10431" t="s">
        <v>43</v>
      </c>
      <c r="D10431" t="s">
        <v>2004</v>
      </c>
      <c r="F10431" s="21"/>
      <c r="G10431" s="16" t="str">
        <f>HYPERLINK("http://maps.google.com/maps?f=q&amp;hl=en&amp;geocode=&amp;q=40.015673540799,-75.1402752586005")</f>
        <v>http://maps.google.com/maps?f=q&amp;hl=en&amp;geocode=&amp;q=40.015673540799,-75.1402752586005</v>
      </c>
    </row>
    <row r="10432" spans="1:7" ht="15" x14ac:dyDescent="0.3">
      <c r="A10432">
        <v>-40.001163482666001</v>
      </c>
      <c r="B10432">
        <v>176.55967712402301</v>
      </c>
      <c r="C10432" t="s">
        <v>43</v>
      </c>
      <c r="D10432" t="s">
        <v>3949</v>
      </c>
      <c r="F10432" s="21"/>
      <c r="G10432" s="16" t="str">
        <f>HYPERLINK("http://maps.google.com/maps?f=q&amp;hl=en&amp;geocode=&amp;q=-40.001163482666,176.559677124023")</f>
        <v>http://maps.google.com/maps?f=q&amp;hl=en&amp;geocode=&amp;q=-40.001163482666,176.559677124023</v>
      </c>
    </row>
    <row r="10433" spans="1:7" ht="15" x14ac:dyDescent="0.3">
      <c r="A10433">
        <v>42.338218688964801</v>
      </c>
      <c r="B10433">
        <v>-112.60504150390599</v>
      </c>
      <c r="C10433" t="s">
        <v>43</v>
      </c>
      <c r="D10433" t="s">
        <v>5928</v>
      </c>
      <c r="F10433" s="21"/>
      <c r="G10433" s="16" t="str">
        <f>HYPERLINK("http://maps.google.com/maps?f=q&amp;hl=en&amp;geocode=&amp;q=42.3382186889648,-112.605041503906")</f>
        <v>http://maps.google.com/maps?f=q&amp;hl=en&amp;geocode=&amp;q=42.3382186889648,-112.605041503906</v>
      </c>
    </row>
    <row r="10434" spans="1:7" ht="15" x14ac:dyDescent="0.3">
      <c r="A10434">
        <v>39.917679999999997</v>
      </c>
      <c r="B10434">
        <v>-75.230639999999994</v>
      </c>
      <c r="C10434" t="s">
        <v>43</v>
      </c>
      <c r="D10434" t="s">
        <v>5929</v>
      </c>
      <c r="F10434" s="21"/>
      <c r="G10434" s="16" t="str">
        <f>HYPERLINK("http://maps.google.com/maps?f=q&amp;hl=en&amp;geocode=&amp;q=39.91768,-75.23064")</f>
        <v>http://maps.google.com/maps?f=q&amp;hl=en&amp;geocode=&amp;q=39.91768,-75.23064</v>
      </c>
    </row>
    <row r="10435" spans="1:7" ht="15" x14ac:dyDescent="0.3">
      <c r="A10435">
        <v>39.917679999999997</v>
      </c>
      <c r="B10435">
        <v>-75.230639999999994</v>
      </c>
      <c r="C10435" t="s">
        <v>43</v>
      </c>
      <c r="D10435" t="s">
        <v>5929</v>
      </c>
      <c r="F10435" s="21"/>
      <c r="G10435" s="16" t="str">
        <f>HYPERLINK("http://maps.google.com/maps?f=q&amp;hl=en&amp;geocode=&amp;q=39.91768,-75.23064")</f>
        <v>http://maps.google.com/maps?f=q&amp;hl=en&amp;geocode=&amp;q=39.91768,-75.23064</v>
      </c>
    </row>
    <row r="10436" spans="1:7" ht="15" x14ac:dyDescent="0.3">
      <c r="A10436">
        <v>35.371634800445499</v>
      </c>
      <c r="B10436">
        <v>-96.893122817826296</v>
      </c>
      <c r="C10436" t="s">
        <v>41</v>
      </c>
      <c r="D10436" t="s">
        <v>5930</v>
      </c>
      <c r="F10436" s="21"/>
      <c r="G10436" s="16" t="str">
        <f>HYPERLINK("http://maps.google.com/maps?f=q&amp;hl=en&amp;geocode=&amp;q=35.3716348004455,-96.8931228178263")</f>
        <v>http://maps.google.com/maps?f=q&amp;hl=en&amp;geocode=&amp;q=35.3716348004455,-96.8931228178263</v>
      </c>
    </row>
    <row r="10437" spans="1:7" ht="15" x14ac:dyDescent="0.3">
      <c r="A10437">
        <v>46.6709125910821</v>
      </c>
      <c r="B10437">
        <v>-104.670449115382</v>
      </c>
      <c r="C10437" t="s">
        <v>41</v>
      </c>
      <c r="D10437" t="s">
        <v>5931</v>
      </c>
      <c r="F10437" s="21"/>
      <c r="G10437" s="16" t="str">
        <f>HYPERLINK("http://maps.google.com/maps?f=q&amp;hl=en&amp;geocode=&amp;q=46.6709125910821,-104.670449115382")</f>
        <v>http://maps.google.com/maps?f=q&amp;hl=en&amp;geocode=&amp;q=46.6709125910821,-104.670449115382</v>
      </c>
    </row>
    <row r="10438" spans="1:7" ht="15" x14ac:dyDescent="0.3">
      <c r="A10438">
        <v>39.9536720964674</v>
      </c>
      <c r="B10438">
        <v>-75.241227235137202</v>
      </c>
      <c r="C10438" t="s">
        <v>41</v>
      </c>
      <c r="D10438" t="s">
        <v>195</v>
      </c>
      <c r="F10438" s="21"/>
      <c r="G10438" s="16" t="str">
        <f>HYPERLINK("http://maps.google.com/maps?f=q&amp;hl=en&amp;geocode=&amp;q=39.9536720964674,-75.2412272351372")</f>
        <v>http://maps.google.com/maps?f=q&amp;hl=en&amp;geocode=&amp;q=39.9536720964674,-75.2412272351372</v>
      </c>
    </row>
    <row r="10439" spans="1:7" ht="15" x14ac:dyDescent="0.3">
      <c r="A10439">
        <v>39.9536720964674</v>
      </c>
      <c r="B10439">
        <v>-75.241227235137202</v>
      </c>
      <c r="C10439" t="s">
        <v>41</v>
      </c>
      <c r="D10439" t="s">
        <v>195</v>
      </c>
      <c r="F10439" s="21"/>
      <c r="G10439" s="16" t="str">
        <f>HYPERLINK("http://maps.google.com/maps?f=q&amp;hl=en&amp;geocode=&amp;q=39.9536720964674,-75.2412272351372")</f>
        <v>http://maps.google.com/maps?f=q&amp;hl=en&amp;geocode=&amp;q=39.9536720964674,-75.2412272351372</v>
      </c>
    </row>
    <row r="10440" spans="1:7" ht="15" x14ac:dyDescent="0.3">
      <c r="A10440">
        <v>34.588037761954801</v>
      </c>
      <c r="B10440">
        <v>-109.912614561715</v>
      </c>
      <c r="C10440" t="s">
        <v>42</v>
      </c>
      <c r="D10440" t="s">
        <v>5932</v>
      </c>
      <c r="F10440" s="21"/>
      <c r="G10440" s="16" t="str">
        <f>HYPERLINK("http://maps.google.com/maps?f=q&amp;hl=en&amp;geocode=&amp;q=34.5880377619548,-109.912614561715")</f>
        <v>http://maps.google.com/maps?f=q&amp;hl=en&amp;geocode=&amp;q=34.5880377619548,-109.912614561715</v>
      </c>
    </row>
    <row r="10441" spans="1:7" ht="15" x14ac:dyDescent="0.3">
      <c r="A10441">
        <v>39.396749999999997</v>
      </c>
      <c r="B10441">
        <v>-87.276269999999997</v>
      </c>
      <c r="C10441" t="s">
        <v>41</v>
      </c>
      <c r="D10441" t="s">
        <v>5933</v>
      </c>
      <c r="F10441" s="21"/>
      <c r="G10441" s="16" t="str">
        <f>HYPERLINK("http://maps.google.com/maps?f=q&amp;hl=en&amp;geocode=&amp;q=39.39675,-87.27627")</f>
        <v>http://maps.google.com/maps?f=q&amp;hl=en&amp;geocode=&amp;q=39.39675,-87.27627</v>
      </c>
    </row>
    <row r="10442" spans="1:7" ht="15" x14ac:dyDescent="0.3">
      <c r="A10442">
        <v>39.928891912457402</v>
      </c>
      <c r="B10442">
        <v>-75.157476743039595</v>
      </c>
      <c r="C10442" t="s">
        <v>41</v>
      </c>
      <c r="D10442" t="s">
        <v>5934</v>
      </c>
      <c r="F10442" s="21"/>
      <c r="G10442" s="16" t="str">
        <f>HYPERLINK("http://maps.google.com/maps?f=q&amp;hl=en&amp;geocode=&amp;q=39.9288919124574,-75.1574767430396")</f>
        <v>http://maps.google.com/maps?f=q&amp;hl=en&amp;geocode=&amp;q=39.9288919124574,-75.1574767430396</v>
      </c>
    </row>
    <row r="10443" spans="1:7" ht="15" x14ac:dyDescent="0.3">
      <c r="A10443">
        <v>42.4435</v>
      </c>
      <c r="B10443">
        <v>-85.700490000000002</v>
      </c>
      <c r="C10443" t="s">
        <v>42</v>
      </c>
      <c r="D10443" t="s">
        <v>2397</v>
      </c>
      <c r="F10443" s="21"/>
      <c r="G10443" s="16" t="str">
        <f>HYPERLINK("http://maps.google.com/maps?f=q&amp;hl=en&amp;geocode=&amp;q=42.4435,-85.70049")</f>
        <v>http://maps.google.com/maps?f=q&amp;hl=en&amp;geocode=&amp;q=42.4435,-85.70049</v>
      </c>
    </row>
    <row r="10444" spans="1:7" ht="15" x14ac:dyDescent="0.3">
      <c r="A10444">
        <v>41.956466674804702</v>
      </c>
      <c r="B10444">
        <v>25.441452026367202</v>
      </c>
      <c r="C10444" t="s">
        <v>43</v>
      </c>
      <c r="D10444" t="s">
        <v>5935</v>
      </c>
      <c r="F10444" s="21"/>
      <c r="G10444" s="16" t="str">
        <f>HYPERLINK("http://maps.google.com/maps?f=q&amp;hl=en&amp;geocode=&amp;q=41.9564666748047,25.4414520263672")</f>
        <v>http://maps.google.com/maps?f=q&amp;hl=en&amp;geocode=&amp;q=41.9564666748047,25.4414520263672</v>
      </c>
    </row>
    <row r="10445" spans="1:7" ht="15" x14ac:dyDescent="0.3">
      <c r="A10445">
        <v>35.235779999999998</v>
      </c>
      <c r="B10445">
        <v>-92.370310000000003</v>
      </c>
      <c r="C10445" t="s">
        <v>41</v>
      </c>
      <c r="D10445" t="s">
        <v>5936</v>
      </c>
      <c r="F10445" s="21"/>
      <c r="G10445" s="16" t="str">
        <f>HYPERLINK("http://maps.google.com/maps?f=q&amp;hl=en&amp;geocode=&amp;q=35.23578,-92.37031")</f>
        <v>http://maps.google.com/maps?f=q&amp;hl=en&amp;geocode=&amp;q=35.23578,-92.37031</v>
      </c>
    </row>
    <row r="10446" spans="1:7" ht="15" x14ac:dyDescent="0.3">
      <c r="A10446">
        <v>36.204007598372002</v>
      </c>
      <c r="B10446">
        <v>-90.543774131239502</v>
      </c>
      <c r="C10446" t="s">
        <v>42</v>
      </c>
      <c r="D10446" t="s">
        <v>5937</v>
      </c>
      <c r="F10446" s="21"/>
      <c r="G10446" s="16" t="str">
        <f>HYPERLINK("http://maps.google.com/maps?f=q&amp;hl=en&amp;geocode=&amp;q=36.204007598372,-90.5437741312395")</f>
        <v>http://maps.google.com/maps?f=q&amp;hl=en&amp;geocode=&amp;q=36.204007598372,-90.5437741312395</v>
      </c>
    </row>
    <row r="10447" spans="1:7" ht="15" x14ac:dyDescent="0.3">
      <c r="A10447">
        <v>40.193464969506998</v>
      </c>
      <c r="B10447">
        <v>-110.04792045993</v>
      </c>
      <c r="C10447" t="s">
        <v>42</v>
      </c>
      <c r="D10447" t="s">
        <v>2748</v>
      </c>
      <c r="F10447" s="21"/>
      <c r="G10447" s="16" t="str">
        <f>HYPERLINK("http://maps.google.com/maps?f=q&amp;hl=en&amp;geocode=&amp;q=40.193464969507,-110.04792045993")</f>
        <v>http://maps.google.com/maps?f=q&amp;hl=en&amp;geocode=&amp;q=40.193464969507,-110.04792045993</v>
      </c>
    </row>
    <row r="10448" spans="1:7" ht="15" x14ac:dyDescent="0.3">
      <c r="A10448">
        <v>35.694267272949197</v>
      </c>
      <c r="B10448">
        <v>139.41233825683599</v>
      </c>
      <c r="C10448" t="s">
        <v>43</v>
      </c>
      <c r="D10448" t="s">
        <v>5938</v>
      </c>
      <c r="F10448" s="21"/>
      <c r="G10448" s="16" t="str">
        <f>HYPERLINK("http://maps.google.com/maps?f=q&amp;hl=en&amp;geocode=&amp;q=35.6942672729492,139.412338256836")</f>
        <v>http://maps.google.com/maps?f=q&amp;hl=en&amp;geocode=&amp;q=35.6942672729492,139.412338256836</v>
      </c>
    </row>
    <row r="10449" spans="1:7" ht="15" x14ac:dyDescent="0.3">
      <c r="A10449">
        <v>35.371630354585399</v>
      </c>
      <c r="B10449">
        <v>-96.892953869834102</v>
      </c>
      <c r="C10449" t="s">
        <v>41</v>
      </c>
      <c r="D10449" t="s">
        <v>5939</v>
      </c>
      <c r="F10449" s="21"/>
      <c r="G10449" s="16" t="str">
        <f>HYPERLINK("http://maps.google.com/maps?f=q&amp;hl=en&amp;geocode=&amp;q=35.3716303545854,-96.8929538698341")</f>
        <v>http://maps.google.com/maps?f=q&amp;hl=en&amp;geocode=&amp;q=35.3716303545854,-96.8929538698341</v>
      </c>
    </row>
    <row r="10450" spans="1:7" ht="15" x14ac:dyDescent="0.3">
      <c r="A10450">
        <v>46.877762041270799</v>
      </c>
      <c r="B10450">
        <v>-123.302815465542</v>
      </c>
      <c r="C10450" t="s">
        <v>41</v>
      </c>
      <c r="D10450" t="s">
        <v>4639</v>
      </c>
      <c r="F10450" s="21"/>
      <c r="G10450" s="16" t="str">
        <f>HYPERLINK("http://maps.google.com/maps?f=q&amp;hl=en&amp;geocode=&amp;q=46.8777620412708,-123.302815465542")</f>
        <v>http://maps.google.com/maps?f=q&amp;hl=en&amp;geocode=&amp;q=46.8777620412708,-123.302815465542</v>
      </c>
    </row>
    <row r="10451" spans="1:7" ht="15" x14ac:dyDescent="0.3">
      <c r="A10451">
        <v>44.899943603891302</v>
      </c>
      <c r="B10451">
        <v>-89.600626624808399</v>
      </c>
      <c r="C10451" t="s">
        <v>41</v>
      </c>
      <c r="D10451" t="s">
        <v>5940</v>
      </c>
      <c r="F10451" s="21"/>
      <c r="G10451" s="16" t="str">
        <f>HYPERLINK("http://maps.google.com/maps?f=q&amp;hl=en&amp;geocode=&amp;q=44.8999436038913,-89.6006266248084")</f>
        <v>http://maps.google.com/maps?f=q&amp;hl=en&amp;geocode=&amp;q=44.8999436038913,-89.6006266248084</v>
      </c>
    </row>
    <row r="10452" spans="1:7" ht="15" x14ac:dyDescent="0.3">
      <c r="A10452">
        <v>44.899943603891302</v>
      </c>
      <c r="B10452">
        <v>-89.600626624808399</v>
      </c>
      <c r="C10452" t="s">
        <v>41</v>
      </c>
      <c r="D10452" t="s">
        <v>5940</v>
      </c>
      <c r="F10452" s="21"/>
      <c r="G10452" s="16" t="str">
        <f>HYPERLINK("http://maps.google.com/maps?f=q&amp;hl=en&amp;geocode=&amp;q=44.8999436038913,-89.6006266248084")</f>
        <v>http://maps.google.com/maps?f=q&amp;hl=en&amp;geocode=&amp;q=44.8999436038913,-89.6006266248084</v>
      </c>
    </row>
    <row r="10453" spans="1:7" ht="15" x14ac:dyDescent="0.3">
      <c r="A10453">
        <v>65.521652221679702</v>
      </c>
      <c r="B10453">
        <v>29.222003936767599</v>
      </c>
      <c r="C10453" t="s">
        <v>41</v>
      </c>
      <c r="D10453" t="s">
        <v>5941</v>
      </c>
      <c r="F10453" s="21"/>
      <c r="G10453" s="16" t="str">
        <f>HYPERLINK("http://maps.google.com/maps?f=q&amp;hl=en&amp;geocode=&amp;q=65.5216522216797,29.2220039367676")</f>
        <v>http://maps.google.com/maps?f=q&amp;hl=en&amp;geocode=&amp;q=65.5216522216797,29.2220039367676</v>
      </c>
    </row>
    <row r="10454" spans="1:7" ht="15" x14ac:dyDescent="0.3">
      <c r="A10454">
        <v>49.4110107421875</v>
      </c>
      <c r="B10454">
        <v>14.675889968872101</v>
      </c>
      <c r="C10454" t="s">
        <v>41</v>
      </c>
      <c r="D10454" t="s">
        <v>5863</v>
      </c>
      <c r="F10454" s="21"/>
      <c r="G10454" s="16" t="str">
        <f>HYPERLINK("http://maps.google.com/maps?f=q&amp;hl=en&amp;geocode=&amp;q=49.4110107421875,14.6758899688721")</f>
        <v>http://maps.google.com/maps?f=q&amp;hl=en&amp;geocode=&amp;q=49.4110107421875,14.6758899688721</v>
      </c>
    </row>
    <row r="10455" spans="1:7" ht="15" x14ac:dyDescent="0.3">
      <c r="A10455">
        <v>49.4110107421875</v>
      </c>
      <c r="B10455">
        <v>14.675889968872101</v>
      </c>
      <c r="C10455" t="s">
        <v>41</v>
      </c>
      <c r="D10455" t="s">
        <v>5863</v>
      </c>
      <c r="F10455" s="21"/>
      <c r="G10455" s="16" t="str">
        <f>HYPERLINK("http://maps.google.com/maps?f=q&amp;hl=en&amp;geocode=&amp;q=49.4110107421875,14.6758899688721")</f>
        <v>http://maps.google.com/maps?f=q&amp;hl=en&amp;geocode=&amp;q=49.4110107421875,14.6758899688721</v>
      </c>
    </row>
    <row r="10456" spans="1:7" ht="15" x14ac:dyDescent="0.3">
      <c r="A10456">
        <v>25.8813188610822</v>
      </c>
      <c r="B10456">
        <v>-80.285006234776404</v>
      </c>
      <c r="C10456" t="s">
        <v>43</v>
      </c>
      <c r="D10456" t="s">
        <v>5942</v>
      </c>
      <c r="F10456" s="21"/>
      <c r="G10456" s="16" t="str">
        <f>HYPERLINK("http://maps.google.com/maps?f=q&amp;hl=en&amp;geocode=&amp;q=25.8813188610822,-80.2850062347764")</f>
        <v>http://maps.google.com/maps?f=q&amp;hl=en&amp;geocode=&amp;q=25.8813188610822,-80.2850062347764</v>
      </c>
    </row>
    <row r="10457" spans="1:7" ht="15" x14ac:dyDescent="0.3">
      <c r="A10457">
        <v>43.096909823569597</v>
      </c>
      <c r="B10457">
        <v>-78.873910995161694</v>
      </c>
      <c r="C10457" t="s">
        <v>41</v>
      </c>
      <c r="D10457" t="s">
        <v>1669</v>
      </c>
      <c r="F10457" s="21"/>
      <c r="G10457" s="16" t="str">
        <f>HYPERLINK("http://maps.google.com/maps?f=q&amp;hl=en&amp;geocode=&amp;q=43.0969098235696,-78.8739109951617")</f>
        <v>http://maps.google.com/maps?f=q&amp;hl=en&amp;geocode=&amp;q=43.0969098235696,-78.8739109951617</v>
      </c>
    </row>
    <row r="10458" spans="1:7" ht="15" x14ac:dyDescent="0.3">
      <c r="A10458">
        <v>40.015514875334901</v>
      </c>
      <c r="B10458">
        <v>-75.1389955746548</v>
      </c>
      <c r="C10458" t="s">
        <v>43</v>
      </c>
      <c r="D10458" t="s">
        <v>4854</v>
      </c>
      <c r="F10458" s="21"/>
      <c r="G10458" s="16" t="str">
        <f>HYPERLINK("http://maps.google.com/maps?f=q&amp;hl=en&amp;geocode=&amp;q=40.0155148753349,-75.1389955746548")</f>
        <v>http://maps.google.com/maps?f=q&amp;hl=en&amp;geocode=&amp;q=40.0155148753349,-75.1389955746548</v>
      </c>
    </row>
    <row r="10459" spans="1:7" ht="15" x14ac:dyDescent="0.3">
      <c r="A10459">
        <v>-40.001163482666001</v>
      </c>
      <c r="B10459">
        <v>176.55967712402301</v>
      </c>
      <c r="C10459" t="s">
        <v>43</v>
      </c>
      <c r="D10459" t="s">
        <v>3949</v>
      </c>
      <c r="F10459" s="21"/>
      <c r="G10459" s="16" t="str">
        <f>HYPERLINK("http://maps.google.com/maps?f=q&amp;hl=en&amp;geocode=&amp;q=-40.001163482666,176.559677124023")</f>
        <v>http://maps.google.com/maps?f=q&amp;hl=en&amp;geocode=&amp;q=-40.001163482666,176.559677124023</v>
      </c>
    </row>
    <row r="10460" spans="1:7" ht="15" x14ac:dyDescent="0.3">
      <c r="A10460">
        <v>39.997798919677699</v>
      </c>
      <c r="B10460">
        <v>-75.136756896972699</v>
      </c>
      <c r="C10460" t="s">
        <v>41</v>
      </c>
      <c r="D10460" t="s">
        <v>5943</v>
      </c>
      <c r="F10460" s="21"/>
      <c r="G10460" s="16" t="str">
        <f>HYPERLINK("http://maps.google.com/maps?f=q&amp;hl=en&amp;geocode=&amp;q=39.9977989196777,-75.1367568969727")</f>
        <v>http://maps.google.com/maps?f=q&amp;hl=en&amp;geocode=&amp;q=39.9977989196777,-75.1367568969727</v>
      </c>
    </row>
    <row r="10461" spans="1:7" ht="15" x14ac:dyDescent="0.3">
      <c r="A10461">
        <v>30.77938</v>
      </c>
      <c r="B10461">
        <v>-85.539609999999996</v>
      </c>
      <c r="C10461" t="s">
        <v>43</v>
      </c>
      <c r="D10461" t="s">
        <v>5944</v>
      </c>
      <c r="F10461" s="21"/>
      <c r="G10461" s="16" t="str">
        <f>HYPERLINK("http://maps.google.com/maps?f=q&amp;hl=en&amp;geocode=&amp;q=30.77938,-85.53961")</f>
        <v>http://maps.google.com/maps?f=q&amp;hl=en&amp;geocode=&amp;q=30.77938,-85.53961</v>
      </c>
    </row>
    <row r="10462" spans="1:7" ht="15" x14ac:dyDescent="0.3">
      <c r="A10462">
        <v>53.461456298828097</v>
      </c>
      <c r="B10462">
        <v>-2.6337509155273402</v>
      </c>
      <c r="C10462" t="s">
        <v>43</v>
      </c>
      <c r="D10462" t="s">
        <v>5945</v>
      </c>
      <c r="F10462" s="21"/>
      <c r="G10462" s="16" t="str">
        <f>HYPERLINK("http://maps.google.com/maps?f=q&amp;hl=en&amp;geocode=&amp;q=53.4614562988281,-2.63375091552734")</f>
        <v>http://maps.google.com/maps?f=q&amp;hl=en&amp;geocode=&amp;q=53.4614562988281,-2.63375091552734</v>
      </c>
    </row>
    <row r="10463" spans="1:7" ht="15" x14ac:dyDescent="0.3">
      <c r="A10463">
        <v>54.298728942871101</v>
      </c>
      <c r="B10463">
        <v>9.7888298034668004</v>
      </c>
      <c r="C10463" t="s">
        <v>43</v>
      </c>
      <c r="D10463" t="s">
        <v>5946</v>
      </c>
      <c r="F10463" s="21"/>
      <c r="G10463" s="16" t="str">
        <f>HYPERLINK("http://maps.google.com/maps?f=q&amp;hl=en&amp;geocode=&amp;q=54.2987289428711,9.7888298034668")</f>
        <v>http://maps.google.com/maps?f=q&amp;hl=en&amp;geocode=&amp;q=54.2987289428711,9.7888298034668</v>
      </c>
    </row>
    <row r="10464" spans="1:7" ht="15" x14ac:dyDescent="0.3">
      <c r="A10464">
        <v>33.752800000000001</v>
      </c>
      <c r="B10464">
        <v>-96.743620000000007</v>
      </c>
      <c r="C10464" t="s">
        <v>42</v>
      </c>
      <c r="D10464" t="s">
        <v>5947</v>
      </c>
      <c r="F10464" s="21"/>
      <c r="G10464" s="16" t="str">
        <f>HYPERLINK("http://maps.google.com/maps?f=q&amp;hl=en&amp;geocode=&amp;q=33.7528,-96.74362")</f>
        <v>http://maps.google.com/maps?f=q&amp;hl=en&amp;geocode=&amp;q=33.7528,-96.74362</v>
      </c>
    </row>
    <row r="10465" spans="1:7" ht="15" x14ac:dyDescent="0.3">
      <c r="A10465">
        <v>49.624095916747997</v>
      </c>
      <c r="B10465">
        <v>6.1253390312194798</v>
      </c>
      <c r="C10465" t="s">
        <v>41</v>
      </c>
      <c r="D10465" t="s">
        <v>5948</v>
      </c>
      <c r="F10465" s="21"/>
      <c r="G10465" s="16" t="str">
        <f>HYPERLINK("http://maps.google.com/maps?f=q&amp;hl=en&amp;geocode=&amp;q=49.624095916748,6.12533903121948")</f>
        <v>http://maps.google.com/maps?f=q&amp;hl=en&amp;geocode=&amp;q=49.624095916748,6.12533903121948</v>
      </c>
    </row>
    <row r="10466" spans="1:7" ht="15" x14ac:dyDescent="0.3">
      <c r="A10466">
        <v>38.142875689358299</v>
      </c>
      <c r="B10466">
        <v>-97.839194397501799</v>
      </c>
      <c r="C10466" t="s">
        <v>41</v>
      </c>
      <c r="D10466" t="s">
        <v>5949</v>
      </c>
      <c r="F10466" s="21"/>
      <c r="G10466" s="16" t="str">
        <f>HYPERLINK("http://maps.google.com/maps?f=q&amp;hl=en&amp;geocode=&amp;q=38.1428756893583,-97.8391943975018")</f>
        <v>http://maps.google.com/maps?f=q&amp;hl=en&amp;geocode=&amp;q=38.1428756893583,-97.8391943975018</v>
      </c>
    </row>
    <row r="10467" spans="1:7" ht="15" x14ac:dyDescent="0.3">
      <c r="A10467">
        <v>49.4110107421875</v>
      </c>
      <c r="B10467">
        <v>14.675889968872101</v>
      </c>
      <c r="C10467" t="s">
        <v>41</v>
      </c>
      <c r="D10467" t="s">
        <v>5863</v>
      </c>
      <c r="F10467" s="21"/>
      <c r="G10467" s="16" t="str">
        <f>HYPERLINK("http://maps.google.com/maps?f=q&amp;hl=en&amp;geocode=&amp;q=49.4110107421875,14.6758899688721")</f>
        <v>http://maps.google.com/maps?f=q&amp;hl=en&amp;geocode=&amp;q=49.4110107421875,14.6758899688721</v>
      </c>
    </row>
    <row r="10468" spans="1:7" ht="15" x14ac:dyDescent="0.3">
      <c r="A10468">
        <v>49.4110107421875</v>
      </c>
      <c r="B10468">
        <v>14.675889968872101</v>
      </c>
      <c r="C10468" t="s">
        <v>41</v>
      </c>
      <c r="D10468" t="s">
        <v>5863</v>
      </c>
      <c r="F10468" s="21"/>
      <c r="G10468" s="16" t="str">
        <f>HYPERLINK("http://maps.google.com/maps?f=q&amp;hl=en&amp;geocode=&amp;q=49.4110107421875,14.6758899688721")</f>
        <v>http://maps.google.com/maps?f=q&amp;hl=en&amp;geocode=&amp;q=49.4110107421875,14.6758899688721</v>
      </c>
    </row>
    <row r="10469" spans="1:7" ht="15" x14ac:dyDescent="0.3">
      <c r="A10469">
        <v>48.255484644971098</v>
      </c>
      <c r="B10469">
        <v>-97.470326157974299</v>
      </c>
      <c r="C10469" t="s">
        <v>41</v>
      </c>
      <c r="D10469" t="s">
        <v>5950</v>
      </c>
      <c r="F10469" s="21"/>
      <c r="G10469" s="16" t="str">
        <f>HYPERLINK("http://maps.google.com/maps?f=q&amp;hl=en&amp;geocode=&amp;q=48.2554846449711,-97.4703261579743")</f>
        <v>http://maps.google.com/maps?f=q&amp;hl=en&amp;geocode=&amp;q=48.2554846449711,-97.4703261579743</v>
      </c>
    </row>
    <row r="10470" spans="1:7" ht="15" x14ac:dyDescent="0.3">
      <c r="A10470">
        <v>39.954037576622397</v>
      </c>
      <c r="B10470">
        <v>-75.226335996261298</v>
      </c>
      <c r="C10470" t="s">
        <v>41</v>
      </c>
      <c r="D10470" t="s">
        <v>397</v>
      </c>
      <c r="F10470" s="21"/>
      <c r="G10470" s="16" t="str">
        <f>HYPERLINK("http://maps.google.com/maps?f=q&amp;hl=en&amp;geocode=&amp;q=39.9540375766224,-75.2263359962613")</f>
        <v>http://maps.google.com/maps?f=q&amp;hl=en&amp;geocode=&amp;q=39.9540375766224,-75.2263359962613</v>
      </c>
    </row>
    <row r="10471" spans="1:7" ht="15" x14ac:dyDescent="0.3">
      <c r="A10471">
        <v>39.980020000000003</v>
      </c>
      <c r="B10471">
        <v>-86.160129999999995</v>
      </c>
      <c r="C10471" t="s">
        <v>42</v>
      </c>
      <c r="D10471" t="s">
        <v>5881</v>
      </c>
      <c r="F10471" s="21"/>
      <c r="G10471" s="16" t="str">
        <f>HYPERLINK("http://maps.google.com/maps?f=q&amp;hl=en&amp;geocode=&amp;q=39.98002,-86.16013")</f>
        <v>http://maps.google.com/maps?f=q&amp;hl=en&amp;geocode=&amp;q=39.98002,-86.16013</v>
      </c>
    </row>
    <row r="10472" spans="1:7" ht="15" x14ac:dyDescent="0.3">
      <c r="A10472">
        <v>26.942900000000002</v>
      </c>
      <c r="B10472">
        <v>-82.220060000000004</v>
      </c>
      <c r="C10472" t="s">
        <v>43</v>
      </c>
      <c r="D10472" t="s">
        <v>5951</v>
      </c>
      <c r="F10472" s="21"/>
      <c r="G10472" s="16" t="str">
        <f>HYPERLINK("http://maps.google.com/maps?f=q&amp;hl=en&amp;geocode=&amp;q=26.9429,-82.22006")</f>
        <v>http://maps.google.com/maps?f=q&amp;hl=en&amp;geocode=&amp;q=26.9429,-82.22006</v>
      </c>
    </row>
    <row r="10473" spans="1:7" ht="15" x14ac:dyDescent="0.3">
      <c r="A10473">
        <v>40.097897968491303</v>
      </c>
      <c r="B10473">
        <v>-89.083102045688506</v>
      </c>
      <c r="C10473" t="s">
        <v>41</v>
      </c>
      <c r="D10473" t="s">
        <v>4002</v>
      </c>
      <c r="F10473" s="21"/>
      <c r="G10473" s="16" t="str">
        <f>HYPERLINK("http://maps.google.com/maps?f=q&amp;hl=en&amp;geocode=&amp;q=40.0978979684913,-89.0831020456885")</f>
        <v>http://maps.google.com/maps?f=q&amp;hl=en&amp;geocode=&amp;q=40.0978979684913,-89.0831020456885</v>
      </c>
    </row>
    <row r="10474" spans="1:7" ht="15" x14ac:dyDescent="0.3">
      <c r="A10474">
        <v>49.334259033203097</v>
      </c>
      <c r="B10474">
        <v>-1.6066800355911299</v>
      </c>
      <c r="C10474" t="s">
        <v>43</v>
      </c>
      <c r="D10474" t="s">
        <v>5952</v>
      </c>
      <c r="F10474" s="21"/>
      <c r="G10474" s="16" t="str">
        <f>HYPERLINK("http://maps.google.com/maps?f=q&amp;hl=en&amp;geocode=&amp;q=49.3342590332031,-1.60668003559113")</f>
        <v>http://maps.google.com/maps?f=q&amp;hl=en&amp;geocode=&amp;q=49.3342590332031,-1.60668003559113</v>
      </c>
    </row>
    <row r="10475" spans="1:7" ht="15" x14ac:dyDescent="0.3">
      <c r="A10475">
        <v>39.964741807726398</v>
      </c>
      <c r="B10475">
        <v>-75.231684684514804</v>
      </c>
      <c r="C10475" t="s">
        <v>41</v>
      </c>
      <c r="D10475" t="s">
        <v>1742</v>
      </c>
      <c r="F10475" s="21"/>
      <c r="G10475" s="16" t="str">
        <f>HYPERLINK("http://maps.google.com/maps?f=q&amp;hl=en&amp;geocode=&amp;q=39.9647418077264,-75.2316846845148")</f>
        <v>http://maps.google.com/maps?f=q&amp;hl=en&amp;geocode=&amp;q=39.9647418077264,-75.2316846845148</v>
      </c>
    </row>
    <row r="10476" spans="1:7" ht="15" x14ac:dyDescent="0.3">
      <c r="A10476">
        <v>42.512780553262303</v>
      </c>
      <c r="B10476">
        <v>-83.120872085561899</v>
      </c>
      <c r="C10476" t="s">
        <v>41</v>
      </c>
      <c r="D10476" t="s">
        <v>5953</v>
      </c>
      <c r="F10476" s="21"/>
      <c r="G10476" s="16" t="str">
        <f>HYPERLINK("http://maps.google.com/maps?f=q&amp;hl=en&amp;geocode=&amp;q=42.5127805532623,-83.1208720855619")</f>
        <v>http://maps.google.com/maps?f=q&amp;hl=en&amp;geocode=&amp;q=42.5127805532623,-83.1208720855619</v>
      </c>
    </row>
    <row r="10477" spans="1:7" ht="15" x14ac:dyDescent="0.3">
      <c r="A10477">
        <v>40.011229999999998</v>
      </c>
      <c r="B10477">
        <v>-75.124369999999999</v>
      </c>
      <c r="C10477" t="s">
        <v>41</v>
      </c>
      <c r="D10477" t="s">
        <v>5954</v>
      </c>
      <c r="F10477" s="21"/>
      <c r="G10477" s="16" t="str">
        <f>HYPERLINK("http://maps.google.com/maps?f=q&amp;hl=en&amp;geocode=&amp;q=40.01123,-75.12437")</f>
        <v>http://maps.google.com/maps?f=q&amp;hl=en&amp;geocode=&amp;q=40.01123,-75.12437</v>
      </c>
    </row>
    <row r="10478" spans="1:7" ht="15" x14ac:dyDescent="0.3">
      <c r="A10478">
        <v>40.011229999999998</v>
      </c>
      <c r="B10478">
        <v>-75.124369999999999</v>
      </c>
      <c r="C10478" t="s">
        <v>41</v>
      </c>
      <c r="D10478" t="s">
        <v>5954</v>
      </c>
      <c r="F10478" s="21"/>
      <c r="G10478" s="16" t="str">
        <f>HYPERLINK("http://maps.google.com/maps?f=q&amp;hl=en&amp;geocode=&amp;q=40.01123,-75.12437")</f>
        <v>http://maps.google.com/maps?f=q&amp;hl=en&amp;geocode=&amp;q=40.01123,-75.12437</v>
      </c>
    </row>
    <row r="10479" spans="1:7" ht="15" x14ac:dyDescent="0.3">
      <c r="A10479">
        <v>39.008125305175803</v>
      </c>
      <c r="B10479">
        <v>-75.467475891113295</v>
      </c>
      <c r="C10479" t="s">
        <v>43</v>
      </c>
      <c r="D10479" t="s">
        <v>5955</v>
      </c>
      <c r="F10479" s="21"/>
      <c r="G10479" s="16" t="str">
        <f>HYPERLINK("http://maps.google.com/maps?f=q&amp;hl=en&amp;geocode=&amp;q=39.0081253051758,-75.4674758911133")</f>
        <v>http://maps.google.com/maps?f=q&amp;hl=en&amp;geocode=&amp;q=39.0081253051758,-75.4674758911133</v>
      </c>
    </row>
    <row r="10480" spans="1:7" ht="15" x14ac:dyDescent="0.3">
      <c r="A10480">
        <v>54.562068939208999</v>
      </c>
      <c r="B10480">
        <v>-125.10440063476599</v>
      </c>
      <c r="C10480" t="s">
        <v>41</v>
      </c>
      <c r="D10480" t="s">
        <v>5686</v>
      </c>
      <c r="F10480" s="21"/>
      <c r="G10480" s="16" t="str">
        <f>HYPERLINK("http://maps.google.com/maps?f=q&amp;hl=en&amp;geocode=&amp;q=54.562068939209,-125.104400634766")</f>
        <v>http://maps.google.com/maps?f=q&amp;hl=en&amp;geocode=&amp;q=54.562068939209,-125.104400634766</v>
      </c>
    </row>
    <row r="10481" spans="1:7" ht="15" x14ac:dyDescent="0.3">
      <c r="A10481">
        <v>40.539810052958899</v>
      </c>
      <c r="B10481">
        <v>-111.47656070140999</v>
      </c>
      <c r="C10481" t="s">
        <v>41</v>
      </c>
      <c r="D10481" t="s">
        <v>5956</v>
      </c>
      <c r="F10481" s="21"/>
      <c r="G10481" s="16" t="str">
        <f>HYPERLINK("http://maps.google.com/maps?f=q&amp;hl=en&amp;geocode=&amp;q=40.5398100529589,-111.47656070141")</f>
        <v>http://maps.google.com/maps?f=q&amp;hl=en&amp;geocode=&amp;q=40.5398100529589,-111.47656070141</v>
      </c>
    </row>
    <row r="10482" spans="1:7" ht="15" x14ac:dyDescent="0.3">
      <c r="A10482" t="s">
        <v>44</v>
      </c>
      <c r="B10482" t="s">
        <v>44</v>
      </c>
      <c r="C10482" t="s">
        <v>44</v>
      </c>
      <c r="D10482" t="s">
        <v>5903</v>
      </c>
      <c r="F10482" s="21"/>
      <c r="G10482" s="16"/>
    </row>
    <row r="10483" spans="1:7" ht="15" x14ac:dyDescent="0.3">
      <c r="A10483">
        <v>40.045299999999997</v>
      </c>
      <c r="B10483">
        <v>-75.108239999999995</v>
      </c>
      <c r="C10483" t="s">
        <v>41</v>
      </c>
      <c r="D10483" t="s">
        <v>5483</v>
      </c>
      <c r="F10483" s="21"/>
      <c r="G10483" s="16" t="str">
        <f>HYPERLINK("http://maps.google.com/maps?f=q&amp;hl=en&amp;geocode=&amp;q=40.0453,-75.10824")</f>
        <v>http://maps.google.com/maps?f=q&amp;hl=en&amp;geocode=&amp;q=40.0453,-75.10824</v>
      </c>
    </row>
    <row r="10484" spans="1:7" ht="15" x14ac:dyDescent="0.3">
      <c r="A10484">
        <v>40.325819499703996</v>
      </c>
      <c r="B10484">
        <v>-91.342401297003406</v>
      </c>
      <c r="C10484" t="s">
        <v>42</v>
      </c>
      <c r="D10484" t="s">
        <v>5957</v>
      </c>
      <c r="F10484" s="21"/>
      <c r="G10484" s="16" t="str">
        <f>HYPERLINK("http://maps.google.com/maps?f=q&amp;hl=en&amp;geocode=&amp;q=40.325819499704,-91.3424012970034")</f>
        <v>http://maps.google.com/maps?f=q&amp;hl=en&amp;geocode=&amp;q=40.325819499704,-91.3424012970034</v>
      </c>
    </row>
    <row r="10485" spans="1:7" ht="15" x14ac:dyDescent="0.3">
      <c r="A10485">
        <v>40.025149999999897</v>
      </c>
      <c r="B10485">
        <v>-75.131299999999996</v>
      </c>
      <c r="C10485" t="s">
        <v>41</v>
      </c>
      <c r="D10485" t="s">
        <v>5958</v>
      </c>
      <c r="F10485" s="21"/>
      <c r="G10485" s="16" t="str">
        <f>HYPERLINK("http://maps.google.com/maps?f=q&amp;hl=en&amp;geocode=&amp;q=40.025149999999996,-75.1313")</f>
        <v>http://maps.google.com/maps?f=q&amp;hl=en&amp;geocode=&amp;q=40.025149999999996,-75.1313</v>
      </c>
    </row>
    <row r="10486" spans="1:7" ht="15" x14ac:dyDescent="0.3">
      <c r="A10486" t="s">
        <v>44</v>
      </c>
      <c r="B10486" t="s">
        <v>44</v>
      </c>
      <c r="C10486" t="s">
        <v>44</v>
      </c>
      <c r="D10486" t="s">
        <v>5959</v>
      </c>
      <c r="F10486" s="21"/>
      <c r="G10486" s="16"/>
    </row>
    <row r="10487" spans="1:7" ht="15" x14ac:dyDescent="0.3">
      <c r="A10487">
        <v>38.188374967019101</v>
      </c>
      <c r="B10487">
        <v>-95.752494489959005</v>
      </c>
      <c r="C10487" t="s">
        <v>41</v>
      </c>
      <c r="D10487" t="s">
        <v>5960</v>
      </c>
      <c r="F10487" s="21"/>
      <c r="G10487" s="16" t="str">
        <f>HYPERLINK("http://maps.google.com/maps?f=q&amp;hl=en&amp;geocode=&amp;q=38.1883749670191,-95.752494489959")</f>
        <v>http://maps.google.com/maps?f=q&amp;hl=en&amp;geocode=&amp;q=38.1883749670191,-95.752494489959</v>
      </c>
    </row>
    <row r="10488" spans="1:7" ht="15" x14ac:dyDescent="0.3">
      <c r="A10488">
        <v>40.135045034208602</v>
      </c>
      <c r="B10488">
        <v>-85.708593760551906</v>
      </c>
      <c r="C10488" t="s">
        <v>41</v>
      </c>
      <c r="D10488" t="s">
        <v>5961</v>
      </c>
      <c r="F10488" s="21"/>
      <c r="G10488" s="16" t="str">
        <f>HYPERLINK("http://maps.google.com/maps?f=q&amp;hl=en&amp;geocode=&amp;q=40.1350450342086,-85.7085937605519")</f>
        <v>http://maps.google.com/maps?f=q&amp;hl=en&amp;geocode=&amp;q=40.1350450342086,-85.7085937605519</v>
      </c>
    </row>
    <row r="10489" spans="1:7" ht="15" x14ac:dyDescent="0.3">
      <c r="A10489">
        <v>33.031986113691303</v>
      </c>
      <c r="B10489">
        <v>-88.767706969312599</v>
      </c>
      <c r="C10489" t="s">
        <v>41</v>
      </c>
      <c r="D10489" t="s">
        <v>1887</v>
      </c>
      <c r="F10489" s="21"/>
      <c r="G10489" s="16" t="str">
        <f>HYPERLINK("http://maps.google.com/maps?f=q&amp;hl=en&amp;geocode=&amp;q=33.0319861136913,-88.7677069693126")</f>
        <v>http://maps.google.com/maps?f=q&amp;hl=en&amp;geocode=&amp;q=33.0319861136913,-88.7677069693126</v>
      </c>
    </row>
    <row r="10490" spans="1:7" ht="15" x14ac:dyDescent="0.3">
      <c r="A10490" t="s">
        <v>44</v>
      </c>
      <c r="B10490" t="s">
        <v>44</v>
      </c>
      <c r="C10490" t="s">
        <v>44</v>
      </c>
      <c r="D10490" t="s">
        <v>5962</v>
      </c>
      <c r="F10490" s="21"/>
      <c r="G10490" s="16"/>
    </row>
    <row r="10491" spans="1:7" ht="15" x14ac:dyDescent="0.3">
      <c r="A10491">
        <v>43.641759999999998</v>
      </c>
      <c r="B10491">
        <v>-94.105360000000005</v>
      </c>
      <c r="C10491" t="s">
        <v>43</v>
      </c>
      <c r="D10491" t="s">
        <v>5963</v>
      </c>
      <c r="F10491" s="21"/>
      <c r="G10491" s="16" t="str">
        <f>HYPERLINK("http://maps.google.com/maps?f=q&amp;hl=en&amp;geocode=&amp;q=43.64176,-94.10536")</f>
        <v>http://maps.google.com/maps?f=q&amp;hl=en&amp;geocode=&amp;q=43.64176,-94.10536</v>
      </c>
    </row>
    <row r="10492" spans="1:7" ht="15" x14ac:dyDescent="0.3">
      <c r="A10492">
        <v>43.332384500870802</v>
      </c>
      <c r="B10492">
        <v>-78.753091422731799</v>
      </c>
      <c r="C10492" t="s">
        <v>41</v>
      </c>
      <c r="D10492" t="s">
        <v>871</v>
      </c>
      <c r="F10492" s="21"/>
      <c r="G10492" s="16" t="str">
        <f>HYPERLINK("http://maps.google.com/maps?f=q&amp;hl=en&amp;geocode=&amp;q=43.3323845008708,-78.7530914227318")</f>
        <v>http://maps.google.com/maps?f=q&amp;hl=en&amp;geocode=&amp;q=43.3323845008708,-78.7530914227318</v>
      </c>
    </row>
    <row r="10493" spans="1:7" ht="15" x14ac:dyDescent="0.3">
      <c r="A10493">
        <v>39.909202636119502</v>
      </c>
      <c r="B10493">
        <v>-75.175254746504095</v>
      </c>
      <c r="C10493" t="s">
        <v>41</v>
      </c>
      <c r="D10493" t="s">
        <v>5964</v>
      </c>
      <c r="F10493" s="21"/>
      <c r="G10493" s="16" t="str">
        <f>HYPERLINK("http://maps.google.com/maps?f=q&amp;hl=en&amp;geocode=&amp;q=39.9092026361195,-75.1752547465041")</f>
        <v>http://maps.google.com/maps?f=q&amp;hl=en&amp;geocode=&amp;q=39.9092026361195,-75.1752547465041</v>
      </c>
    </row>
    <row r="10494" spans="1:7" ht="15" x14ac:dyDescent="0.3">
      <c r="A10494">
        <v>49.4110107421875</v>
      </c>
      <c r="B10494">
        <v>14.675889968872101</v>
      </c>
      <c r="C10494" t="s">
        <v>41</v>
      </c>
      <c r="D10494" t="s">
        <v>5863</v>
      </c>
      <c r="F10494" s="21"/>
      <c r="G10494" s="16" t="str">
        <f>HYPERLINK("http://maps.google.com/maps?f=q&amp;hl=en&amp;geocode=&amp;q=49.4110107421875,14.6758899688721")</f>
        <v>http://maps.google.com/maps?f=q&amp;hl=en&amp;geocode=&amp;q=49.4110107421875,14.6758899688721</v>
      </c>
    </row>
    <row r="10495" spans="1:7" ht="15" x14ac:dyDescent="0.3">
      <c r="A10495">
        <v>40.632350000000002</v>
      </c>
      <c r="B10495">
        <v>-74.028350000000003</v>
      </c>
      <c r="C10495" t="s">
        <v>41</v>
      </c>
      <c r="D10495" t="s">
        <v>5965</v>
      </c>
      <c r="F10495" s="21"/>
      <c r="G10495" s="16" t="str">
        <f>HYPERLINK("http://maps.google.com/maps?f=q&amp;hl=en&amp;geocode=&amp;q=40.63235,-74.02835")</f>
        <v>http://maps.google.com/maps?f=q&amp;hl=en&amp;geocode=&amp;q=40.63235,-74.02835</v>
      </c>
    </row>
    <row r="10496" spans="1:7" ht="15" x14ac:dyDescent="0.3">
      <c r="A10496">
        <v>41.740640112089999</v>
      </c>
      <c r="B10496">
        <v>-111.81466358090999</v>
      </c>
      <c r="C10496" t="s">
        <v>41</v>
      </c>
      <c r="D10496" t="s">
        <v>1285</v>
      </c>
      <c r="F10496" s="21"/>
      <c r="G10496" s="16" t="str">
        <f>HYPERLINK("http://maps.google.com/maps?f=q&amp;hl=en&amp;geocode=&amp;q=41.74064011209,-111.81466358091")</f>
        <v>http://maps.google.com/maps?f=q&amp;hl=en&amp;geocode=&amp;q=41.74064011209,-111.81466358091</v>
      </c>
    </row>
    <row r="10497" spans="1:7" ht="15" x14ac:dyDescent="0.3">
      <c r="A10497">
        <v>40.419018000000001</v>
      </c>
      <c r="B10497">
        <v>-80.078875999999994</v>
      </c>
      <c r="C10497" t="s">
        <v>41</v>
      </c>
      <c r="D10497" t="s">
        <v>5966</v>
      </c>
      <c r="F10497" s="21"/>
      <c r="G10497" s="16" t="str">
        <f>HYPERLINK("http://maps.google.com/maps?f=q&amp;hl=en&amp;geocode=&amp;q=40.419018,-80.078876")</f>
        <v>http://maps.google.com/maps?f=q&amp;hl=en&amp;geocode=&amp;q=40.419018,-80.078876</v>
      </c>
    </row>
    <row r="10498" spans="1:7" ht="15" x14ac:dyDescent="0.3">
      <c r="A10498">
        <v>33.599155746337203</v>
      </c>
      <c r="B10498">
        <v>-92.063069458761603</v>
      </c>
      <c r="C10498" t="s">
        <v>41</v>
      </c>
      <c r="D10498" t="s">
        <v>5967</v>
      </c>
      <c r="F10498" s="21"/>
      <c r="G10498" s="16" t="str">
        <f>HYPERLINK("http://maps.google.com/maps?f=q&amp;hl=en&amp;geocode=&amp;q=33.5991557463372,-92.0630694587616")</f>
        <v>http://maps.google.com/maps?f=q&amp;hl=en&amp;geocode=&amp;q=33.5991557463372,-92.0630694587616</v>
      </c>
    </row>
    <row r="10499" spans="1:7" ht="15" x14ac:dyDescent="0.3">
      <c r="A10499" t="s">
        <v>44</v>
      </c>
      <c r="B10499" t="s">
        <v>44</v>
      </c>
      <c r="C10499" t="s">
        <v>44</v>
      </c>
      <c r="D10499" t="s">
        <v>5968</v>
      </c>
      <c r="F10499" s="21"/>
      <c r="G10499" s="16"/>
    </row>
    <row r="10500" spans="1:7" ht="15" x14ac:dyDescent="0.3">
      <c r="A10500">
        <v>40.065422599820202</v>
      </c>
      <c r="B10500">
        <v>-76.275415341847193</v>
      </c>
      <c r="C10500" t="s">
        <v>41</v>
      </c>
      <c r="D10500" t="s">
        <v>2515</v>
      </c>
      <c r="F10500" s="21"/>
      <c r="G10500" s="16" t="str">
        <f>HYPERLINK("http://maps.google.com/maps?f=q&amp;hl=en&amp;geocode=&amp;q=40.0654225998202,-76.2754153418472")</f>
        <v>http://maps.google.com/maps?f=q&amp;hl=en&amp;geocode=&amp;q=40.0654225998202,-76.2754153418472</v>
      </c>
    </row>
    <row r="10501" spans="1:7" ht="15" x14ac:dyDescent="0.3">
      <c r="A10501">
        <v>54.901432037353501</v>
      </c>
      <c r="B10501">
        <v>10.7508296966553</v>
      </c>
      <c r="C10501" t="s">
        <v>43</v>
      </c>
      <c r="D10501" t="s">
        <v>5969</v>
      </c>
      <c r="F10501" s="21"/>
      <c r="G10501" s="16" t="str">
        <f>HYPERLINK("http://maps.google.com/maps?f=q&amp;hl=en&amp;geocode=&amp;q=54.9014320373535,10.7508296966553")</f>
        <v>http://maps.google.com/maps?f=q&amp;hl=en&amp;geocode=&amp;q=54.9014320373535,10.7508296966553</v>
      </c>
    </row>
    <row r="10502" spans="1:7" ht="15" x14ac:dyDescent="0.3">
      <c r="A10502">
        <v>52.030643463134801</v>
      </c>
      <c r="B10502">
        <v>5.09480905532837</v>
      </c>
      <c r="C10502" t="s">
        <v>41</v>
      </c>
      <c r="D10502" t="s">
        <v>5970</v>
      </c>
      <c r="F10502" s="21"/>
      <c r="G10502" s="16" t="str">
        <f>HYPERLINK("http://maps.google.com/maps?f=q&amp;hl=en&amp;geocode=&amp;q=52.0306434631348,5.09480905532837")</f>
        <v>http://maps.google.com/maps?f=q&amp;hl=en&amp;geocode=&amp;q=52.0306434631348,5.09480905532837</v>
      </c>
    </row>
    <row r="10503" spans="1:7" ht="15" x14ac:dyDescent="0.3">
      <c r="A10503">
        <v>41.570780318967898</v>
      </c>
      <c r="B10503">
        <v>-87.609949185375498</v>
      </c>
      <c r="C10503" t="s">
        <v>41</v>
      </c>
      <c r="D10503" t="s">
        <v>1313</v>
      </c>
      <c r="F10503" s="21"/>
      <c r="G10503" s="16" t="str">
        <f>HYPERLINK("http://maps.google.com/maps?f=q&amp;hl=en&amp;geocode=&amp;q=41.5707803189679,-87.6099491853755")</f>
        <v>http://maps.google.com/maps?f=q&amp;hl=en&amp;geocode=&amp;q=41.5707803189679,-87.6099491853755</v>
      </c>
    </row>
    <row r="10504" spans="1:7" ht="15" x14ac:dyDescent="0.3">
      <c r="A10504">
        <v>40.044519999999999</v>
      </c>
      <c r="B10504">
        <v>-75.077770000000001</v>
      </c>
      <c r="C10504" t="s">
        <v>41</v>
      </c>
      <c r="D10504" t="s">
        <v>1226</v>
      </c>
      <c r="F10504" s="21"/>
      <c r="G10504" s="16" t="str">
        <f>HYPERLINK("http://maps.google.com/maps?f=q&amp;hl=en&amp;geocode=&amp;q=40.04452,-75.07777")</f>
        <v>http://maps.google.com/maps?f=q&amp;hl=en&amp;geocode=&amp;q=40.04452,-75.07777</v>
      </c>
    </row>
    <row r="10505" spans="1:7" ht="15" x14ac:dyDescent="0.3">
      <c r="A10505" t="s">
        <v>44</v>
      </c>
      <c r="B10505" t="s">
        <v>44</v>
      </c>
      <c r="C10505" t="s">
        <v>44</v>
      </c>
      <c r="D10505" t="s">
        <v>5971</v>
      </c>
      <c r="F10505" s="21"/>
      <c r="G10505" s="16"/>
    </row>
    <row r="10506" spans="1:7" ht="15" x14ac:dyDescent="0.3">
      <c r="A10506" t="s">
        <v>44</v>
      </c>
      <c r="B10506" t="s">
        <v>44</v>
      </c>
      <c r="C10506" t="s">
        <v>44</v>
      </c>
      <c r="D10506" t="s">
        <v>5972</v>
      </c>
      <c r="F10506" s="21"/>
      <c r="G10506" s="16"/>
    </row>
    <row r="10507" spans="1:7" ht="15" x14ac:dyDescent="0.3">
      <c r="A10507" t="s">
        <v>44</v>
      </c>
      <c r="B10507" t="s">
        <v>44</v>
      </c>
      <c r="C10507" t="s">
        <v>44</v>
      </c>
      <c r="D10507" t="s">
        <v>993</v>
      </c>
      <c r="F10507" s="21"/>
      <c r="G10507" s="16"/>
    </row>
    <row r="10508" spans="1:7" ht="15" x14ac:dyDescent="0.3">
      <c r="A10508">
        <v>55.444797515869098</v>
      </c>
      <c r="B10508">
        <v>12.1309967041016</v>
      </c>
      <c r="C10508" t="s">
        <v>41</v>
      </c>
      <c r="D10508" t="s">
        <v>1818</v>
      </c>
      <c r="F10508" s="21"/>
      <c r="G10508" s="16" t="str">
        <f>HYPERLINK("http://maps.google.com/maps?f=q&amp;hl=en&amp;geocode=&amp;q=55.4447975158691,12.1309967041016")</f>
        <v>http://maps.google.com/maps?f=q&amp;hl=en&amp;geocode=&amp;q=55.4447975158691,12.1309967041016</v>
      </c>
    </row>
    <row r="10509" spans="1:7" ht="15" x14ac:dyDescent="0.3">
      <c r="A10509">
        <v>38.366894952963797</v>
      </c>
      <c r="B10509">
        <v>-75.397366788730906</v>
      </c>
      <c r="C10509" t="s">
        <v>41</v>
      </c>
      <c r="D10509" t="s">
        <v>5973</v>
      </c>
      <c r="F10509" s="21"/>
      <c r="G10509" s="16" t="str">
        <f>HYPERLINK("http://maps.google.com/maps?f=q&amp;hl=en&amp;geocode=&amp;q=38.3668949529638,-75.3973667887309")</f>
        <v>http://maps.google.com/maps?f=q&amp;hl=en&amp;geocode=&amp;q=38.3668949529638,-75.3973667887309</v>
      </c>
    </row>
    <row r="10510" spans="1:7" ht="15" x14ac:dyDescent="0.3">
      <c r="A10510">
        <v>39.403559999999999</v>
      </c>
      <c r="B10510">
        <v>-76.615459999999999</v>
      </c>
      <c r="C10510" t="s">
        <v>41</v>
      </c>
      <c r="D10510" t="s">
        <v>5974</v>
      </c>
      <c r="F10510" s="21"/>
      <c r="G10510" s="16" t="str">
        <f>HYPERLINK("http://maps.google.com/maps?f=q&amp;hl=en&amp;geocode=&amp;q=39.40356,-76.61546")</f>
        <v>http://maps.google.com/maps?f=q&amp;hl=en&amp;geocode=&amp;q=39.40356,-76.61546</v>
      </c>
    </row>
    <row r="10511" spans="1:7" ht="15" x14ac:dyDescent="0.3">
      <c r="A10511">
        <v>35.260009765625</v>
      </c>
      <c r="B10511">
        <v>-80.425880432128906</v>
      </c>
      <c r="C10511" t="s">
        <v>43</v>
      </c>
      <c r="D10511" t="s">
        <v>1293</v>
      </c>
      <c r="F10511" s="21"/>
      <c r="G10511" s="16" t="str">
        <f>HYPERLINK("http://maps.google.com/maps?f=q&amp;hl=en&amp;geocode=&amp;q=35.260009765625,-80.4258804321289")</f>
        <v>http://maps.google.com/maps?f=q&amp;hl=en&amp;geocode=&amp;q=35.260009765625,-80.4258804321289</v>
      </c>
    </row>
    <row r="10512" spans="1:7" ht="15" x14ac:dyDescent="0.3">
      <c r="A10512">
        <v>40.813621520996101</v>
      </c>
      <c r="B10512">
        <v>-96.707298278808594</v>
      </c>
      <c r="C10512" t="s">
        <v>43</v>
      </c>
      <c r="D10512" t="s">
        <v>5975</v>
      </c>
      <c r="F10512" s="21"/>
      <c r="G10512" s="16" t="str">
        <f>HYPERLINK("http://maps.google.com/maps?f=q&amp;hl=en&amp;geocode=&amp;q=40.8136215209961,-96.7072982788086")</f>
        <v>http://maps.google.com/maps?f=q&amp;hl=en&amp;geocode=&amp;q=40.8136215209961,-96.7072982788086</v>
      </c>
    </row>
    <row r="10513" spans="1:7" ht="15" x14ac:dyDescent="0.3">
      <c r="A10513">
        <v>41.427950000000003</v>
      </c>
      <c r="B10513">
        <v>-78.527979999999999</v>
      </c>
      <c r="C10513" t="s">
        <v>42</v>
      </c>
      <c r="D10513" t="s">
        <v>5037</v>
      </c>
      <c r="F10513" s="21"/>
      <c r="G10513" s="16" t="str">
        <f>HYPERLINK("http://maps.google.com/maps?f=q&amp;hl=en&amp;geocode=&amp;q=41.42795,-78.52798")</f>
        <v>http://maps.google.com/maps?f=q&amp;hl=en&amp;geocode=&amp;q=41.42795,-78.52798</v>
      </c>
    </row>
    <row r="10514" spans="1:7" ht="15" x14ac:dyDescent="0.3">
      <c r="A10514">
        <v>-34.859650000000002</v>
      </c>
      <c r="B10514">
        <v>138.50916000000001</v>
      </c>
      <c r="C10514" t="s">
        <v>41</v>
      </c>
      <c r="D10514" t="s">
        <v>1424</v>
      </c>
      <c r="F10514" s="21"/>
      <c r="G10514" s="16" t="str">
        <f>HYPERLINK("http://maps.google.com/maps?f=q&amp;hl=en&amp;geocode=&amp;q=-34.85965,138.50916")</f>
        <v>http://maps.google.com/maps?f=q&amp;hl=en&amp;geocode=&amp;q=-34.85965,138.50916</v>
      </c>
    </row>
    <row r="10515" spans="1:7" ht="15" x14ac:dyDescent="0.3">
      <c r="A10515">
        <v>40.5481310114236</v>
      </c>
      <c r="B10515">
        <v>-76.944415079062196</v>
      </c>
      <c r="C10515" t="s">
        <v>43</v>
      </c>
      <c r="D10515" t="s">
        <v>5976</v>
      </c>
      <c r="F10515" s="21"/>
      <c r="G10515" s="16" t="str">
        <f>HYPERLINK("http://maps.google.com/maps?f=q&amp;hl=en&amp;geocode=&amp;q=40.5481310114236,-76.9444150790622")</f>
        <v>http://maps.google.com/maps?f=q&amp;hl=en&amp;geocode=&amp;q=40.5481310114236,-76.9444150790622</v>
      </c>
    </row>
    <row r="10516" spans="1:7" ht="15" x14ac:dyDescent="0.3">
      <c r="A10516">
        <v>49.4110107421875</v>
      </c>
      <c r="B10516">
        <v>14.675889968872101</v>
      </c>
      <c r="C10516" t="s">
        <v>41</v>
      </c>
      <c r="D10516" t="s">
        <v>5977</v>
      </c>
      <c r="F10516" s="21"/>
      <c r="G10516" s="16" t="str">
        <f>HYPERLINK("http://maps.google.com/maps?f=q&amp;hl=en&amp;geocode=&amp;q=49.4110107421875,14.6758899688721")</f>
        <v>http://maps.google.com/maps?f=q&amp;hl=en&amp;geocode=&amp;q=49.4110107421875,14.6758899688721</v>
      </c>
    </row>
    <row r="10517" spans="1:7" ht="15" x14ac:dyDescent="0.3">
      <c r="A10517">
        <v>49.4110107421875</v>
      </c>
      <c r="B10517">
        <v>14.675889968872101</v>
      </c>
      <c r="C10517" t="s">
        <v>41</v>
      </c>
      <c r="D10517" t="s">
        <v>5863</v>
      </c>
      <c r="F10517" s="21"/>
      <c r="G10517" s="16" t="str">
        <f>HYPERLINK("http://maps.google.com/maps?f=q&amp;hl=en&amp;geocode=&amp;q=49.4110107421875,14.6758899688721")</f>
        <v>http://maps.google.com/maps?f=q&amp;hl=en&amp;geocode=&amp;q=49.4110107421875,14.6758899688721</v>
      </c>
    </row>
    <row r="10518" spans="1:7" ht="15" x14ac:dyDescent="0.3">
      <c r="A10518">
        <v>-32.8973197937012</v>
      </c>
      <c r="B10518">
        <v>151.73648071289099</v>
      </c>
      <c r="C10518" t="s">
        <v>41</v>
      </c>
      <c r="D10518" t="s">
        <v>5978</v>
      </c>
      <c r="F10518" s="21"/>
      <c r="G10518" s="16" t="str">
        <f>HYPERLINK("http://maps.google.com/maps?f=q&amp;hl=en&amp;geocode=&amp;q=-32.8973197937012,151.736480712891")</f>
        <v>http://maps.google.com/maps?f=q&amp;hl=en&amp;geocode=&amp;q=-32.8973197937012,151.736480712891</v>
      </c>
    </row>
    <row r="10519" spans="1:7" ht="15" x14ac:dyDescent="0.3">
      <c r="A10519">
        <v>41.79898</v>
      </c>
      <c r="B10519">
        <v>-87.898880000000005</v>
      </c>
      <c r="C10519" t="s">
        <v>42</v>
      </c>
      <c r="D10519" t="s">
        <v>5979</v>
      </c>
      <c r="F10519" s="21"/>
      <c r="G10519" s="16" t="str">
        <f>HYPERLINK("http://maps.google.com/maps?f=q&amp;hl=en&amp;geocode=&amp;q=41.79898,-87.89888")</f>
        <v>http://maps.google.com/maps?f=q&amp;hl=en&amp;geocode=&amp;q=41.79898,-87.89888</v>
      </c>
    </row>
    <row r="10520" spans="1:7" ht="15" x14ac:dyDescent="0.3">
      <c r="A10520">
        <v>41.79898</v>
      </c>
      <c r="B10520">
        <v>-87.898880000000005</v>
      </c>
      <c r="C10520" t="s">
        <v>42</v>
      </c>
      <c r="D10520" t="s">
        <v>5979</v>
      </c>
      <c r="F10520" s="21"/>
      <c r="G10520" s="16" t="str">
        <f>HYPERLINK("http://maps.google.com/maps?f=q&amp;hl=en&amp;geocode=&amp;q=41.79898,-87.89888")</f>
        <v>http://maps.google.com/maps?f=q&amp;hl=en&amp;geocode=&amp;q=41.79898,-87.89888</v>
      </c>
    </row>
    <row r="10521" spans="1:7" ht="15" x14ac:dyDescent="0.3">
      <c r="A10521">
        <v>45.9989013671875</v>
      </c>
      <c r="B10521">
        <v>1.2184699773788501</v>
      </c>
      <c r="C10521" t="s">
        <v>41</v>
      </c>
      <c r="D10521" t="s">
        <v>5980</v>
      </c>
      <c r="F10521" s="21"/>
      <c r="G10521" s="16" t="str">
        <f>HYPERLINK("http://maps.google.com/maps?f=q&amp;hl=en&amp;geocode=&amp;q=45.9989013671875,1.21846997737885")</f>
        <v>http://maps.google.com/maps?f=q&amp;hl=en&amp;geocode=&amp;q=45.9989013671875,1.21846997737885</v>
      </c>
    </row>
    <row r="10522" spans="1:7" ht="15" x14ac:dyDescent="0.3">
      <c r="A10522" t="s">
        <v>44</v>
      </c>
      <c r="B10522" t="s">
        <v>44</v>
      </c>
      <c r="C10522" t="s">
        <v>44</v>
      </c>
      <c r="D10522" t="s">
        <v>3421</v>
      </c>
      <c r="F10522" s="21"/>
      <c r="G10522" s="16"/>
    </row>
    <row r="10523" spans="1:7" ht="15" x14ac:dyDescent="0.3">
      <c r="A10523" t="s">
        <v>44</v>
      </c>
      <c r="B10523" t="s">
        <v>44</v>
      </c>
      <c r="C10523" t="s">
        <v>44</v>
      </c>
      <c r="D10523" t="s">
        <v>5981</v>
      </c>
      <c r="F10523" s="21"/>
      <c r="G10523" s="16"/>
    </row>
    <row r="10524" spans="1:7" ht="15" x14ac:dyDescent="0.3">
      <c r="A10524">
        <v>46.585479736328097</v>
      </c>
      <c r="B10524">
        <v>48.882129669189503</v>
      </c>
      <c r="C10524" t="s">
        <v>41</v>
      </c>
      <c r="D10524" t="s">
        <v>5982</v>
      </c>
      <c r="F10524" s="21"/>
      <c r="G10524" s="16" t="str">
        <f>HYPERLINK("http://maps.google.com/maps?f=q&amp;hl=en&amp;geocode=&amp;q=46.5854797363281,48.8821296691895")</f>
        <v>http://maps.google.com/maps?f=q&amp;hl=en&amp;geocode=&amp;q=46.5854797363281,48.8821296691895</v>
      </c>
    </row>
    <row r="10525" spans="1:7" ht="15" x14ac:dyDescent="0.3">
      <c r="A10525">
        <v>36.724004334398401</v>
      </c>
      <c r="B10525">
        <v>-86.577821190314197</v>
      </c>
      <c r="C10525" t="s">
        <v>41</v>
      </c>
      <c r="D10525" t="s">
        <v>5983</v>
      </c>
      <c r="F10525" s="21"/>
      <c r="G10525" s="16" t="str">
        <f>HYPERLINK("http://maps.google.com/maps?f=q&amp;hl=en&amp;geocode=&amp;q=36.7240043343984,-86.5778211903142")</f>
        <v>http://maps.google.com/maps?f=q&amp;hl=en&amp;geocode=&amp;q=36.7240043343984,-86.5778211903142</v>
      </c>
    </row>
    <row r="10526" spans="1:7" ht="15" x14ac:dyDescent="0.3">
      <c r="A10526" t="s">
        <v>44</v>
      </c>
      <c r="B10526" t="s">
        <v>44</v>
      </c>
      <c r="C10526" t="s">
        <v>44</v>
      </c>
      <c r="D10526" t="s">
        <v>5418</v>
      </c>
      <c r="F10526" s="21"/>
      <c r="G10526" s="16"/>
    </row>
    <row r="10527" spans="1:7" ht="15" x14ac:dyDescent="0.3">
      <c r="A10527">
        <v>42.722940000000001</v>
      </c>
      <c r="B10527">
        <v>-89.104380000000006</v>
      </c>
      <c r="C10527" t="s">
        <v>43</v>
      </c>
      <c r="D10527" t="s">
        <v>2676</v>
      </c>
      <c r="F10527" s="21"/>
      <c r="G10527" s="16" t="str">
        <f>HYPERLINK("http://maps.google.com/maps?f=q&amp;hl=en&amp;geocode=&amp;q=42.72294,-89.10438")</f>
        <v>http://maps.google.com/maps?f=q&amp;hl=en&amp;geocode=&amp;q=42.72294,-89.10438</v>
      </c>
    </row>
    <row r="10528" spans="1:7" ht="15" x14ac:dyDescent="0.3">
      <c r="A10528" t="s">
        <v>44</v>
      </c>
      <c r="B10528" t="s">
        <v>44</v>
      </c>
      <c r="C10528" t="s">
        <v>44</v>
      </c>
      <c r="D10528" t="s">
        <v>5418</v>
      </c>
      <c r="F10528" s="21"/>
      <c r="G10528" s="16"/>
    </row>
    <row r="10529" spans="1:7" ht="15" x14ac:dyDescent="0.3">
      <c r="A10529" t="s">
        <v>44</v>
      </c>
      <c r="B10529" t="s">
        <v>44</v>
      </c>
      <c r="C10529" t="s">
        <v>44</v>
      </c>
      <c r="D10529" t="s">
        <v>5418</v>
      </c>
      <c r="F10529" s="21"/>
      <c r="G10529" s="16"/>
    </row>
    <row r="10530" spans="1:7" ht="15" x14ac:dyDescent="0.3">
      <c r="A10530">
        <v>30.1557924878521</v>
      </c>
      <c r="B10530">
        <v>-93.102613019423302</v>
      </c>
      <c r="C10530" t="s">
        <v>41</v>
      </c>
      <c r="D10530" t="s">
        <v>2200</v>
      </c>
      <c r="F10530" s="21"/>
      <c r="G10530" s="16" t="str">
        <f>HYPERLINK("http://maps.google.com/maps?f=q&amp;hl=en&amp;geocode=&amp;q=30.1557924878521,-93.1026130194233")</f>
        <v>http://maps.google.com/maps?f=q&amp;hl=en&amp;geocode=&amp;q=30.1557924878521,-93.1026130194233</v>
      </c>
    </row>
    <row r="10531" spans="1:7" ht="15" x14ac:dyDescent="0.3">
      <c r="A10531">
        <v>30.1557924878521</v>
      </c>
      <c r="B10531">
        <v>-93.102613019423302</v>
      </c>
      <c r="C10531" t="s">
        <v>41</v>
      </c>
      <c r="D10531" t="s">
        <v>2200</v>
      </c>
      <c r="F10531" s="21"/>
      <c r="G10531" s="16" t="str">
        <f>HYPERLINK("http://maps.google.com/maps?f=q&amp;hl=en&amp;geocode=&amp;q=30.1557924878521,-93.1026130194233")</f>
        <v>http://maps.google.com/maps?f=q&amp;hl=en&amp;geocode=&amp;q=30.1557924878521,-93.1026130194233</v>
      </c>
    </row>
    <row r="10532" spans="1:7" ht="15" x14ac:dyDescent="0.3">
      <c r="F10532" s="21"/>
      <c r="G10532" s="16"/>
    </row>
    <row r="10533" spans="1:7" ht="15" x14ac:dyDescent="0.3">
      <c r="A10533">
        <v>39.339701385274999</v>
      </c>
      <c r="B10533">
        <v>-74.570190132198903</v>
      </c>
      <c r="C10533" t="s">
        <v>41</v>
      </c>
      <c r="D10533" t="s">
        <v>5984</v>
      </c>
      <c r="F10533" s="21"/>
      <c r="G10533" s="16" t="str">
        <f>HYPERLINK("http://maps.google.com/maps?f=q&amp;hl=en&amp;geocode=&amp;q=39.339701385275,-74.5701901321989")</f>
        <v>http://maps.google.com/maps?f=q&amp;hl=en&amp;geocode=&amp;q=39.339701385275,-74.5701901321989</v>
      </c>
    </row>
    <row r="10534" spans="1:7" ht="15" x14ac:dyDescent="0.3">
      <c r="A10534">
        <v>33.89808</v>
      </c>
      <c r="B10534">
        <v>-118.20913</v>
      </c>
      <c r="C10534" t="s">
        <v>41</v>
      </c>
      <c r="D10534" t="s">
        <v>5985</v>
      </c>
      <c r="F10534" s="21"/>
      <c r="G10534" s="16" t="str">
        <f>HYPERLINK("http://maps.google.com/maps?f=q&amp;hl=en&amp;geocode=&amp;q=33.89808,-118.20913")</f>
        <v>http://maps.google.com/maps?f=q&amp;hl=en&amp;geocode=&amp;q=33.89808,-118.20913</v>
      </c>
    </row>
    <row r="10535" spans="1:7" ht="15" x14ac:dyDescent="0.3">
      <c r="A10535">
        <v>41.355917495052701</v>
      </c>
      <c r="B10535">
        <v>-98.400822396597803</v>
      </c>
      <c r="C10535" t="s">
        <v>41</v>
      </c>
      <c r="D10535" t="s">
        <v>3441</v>
      </c>
      <c r="F10535" s="21"/>
      <c r="G10535" s="16" t="str">
        <f>HYPERLINK("http://maps.google.com/maps?f=q&amp;hl=en&amp;geocode=&amp;q=41.3559174950527,-98.4008223965978")</f>
        <v>http://maps.google.com/maps?f=q&amp;hl=en&amp;geocode=&amp;q=41.3559174950527,-98.4008223965978</v>
      </c>
    </row>
    <row r="10536" spans="1:7" ht="15" x14ac:dyDescent="0.3">
      <c r="A10536">
        <v>38.947154998779297</v>
      </c>
      <c r="B10536">
        <v>-8.9184045791625994</v>
      </c>
      <c r="C10536" t="s">
        <v>41</v>
      </c>
      <c r="D10536" t="s">
        <v>5986</v>
      </c>
      <c r="F10536" s="21"/>
      <c r="G10536" s="16" t="str">
        <f>HYPERLINK("http://maps.google.com/maps?f=q&amp;hl=en&amp;geocode=&amp;q=38.9471549987793,-8.9184045791626")</f>
        <v>http://maps.google.com/maps?f=q&amp;hl=en&amp;geocode=&amp;q=38.9471549987793,-8.9184045791626</v>
      </c>
    </row>
    <row r="10537" spans="1:7" ht="15" x14ac:dyDescent="0.3">
      <c r="A10537">
        <v>42.207771301269503</v>
      </c>
      <c r="B10537">
        <v>-78.134201049804702</v>
      </c>
      <c r="C10537" t="s">
        <v>43</v>
      </c>
      <c r="D10537" t="s">
        <v>3626</v>
      </c>
      <c r="F10537" s="21"/>
      <c r="G10537" s="16" t="str">
        <f>HYPERLINK("http://maps.google.com/maps?f=q&amp;hl=en&amp;geocode=&amp;q=42.2077713012695,-78.1342010498047")</f>
        <v>http://maps.google.com/maps?f=q&amp;hl=en&amp;geocode=&amp;q=42.2077713012695,-78.1342010498047</v>
      </c>
    </row>
    <row r="10538" spans="1:7" ht="15" x14ac:dyDescent="0.3">
      <c r="A10538">
        <v>30.30714</v>
      </c>
      <c r="B10538">
        <v>-97.696560000000005</v>
      </c>
      <c r="C10538" t="s">
        <v>41</v>
      </c>
      <c r="D10538" t="s">
        <v>5987</v>
      </c>
      <c r="F10538" s="21"/>
      <c r="G10538" s="16" t="str">
        <f>HYPERLINK("http://maps.google.com/maps?f=q&amp;hl=en&amp;geocode=&amp;q=30.30714,-97.69656")</f>
        <v>http://maps.google.com/maps?f=q&amp;hl=en&amp;geocode=&amp;q=30.30714,-97.69656</v>
      </c>
    </row>
    <row r="10539" spans="1:7" ht="15" x14ac:dyDescent="0.3">
      <c r="A10539">
        <v>-31.964845657348601</v>
      </c>
      <c r="B10539">
        <v>115.895874023438</v>
      </c>
      <c r="C10539" t="s">
        <v>41</v>
      </c>
      <c r="D10539" t="s">
        <v>129</v>
      </c>
      <c r="F10539" s="21"/>
      <c r="G10539" s="16" t="str">
        <f>HYPERLINK("http://maps.google.com/maps?f=q&amp;hl=en&amp;geocode=&amp;q=-31.9648456573486,115.895874023438")</f>
        <v>http://maps.google.com/maps?f=q&amp;hl=en&amp;geocode=&amp;q=-31.9648456573486,115.895874023438</v>
      </c>
    </row>
    <row r="10540" spans="1:7" ht="15" x14ac:dyDescent="0.3">
      <c r="A10540">
        <v>33.516559600830099</v>
      </c>
      <c r="B10540">
        <v>36.317081451416001</v>
      </c>
      <c r="C10540" t="s">
        <v>43</v>
      </c>
      <c r="D10540" t="s">
        <v>3912</v>
      </c>
      <c r="F10540" s="21"/>
      <c r="G10540" s="16" t="str">
        <f>HYPERLINK("http://maps.google.com/maps?f=q&amp;hl=en&amp;geocode=&amp;q=33.5165596008301,36.317081451416")</f>
        <v>http://maps.google.com/maps?f=q&amp;hl=en&amp;geocode=&amp;q=33.5165596008301,36.317081451416</v>
      </c>
    </row>
    <row r="10541" spans="1:7" ht="15" x14ac:dyDescent="0.3">
      <c r="A10541">
        <v>39.994804167110402</v>
      </c>
      <c r="B10541">
        <v>-75.094444740971795</v>
      </c>
      <c r="C10541" t="s">
        <v>41</v>
      </c>
      <c r="D10541" t="s">
        <v>2058</v>
      </c>
      <c r="F10541" s="21"/>
      <c r="G10541" s="16" t="str">
        <f>HYPERLINK("http://maps.google.com/maps?f=q&amp;hl=en&amp;geocode=&amp;q=39.9948041671104,-75.0944447409718")</f>
        <v>http://maps.google.com/maps?f=q&amp;hl=en&amp;geocode=&amp;q=39.9948041671104,-75.0944447409718</v>
      </c>
    </row>
    <row r="10542" spans="1:7" ht="15" x14ac:dyDescent="0.3">
      <c r="A10542">
        <v>40.610939025878899</v>
      </c>
      <c r="B10542">
        <v>-77.616302490234403</v>
      </c>
      <c r="C10542" t="s">
        <v>41</v>
      </c>
      <c r="D10542" t="s">
        <v>5988</v>
      </c>
      <c r="F10542" s="21"/>
      <c r="G10542" s="16" t="str">
        <f>HYPERLINK("http://maps.google.com/maps?f=q&amp;hl=en&amp;geocode=&amp;q=40.6109390258789,-77.6163024902344")</f>
        <v>http://maps.google.com/maps?f=q&amp;hl=en&amp;geocode=&amp;q=40.6109390258789,-77.6163024902344</v>
      </c>
    </row>
    <row r="10543" spans="1:7" ht="15" x14ac:dyDescent="0.3">
      <c r="A10543">
        <v>39.745291862940697</v>
      </c>
      <c r="B10543">
        <v>-84.637993037014695</v>
      </c>
      <c r="C10543" t="s">
        <v>41</v>
      </c>
      <c r="D10543" t="s">
        <v>5989</v>
      </c>
      <c r="F10543" s="21"/>
      <c r="G10543" s="16" t="str">
        <f>HYPERLINK("http://maps.google.com/maps?f=q&amp;hl=en&amp;geocode=&amp;q=39.7452918629407,-84.6379930370147")</f>
        <v>http://maps.google.com/maps?f=q&amp;hl=en&amp;geocode=&amp;q=39.7452918629407,-84.6379930370147</v>
      </c>
    </row>
    <row r="10544" spans="1:7" ht="15" x14ac:dyDescent="0.3">
      <c r="A10544">
        <v>39.247319020774697</v>
      </c>
      <c r="B10544">
        <v>-88.862429508854703</v>
      </c>
      <c r="C10544" t="s">
        <v>41</v>
      </c>
      <c r="D10544" t="s">
        <v>5990</v>
      </c>
      <c r="F10544" s="21"/>
      <c r="G10544" s="16" t="str">
        <f>HYPERLINK("http://maps.google.com/maps?f=q&amp;hl=en&amp;geocode=&amp;q=39.2473190207747,-88.8624295088547")</f>
        <v>http://maps.google.com/maps?f=q&amp;hl=en&amp;geocode=&amp;q=39.2473190207747,-88.8624295088547</v>
      </c>
    </row>
    <row r="10545" spans="1:7" ht="15" x14ac:dyDescent="0.3">
      <c r="A10545">
        <v>40.422340458094602</v>
      </c>
      <c r="B10545">
        <v>-91.721130366133096</v>
      </c>
      <c r="C10545" t="s">
        <v>41</v>
      </c>
      <c r="D10545" t="s">
        <v>5991</v>
      </c>
      <c r="F10545" s="21"/>
      <c r="G10545" s="16" t="str">
        <f>HYPERLINK("http://maps.google.com/maps?f=q&amp;hl=en&amp;geocode=&amp;q=40.4223404580946,-91.7211303661331")</f>
        <v>http://maps.google.com/maps?f=q&amp;hl=en&amp;geocode=&amp;q=40.4223404580946,-91.7211303661331</v>
      </c>
    </row>
    <row r="10546" spans="1:7" ht="15" x14ac:dyDescent="0.3">
      <c r="A10546">
        <v>-26.0387668609619</v>
      </c>
      <c r="B10546">
        <v>28.227798461914102</v>
      </c>
      <c r="C10546" t="s">
        <v>43</v>
      </c>
      <c r="D10546" t="s">
        <v>5992</v>
      </c>
      <c r="F10546" s="21"/>
      <c r="G10546" s="16" t="str">
        <f>HYPERLINK("http://maps.google.com/maps?f=q&amp;hl=en&amp;geocode=&amp;q=-26.0387668609619,28.2277984619141")</f>
        <v>http://maps.google.com/maps?f=q&amp;hl=en&amp;geocode=&amp;q=-26.0387668609619,28.2277984619141</v>
      </c>
    </row>
    <row r="10547" spans="1:7" ht="15" x14ac:dyDescent="0.3">
      <c r="A10547">
        <v>49.624866485595703</v>
      </c>
      <c r="B10547">
        <v>6.1213951110839799</v>
      </c>
      <c r="C10547" t="s">
        <v>43</v>
      </c>
      <c r="D10547" t="s">
        <v>5993</v>
      </c>
      <c r="F10547" s="21"/>
      <c r="G10547" s="16" t="str">
        <f>HYPERLINK("http://maps.google.com/maps?f=q&amp;hl=en&amp;geocode=&amp;q=49.6248664855957,6.12139511108398")</f>
        <v>http://maps.google.com/maps?f=q&amp;hl=en&amp;geocode=&amp;q=49.6248664855957,6.12139511108398</v>
      </c>
    </row>
    <row r="10548" spans="1:7" ht="15" x14ac:dyDescent="0.3">
      <c r="A10548">
        <v>40.017766826784701</v>
      </c>
      <c r="B10548">
        <v>-75.082533043290795</v>
      </c>
      <c r="C10548" t="s">
        <v>41</v>
      </c>
      <c r="D10548" t="s">
        <v>2702</v>
      </c>
      <c r="F10548" s="21"/>
      <c r="G10548" s="16" t="str">
        <f>HYPERLINK("http://maps.google.com/maps?f=q&amp;hl=en&amp;geocode=&amp;q=40.0177668267847,-75.0825330432908")</f>
        <v>http://maps.google.com/maps?f=q&amp;hl=en&amp;geocode=&amp;q=40.0177668267847,-75.0825330432908</v>
      </c>
    </row>
    <row r="10549" spans="1:7" ht="15" x14ac:dyDescent="0.3">
      <c r="A10549">
        <v>39.990720000000003</v>
      </c>
      <c r="B10549">
        <v>-87.308620000000005</v>
      </c>
      <c r="C10549" t="s">
        <v>41</v>
      </c>
      <c r="D10549" t="s">
        <v>5994</v>
      </c>
      <c r="F10549" s="21"/>
      <c r="G10549" s="16" t="str">
        <f>HYPERLINK("http://maps.google.com/maps?f=q&amp;hl=en&amp;geocode=&amp;q=39.99072,-87.30862")</f>
        <v>http://maps.google.com/maps?f=q&amp;hl=en&amp;geocode=&amp;q=39.99072,-87.30862</v>
      </c>
    </row>
    <row r="10550" spans="1:7" ht="15" x14ac:dyDescent="0.3">
      <c r="A10550" t="s">
        <v>44</v>
      </c>
      <c r="B10550" t="s">
        <v>44</v>
      </c>
      <c r="C10550" t="s">
        <v>44</v>
      </c>
      <c r="D10550" t="s">
        <v>5418</v>
      </c>
      <c r="F10550" s="21"/>
      <c r="G10550" s="16"/>
    </row>
    <row r="10551" spans="1:7" ht="15" x14ac:dyDescent="0.3">
      <c r="A10551">
        <v>36.377130000000001</v>
      </c>
      <c r="B10551">
        <v>-86.795140000000004</v>
      </c>
      <c r="C10551" t="s">
        <v>41</v>
      </c>
      <c r="D10551" t="s">
        <v>5995</v>
      </c>
      <c r="F10551" s="21"/>
      <c r="G10551" s="16" t="str">
        <f>HYPERLINK("http://maps.google.com/maps?f=q&amp;hl=en&amp;geocode=&amp;q=36.37713,-86.79514")</f>
        <v>http://maps.google.com/maps?f=q&amp;hl=en&amp;geocode=&amp;q=36.37713,-86.79514</v>
      </c>
    </row>
    <row r="10552" spans="1:7" ht="15" x14ac:dyDescent="0.3">
      <c r="A10552">
        <v>36.690741862098001</v>
      </c>
      <c r="B10552">
        <v>-114.586684510452</v>
      </c>
      <c r="C10552" t="s">
        <v>41</v>
      </c>
      <c r="D10552" t="s">
        <v>5996</v>
      </c>
      <c r="F10552" s="21"/>
      <c r="G10552" s="16" t="str">
        <f>HYPERLINK("http://maps.google.com/maps?f=q&amp;hl=en&amp;geocode=&amp;q=36.690741862098,-114.586684510452")</f>
        <v>http://maps.google.com/maps?f=q&amp;hl=en&amp;geocode=&amp;q=36.690741862098,-114.586684510452</v>
      </c>
    </row>
    <row r="10553" spans="1:7" ht="15" x14ac:dyDescent="0.3">
      <c r="A10553" t="s">
        <v>44</v>
      </c>
      <c r="B10553" t="s">
        <v>44</v>
      </c>
      <c r="C10553" t="s">
        <v>44</v>
      </c>
      <c r="D10553" t="s">
        <v>5903</v>
      </c>
      <c r="F10553" s="21"/>
      <c r="G10553" s="16"/>
    </row>
    <row r="10554" spans="1:7" ht="15" x14ac:dyDescent="0.3">
      <c r="A10554">
        <v>35.024769999999997</v>
      </c>
      <c r="B10554">
        <v>-85.139399999999995</v>
      </c>
      <c r="C10554" t="s">
        <v>43</v>
      </c>
      <c r="D10554" t="s">
        <v>5997</v>
      </c>
      <c r="F10554" s="21"/>
      <c r="G10554" s="16" t="str">
        <f>HYPERLINK("http://maps.google.com/maps?f=q&amp;hl=en&amp;geocode=&amp;q=35.02477,-85.1394")</f>
        <v>http://maps.google.com/maps?f=q&amp;hl=en&amp;geocode=&amp;q=35.02477,-85.1394</v>
      </c>
    </row>
    <row r="10555" spans="1:7" ht="15" x14ac:dyDescent="0.3">
      <c r="A10555" t="s">
        <v>44</v>
      </c>
      <c r="B10555" t="s">
        <v>44</v>
      </c>
      <c r="C10555" t="s">
        <v>44</v>
      </c>
      <c r="D10555" t="s">
        <v>5903</v>
      </c>
      <c r="F10555" s="21"/>
      <c r="G10555" s="16"/>
    </row>
    <row r="10556" spans="1:7" ht="15" x14ac:dyDescent="0.3">
      <c r="A10556">
        <v>30.4303828535954</v>
      </c>
      <c r="B10556">
        <v>-84.264292149934207</v>
      </c>
      <c r="C10556" t="s">
        <v>41</v>
      </c>
      <c r="D10556" t="s">
        <v>5998</v>
      </c>
      <c r="F10556" s="21"/>
      <c r="G10556" s="16" t="str">
        <f>HYPERLINK("http://maps.google.com/maps?f=q&amp;hl=en&amp;geocode=&amp;q=30.4303828535954,-84.2642921499342")</f>
        <v>http://maps.google.com/maps?f=q&amp;hl=en&amp;geocode=&amp;q=30.4303828535954,-84.2642921499342</v>
      </c>
    </row>
    <row r="10557" spans="1:7" ht="15" x14ac:dyDescent="0.3">
      <c r="A10557">
        <v>30.4303828535954</v>
      </c>
      <c r="B10557">
        <v>-84.264292149934207</v>
      </c>
      <c r="C10557" t="s">
        <v>41</v>
      </c>
      <c r="D10557" t="s">
        <v>5998</v>
      </c>
      <c r="F10557" s="21"/>
      <c r="G10557" s="16" t="str">
        <f>HYPERLINK("http://maps.google.com/maps?f=q&amp;hl=en&amp;geocode=&amp;q=30.4303828535954,-84.2642921499342")</f>
        <v>http://maps.google.com/maps?f=q&amp;hl=en&amp;geocode=&amp;q=30.4303828535954,-84.2642921499342</v>
      </c>
    </row>
    <row r="10558" spans="1:7" ht="15" x14ac:dyDescent="0.3">
      <c r="A10558">
        <v>30.4303828535954</v>
      </c>
      <c r="B10558">
        <v>-84.264292149934207</v>
      </c>
      <c r="C10558" t="s">
        <v>41</v>
      </c>
      <c r="D10558" t="s">
        <v>5998</v>
      </c>
      <c r="F10558" s="21"/>
      <c r="G10558" s="16" t="str">
        <f>HYPERLINK("http://maps.google.com/maps?f=q&amp;hl=en&amp;geocode=&amp;q=30.4303828535954,-84.2642921499342")</f>
        <v>http://maps.google.com/maps?f=q&amp;hl=en&amp;geocode=&amp;q=30.4303828535954,-84.2642921499342</v>
      </c>
    </row>
    <row r="10559" spans="1:7" ht="15" x14ac:dyDescent="0.3">
      <c r="A10559">
        <v>30.4303828535954</v>
      </c>
      <c r="B10559">
        <v>-84.264292149934207</v>
      </c>
      <c r="C10559" t="s">
        <v>41</v>
      </c>
      <c r="D10559" t="s">
        <v>5998</v>
      </c>
      <c r="F10559" s="21"/>
      <c r="G10559" s="16" t="str">
        <f>HYPERLINK("http://maps.google.com/maps?f=q&amp;hl=en&amp;geocode=&amp;q=30.4303828535954,-84.2642921499342")</f>
        <v>http://maps.google.com/maps?f=q&amp;hl=en&amp;geocode=&amp;q=30.4303828535954,-84.2642921499342</v>
      </c>
    </row>
    <row r="10560" spans="1:7" ht="15" x14ac:dyDescent="0.3">
      <c r="A10560">
        <v>39.950060000000001</v>
      </c>
      <c r="B10560">
        <v>-75.168139999999994</v>
      </c>
      <c r="C10560" t="s">
        <v>41</v>
      </c>
      <c r="D10560" t="s">
        <v>5999</v>
      </c>
      <c r="F10560" s="21"/>
      <c r="G10560" s="16" t="str">
        <f>HYPERLINK("http://maps.google.com/maps?f=q&amp;hl=en&amp;geocode=&amp;q=39.95006,-75.16814")</f>
        <v>http://maps.google.com/maps?f=q&amp;hl=en&amp;geocode=&amp;q=39.95006,-75.16814</v>
      </c>
    </row>
    <row r="10561" spans="1:7" ht="15" x14ac:dyDescent="0.3">
      <c r="A10561">
        <v>34.276174444062299</v>
      </c>
      <c r="B10561">
        <v>-117.209202364725</v>
      </c>
      <c r="C10561" t="s">
        <v>41</v>
      </c>
      <c r="D10561" t="s">
        <v>6000</v>
      </c>
      <c r="F10561" s="21"/>
      <c r="G10561" s="16" t="str">
        <f>HYPERLINK("http://maps.google.com/maps?f=q&amp;hl=en&amp;geocode=&amp;q=34.2761744440623,-117.209202364725")</f>
        <v>http://maps.google.com/maps?f=q&amp;hl=en&amp;geocode=&amp;q=34.2761744440623,-117.209202364725</v>
      </c>
    </row>
    <row r="10562" spans="1:7" ht="15" x14ac:dyDescent="0.3">
      <c r="A10562">
        <v>39.94773</v>
      </c>
      <c r="B10562">
        <v>-75.168800000000005</v>
      </c>
      <c r="C10562" t="s">
        <v>41</v>
      </c>
      <c r="D10562" t="s">
        <v>6001</v>
      </c>
      <c r="F10562" s="21"/>
      <c r="G10562" s="16" t="str">
        <f>HYPERLINK("http://maps.google.com/maps?f=q&amp;hl=en&amp;geocode=&amp;q=39.94773,-75.1688")</f>
        <v>http://maps.google.com/maps?f=q&amp;hl=en&amp;geocode=&amp;q=39.94773,-75.1688</v>
      </c>
    </row>
    <row r="10563" spans="1:7" ht="15" x14ac:dyDescent="0.3">
      <c r="A10563">
        <v>58.072189331054702</v>
      </c>
      <c r="B10563">
        <v>12.583259582519499</v>
      </c>
      <c r="C10563" t="s">
        <v>43</v>
      </c>
      <c r="D10563" t="s">
        <v>6002</v>
      </c>
      <c r="F10563" s="21"/>
      <c r="G10563" s="16" t="str">
        <f>HYPERLINK("http://maps.google.com/maps?f=q&amp;hl=en&amp;geocode=&amp;q=58.0721893310547,12.5832595825195")</f>
        <v>http://maps.google.com/maps?f=q&amp;hl=en&amp;geocode=&amp;q=58.0721893310547,12.5832595825195</v>
      </c>
    </row>
    <row r="10564" spans="1:7" ht="15" x14ac:dyDescent="0.3">
      <c r="A10564">
        <v>39.950060000000001</v>
      </c>
      <c r="B10564">
        <v>-75.168139999999994</v>
      </c>
      <c r="C10564" t="s">
        <v>41</v>
      </c>
      <c r="D10564" t="s">
        <v>5999</v>
      </c>
      <c r="F10564" s="21"/>
      <c r="G10564" s="16" t="str">
        <f>HYPERLINK("http://maps.google.com/maps?f=q&amp;hl=en&amp;geocode=&amp;q=39.95006,-75.16814")</f>
        <v>http://maps.google.com/maps?f=q&amp;hl=en&amp;geocode=&amp;q=39.95006,-75.16814</v>
      </c>
    </row>
    <row r="10565" spans="1:7" ht="15" x14ac:dyDescent="0.3">
      <c r="A10565">
        <v>27.32273</v>
      </c>
      <c r="B10565">
        <v>-81.34693</v>
      </c>
      <c r="C10565" t="s">
        <v>41</v>
      </c>
      <c r="D10565" t="s">
        <v>6003</v>
      </c>
      <c r="F10565" s="21"/>
      <c r="G10565" s="16" t="str">
        <f>HYPERLINK("http://maps.google.com/maps?f=q&amp;hl=en&amp;geocode=&amp;q=27.32273,-81.34693")</f>
        <v>http://maps.google.com/maps?f=q&amp;hl=en&amp;geocode=&amp;q=27.32273,-81.34693</v>
      </c>
    </row>
    <row r="10566" spans="1:7" ht="15" x14ac:dyDescent="0.3">
      <c r="A10566">
        <v>36.167938202010802</v>
      </c>
      <c r="B10566">
        <v>-90.526346618317902</v>
      </c>
      <c r="C10566" t="s">
        <v>42</v>
      </c>
      <c r="D10566" t="s">
        <v>5832</v>
      </c>
      <c r="F10566" s="21"/>
      <c r="G10566" s="16" t="str">
        <f>HYPERLINK("http://maps.google.com/maps?f=q&amp;hl=en&amp;geocode=&amp;q=36.1679382020108,-90.5263466183179")</f>
        <v>http://maps.google.com/maps?f=q&amp;hl=en&amp;geocode=&amp;q=36.1679382020108,-90.5263466183179</v>
      </c>
    </row>
    <row r="10567" spans="1:7" ht="15" x14ac:dyDescent="0.3">
      <c r="A10567">
        <v>55.402949999999997</v>
      </c>
      <c r="B10567">
        <v>10.4236</v>
      </c>
      <c r="C10567" t="s">
        <v>41</v>
      </c>
      <c r="D10567" t="s">
        <v>3688</v>
      </c>
      <c r="F10567" s="21"/>
      <c r="G10567" s="16" t="str">
        <f>HYPERLINK("http://maps.google.com/maps?f=q&amp;hl=en&amp;geocode=&amp;q=55.40295,10.4236")</f>
        <v>http://maps.google.com/maps?f=q&amp;hl=en&amp;geocode=&amp;q=55.40295,10.4236</v>
      </c>
    </row>
    <row r="10568" spans="1:7" ht="15" x14ac:dyDescent="0.3">
      <c r="A10568">
        <v>39.996810000000004</v>
      </c>
      <c r="B10568">
        <v>-75.175190000000001</v>
      </c>
      <c r="C10568" t="s">
        <v>41</v>
      </c>
      <c r="D10568" t="s">
        <v>5692</v>
      </c>
      <c r="F10568" s="21"/>
      <c r="G10568" s="16" t="str">
        <f>HYPERLINK("http://maps.google.com/maps?f=q&amp;hl=en&amp;geocode=&amp;q=39.99681,-75.17519")</f>
        <v>http://maps.google.com/maps?f=q&amp;hl=en&amp;geocode=&amp;q=39.99681,-75.17519</v>
      </c>
    </row>
    <row r="10569" spans="1:7" ht="15" x14ac:dyDescent="0.3">
      <c r="A10569">
        <v>27.45908</v>
      </c>
      <c r="B10569">
        <v>-81.476460000000003</v>
      </c>
      <c r="C10569" t="s">
        <v>41</v>
      </c>
      <c r="D10569" t="s">
        <v>6004</v>
      </c>
      <c r="F10569" s="21"/>
      <c r="G10569" s="16" t="str">
        <f>HYPERLINK("http://maps.google.com/maps?f=q&amp;hl=en&amp;geocode=&amp;q=27.45908,-81.47646")</f>
        <v>http://maps.google.com/maps?f=q&amp;hl=en&amp;geocode=&amp;q=27.45908,-81.47646</v>
      </c>
    </row>
    <row r="10570" spans="1:7" ht="15" x14ac:dyDescent="0.3">
      <c r="A10570">
        <v>55.444400787353501</v>
      </c>
      <c r="B10570">
        <v>11.5437002182007</v>
      </c>
      <c r="C10570" t="s">
        <v>41</v>
      </c>
      <c r="D10570" t="s">
        <v>5206</v>
      </c>
      <c r="F10570" s="21"/>
      <c r="G10570" s="16" t="str">
        <f>HYPERLINK("http://maps.google.com/maps?f=q&amp;hl=en&amp;geocode=&amp;q=55.4444007873535,11.5437002182007")</f>
        <v>http://maps.google.com/maps?f=q&amp;hl=en&amp;geocode=&amp;q=55.4444007873535,11.5437002182007</v>
      </c>
    </row>
    <row r="10571" spans="1:7" ht="15" x14ac:dyDescent="0.3">
      <c r="A10571">
        <v>31.939139999999998</v>
      </c>
      <c r="B10571">
        <v>-109.9511</v>
      </c>
      <c r="C10571" t="s">
        <v>41</v>
      </c>
      <c r="D10571" t="s">
        <v>3372</v>
      </c>
      <c r="F10571" s="21"/>
      <c r="G10571" s="16" t="str">
        <f>HYPERLINK("http://maps.google.com/maps?f=q&amp;hl=en&amp;geocode=&amp;q=31.93914,-109.9511")</f>
        <v>http://maps.google.com/maps?f=q&amp;hl=en&amp;geocode=&amp;q=31.93914,-109.9511</v>
      </c>
    </row>
    <row r="10572" spans="1:7" ht="15" x14ac:dyDescent="0.3">
      <c r="A10572" t="s">
        <v>44</v>
      </c>
      <c r="B10572" t="s">
        <v>44</v>
      </c>
      <c r="C10572" t="s">
        <v>44</v>
      </c>
      <c r="D10572" t="s">
        <v>4532</v>
      </c>
      <c r="F10572" s="21"/>
      <c r="G10572" s="16"/>
    </row>
    <row r="10573" spans="1:7" ht="15" x14ac:dyDescent="0.3">
      <c r="A10573">
        <v>39.684371948242202</v>
      </c>
      <c r="B10573">
        <v>21.8974094390869</v>
      </c>
      <c r="C10573" t="s">
        <v>41</v>
      </c>
      <c r="D10573" t="s">
        <v>94</v>
      </c>
      <c r="F10573" s="21"/>
      <c r="G10573" s="16" t="str">
        <f>HYPERLINK("http://maps.google.com/maps?f=q&amp;hl=en&amp;geocode=&amp;q=39.6843719482422,21.8974094390869")</f>
        <v>http://maps.google.com/maps?f=q&amp;hl=en&amp;geocode=&amp;q=39.6843719482422,21.8974094390869</v>
      </c>
    </row>
    <row r="10574" spans="1:7" ht="15" x14ac:dyDescent="0.3">
      <c r="A10574" t="s">
        <v>44</v>
      </c>
      <c r="B10574" t="s">
        <v>44</v>
      </c>
      <c r="C10574" t="s">
        <v>44</v>
      </c>
      <c r="D10574" t="s">
        <v>6005</v>
      </c>
      <c r="F10574" s="21"/>
      <c r="G10574" s="16"/>
    </row>
    <row r="10575" spans="1:7" ht="15" x14ac:dyDescent="0.3">
      <c r="A10575">
        <v>39.684371948242202</v>
      </c>
      <c r="B10575">
        <v>21.8974094390869</v>
      </c>
      <c r="C10575" t="s">
        <v>41</v>
      </c>
      <c r="D10575" t="s">
        <v>94</v>
      </c>
      <c r="F10575" s="21"/>
      <c r="G10575" s="16" t="str">
        <f>HYPERLINK("http://maps.google.com/maps?f=q&amp;hl=en&amp;geocode=&amp;q=39.6843719482422,21.8974094390869")</f>
        <v>http://maps.google.com/maps?f=q&amp;hl=en&amp;geocode=&amp;q=39.6843719482422,21.8974094390869</v>
      </c>
    </row>
    <row r="10576" spans="1:7" ht="15" x14ac:dyDescent="0.3">
      <c r="F10576" s="21"/>
      <c r="G10576" s="16"/>
    </row>
    <row r="10577" spans="1:7" ht="15" x14ac:dyDescent="0.3">
      <c r="A10577">
        <v>32.955220335664997</v>
      </c>
      <c r="B10577">
        <v>-96.899926414952901</v>
      </c>
      <c r="C10577" t="s">
        <v>41</v>
      </c>
      <c r="D10577" t="s">
        <v>6006</v>
      </c>
      <c r="F10577" s="21"/>
      <c r="G10577" s="16" t="str">
        <f>HYPERLINK("http://maps.google.com/maps?f=q&amp;hl=en&amp;geocode=&amp;q=32.955220335665,-96.8999264149529")</f>
        <v>http://maps.google.com/maps?f=q&amp;hl=en&amp;geocode=&amp;q=32.955220335665,-96.8999264149529</v>
      </c>
    </row>
    <row r="10578" spans="1:7" ht="15" x14ac:dyDescent="0.3">
      <c r="A10578">
        <v>32.955220335664997</v>
      </c>
      <c r="B10578">
        <v>-96.899926414952901</v>
      </c>
      <c r="C10578" t="s">
        <v>41</v>
      </c>
      <c r="D10578" t="s">
        <v>6006</v>
      </c>
      <c r="F10578" s="21"/>
      <c r="G10578" s="16" t="str">
        <f>HYPERLINK("http://maps.google.com/maps?f=q&amp;hl=en&amp;geocode=&amp;q=32.955220335665,-96.8999264149529")</f>
        <v>http://maps.google.com/maps?f=q&amp;hl=en&amp;geocode=&amp;q=32.955220335665,-96.8999264149529</v>
      </c>
    </row>
    <row r="10579" spans="1:7" ht="15" x14ac:dyDescent="0.3">
      <c r="A10579" t="s">
        <v>44</v>
      </c>
      <c r="B10579" t="s">
        <v>44</v>
      </c>
      <c r="C10579" t="s">
        <v>44</v>
      </c>
      <c r="D10579" t="s">
        <v>4436</v>
      </c>
      <c r="F10579" s="21"/>
      <c r="G10579" s="16"/>
    </row>
    <row r="10580" spans="1:7" ht="15" x14ac:dyDescent="0.3">
      <c r="A10580">
        <v>49.584793090820298</v>
      </c>
      <c r="B10580">
        <v>6.0993518829345703</v>
      </c>
      <c r="C10580" t="s">
        <v>41</v>
      </c>
      <c r="D10580" t="s">
        <v>6007</v>
      </c>
      <c r="F10580" s="21"/>
      <c r="G10580" s="16" t="str">
        <f>HYPERLINK("http://maps.google.com/maps?f=q&amp;hl=en&amp;geocode=&amp;q=49.5847930908203,6.09935188293457")</f>
        <v>http://maps.google.com/maps?f=q&amp;hl=en&amp;geocode=&amp;q=49.5847930908203,6.09935188293457</v>
      </c>
    </row>
    <row r="10581" spans="1:7" ht="15" x14ac:dyDescent="0.3">
      <c r="A10581">
        <v>42.1092478555084</v>
      </c>
      <c r="B10581">
        <v>-92.993059659750699</v>
      </c>
      <c r="C10581" t="s">
        <v>41</v>
      </c>
      <c r="D10581" t="s">
        <v>3110</v>
      </c>
      <c r="F10581" s="21"/>
      <c r="G10581" s="16" t="str">
        <f>HYPERLINK("http://maps.google.com/maps?f=q&amp;hl=en&amp;geocode=&amp;q=42.1092478555084,-92.9930596597507")</f>
        <v>http://maps.google.com/maps?f=q&amp;hl=en&amp;geocode=&amp;q=42.1092478555084,-92.9930596597507</v>
      </c>
    </row>
    <row r="10582" spans="1:7" ht="15" x14ac:dyDescent="0.3">
      <c r="A10582">
        <v>47.202430725097699</v>
      </c>
      <c r="B10582">
        <v>19.835624694824201</v>
      </c>
      <c r="C10582" t="s">
        <v>43</v>
      </c>
      <c r="D10582" t="s">
        <v>6008</v>
      </c>
      <c r="F10582" s="21"/>
      <c r="G10582" s="16" t="str">
        <f>HYPERLINK("http://maps.google.com/maps?f=q&amp;hl=en&amp;geocode=&amp;q=47.2024307250977,19.8356246948242")</f>
        <v>http://maps.google.com/maps?f=q&amp;hl=en&amp;geocode=&amp;q=47.2024307250977,19.8356246948242</v>
      </c>
    </row>
    <row r="10583" spans="1:7" ht="15" x14ac:dyDescent="0.3">
      <c r="A10583">
        <v>40.003880000000002</v>
      </c>
      <c r="B10583">
        <v>-75.201909999999998</v>
      </c>
      <c r="C10583" t="s">
        <v>41</v>
      </c>
      <c r="D10583" t="s">
        <v>2708</v>
      </c>
      <c r="F10583" s="21"/>
      <c r="G10583" s="16" t="str">
        <f>HYPERLINK("http://maps.google.com/maps?f=q&amp;hl=en&amp;geocode=&amp;q=40.00388,-75.20191")</f>
        <v>http://maps.google.com/maps?f=q&amp;hl=en&amp;geocode=&amp;q=40.00388,-75.20191</v>
      </c>
    </row>
    <row r="10584" spans="1:7" ht="15" x14ac:dyDescent="0.3">
      <c r="A10584">
        <v>40.003880000000002</v>
      </c>
      <c r="B10584">
        <v>-75.201909999999998</v>
      </c>
      <c r="C10584" t="s">
        <v>41</v>
      </c>
      <c r="D10584" t="s">
        <v>2708</v>
      </c>
      <c r="F10584" s="21"/>
      <c r="G10584" s="16" t="str">
        <f>HYPERLINK("http://maps.google.com/maps?f=q&amp;hl=en&amp;geocode=&amp;q=40.00388,-75.20191")</f>
        <v>http://maps.google.com/maps?f=q&amp;hl=en&amp;geocode=&amp;q=40.00388,-75.20191</v>
      </c>
    </row>
    <row r="10585" spans="1:7" ht="15" x14ac:dyDescent="0.3">
      <c r="A10585">
        <v>40.826790000000003</v>
      </c>
      <c r="B10585">
        <v>-75.891180000000006</v>
      </c>
      <c r="C10585" t="s">
        <v>41</v>
      </c>
      <c r="D10585" t="s">
        <v>6009</v>
      </c>
      <c r="F10585" s="21"/>
      <c r="G10585" s="16" t="str">
        <f>HYPERLINK("http://maps.google.com/maps?f=q&amp;hl=en&amp;geocode=&amp;q=40.82679,-75.89118")</f>
        <v>http://maps.google.com/maps?f=q&amp;hl=en&amp;geocode=&amp;q=40.82679,-75.89118</v>
      </c>
    </row>
    <row r="10586" spans="1:7" ht="15" x14ac:dyDescent="0.3">
      <c r="A10586">
        <v>39.992165997050101</v>
      </c>
      <c r="B10586">
        <v>-83.161762079930398</v>
      </c>
      <c r="C10586" t="s">
        <v>42</v>
      </c>
      <c r="D10586" t="s">
        <v>6010</v>
      </c>
      <c r="F10586" s="21"/>
      <c r="G10586" s="16" t="str">
        <f>HYPERLINK("http://maps.google.com/maps?f=q&amp;hl=en&amp;geocode=&amp;q=39.9921659970501,-83.1617620799304")</f>
        <v>http://maps.google.com/maps?f=q&amp;hl=en&amp;geocode=&amp;q=39.9921659970501,-83.1617620799304</v>
      </c>
    </row>
    <row r="10587" spans="1:7" ht="15" x14ac:dyDescent="0.3">
      <c r="A10587">
        <v>40.0251205836285</v>
      </c>
      <c r="B10587">
        <v>-75.121422913168203</v>
      </c>
      <c r="C10587" t="s">
        <v>43</v>
      </c>
      <c r="D10587" t="s">
        <v>890</v>
      </c>
      <c r="F10587" s="21"/>
      <c r="G10587" s="16" t="str">
        <f>HYPERLINK("http://maps.google.com/maps?f=q&amp;hl=en&amp;geocode=&amp;q=40.0251205836285,-75.1214229131682")</f>
        <v>http://maps.google.com/maps?f=q&amp;hl=en&amp;geocode=&amp;q=40.0251205836285,-75.1214229131682</v>
      </c>
    </row>
    <row r="10588" spans="1:7" ht="15" x14ac:dyDescent="0.3">
      <c r="A10588">
        <v>-26.2943630218506</v>
      </c>
      <c r="B10588">
        <v>27.8033237457275</v>
      </c>
      <c r="C10588" t="s">
        <v>41</v>
      </c>
      <c r="D10588" t="s">
        <v>6011</v>
      </c>
      <c r="F10588" s="21"/>
      <c r="G10588" s="16" t="str">
        <f>HYPERLINK("http://maps.google.com/maps?f=q&amp;hl=en&amp;geocode=&amp;q=-26.2943630218506,27.8033237457275")</f>
        <v>http://maps.google.com/maps?f=q&amp;hl=en&amp;geocode=&amp;q=-26.2943630218506,27.8033237457275</v>
      </c>
    </row>
    <row r="10589" spans="1:7" ht="15" x14ac:dyDescent="0.3">
      <c r="A10589">
        <v>39.939920000000001</v>
      </c>
      <c r="B10589">
        <v>-75.172039999999996</v>
      </c>
      <c r="C10589" t="s">
        <v>41</v>
      </c>
      <c r="D10589" t="s">
        <v>2587</v>
      </c>
      <c r="F10589" s="21"/>
      <c r="G10589" s="16" t="str">
        <f>HYPERLINK("http://maps.google.com/maps?f=q&amp;hl=en&amp;geocode=&amp;q=39.93992,-75.17204")</f>
        <v>http://maps.google.com/maps?f=q&amp;hl=en&amp;geocode=&amp;q=39.93992,-75.17204</v>
      </c>
    </row>
    <row r="10590" spans="1:7" ht="15" x14ac:dyDescent="0.3">
      <c r="A10590">
        <v>30.4303828535954</v>
      </c>
      <c r="B10590">
        <v>-84.264292149934207</v>
      </c>
      <c r="C10590" t="s">
        <v>41</v>
      </c>
      <c r="D10590" t="s">
        <v>5998</v>
      </c>
      <c r="F10590" s="21"/>
      <c r="G10590" s="16" t="str">
        <f>HYPERLINK("http://maps.google.com/maps?f=q&amp;hl=en&amp;geocode=&amp;q=30.4303828535954,-84.2642921499342")</f>
        <v>http://maps.google.com/maps?f=q&amp;hl=en&amp;geocode=&amp;q=30.4303828535954,-84.2642921499342</v>
      </c>
    </row>
    <row r="10591" spans="1:7" ht="15" x14ac:dyDescent="0.3">
      <c r="A10591">
        <v>30.4303828535954</v>
      </c>
      <c r="B10591">
        <v>-84.264292149934207</v>
      </c>
      <c r="C10591" t="s">
        <v>41</v>
      </c>
      <c r="D10591" t="s">
        <v>5998</v>
      </c>
      <c r="F10591" s="21"/>
      <c r="G10591" s="16" t="str">
        <f>HYPERLINK("http://maps.google.com/maps?f=q&amp;hl=en&amp;geocode=&amp;q=30.4303828535954,-84.2642921499342")</f>
        <v>http://maps.google.com/maps?f=q&amp;hl=en&amp;geocode=&amp;q=30.4303828535954,-84.2642921499342</v>
      </c>
    </row>
    <row r="10592" spans="1:7" ht="15" x14ac:dyDescent="0.3">
      <c r="A10592">
        <v>30.4303828535954</v>
      </c>
      <c r="B10592">
        <v>-84.264292149934207</v>
      </c>
      <c r="C10592" t="s">
        <v>41</v>
      </c>
      <c r="D10592" t="s">
        <v>5998</v>
      </c>
      <c r="F10592" s="21"/>
      <c r="G10592" s="16" t="str">
        <f>HYPERLINK("http://maps.google.com/maps?f=q&amp;hl=en&amp;geocode=&amp;q=30.4303828535954,-84.2642921499342")</f>
        <v>http://maps.google.com/maps?f=q&amp;hl=en&amp;geocode=&amp;q=30.4303828535954,-84.2642921499342</v>
      </c>
    </row>
    <row r="10593" spans="1:7" ht="15" x14ac:dyDescent="0.3">
      <c r="A10593">
        <v>-37.815635681152301</v>
      </c>
      <c r="B10593">
        <v>144.96734619140599</v>
      </c>
      <c r="C10593" t="s">
        <v>43</v>
      </c>
      <c r="D10593" t="s">
        <v>3562</v>
      </c>
      <c r="F10593" s="21"/>
      <c r="G10593" s="16" t="str">
        <f>HYPERLINK("http://maps.google.com/maps?f=q&amp;hl=en&amp;geocode=&amp;q=-37.8156356811523,144.967346191406")</f>
        <v>http://maps.google.com/maps?f=q&amp;hl=en&amp;geocode=&amp;q=-37.8156356811523,144.967346191406</v>
      </c>
    </row>
    <row r="10594" spans="1:7" ht="15" x14ac:dyDescent="0.3">
      <c r="A10594" t="s">
        <v>44</v>
      </c>
      <c r="B10594" t="s">
        <v>44</v>
      </c>
      <c r="C10594" t="s">
        <v>44</v>
      </c>
      <c r="D10594" t="s">
        <v>1243</v>
      </c>
      <c r="F10594" s="21"/>
      <c r="G10594" s="16"/>
    </row>
    <row r="10595" spans="1:7" ht="15" x14ac:dyDescent="0.3">
      <c r="A10595" t="s">
        <v>44</v>
      </c>
      <c r="B10595" t="s">
        <v>44</v>
      </c>
      <c r="C10595" t="s">
        <v>44</v>
      </c>
      <c r="D10595" t="s">
        <v>6012</v>
      </c>
      <c r="F10595" s="21"/>
      <c r="G10595" s="16"/>
    </row>
    <row r="10596" spans="1:7" ht="15" x14ac:dyDescent="0.3">
      <c r="A10596">
        <v>40.647787066904399</v>
      </c>
      <c r="B10596">
        <v>-98.871660585167206</v>
      </c>
      <c r="C10596" t="s">
        <v>41</v>
      </c>
      <c r="D10596" t="s">
        <v>3318</v>
      </c>
      <c r="F10596" s="21"/>
      <c r="G10596" s="16" t="str">
        <f>HYPERLINK("http://maps.google.com/maps?f=q&amp;hl=en&amp;geocode=&amp;q=40.6477870669044,-98.8716605851672")</f>
        <v>http://maps.google.com/maps?f=q&amp;hl=en&amp;geocode=&amp;q=40.6477870669044,-98.8716605851672</v>
      </c>
    </row>
    <row r="10597" spans="1:7" ht="15" x14ac:dyDescent="0.3">
      <c r="A10597">
        <v>42.067241631885999</v>
      </c>
      <c r="B10597">
        <v>-89.277120768334399</v>
      </c>
      <c r="C10597" t="s">
        <v>43</v>
      </c>
      <c r="D10597" t="s">
        <v>5901</v>
      </c>
      <c r="F10597" s="21"/>
      <c r="G10597" s="16" t="str">
        <f>HYPERLINK("http://maps.google.com/maps?f=q&amp;hl=en&amp;geocode=&amp;q=42.067241631886,-89.2771207683344")</f>
        <v>http://maps.google.com/maps?f=q&amp;hl=en&amp;geocode=&amp;q=42.067241631886,-89.2771207683344</v>
      </c>
    </row>
    <row r="10598" spans="1:7" ht="15" x14ac:dyDescent="0.3">
      <c r="A10598">
        <v>37.963165034466698</v>
      </c>
      <c r="B10598">
        <v>-98.604420167964307</v>
      </c>
      <c r="C10598" t="s">
        <v>41</v>
      </c>
      <c r="D10598" t="s">
        <v>6013</v>
      </c>
      <c r="F10598" s="21"/>
      <c r="G10598" s="16" t="str">
        <f>HYPERLINK("http://maps.google.com/maps?f=q&amp;hl=en&amp;geocode=&amp;q=37.9631650344667,-98.6044201679643")</f>
        <v>http://maps.google.com/maps?f=q&amp;hl=en&amp;geocode=&amp;q=37.9631650344667,-98.6044201679643</v>
      </c>
    </row>
    <row r="10599" spans="1:7" ht="15" x14ac:dyDescent="0.3">
      <c r="A10599">
        <v>39.950060000000001</v>
      </c>
      <c r="B10599">
        <v>-75.168139999999994</v>
      </c>
      <c r="C10599" t="s">
        <v>41</v>
      </c>
      <c r="D10599" t="s">
        <v>5999</v>
      </c>
      <c r="F10599" s="21"/>
      <c r="G10599" s="16" t="str">
        <f>HYPERLINK("http://maps.google.com/maps?f=q&amp;hl=en&amp;geocode=&amp;q=39.95006,-75.16814")</f>
        <v>http://maps.google.com/maps?f=q&amp;hl=en&amp;geocode=&amp;q=39.95006,-75.16814</v>
      </c>
    </row>
    <row r="10600" spans="1:7" ht="15" x14ac:dyDescent="0.3">
      <c r="A10600">
        <v>39.950060000000001</v>
      </c>
      <c r="B10600">
        <v>-75.168139999999994</v>
      </c>
      <c r="C10600" t="s">
        <v>41</v>
      </c>
      <c r="D10600" t="s">
        <v>5999</v>
      </c>
      <c r="F10600" s="21"/>
      <c r="G10600" s="16" t="str">
        <f>HYPERLINK("http://maps.google.com/maps?f=q&amp;hl=en&amp;geocode=&amp;q=39.95006,-75.16814")</f>
        <v>http://maps.google.com/maps?f=q&amp;hl=en&amp;geocode=&amp;q=39.95006,-75.16814</v>
      </c>
    </row>
    <row r="10601" spans="1:7" ht="15" x14ac:dyDescent="0.3">
      <c r="A10601">
        <v>32.937678660094299</v>
      </c>
      <c r="B10601">
        <v>-87.069604750756199</v>
      </c>
      <c r="C10601" t="s">
        <v>41</v>
      </c>
      <c r="D10601" t="s">
        <v>6014</v>
      </c>
      <c r="F10601" s="21"/>
      <c r="G10601" s="16" t="str">
        <f>HYPERLINK("http://maps.google.com/maps?f=q&amp;hl=en&amp;geocode=&amp;q=32.9376786600943,-87.0696047507562")</f>
        <v>http://maps.google.com/maps?f=q&amp;hl=en&amp;geocode=&amp;q=32.9376786600943,-87.0696047507562</v>
      </c>
    </row>
    <row r="10602" spans="1:7" ht="15" x14ac:dyDescent="0.3">
      <c r="A10602">
        <v>40.423650000000002</v>
      </c>
      <c r="B10602">
        <v>-79.268536999999995</v>
      </c>
      <c r="C10602" t="s">
        <v>43</v>
      </c>
      <c r="D10602" t="s">
        <v>6015</v>
      </c>
      <c r="F10602" s="21"/>
      <c r="G10602" s="16" t="str">
        <f>HYPERLINK("http://maps.google.com/maps?f=q&amp;hl=en&amp;geocode=&amp;q=40.42365,-79.268537")</f>
        <v>http://maps.google.com/maps?f=q&amp;hl=en&amp;geocode=&amp;q=40.42365,-79.268537</v>
      </c>
    </row>
    <row r="10603" spans="1:7" ht="15" x14ac:dyDescent="0.3">
      <c r="A10603">
        <v>42.738239999999998</v>
      </c>
      <c r="B10603">
        <v>-97.498040000000003</v>
      </c>
      <c r="C10603" t="s">
        <v>42</v>
      </c>
      <c r="D10603" t="s">
        <v>6016</v>
      </c>
      <c r="F10603" s="21"/>
      <c r="G10603" s="16" t="str">
        <f>HYPERLINK("http://maps.google.com/maps?f=q&amp;hl=en&amp;geocode=&amp;q=42.73824,-97.49804")</f>
        <v>http://maps.google.com/maps?f=q&amp;hl=en&amp;geocode=&amp;q=42.73824,-97.49804</v>
      </c>
    </row>
    <row r="10604" spans="1:7" ht="15" x14ac:dyDescent="0.3">
      <c r="A10604">
        <v>45.837741851806598</v>
      </c>
      <c r="B10604">
        <v>25.005935668945298</v>
      </c>
      <c r="C10604" t="s">
        <v>41</v>
      </c>
      <c r="D10604" t="s">
        <v>2819</v>
      </c>
      <c r="F10604" s="21"/>
      <c r="G10604" s="16" t="str">
        <f>HYPERLINK("http://maps.google.com/maps?f=q&amp;hl=en&amp;geocode=&amp;q=45.8377418518066,25.0059356689453")</f>
        <v>http://maps.google.com/maps?f=q&amp;hl=en&amp;geocode=&amp;q=45.8377418518066,25.0059356689453</v>
      </c>
    </row>
    <row r="10605" spans="1:7" ht="15" x14ac:dyDescent="0.3">
      <c r="A10605">
        <v>32.807560458383001</v>
      </c>
      <c r="B10605">
        <v>-117.066066544699</v>
      </c>
      <c r="C10605" t="s">
        <v>41</v>
      </c>
      <c r="D10605" t="s">
        <v>3925</v>
      </c>
      <c r="F10605" s="21"/>
      <c r="G10605" s="16" t="str">
        <f>HYPERLINK("http://maps.google.com/maps?f=q&amp;hl=en&amp;geocode=&amp;q=32.807560458383,-117.066066544699")</f>
        <v>http://maps.google.com/maps?f=q&amp;hl=en&amp;geocode=&amp;q=32.807560458383,-117.066066544699</v>
      </c>
    </row>
    <row r="10606" spans="1:7" ht="15" x14ac:dyDescent="0.3">
      <c r="A10606">
        <v>45.525910000000003</v>
      </c>
      <c r="B10606">
        <v>-73.559110000000004</v>
      </c>
      <c r="C10606" t="s">
        <v>41</v>
      </c>
      <c r="D10606" t="s">
        <v>3630</v>
      </c>
      <c r="F10606" s="21"/>
      <c r="G10606" s="16" t="str">
        <f>HYPERLINK("http://maps.google.com/maps?f=q&amp;hl=en&amp;geocode=&amp;q=45.52591,-73.55911")</f>
        <v>http://maps.google.com/maps?f=q&amp;hl=en&amp;geocode=&amp;q=45.52591,-73.55911</v>
      </c>
    </row>
    <row r="10607" spans="1:7" ht="15" x14ac:dyDescent="0.3">
      <c r="A10607">
        <v>40.610939025878899</v>
      </c>
      <c r="B10607">
        <v>-77.616302490234403</v>
      </c>
      <c r="C10607" t="s">
        <v>41</v>
      </c>
      <c r="D10607" t="s">
        <v>5740</v>
      </c>
      <c r="F10607" s="21"/>
      <c r="G10607" s="16" t="str">
        <f>HYPERLINK("http://maps.google.com/maps?f=q&amp;hl=en&amp;geocode=&amp;q=40.6109390258789,-77.6163024902344")</f>
        <v>http://maps.google.com/maps?f=q&amp;hl=en&amp;geocode=&amp;q=40.6109390258789,-77.6163024902344</v>
      </c>
    </row>
    <row r="10608" spans="1:7" ht="15" x14ac:dyDescent="0.3">
      <c r="A10608">
        <v>42.66046</v>
      </c>
      <c r="B10608">
        <v>-73.769710000000003</v>
      </c>
      <c r="C10608" t="s">
        <v>42</v>
      </c>
      <c r="D10608" t="s">
        <v>3428</v>
      </c>
      <c r="F10608" s="21"/>
      <c r="G10608" s="16" t="str">
        <f>HYPERLINK("http://maps.google.com/maps?f=q&amp;hl=en&amp;geocode=&amp;q=42.66046,-73.76971")</f>
        <v>http://maps.google.com/maps?f=q&amp;hl=en&amp;geocode=&amp;q=42.66046,-73.76971</v>
      </c>
    </row>
    <row r="10609" spans="1:7" ht="15" x14ac:dyDescent="0.3">
      <c r="A10609">
        <v>47.202430725097699</v>
      </c>
      <c r="B10609">
        <v>19.835624694824201</v>
      </c>
      <c r="C10609" t="s">
        <v>43</v>
      </c>
      <c r="D10609" t="s">
        <v>6008</v>
      </c>
      <c r="F10609" s="21"/>
      <c r="G10609" s="16" t="str">
        <f>HYPERLINK("http://maps.google.com/maps?f=q&amp;hl=en&amp;geocode=&amp;q=47.2024307250977,19.8356246948242")</f>
        <v>http://maps.google.com/maps?f=q&amp;hl=en&amp;geocode=&amp;q=47.2024307250977,19.8356246948242</v>
      </c>
    </row>
    <row r="10610" spans="1:7" ht="15" x14ac:dyDescent="0.3">
      <c r="A10610">
        <v>-35.706621800000001</v>
      </c>
      <c r="B10610">
        <v>147.3297877</v>
      </c>
      <c r="C10610" t="s">
        <v>41</v>
      </c>
      <c r="D10610" t="s">
        <v>6017</v>
      </c>
      <c r="F10610" s="21"/>
      <c r="G10610" s="16" t="str">
        <f>HYPERLINK("http://maps.google.com/maps?f=q&amp;hl=en&amp;geocode=&amp;q=-35.7066218,147.3297877")</f>
        <v>http://maps.google.com/maps?f=q&amp;hl=en&amp;geocode=&amp;q=-35.7066218,147.3297877</v>
      </c>
    </row>
    <row r="10611" spans="1:7" ht="15" x14ac:dyDescent="0.3">
      <c r="A10611">
        <v>39.745449999999998</v>
      </c>
      <c r="B10611">
        <v>-84.632850000000005</v>
      </c>
      <c r="C10611" t="s">
        <v>41</v>
      </c>
      <c r="D10611" t="s">
        <v>6018</v>
      </c>
      <c r="F10611" s="21"/>
      <c r="G10611" s="16" t="str">
        <f>HYPERLINK("http://maps.google.com/maps?f=q&amp;hl=en&amp;geocode=&amp;q=39.74545,-84.63285")</f>
        <v>http://maps.google.com/maps?f=q&amp;hl=en&amp;geocode=&amp;q=39.74545,-84.63285</v>
      </c>
    </row>
    <row r="10612" spans="1:7" ht="15" x14ac:dyDescent="0.3">
      <c r="A10612">
        <v>39.898059844970703</v>
      </c>
      <c r="B10612">
        <v>-75.211669921875</v>
      </c>
      <c r="C10612" t="s">
        <v>41</v>
      </c>
      <c r="D10612" t="s">
        <v>6019</v>
      </c>
      <c r="F10612" s="21"/>
      <c r="G10612" s="16" t="str">
        <f>HYPERLINK("http://maps.google.com/maps?f=q&amp;hl=en&amp;geocode=&amp;q=39.8980598449707,-75.211669921875")</f>
        <v>http://maps.google.com/maps?f=q&amp;hl=en&amp;geocode=&amp;q=39.8980598449707,-75.211669921875</v>
      </c>
    </row>
    <row r="10613" spans="1:7" ht="15" x14ac:dyDescent="0.3">
      <c r="A10613" t="s">
        <v>44</v>
      </c>
      <c r="B10613" t="s">
        <v>44</v>
      </c>
      <c r="C10613" t="s">
        <v>44</v>
      </c>
      <c r="D10613" t="s">
        <v>3227</v>
      </c>
      <c r="F10613" s="21"/>
      <c r="G10613" s="16"/>
    </row>
    <row r="10614" spans="1:7" ht="15" x14ac:dyDescent="0.3">
      <c r="A10614">
        <v>40.847292798512697</v>
      </c>
      <c r="B10614">
        <v>-73.9212038686846</v>
      </c>
      <c r="C10614" t="s">
        <v>41</v>
      </c>
      <c r="D10614" t="s">
        <v>3650</v>
      </c>
      <c r="F10614" s="21"/>
      <c r="G10614" s="16" t="str">
        <f>HYPERLINK("http://maps.google.com/maps?f=q&amp;hl=en&amp;geocode=&amp;q=40.8472927985127,-73.9212038686846")</f>
        <v>http://maps.google.com/maps?f=q&amp;hl=en&amp;geocode=&amp;q=40.8472927985127,-73.9212038686846</v>
      </c>
    </row>
    <row r="10615" spans="1:7" ht="15" x14ac:dyDescent="0.3">
      <c r="A10615">
        <v>31.028346963799802</v>
      </c>
      <c r="B10615">
        <v>-87.524305554217307</v>
      </c>
      <c r="C10615" t="s">
        <v>41</v>
      </c>
      <c r="D10615" t="s">
        <v>6020</v>
      </c>
      <c r="F10615" s="21"/>
      <c r="G10615" s="16" t="str">
        <f>HYPERLINK("http://maps.google.com/maps?f=q&amp;hl=en&amp;geocode=&amp;q=31.0283469637998,-87.5243055542173")</f>
        <v>http://maps.google.com/maps?f=q&amp;hl=en&amp;geocode=&amp;q=31.0283469637998,-87.5243055542173</v>
      </c>
    </row>
    <row r="10616" spans="1:7" ht="15" x14ac:dyDescent="0.3">
      <c r="A10616">
        <v>46.83334</v>
      </c>
      <c r="B10616">
        <v>-124.10135</v>
      </c>
      <c r="C10616" t="s">
        <v>41</v>
      </c>
      <c r="D10616" t="s">
        <v>6021</v>
      </c>
      <c r="F10616" s="21"/>
      <c r="G10616" s="16" t="str">
        <f>HYPERLINK("http://maps.google.com/maps?f=q&amp;hl=en&amp;geocode=&amp;q=46.83334,-124.10135")</f>
        <v>http://maps.google.com/maps?f=q&amp;hl=en&amp;geocode=&amp;q=46.83334,-124.10135</v>
      </c>
    </row>
    <row r="10617" spans="1:7" ht="15" x14ac:dyDescent="0.3">
      <c r="A10617">
        <v>49.508560180664098</v>
      </c>
      <c r="B10617">
        <v>5.9793229103088397</v>
      </c>
      <c r="C10617" t="s">
        <v>41</v>
      </c>
      <c r="D10617" t="s">
        <v>6022</v>
      </c>
      <c r="F10617" s="21"/>
      <c r="G10617" s="16" t="str">
        <f>HYPERLINK("http://maps.google.com/maps?f=q&amp;hl=en&amp;geocode=&amp;q=49.5085601806641,5.97932291030884")</f>
        <v>http://maps.google.com/maps?f=q&amp;hl=en&amp;geocode=&amp;q=49.5085601806641,5.97932291030884</v>
      </c>
    </row>
    <row r="10618" spans="1:7" ht="15" x14ac:dyDescent="0.3">
      <c r="A10618">
        <v>40.024738311767599</v>
      </c>
      <c r="B10618">
        <v>-75.213882446289105</v>
      </c>
      <c r="C10618" t="s">
        <v>43</v>
      </c>
      <c r="D10618" t="s">
        <v>3581</v>
      </c>
      <c r="F10618" s="21"/>
      <c r="G10618" s="16" t="str">
        <f>HYPERLINK("http://maps.google.com/maps?f=q&amp;hl=en&amp;geocode=&amp;q=40.0247383117676,-75.2138824462891")</f>
        <v>http://maps.google.com/maps?f=q&amp;hl=en&amp;geocode=&amp;q=40.0247383117676,-75.2138824462891</v>
      </c>
    </row>
    <row r="10619" spans="1:7" ht="15" x14ac:dyDescent="0.3">
      <c r="A10619">
        <v>39.972670000000001</v>
      </c>
      <c r="B10619">
        <v>-75.180880000000002</v>
      </c>
      <c r="C10619" t="s">
        <v>41</v>
      </c>
      <c r="D10619" t="s">
        <v>5875</v>
      </c>
      <c r="F10619" s="21"/>
      <c r="G10619" s="16" t="str">
        <f>HYPERLINK("http://maps.google.com/maps?f=q&amp;hl=en&amp;geocode=&amp;q=39.97267,-75.18088")</f>
        <v>http://maps.google.com/maps?f=q&amp;hl=en&amp;geocode=&amp;q=39.97267,-75.18088</v>
      </c>
    </row>
    <row r="10620" spans="1:7" ht="15" x14ac:dyDescent="0.3">
      <c r="A10620">
        <v>39.939920000000001</v>
      </c>
      <c r="B10620">
        <v>-75.172039999999996</v>
      </c>
      <c r="C10620" t="s">
        <v>41</v>
      </c>
      <c r="D10620" t="s">
        <v>2587</v>
      </c>
      <c r="F10620" s="21"/>
      <c r="G10620" s="16" t="str">
        <f>HYPERLINK("http://maps.google.com/maps?f=q&amp;hl=en&amp;geocode=&amp;q=39.93992,-75.17204")</f>
        <v>http://maps.google.com/maps?f=q&amp;hl=en&amp;geocode=&amp;q=39.93992,-75.17204</v>
      </c>
    </row>
    <row r="10621" spans="1:7" ht="15" x14ac:dyDescent="0.3">
      <c r="A10621">
        <v>42.067541828205499</v>
      </c>
      <c r="B10621">
        <v>-89.277127055202598</v>
      </c>
      <c r="C10621" t="s">
        <v>43</v>
      </c>
      <c r="D10621" t="s">
        <v>6023</v>
      </c>
      <c r="F10621" s="21"/>
      <c r="G10621" s="16" t="str">
        <f>HYPERLINK("http://maps.google.com/maps?f=q&amp;hl=en&amp;geocode=&amp;q=42.0675418282055,-89.2771270552026")</f>
        <v>http://maps.google.com/maps?f=q&amp;hl=en&amp;geocode=&amp;q=42.0675418282055,-89.2771270552026</v>
      </c>
    </row>
    <row r="10622" spans="1:7" ht="15" x14ac:dyDescent="0.3">
      <c r="A10622">
        <v>27.954460000000001</v>
      </c>
      <c r="B10622">
        <v>-82.482020000000006</v>
      </c>
      <c r="C10622" t="s">
        <v>43</v>
      </c>
      <c r="D10622" t="s">
        <v>6024</v>
      </c>
      <c r="F10622" s="21"/>
      <c r="G10622" s="16" t="str">
        <f>HYPERLINK("http://maps.google.com/maps?f=q&amp;hl=en&amp;geocode=&amp;q=27.95446,-82.48202")</f>
        <v>http://maps.google.com/maps?f=q&amp;hl=en&amp;geocode=&amp;q=27.95446,-82.48202</v>
      </c>
    </row>
    <row r="10623" spans="1:7" ht="15" x14ac:dyDescent="0.3">
      <c r="A10623">
        <v>42.067556278021897</v>
      </c>
      <c r="B10623">
        <v>-89.277006198958901</v>
      </c>
      <c r="C10623" t="s">
        <v>43</v>
      </c>
      <c r="D10623" t="s">
        <v>5924</v>
      </c>
      <c r="F10623" s="21"/>
      <c r="G10623" s="16" t="str">
        <f>HYPERLINK("http://maps.google.com/maps?f=q&amp;hl=en&amp;geocode=&amp;q=42.0675562780219,-89.2770061989589")</f>
        <v>http://maps.google.com/maps?f=q&amp;hl=en&amp;geocode=&amp;q=42.0675562780219,-89.2770061989589</v>
      </c>
    </row>
    <row r="10624" spans="1:7" ht="15" x14ac:dyDescent="0.3">
      <c r="A10624">
        <v>39.449984642720104</v>
      </c>
      <c r="B10624">
        <v>-77.088636110090604</v>
      </c>
      <c r="C10624" t="s">
        <v>41</v>
      </c>
      <c r="D10624" t="s">
        <v>6025</v>
      </c>
      <c r="F10624" s="21"/>
      <c r="G10624" s="16" t="str">
        <f>HYPERLINK("http://maps.google.com/maps?f=q&amp;hl=en&amp;geocode=&amp;q=39.4499846427201,-77.0886361100906")</f>
        <v>http://maps.google.com/maps?f=q&amp;hl=en&amp;geocode=&amp;q=39.4499846427201,-77.0886361100906</v>
      </c>
    </row>
    <row r="10625" spans="1:7" ht="15" x14ac:dyDescent="0.3">
      <c r="A10625">
        <v>47.582173579922198</v>
      </c>
      <c r="B10625">
        <v>-92.301947949828204</v>
      </c>
      <c r="C10625" t="s">
        <v>41</v>
      </c>
      <c r="D10625" t="s">
        <v>1564</v>
      </c>
      <c r="F10625" s="21"/>
      <c r="G10625" s="16" t="str">
        <f>HYPERLINK("http://maps.google.com/maps?f=q&amp;hl=en&amp;geocode=&amp;q=47.5821735799222,-92.3019479498282")</f>
        <v>http://maps.google.com/maps?f=q&amp;hl=en&amp;geocode=&amp;q=47.5821735799222,-92.3019479498282</v>
      </c>
    </row>
    <row r="10626" spans="1:7" ht="15" x14ac:dyDescent="0.3">
      <c r="A10626">
        <v>39.684371948242202</v>
      </c>
      <c r="B10626">
        <v>21.8974094390869</v>
      </c>
      <c r="C10626" t="s">
        <v>41</v>
      </c>
      <c r="D10626" t="s">
        <v>94</v>
      </c>
      <c r="F10626" s="21"/>
      <c r="G10626" s="16" t="str">
        <f>HYPERLINK("http://maps.google.com/maps?f=q&amp;hl=en&amp;geocode=&amp;q=39.6843719482422,21.8974094390869")</f>
        <v>http://maps.google.com/maps?f=q&amp;hl=en&amp;geocode=&amp;q=39.6843719482422,21.8974094390869</v>
      </c>
    </row>
    <row r="10627" spans="1:7" ht="15" x14ac:dyDescent="0.3">
      <c r="A10627">
        <v>39.684371948242202</v>
      </c>
      <c r="B10627">
        <v>21.8974094390869</v>
      </c>
      <c r="C10627" t="s">
        <v>41</v>
      </c>
      <c r="D10627" t="s">
        <v>94</v>
      </c>
      <c r="F10627" s="21"/>
      <c r="G10627" s="16" t="str">
        <f>HYPERLINK("http://maps.google.com/maps?f=q&amp;hl=en&amp;geocode=&amp;q=39.6843719482422,21.8974094390869")</f>
        <v>http://maps.google.com/maps?f=q&amp;hl=en&amp;geocode=&amp;q=39.6843719482422,21.8974094390869</v>
      </c>
    </row>
    <row r="10628" spans="1:7" ht="15" x14ac:dyDescent="0.3">
      <c r="A10628">
        <v>42.9641761042487</v>
      </c>
      <c r="B10628">
        <v>-83.606525283805695</v>
      </c>
      <c r="C10628" t="s">
        <v>41</v>
      </c>
      <c r="D10628" t="s">
        <v>6026</v>
      </c>
      <c r="F10628" s="21"/>
      <c r="G10628" s="16" t="str">
        <f>HYPERLINK("http://maps.google.com/maps?f=q&amp;hl=en&amp;geocode=&amp;q=42.9641761042487,-83.6065252838057")</f>
        <v>http://maps.google.com/maps?f=q&amp;hl=en&amp;geocode=&amp;q=42.9641761042487,-83.6065252838057</v>
      </c>
    </row>
    <row r="10629" spans="1:7" ht="15" x14ac:dyDescent="0.3">
      <c r="A10629">
        <v>14.5838928222656</v>
      </c>
      <c r="B10629">
        <v>121.07668304443401</v>
      </c>
      <c r="C10629" t="s">
        <v>43</v>
      </c>
      <c r="D10629" t="s">
        <v>6027</v>
      </c>
      <c r="F10629" s="21"/>
      <c r="G10629" s="16" t="str">
        <f>HYPERLINK("http://maps.google.com/maps?f=q&amp;hl=en&amp;geocode=&amp;q=14.5838928222656,121.076683044434")</f>
        <v>http://maps.google.com/maps?f=q&amp;hl=en&amp;geocode=&amp;q=14.5838928222656,121.076683044434</v>
      </c>
    </row>
    <row r="10630" spans="1:7" ht="15" x14ac:dyDescent="0.3">
      <c r="A10630">
        <v>29.343900068511601</v>
      </c>
      <c r="B10630">
        <v>-100.16829020735899</v>
      </c>
      <c r="C10630" t="s">
        <v>43</v>
      </c>
      <c r="D10630" t="s">
        <v>6028</v>
      </c>
      <c r="F10630" s="21"/>
      <c r="G10630" s="16" t="str">
        <f>HYPERLINK("http://maps.google.com/maps?f=q&amp;hl=en&amp;geocode=&amp;q=29.3439000685116,-100.168290207359")</f>
        <v>http://maps.google.com/maps?f=q&amp;hl=en&amp;geocode=&amp;q=29.3439000685116,-100.168290207359</v>
      </c>
    </row>
    <row r="10631" spans="1:7" ht="15" x14ac:dyDescent="0.3">
      <c r="A10631">
        <v>41.227980000000002</v>
      </c>
      <c r="B10631">
        <v>-96.606589999999997</v>
      </c>
      <c r="C10631" t="s">
        <v>43</v>
      </c>
      <c r="D10631" t="s">
        <v>6029</v>
      </c>
      <c r="F10631" s="21"/>
      <c r="G10631" s="16" t="str">
        <f>HYPERLINK("http://maps.google.com/maps?f=q&amp;hl=en&amp;geocode=&amp;q=41.22798,-96.60659")</f>
        <v>http://maps.google.com/maps?f=q&amp;hl=en&amp;geocode=&amp;q=41.22798,-96.60659</v>
      </c>
    </row>
    <row r="10632" spans="1:7" ht="15" x14ac:dyDescent="0.3">
      <c r="A10632">
        <v>41.740681324311403</v>
      </c>
      <c r="B10632">
        <v>-111.814667702101</v>
      </c>
      <c r="C10632" t="s">
        <v>41</v>
      </c>
      <c r="D10632" t="s">
        <v>6030</v>
      </c>
      <c r="F10632" s="21"/>
      <c r="G10632" s="16" t="str">
        <f>HYPERLINK("http://maps.google.com/maps?f=q&amp;hl=en&amp;geocode=&amp;q=41.7406813243114,-111.814667702101")</f>
        <v>http://maps.google.com/maps?f=q&amp;hl=en&amp;geocode=&amp;q=41.7406813243114,-111.814667702101</v>
      </c>
    </row>
    <row r="10633" spans="1:7" ht="15" x14ac:dyDescent="0.3">
      <c r="A10633">
        <v>40.686477267661999</v>
      </c>
      <c r="B10633">
        <v>-73.522429905199303</v>
      </c>
      <c r="C10633" t="s">
        <v>41</v>
      </c>
      <c r="D10633" t="s">
        <v>6031</v>
      </c>
      <c r="F10633" s="21"/>
      <c r="G10633" s="16" t="str">
        <f>HYPERLINK("http://maps.google.com/maps?f=q&amp;hl=en&amp;geocode=&amp;q=40.686477267662,-73.5224299051993")</f>
        <v>http://maps.google.com/maps?f=q&amp;hl=en&amp;geocode=&amp;q=40.686477267662,-73.5224299051993</v>
      </c>
    </row>
    <row r="10634" spans="1:7" ht="15" x14ac:dyDescent="0.3">
      <c r="A10634">
        <v>39.980020000000003</v>
      </c>
      <c r="B10634">
        <v>-86.160129999999995</v>
      </c>
      <c r="C10634" t="s">
        <v>42</v>
      </c>
      <c r="D10634" t="s">
        <v>5881</v>
      </c>
      <c r="F10634" s="21"/>
      <c r="G10634" s="16" t="str">
        <f>HYPERLINK("http://maps.google.com/maps?f=q&amp;hl=en&amp;geocode=&amp;q=39.98002,-86.16013")</f>
        <v>http://maps.google.com/maps?f=q&amp;hl=en&amp;geocode=&amp;q=39.98002,-86.16013</v>
      </c>
    </row>
    <row r="10635" spans="1:7" ht="15" x14ac:dyDescent="0.3">
      <c r="A10635">
        <v>45.853270000000002</v>
      </c>
      <c r="B10635">
        <v>-66.122669999999999</v>
      </c>
      <c r="C10635" t="s">
        <v>41</v>
      </c>
      <c r="D10635" t="s">
        <v>158</v>
      </c>
      <c r="F10635" s="21"/>
      <c r="G10635" s="16" t="str">
        <f>HYPERLINK("http://maps.google.com/maps?f=q&amp;hl=en&amp;geocode=&amp;q=45.85327,-66.12267")</f>
        <v>http://maps.google.com/maps?f=q&amp;hl=en&amp;geocode=&amp;q=45.85327,-66.12267</v>
      </c>
    </row>
    <row r="10636" spans="1:7" ht="15" x14ac:dyDescent="0.3">
      <c r="A10636">
        <v>43.524909999999998</v>
      </c>
      <c r="B10636">
        <v>-84.196119999999993</v>
      </c>
      <c r="C10636" t="s">
        <v>41</v>
      </c>
      <c r="D10636" t="s">
        <v>1295</v>
      </c>
      <c r="F10636" s="21"/>
      <c r="G10636" s="16" t="str">
        <f>HYPERLINK("http://maps.google.com/maps?f=q&amp;hl=en&amp;geocode=&amp;q=43.52491,-84.19612")</f>
        <v>http://maps.google.com/maps?f=q&amp;hl=en&amp;geocode=&amp;q=43.52491,-84.19612</v>
      </c>
    </row>
    <row r="10637" spans="1:7" ht="15" x14ac:dyDescent="0.3">
      <c r="A10637">
        <v>35.514067401529402</v>
      </c>
      <c r="B10637">
        <v>-108.73948827650101</v>
      </c>
      <c r="C10637" t="s">
        <v>43</v>
      </c>
      <c r="D10637" t="s">
        <v>6032</v>
      </c>
      <c r="F10637" s="21"/>
      <c r="G10637" s="16" t="str">
        <f>HYPERLINK("http://maps.google.com/maps?f=q&amp;hl=en&amp;geocode=&amp;q=35.5140674015294,-108.739488276501")</f>
        <v>http://maps.google.com/maps?f=q&amp;hl=en&amp;geocode=&amp;q=35.5140674015294,-108.739488276501</v>
      </c>
    </row>
    <row r="10638" spans="1:7" ht="15" x14ac:dyDescent="0.3">
      <c r="A10638">
        <v>44.9096384688266</v>
      </c>
      <c r="B10638">
        <v>-90.315616419795305</v>
      </c>
      <c r="C10638" t="s">
        <v>41</v>
      </c>
      <c r="D10638" t="s">
        <v>2460</v>
      </c>
      <c r="F10638" s="21"/>
      <c r="G10638" s="16" t="str">
        <f>HYPERLINK("http://maps.google.com/maps?f=q&amp;hl=en&amp;geocode=&amp;q=44.9096384688266,-90.3156164197953")</f>
        <v>http://maps.google.com/maps?f=q&amp;hl=en&amp;geocode=&amp;q=44.9096384688266,-90.3156164197953</v>
      </c>
    </row>
    <row r="10639" spans="1:7" ht="15" x14ac:dyDescent="0.3">
      <c r="A10639">
        <v>35.4474903403244</v>
      </c>
      <c r="B10639">
        <v>-88.6465063511735</v>
      </c>
      <c r="C10639" t="s">
        <v>41</v>
      </c>
      <c r="D10639" t="s">
        <v>5799</v>
      </c>
      <c r="F10639" s="21"/>
      <c r="G10639" s="16" t="str">
        <f>HYPERLINK("http://maps.google.com/maps?f=q&amp;hl=en&amp;geocode=&amp;q=35.4474903403244,-88.6465063511735")</f>
        <v>http://maps.google.com/maps?f=q&amp;hl=en&amp;geocode=&amp;q=35.4474903403244,-88.6465063511735</v>
      </c>
    </row>
    <row r="10640" spans="1:7" ht="15" x14ac:dyDescent="0.3">
      <c r="A10640">
        <v>59.922351837158203</v>
      </c>
      <c r="B10640">
        <v>11.178321838378899</v>
      </c>
      <c r="C10640" t="s">
        <v>43</v>
      </c>
      <c r="D10640" t="s">
        <v>6033</v>
      </c>
      <c r="F10640" s="21"/>
      <c r="G10640" s="16" t="str">
        <f>HYPERLINK("http://maps.google.com/maps?f=q&amp;hl=en&amp;geocode=&amp;q=59.9223518371582,11.1783218383789")</f>
        <v>http://maps.google.com/maps?f=q&amp;hl=en&amp;geocode=&amp;q=59.9223518371582,11.1783218383789</v>
      </c>
    </row>
    <row r="10641" spans="1:7" ht="15" x14ac:dyDescent="0.3">
      <c r="A10641" t="s">
        <v>44</v>
      </c>
      <c r="B10641" t="s">
        <v>44</v>
      </c>
      <c r="C10641" t="s">
        <v>44</v>
      </c>
      <c r="D10641" t="s">
        <v>4438</v>
      </c>
      <c r="F10641" s="21"/>
      <c r="G10641" s="16"/>
    </row>
    <row r="10642" spans="1:7" ht="15" x14ac:dyDescent="0.3">
      <c r="A10642">
        <v>31.3299158254096</v>
      </c>
      <c r="B10642">
        <v>-94.4130392874428</v>
      </c>
      <c r="C10642" t="s">
        <v>41</v>
      </c>
      <c r="D10642" t="s">
        <v>6034</v>
      </c>
      <c r="F10642" s="21"/>
      <c r="G10642" s="16" t="str">
        <f>HYPERLINK("http://maps.google.com/maps?f=q&amp;hl=en&amp;geocode=&amp;q=31.3299158254096,-94.4130392874428")</f>
        <v>http://maps.google.com/maps?f=q&amp;hl=en&amp;geocode=&amp;q=31.3299158254096,-94.4130392874428</v>
      </c>
    </row>
    <row r="10643" spans="1:7" ht="15" x14ac:dyDescent="0.3">
      <c r="A10643">
        <v>52.6822319030762</v>
      </c>
      <c r="B10643">
        <v>0.13165999948978399</v>
      </c>
      <c r="C10643" t="s">
        <v>41</v>
      </c>
      <c r="D10643" t="s">
        <v>1331</v>
      </c>
      <c r="F10643" s="21"/>
      <c r="G10643" s="16" t="str">
        <f>HYPERLINK("http://maps.google.com/maps?f=q&amp;hl=en&amp;geocode=&amp;q=52.6822319030762,0.131659999489784")</f>
        <v>http://maps.google.com/maps?f=q&amp;hl=en&amp;geocode=&amp;q=52.6822319030762,0.131659999489784</v>
      </c>
    </row>
    <row r="10644" spans="1:7" ht="15" x14ac:dyDescent="0.3">
      <c r="A10644">
        <v>42.997422656800801</v>
      </c>
      <c r="B10644">
        <v>-95.623939346082395</v>
      </c>
      <c r="C10644" t="s">
        <v>41</v>
      </c>
      <c r="D10644" t="s">
        <v>71</v>
      </c>
      <c r="F10644" s="21"/>
      <c r="G10644" s="16" t="str">
        <f>HYPERLINK("http://maps.google.com/maps?f=q&amp;hl=en&amp;geocode=&amp;q=42.9974226568008,-95.6239393460824")</f>
        <v>http://maps.google.com/maps?f=q&amp;hl=en&amp;geocode=&amp;q=42.9974226568008,-95.6239393460824</v>
      </c>
    </row>
    <row r="10645" spans="1:7" ht="15" x14ac:dyDescent="0.3">
      <c r="A10645">
        <v>42.997422656800801</v>
      </c>
      <c r="B10645">
        <v>-95.623939346082395</v>
      </c>
      <c r="C10645" t="s">
        <v>41</v>
      </c>
      <c r="D10645" t="s">
        <v>71</v>
      </c>
      <c r="F10645" s="21"/>
      <c r="G10645" s="16" t="str">
        <f>HYPERLINK("http://maps.google.com/maps?f=q&amp;hl=en&amp;geocode=&amp;q=42.9974226568008,-95.6239393460824")</f>
        <v>http://maps.google.com/maps?f=q&amp;hl=en&amp;geocode=&amp;q=42.9974226568008,-95.6239393460824</v>
      </c>
    </row>
    <row r="10646" spans="1:7" ht="15" x14ac:dyDescent="0.3">
      <c r="A10646">
        <v>42.997422656800801</v>
      </c>
      <c r="B10646">
        <v>-95.623939346082395</v>
      </c>
      <c r="C10646" t="s">
        <v>41</v>
      </c>
      <c r="D10646" t="s">
        <v>71</v>
      </c>
      <c r="F10646" s="21"/>
      <c r="G10646" s="16" t="str">
        <f>HYPERLINK("http://maps.google.com/maps?f=q&amp;hl=en&amp;geocode=&amp;q=42.9974226568008,-95.6239393460824")</f>
        <v>http://maps.google.com/maps?f=q&amp;hl=en&amp;geocode=&amp;q=42.9974226568008,-95.6239393460824</v>
      </c>
    </row>
    <row r="10647" spans="1:7" ht="15" x14ac:dyDescent="0.3">
      <c r="A10647">
        <v>42.997422656800801</v>
      </c>
      <c r="B10647">
        <v>-95.623939346082395</v>
      </c>
      <c r="C10647" t="s">
        <v>41</v>
      </c>
      <c r="D10647" t="s">
        <v>71</v>
      </c>
      <c r="F10647" s="21"/>
      <c r="G10647" s="16" t="str">
        <f>HYPERLINK("http://maps.google.com/maps?f=q&amp;hl=en&amp;geocode=&amp;q=42.9974226568008,-95.6239393460824")</f>
        <v>http://maps.google.com/maps?f=q&amp;hl=en&amp;geocode=&amp;q=42.9974226568008,-95.6239393460824</v>
      </c>
    </row>
    <row r="10648" spans="1:7" ht="15" x14ac:dyDescent="0.3">
      <c r="A10648">
        <v>42.997422656800801</v>
      </c>
      <c r="B10648">
        <v>-95.623939346082395</v>
      </c>
      <c r="C10648" t="s">
        <v>41</v>
      </c>
      <c r="D10648" t="s">
        <v>71</v>
      </c>
      <c r="F10648" s="21"/>
      <c r="G10648" s="16" t="str">
        <f>HYPERLINK("http://maps.google.com/maps?f=q&amp;hl=en&amp;geocode=&amp;q=42.9974226568008,-95.6239393460824")</f>
        <v>http://maps.google.com/maps?f=q&amp;hl=en&amp;geocode=&amp;q=42.9974226568008,-95.6239393460824</v>
      </c>
    </row>
    <row r="10649" spans="1:7" ht="15" x14ac:dyDescent="0.3">
      <c r="A10649">
        <v>42.997422656800801</v>
      </c>
      <c r="B10649">
        <v>-95.623939346082395</v>
      </c>
      <c r="C10649" t="s">
        <v>41</v>
      </c>
      <c r="D10649" t="s">
        <v>71</v>
      </c>
      <c r="F10649" s="21"/>
      <c r="G10649" s="16" t="str">
        <f>HYPERLINK("http://maps.google.com/maps?f=q&amp;hl=en&amp;geocode=&amp;q=42.9974226568008,-95.6239393460824")</f>
        <v>http://maps.google.com/maps?f=q&amp;hl=en&amp;geocode=&amp;q=42.9974226568008,-95.6239393460824</v>
      </c>
    </row>
    <row r="10650" spans="1:7" ht="15" x14ac:dyDescent="0.3">
      <c r="A10650">
        <v>42.997422656800801</v>
      </c>
      <c r="B10650">
        <v>-95.623939346082395</v>
      </c>
      <c r="C10650" t="s">
        <v>41</v>
      </c>
      <c r="D10650" t="s">
        <v>71</v>
      </c>
      <c r="F10650" s="21"/>
      <c r="G10650" s="16" t="str">
        <f>HYPERLINK("http://maps.google.com/maps?f=q&amp;hl=en&amp;geocode=&amp;q=42.9974226568008,-95.6239393460824")</f>
        <v>http://maps.google.com/maps?f=q&amp;hl=en&amp;geocode=&amp;q=42.9974226568008,-95.6239393460824</v>
      </c>
    </row>
    <row r="10651" spans="1:7" ht="15" x14ac:dyDescent="0.3">
      <c r="A10651">
        <v>40.036191072455601</v>
      </c>
      <c r="B10651">
        <v>-75.074680177067705</v>
      </c>
      <c r="C10651" t="s">
        <v>41</v>
      </c>
      <c r="D10651" t="s">
        <v>5381</v>
      </c>
      <c r="F10651" s="21"/>
      <c r="G10651" s="16" t="str">
        <f>HYPERLINK("http://maps.google.com/maps?f=q&amp;hl=en&amp;geocode=&amp;q=40.0361910724556,-75.0746801770677")</f>
        <v>http://maps.google.com/maps?f=q&amp;hl=en&amp;geocode=&amp;q=40.0361910724556,-75.0746801770677</v>
      </c>
    </row>
    <row r="10652" spans="1:7" ht="15" x14ac:dyDescent="0.3">
      <c r="A10652">
        <v>40.036191072455601</v>
      </c>
      <c r="B10652">
        <v>-75.074680177067705</v>
      </c>
      <c r="C10652" t="s">
        <v>41</v>
      </c>
      <c r="D10652" t="s">
        <v>6035</v>
      </c>
      <c r="F10652" s="21"/>
      <c r="G10652" s="16" t="str">
        <f>HYPERLINK("http://maps.google.com/maps?f=q&amp;hl=en&amp;geocode=&amp;q=40.0361910724556,-75.0746801770677")</f>
        <v>http://maps.google.com/maps?f=q&amp;hl=en&amp;geocode=&amp;q=40.0361910724556,-75.0746801770677</v>
      </c>
    </row>
    <row r="10653" spans="1:7" ht="15" x14ac:dyDescent="0.3">
      <c r="A10653">
        <v>44.5414009094238</v>
      </c>
      <c r="B10653">
        <v>-68.424308776855497</v>
      </c>
      <c r="C10653" t="s">
        <v>43</v>
      </c>
      <c r="D10653" t="s">
        <v>4555</v>
      </c>
      <c r="F10653" s="21"/>
      <c r="G10653" s="16" t="str">
        <f>HYPERLINK("http://maps.google.com/maps?f=q&amp;hl=en&amp;geocode=&amp;q=44.5414009094238,-68.4243087768555")</f>
        <v>http://maps.google.com/maps?f=q&amp;hl=en&amp;geocode=&amp;q=44.5414009094238,-68.4243087768555</v>
      </c>
    </row>
    <row r="10654" spans="1:7" ht="15" x14ac:dyDescent="0.3">
      <c r="A10654">
        <v>42.982892234619001</v>
      </c>
      <c r="B10654">
        <v>-95.623861177090802</v>
      </c>
      <c r="C10654" t="s">
        <v>41</v>
      </c>
      <c r="D10654" t="s">
        <v>70</v>
      </c>
      <c r="F10654" s="21"/>
      <c r="G10654" s="16" t="str">
        <f>HYPERLINK("http://maps.google.com/maps?f=q&amp;hl=en&amp;geocode=&amp;q=42.982892234619,-95.6238611770908")</f>
        <v>http://maps.google.com/maps?f=q&amp;hl=en&amp;geocode=&amp;q=42.982892234619,-95.6238611770908</v>
      </c>
    </row>
    <row r="10655" spans="1:7" ht="15" x14ac:dyDescent="0.3">
      <c r="A10655">
        <v>40.051504464856997</v>
      </c>
      <c r="B10655">
        <v>-75.4378430966878</v>
      </c>
      <c r="C10655" t="s">
        <v>41</v>
      </c>
      <c r="D10655" t="s">
        <v>6036</v>
      </c>
      <c r="F10655" s="21"/>
      <c r="G10655" s="16" t="str">
        <f>HYPERLINK("http://maps.google.com/maps?f=q&amp;hl=en&amp;geocode=&amp;q=40.051504464857,-75.4378430966878")</f>
        <v>http://maps.google.com/maps?f=q&amp;hl=en&amp;geocode=&amp;q=40.051504464857,-75.4378430966878</v>
      </c>
    </row>
    <row r="10656" spans="1:7" ht="15" x14ac:dyDescent="0.3">
      <c r="A10656">
        <v>40.118770895301097</v>
      </c>
      <c r="B10656">
        <v>-80.044374358872503</v>
      </c>
      <c r="C10656" t="s">
        <v>41</v>
      </c>
      <c r="D10656" t="s">
        <v>6037</v>
      </c>
      <c r="F10656" s="21"/>
      <c r="G10656" s="16" t="str">
        <f>HYPERLINK("http://maps.google.com/maps?f=q&amp;hl=en&amp;geocode=&amp;q=40.1187708953011,-80.0443743588725")</f>
        <v>http://maps.google.com/maps?f=q&amp;hl=en&amp;geocode=&amp;q=40.1187708953011,-80.0443743588725</v>
      </c>
    </row>
    <row r="10657" spans="1:7" ht="15" x14ac:dyDescent="0.3">
      <c r="A10657">
        <v>41.092313487596797</v>
      </c>
      <c r="B10657">
        <v>-85.112541453908094</v>
      </c>
      <c r="C10657" t="s">
        <v>41</v>
      </c>
      <c r="D10657" t="s">
        <v>3457</v>
      </c>
      <c r="F10657" s="21"/>
      <c r="G10657" s="16" t="str">
        <f>HYPERLINK("http://maps.google.com/maps?f=q&amp;hl=en&amp;geocode=&amp;q=41.0923134875968,-85.1125414539081")</f>
        <v>http://maps.google.com/maps?f=q&amp;hl=en&amp;geocode=&amp;q=41.0923134875968,-85.1125414539081</v>
      </c>
    </row>
    <row r="10658" spans="1:7" ht="15" x14ac:dyDescent="0.3">
      <c r="A10658">
        <v>39.19632</v>
      </c>
      <c r="B10658">
        <v>-78.029589999999999</v>
      </c>
      <c r="C10658" t="s">
        <v>42</v>
      </c>
      <c r="D10658" t="s">
        <v>6038</v>
      </c>
      <c r="F10658" s="21"/>
      <c r="G10658" s="16" t="str">
        <f>HYPERLINK("http://maps.google.com/maps?f=q&amp;hl=en&amp;geocode=&amp;q=39.19632,-78.02959")</f>
        <v>http://maps.google.com/maps?f=q&amp;hl=en&amp;geocode=&amp;q=39.19632,-78.02959</v>
      </c>
    </row>
    <row r="10659" spans="1:7" ht="15" x14ac:dyDescent="0.3">
      <c r="A10659">
        <v>39.940289274201497</v>
      </c>
      <c r="B10659">
        <v>-75.172986293616304</v>
      </c>
      <c r="C10659" t="s">
        <v>41</v>
      </c>
      <c r="D10659" t="s">
        <v>4543</v>
      </c>
      <c r="F10659" s="21"/>
      <c r="G10659" s="16" t="str">
        <f>HYPERLINK("http://maps.google.com/maps?f=q&amp;hl=en&amp;geocode=&amp;q=39.9402892742015,-75.1729862936163")</f>
        <v>http://maps.google.com/maps?f=q&amp;hl=en&amp;geocode=&amp;q=39.9402892742015,-75.1729862936163</v>
      </c>
    </row>
    <row r="10660" spans="1:7" ht="15" x14ac:dyDescent="0.3">
      <c r="A10660">
        <v>39.972329999999999</v>
      </c>
      <c r="B10660">
        <v>-75.253510000000006</v>
      </c>
      <c r="C10660" t="s">
        <v>41</v>
      </c>
      <c r="D10660" t="s">
        <v>116</v>
      </c>
      <c r="F10660" s="21"/>
      <c r="G10660" s="16" t="str">
        <f>HYPERLINK("http://maps.google.com/maps?f=q&amp;hl=en&amp;geocode=&amp;q=39.97233,-75.25351")</f>
        <v>http://maps.google.com/maps?f=q&amp;hl=en&amp;geocode=&amp;q=39.97233,-75.25351</v>
      </c>
    </row>
    <row r="10661" spans="1:7" ht="15" x14ac:dyDescent="0.3">
      <c r="A10661">
        <v>39.972329999999999</v>
      </c>
      <c r="B10661">
        <v>-75.253510000000006</v>
      </c>
      <c r="C10661" t="s">
        <v>41</v>
      </c>
      <c r="D10661" t="s">
        <v>116</v>
      </c>
      <c r="F10661" s="21"/>
      <c r="G10661" s="16" t="str">
        <f>HYPERLINK("http://maps.google.com/maps?f=q&amp;hl=en&amp;geocode=&amp;q=39.97233,-75.25351")</f>
        <v>http://maps.google.com/maps?f=q&amp;hl=en&amp;geocode=&amp;q=39.97233,-75.25351</v>
      </c>
    </row>
    <row r="10662" spans="1:7" ht="15" x14ac:dyDescent="0.3">
      <c r="A10662">
        <v>-33.138832092285199</v>
      </c>
      <c r="B10662">
        <v>137.29994201660199</v>
      </c>
      <c r="C10662" t="s">
        <v>41</v>
      </c>
      <c r="D10662" t="s">
        <v>293</v>
      </c>
      <c r="F10662" s="21"/>
      <c r="G10662" s="16" t="str">
        <f>HYPERLINK("http://maps.google.com/maps?f=q&amp;hl=en&amp;geocode=&amp;q=-33.1388320922852,137.299942016602")</f>
        <v>http://maps.google.com/maps?f=q&amp;hl=en&amp;geocode=&amp;q=-33.1388320922852,137.299942016602</v>
      </c>
    </row>
    <row r="10663" spans="1:7" ht="15" x14ac:dyDescent="0.3">
      <c r="A10663">
        <v>32.717151641845703</v>
      </c>
      <c r="B10663">
        <v>-100.917762756348</v>
      </c>
      <c r="C10663" t="s">
        <v>43</v>
      </c>
      <c r="D10663" t="s">
        <v>6039</v>
      </c>
      <c r="F10663" s="21"/>
      <c r="G10663" s="16" t="str">
        <f>HYPERLINK("http://maps.google.com/maps?f=q&amp;hl=en&amp;geocode=&amp;q=32.7171516418457,-100.917762756348")</f>
        <v>http://maps.google.com/maps?f=q&amp;hl=en&amp;geocode=&amp;q=32.7171516418457,-100.917762756348</v>
      </c>
    </row>
    <row r="10664" spans="1:7" ht="15" x14ac:dyDescent="0.3">
      <c r="A10664">
        <v>32.642203514985603</v>
      </c>
      <c r="B10664">
        <v>-97.030505738964806</v>
      </c>
      <c r="C10664" t="s">
        <v>41</v>
      </c>
      <c r="D10664" t="s">
        <v>6040</v>
      </c>
      <c r="F10664" s="21"/>
      <c r="G10664" s="16" t="str">
        <f>HYPERLINK("http://maps.google.com/maps?f=q&amp;hl=en&amp;geocode=&amp;q=32.6422035149856,-97.0305057389648")</f>
        <v>http://maps.google.com/maps?f=q&amp;hl=en&amp;geocode=&amp;q=32.6422035149856,-97.0305057389648</v>
      </c>
    </row>
    <row r="10665" spans="1:7" ht="15" x14ac:dyDescent="0.3">
      <c r="A10665">
        <v>43.762551480203697</v>
      </c>
      <c r="B10665">
        <v>-87.726511412615906</v>
      </c>
      <c r="C10665" t="s">
        <v>41</v>
      </c>
      <c r="D10665" t="s">
        <v>3366</v>
      </c>
      <c r="F10665" s="21"/>
      <c r="G10665" s="16" t="str">
        <f>HYPERLINK("http://maps.google.com/maps?f=q&amp;hl=en&amp;geocode=&amp;q=43.7625514802037,-87.7265114126159")</f>
        <v>http://maps.google.com/maps?f=q&amp;hl=en&amp;geocode=&amp;q=43.7625514802037,-87.7265114126159</v>
      </c>
    </row>
    <row r="10666" spans="1:7" ht="15" x14ac:dyDescent="0.3">
      <c r="A10666">
        <v>43.762551480203697</v>
      </c>
      <c r="B10666">
        <v>-87.726511412615906</v>
      </c>
      <c r="C10666" t="s">
        <v>41</v>
      </c>
      <c r="D10666" t="s">
        <v>3366</v>
      </c>
      <c r="F10666" s="21"/>
      <c r="G10666" s="16" t="str">
        <f>HYPERLINK("http://maps.google.com/maps?f=q&amp;hl=en&amp;geocode=&amp;q=43.7625514802037,-87.7265114126159")</f>
        <v>http://maps.google.com/maps?f=q&amp;hl=en&amp;geocode=&amp;q=43.7625514802037,-87.7265114126159</v>
      </c>
    </row>
    <row r="10667" spans="1:7" ht="15" x14ac:dyDescent="0.3">
      <c r="A10667">
        <v>40.416370391845703</v>
      </c>
      <c r="B10667">
        <v>-75.926040649414105</v>
      </c>
      <c r="C10667" t="s">
        <v>43</v>
      </c>
      <c r="D10667" t="s">
        <v>6041</v>
      </c>
      <c r="F10667" s="21"/>
      <c r="G10667" s="16" t="str">
        <f>HYPERLINK("http://maps.google.com/maps?f=q&amp;hl=en&amp;geocode=&amp;q=40.4163703918457,-75.9260406494141")</f>
        <v>http://maps.google.com/maps?f=q&amp;hl=en&amp;geocode=&amp;q=40.4163703918457,-75.9260406494141</v>
      </c>
    </row>
    <row r="10668" spans="1:7" ht="15" x14ac:dyDescent="0.3">
      <c r="A10668">
        <v>37.128490892242397</v>
      </c>
      <c r="B10668">
        <v>-80.508349080681796</v>
      </c>
      <c r="C10668" t="s">
        <v>41</v>
      </c>
      <c r="D10668" t="s">
        <v>6042</v>
      </c>
      <c r="F10668" s="21"/>
      <c r="G10668" s="16" t="str">
        <f>HYPERLINK("http://maps.google.com/maps?f=q&amp;hl=en&amp;geocode=&amp;q=37.1284908922424,-80.5083490806818")</f>
        <v>http://maps.google.com/maps?f=q&amp;hl=en&amp;geocode=&amp;q=37.1284908922424,-80.5083490806818</v>
      </c>
    </row>
    <row r="10669" spans="1:7" ht="15" x14ac:dyDescent="0.3">
      <c r="A10669">
        <v>39.962699999999998</v>
      </c>
      <c r="B10669">
        <v>-75.209950000000006</v>
      </c>
      <c r="C10669" t="s">
        <v>41</v>
      </c>
      <c r="D10669" t="s">
        <v>4130</v>
      </c>
      <c r="F10669" s="21"/>
      <c r="G10669" s="16" t="str">
        <f>HYPERLINK("http://maps.google.com/maps?f=q&amp;hl=en&amp;geocode=&amp;q=39.9627,-75.20995")</f>
        <v>http://maps.google.com/maps?f=q&amp;hl=en&amp;geocode=&amp;q=39.9627,-75.20995</v>
      </c>
    </row>
    <row r="10670" spans="1:7" ht="15" x14ac:dyDescent="0.3">
      <c r="A10670">
        <v>42.518482279603298</v>
      </c>
      <c r="B10670">
        <v>-91.865125352143096</v>
      </c>
      <c r="C10670" t="s">
        <v>41</v>
      </c>
      <c r="D10670" t="s">
        <v>6043</v>
      </c>
      <c r="F10670" s="21"/>
      <c r="G10670" s="16" t="str">
        <f>HYPERLINK("http://maps.google.com/maps?f=q&amp;hl=en&amp;geocode=&amp;q=42.5184822796033,-91.8651253521431")</f>
        <v>http://maps.google.com/maps?f=q&amp;hl=en&amp;geocode=&amp;q=42.5184822796033,-91.8651253521431</v>
      </c>
    </row>
    <row r="10671" spans="1:7" ht="15" x14ac:dyDescent="0.3">
      <c r="A10671">
        <v>40.112369999999999</v>
      </c>
      <c r="B10671">
        <v>-75.025739999999999</v>
      </c>
      <c r="C10671" t="s">
        <v>41</v>
      </c>
      <c r="D10671" t="s">
        <v>3953</v>
      </c>
      <c r="F10671" s="21"/>
      <c r="G10671" s="16" t="str">
        <f>HYPERLINK("http://maps.google.com/maps?f=q&amp;hl=en&amp;geocode=&amp;q=40.11237,-75.02574")</f>
        <v>http://maps.google.com/maps?f=q&amp;hl=en&amp;geocode=&amp;q=40.11237,-75.02574</v>
      </c>
    </row>
    <row r="10672" spans="1:7" ht="15" x14ac:dyDescent="0.3">
      <c r="A10672">
        <v>48.672306060791001</v>
      </c>
      <c r="B10672">
        <v>7.5540661811828604</v>
      </c>
      <c r="C10672" t="s">
        <v>43</v>
      </c>
      <c r="D10672" t="s">
        <v>5375</v>
      </c>
      <c r="F10672" s="21"/>
      <c r="G10672" s="16" t="str">
        <f>HYPERLINK("http://maps.google.com/maps?f=q&amp;hl=en&amp;geocode=&amp;q=48.672306060791,7.55406618118286")</f>
        <v>http://maps.google.com/maps?f=q&amp;hl=en&amp;geocode=&amp;q=48.672306060791,7.55406618118286</v>
      </c>
    </row>
    <row r="10673" spans="1:7" ht="15" x14ac:dyDescent="0.3">
      <c r="A10673">
        <v>48.672306060791001</v>
      </c>
      <c r="B10673">
        <v>7.5540661811828604</v>
      </c>
      <c r="C10673" t="s">
        <v>43</v>
      </c>
      <c r="D10673" t="s">
        <v>5375</v>
      </c>
      <c r="F10673" s="21"/>
      <c r="G10673" s="16" t="str">
        <f>HYPERLINK("http://maps.google.com/maps?f=q&amp;hl=en&amp;geocode=&amp;q=48.672306060791,7.55406618118286")</f>
        <v>http://maps.google.com/maps?f=q&amp;hl=en&amp;geocode=&amp;q=48.672306060791,7.55406618118286</v>
      </c>
    </row>
    <row r="10674" spans="1:7" ht="15" x14ac:dyDescent="0.3">
      <c r="A10674" t="s">
        <v>44</v>
      </c>
      <c r="B10674" t="s">
        <v>44</v>
      </c>
      <c r="C10674" t="s">
        <v>44</v>
      </c>
      <c r="D10674" t="s">
        <v>4438</v>
      </c>
      <c r="F10674" s="21"/>
      <c r="G10674" s="16"/>
    </row>
    <row r="10675" spans="1:7" ht="15" x14ac:dyDescent="0.3">
      <c r="A10675">
        <v>48.672306060791001</v>
      </c>
      <c r="B10675">
        <v>7.5540661811828604</v>
      </c>
      <c r="C10675" t="s">
        <v>43</v>
      </c>
      <c r="D10675" t="s">
        <v>5375</v>
      </c>
      <c r="F10675" s="21"/>
      <c r="G10675" s="16" t="str">
        <f>HYPERLINK("http://maps.google.com/maps?f=q&amp;hl=en&amp;geocode=&amp;q=48.672306060791,7.55406618118286")</f>
        <v>http://maps.google.com/maps?f=q&amp;hl=en&amp;geocode=&amp;q=48.672306060791,7.55406618118286</v>
      </c>
    </row>
    <row r="10676" spans="1:7" ht="15" x14ac:dyDescent="0.3">
      <c r="A10676">
        <v>41.197681427002003</v>
      </c>
      <c r="B10676">
        <v>-103.714958190918</v>
      </c>
      <c r="C10676" t="s">
        <v>43</v>
      </c>
      <c r="D10676" t="s">
        <v>6044</v>
      </c>
      <c r="F10676" s="21"/>
      <c r="G10676" s="16" t="str">
        <f>HYPERLINK("http://maps.google.com/maps?f=q&amp;hl=en&amp;geocode=&amp;q=41.197681427002,-103.714958190918")</f>
        <v>http://maps.google.com/maps?f=q&amp;hl=en&amp;geocode=&amp;q=41.197681427002,-103.714958190918</v>
      </c>
    </row>
    <row r="10677" spans="1:7" ht="15" x14ac:dyDescent="0.3">
      <c r="A10677" t="s">
        <v>44</v>
      </c>
      <c r="B10677" t="s">
        <v>44</v>
      </c>
      <c r="C10677" t="s">
        <v>44</v>
      </c>
      <c r="D10677" t="s">
        <v>6045</v>
      </c>
      <c r="F10677" s="21"/>
      <c r="G10677" s="16"/>
    </row>
    <row r="10678" spans="1:7" ht="15" x14ac:dyDescent="0.3">
      <c r="A10678">
        <v>48.672306060791001</v>
      </c>
      <c r="B10678">
        <v>7.5540661811828604</v>
      </c>
      <c r="C10678" t="s">
        <v>43</v>
      </c>
      <c r="D10678" t="s">
        <v>5325</v>
      </c>
      <c r="F10678" s="21"/>
      <c r="G10678" s="16" t="str">
        <f>HYPERLINK("http://maps.google.com/maps?f=q&amp;hl=en&amp;geocode=&amp;q=48.672306060791,7.55406618118286")</f>
        <v>http://maps.google.com/maps?f=q&amp;hl=en&amp;geocode=&amp;q=48.672306060791,7.55406618118286</v>
      </c>
    </row>
    <row r="10679" spans="1:7" ht="15" x14ac:dyDescent="0.3">
      <c r="A10679">
        <v>39.939920000000001</v>
      </c>
      <c r="B10679">
        <v>-75.172039999999996</v>
      </c>
      <c r="C10679" t="s">
        <v>41</v>
      </c>
      <c r="D10679" t="s">
        <v>2587</v>
      </c>
      <c r="F10679" s="21"/>
      <c r="G10679" s="16" t="str">
        <f>HYPERLINK("http://maps.google.com/maps?f=q&amp;hl=en&amp;geocode=&amp;q=39.93992,-75.17204")</f>
        <v>http://maps.google.com/maps?f=q&amp;hl=en&amp;geocode=&amp;q=39.93992,-75.17204</v>
      </c>
    </row>
    <row r="10680" spans="1:7" ht="15" x14ac:dyDescent="0.3">
      <c r="A10680">
        <v>39.940150000000003</v>
      </c>
      <c r="B10680">
        <v>-75.172290000000004</v>
      </c>
      <c r="C10680" t="s">
        <v>41</v>
      </c>
      <c r="D10680" t="s">
        <v>3821</v>
      </c>
      <c r="F10680" s="21"/>
      <c r="G10680" s="16" t="str">
        <f>HYPERLINK("http://maps.google.com/maps?f=q&amp;hl=en&amp;geocode=&amp;q=39.94015,-75.17229")</f>
        <v>http://maps.google.com/maps?f=q&amp;hl=en&amp;geocode=&amp;q=39.94015,-75.17229</v>
      </c>
    </row>
    <row r="10681" spans="1:7" ht="15" x14ac:dyDescent="0.3">
      <c r="A10681">
        <v>45.1521507395477</v>
      </c>
      <c r="B10681">
        <v>-93.884878573735506</v>
      </c>
      <c r="C10681" t="s">
        <v>41</v>
      </c>
      <c r="D10681" t="s">
        <v>6046</v>
      </c>
      <c r="F10681" s="21"/>
      <c r="G10681" s="16" t="str">
        <f>HYPERLINK("http://maps.google.com/maps?f=q&amp;hl=en&amp;geocode=&amp;q=45.1521507395477,-93.8848785737355")</f>
        <v>http://maps.google.com/maps?f=q&amp;hl=en&amp;geocode=&amp;q=45.1521507395477,-93.8848785737355</v>
      </c>
    </row>
    <row r="10682" spans="1:7" ht="15" x14ac:dyDescent="0.3">
      <c r="A10682">
        <v>35.780697571294397</v>
      </c>
      <c r="B10682">
        <v>-81.763800742903001</v>
      </c>
      <c r="C10682" t="s">
        <v>41</v>
      </c>
      <c r="D10682" t="s">
        <v>4777</v>
      </c>
      <c r="F10682" s="21"/>
      <c r="G10682" s="16" t="str">
        <f>HYPERLINK("http://maps.google.com/maps?f=q&amp;hl=en&amp;geocode=&amp;q=35.7806975712944,-81.763800742903")</f>
        <v>http://maps.google.com/maps?f=q&amp;hl=en&amp;geocode=&amp;q=35.7806975712944,-81.763800742903</v>
      </c>
    </row>
    <row r="10683" spans="1:7" ht="15" x14ac:dyDescent="0.3">
      <c r="A10683">
        <v>32.3534850425808</v>
      </c>
      <c r="B10683">
        <v>-110.950222755113</v>
      </c>
      <c r="C10683" t="s">
        <v>41</v>
      </c>
      <c r="D10683" t="s">
        <v>6047</v>
      </c>
      <c r="F10683" s="21"/>
      <c r="G10683" s="16" t="str">
        <f>HYPERLINK("http://maps.google.com/maps?f=q&amp;hl=en&amp;geocode=&amp;q=32.3534850425808,-110.950222755113")</f>
        <v>http://maps.google.com/maps?f=q&amp;hl=en&amp;geocode=&amp;q=32.3534850425808,-110.950222755113</v>
      </c>
    </row>
    <row r="10684" spans="1:7" ht="15" x14ac:dyDescent="0.3">
      <c r="A10684">
        <v>32.3534850425808</v>
      </c>
      <c r="B10684">
        <v>-110.950222755113</v>
      </c>
      <c r="C10684" t="s">
        <v>41</v>
      </c>
      <c r="D10684" t="s">
        <v>6047</v>
      </c>
      <c r="F10684" s="21"/>
      <c r="G10684" s="16" t="str">
        <f>HYPERLINK("http://maps.google.com/maps?f=q&amp;hl=en&amp;geocode=&amp;q=32.3534850425808,-110.950222755113")</f>
        <v>http://maps.google.com/maps?f=q&amp;hl=en&amp;geocode=&amp;q=32.3534850425808,-110.950222755113</v>
      </c>
    </row>
    <row r="10685" spans="1:7" ht="15" x14ac:dyDescent="0.3">
      <c r="A10685">
        <v>35.780697571294397</v>
      </c>
      <c r="B10685">
        <v>-81.763800742903001</v>
      </c>
      <c r="C10685" t="s">
        <v>41</v>
      </c>
      <c r="D10685" t="s">
        <v>4777</v>
      </c>
      <c r="F10685" s="21"/>
      <c r="G10685" s="16" t="str">
        <f>HYPERLINK("http://maps.google.com/maps?f=q&amp;hl=en&amp;geocode=&amp;q=35.7806975712944,-81.763800742903")</f>
        <v>http://maps.google.com/maps?f=q&amp;hl=en&amp;geocode=&amp;q=35.7806975712944,-81.763800742903</v>
      </c>
    </row>
    <row r="10686" spans="1:7" ht="15" x14ac:dyDescent="0.3">
      <c r="A10686">
        <v>35.780697571294397</v>
      </c>
      <c r="B10686">
        <v>-81.763800742903001</v>
      </c>
      <c r="C10686" t="s">
        <v>41</v>
      </c>
      <c r="D10686" t="s">
        <v>4777</v>
      </c>
      <c r="F10686" s="21"/>
      <c r="G10686" s="16" t="str">
        <f>HYPERLINK("http://maps.google.com/maps?f=q&amp;hl=en&amp;geocode=&amp;q=35.7806975712944,-81.763800742903")</f>
        <v>http://maps.google.com/maps?f=q&amp;hl=en&amp;geocode=&amp;q=35.7806975712944,-81.763800742903</v>
      </c>
    </row>
    <row r="10687" spans="1:7" ht="15" x14ac:dyDescent="0.3">
      <c r="A10687">
        <v>40.035670000000003</v>
      </c>
      <c r="B10687">
        <v>-75.185040000000001</v>
      </c>
      <c r="C10687" t="s">
        <v>41</v>
      </c>
      <c r="D10687" t="s">
        <v>5533</v>
      </c>
      <c r="F10687" s="21"/>
      <c r="G10687" s="16" t="str">
        <f>HYPERLINK("http://maps.google.com/maps?f=q&amp;hl=en&amp;geocode=&amp;q=40.03567,-75.18504")</f>
        <v>http://maps.google.com/maps?f=q&amp;hl=en&amp;geocode=&amp;q=40.03567,-75.18504</v>
      </c>
    </row>
    <row r="10688" spans="1:7" ht="15" x14ac:dyDescent="0.3">
      <c r="A10688">
        <v>35.780697571294397</v>
      </c>
      <c r="B10688">
        <v>-81.763800742903001</v>
      </c>
      <c r="C10688" t="s">
        <v>41</v>
      </c>
      <c r="D10688" t="s">
        <v>4777</v>
      </c>
      <c r="F10688" s="21"/>
      <c r="G10688" s="16" t="str">
        <f>HYPERLINK("http://maps.google.com/maps?f=q&amp;hl=en&amp;geocode=&amp;q=35.7806975712944,-81.763800742903")</f>
        <v>http://maps.google.com/maps?f=q&amp;hl=en&amp;geocode=&amp;q=35.7806975712944,-81.763800742903</v>
      </c>
    </row>
    <row r="10689" spans="1:7" ht="15" x14ac:dyDescent="0.3">
      <c r="A10689">
        <v>37.834242325952196</v>
      </c>
      <c r="B10689">
        <v>-85.457385377727704</v>
      </c>
      <c r="C10689" t="s">
        <v>43</v>
      </c>
      <c r="D10689" t="s">
        <v>6048</v>
      </c>
      <c r="F10689" s="21"/>
      <c r="G10689" s="16" t="str">
        <f>HYPERLINK("http://maps.google.com/maps?f=q&amp;hl=en&amp;geocode=&amp;q=37.8342423259522,-85.4573853777277")</f>
        <v>http://maps.google.com/maps?f=q&amp;hl=en&amp;geocode=&amp;q=37.8342423259522,-85.4573853777277</v>
      </c>
    </row>
    <row r="10690" spans="1:7" ht="15" x14ac:dyDescent="0.3">
      <c r="A10690">
        <v>38.205227146380302</v>
      </c>
      <c r="B10690">
        <v>-97.520512776783093</v>
      </c>
      <c r="C10690" t="s">
        <v>41</v>
      </c>
      <c r="D10690" t="s">
        <v>1744</v>
      </c>
      <c r="F10690" s="21"/>
      <c r="G10690" s="16" t="str">
        <f>HYPERLINK("http://maps.google.com/maps?f=q&amp;hl=en&amp;geocode=&amp;q=38.2052271463803,-97.5205127767831")</f>
        <v>http://maps.google.com/maps?f=q&amp;hl=en&amp;geocode=&amp;q=38.2052271463803,-97.5205127767831</v>
      </c>
    </row>
    <row r="10691" spans="1:7" ht="15" x14ac:dyDescent="0.3">
      <c r="A10691">
        <v>42.999576568603501</v>
      </c>
      <c r="B10691">
        <v>-107.551513671875</v>
      </c>
      <c r="C10691" t="s">
        <v>41</v>
      </c>
      <c r="D10691" t="s">
        <v>6049</v>
      </c>
      <c r="F10691" s="21"/>
      <c r="G10691" s="16" t="str">
        <f>HYPERLINK("http://maps.google.com/maps?f=q&amp;hl=en&amp;geocode=&amp;q=42.9995765686035,-107.551513671875")</f>
        <v>http://maps.google.com/maps?f=q&amp;hl=en&amp;geocode=&amp;q=42.9995765686035,-107.551513671875</v>
      </c>
    </row>
    <row r="10692" spans="1:7" ht="15" x14ac:dyDescent="0.3">
      <c r="A10692">
        <v>48.672306060791001</v>
      </c>
      <c r="B10692">
        <v>7.5540661811828604</v>
      </c>
      <c r="C10692" t="s">
        <v>43</v>
      </c>
      <c r="D10692" t="s">
        <v>5375</v>
      </c>
      <c r="F10692" s="21"/>
      <c r="G10692" s="16" t="str">
        <f>HYPERLINK("http://maps.google.com/maps?f=q&amp;hl=en&amp;geocode=&amp;q=48.672306060791,7.55406618118286")</f>
        <v>http://maps.google.com/maps?f=q&amp;hl=en&amp;geocode=&amp;q=48.672306060791,7.55406618118286</v>
      </c>
    </row>
    <row r="10693" spans="1:7" ht="15" x14ac:dyDescent="0.3">
      <c r="A10693" t="s">
        <v>44</v>
      </c>
      <c r="B10693" t="s">
        <v>44</v>
      </c>
      <c r="C10693" t="s">
        <v>44</v>
      </c>
      <c r="D10693" t="s">
        <v>6050</v>
      </c>
      <c r="F10693" s="21"/>
      <c r="G10693" s="16"/>
    </row>
    <row r="10694" spans="1:7" ht="15" x14ac:dyDescent="0.3">
      <c r="A10694">
        <v>41.612402688333198</v>
      </c>
      <c r="B10694">
        <v>-111.842345745559</v>
      </c>
      <c r="C10694" t="s">
        <v>41</v>
      </c>
      <c r="D10694" t="s">
        <v>6051</v>
      </c>
      <c r="F10694" s="21"/>
      <c r="G10694" s="16" t="str">
        <f>HYPERLINK("http://maps.google.com/maps?f=q&amp;hl=en&amp;geocode=&amp;q=41.6124026883332,-111.842345745559")</f>
        <v>http://maps.google.com/maps?f=q&amp;hl=en&amp;geocode=&amp;q=41.6124026883332,-111.842345745559</v>
      </c>
    </row>
    <row r="10695" spans="1:7" ht="15" x14ac:dyDescent="0.3">
      <c r="A10695">
        <v>40.309514546735599</v>
      </c>
      <c r="B10695">
        <v>-78.319297469868403</v>
      </c>
      <c r="C10695" t="s">
        <v>41</v>
      </c>
      <c r="D10695" t="s">
        <v>2197</v>
      </c>
      <c r="F10695" s="21"/>
      <c r="G10695" s="16" t="str">
        <f>HYPERLINK("http://maps.google.com/maps?f=q&amp;hl=en&amp;geocode=&amp;q=40.3095145467356,-78.3192974698684")</f>
        <v>http://maps.google.com/maps?f=q&amp;hl=en&amp;geocode=&amp;q=40.3095145467356,-78.3192974698684</v>
      </c>
    </row>
    <row r="10696" spans="1:7" ht="15" x14ac:dyDescent="0.3">
      <c r="A10696">
        <v>39.996630000000003</v>
      </c>
      <c r="B10696">
        <v>-75.116540000000001</v>
      </c>
      <c r="C10696" t="s">
        <v>41</v>
      </c>
      <c r="D10696" t="s">
        <v>2578</v>
      </c>
      <c r="F10696" s="21"/>
      <c r="G10696" s="16" t="str">
        <f>HYPERLINK("http://maps.google.com/maps?f=q&amp;hl=en&amp;geocode=&amp;q=39.99663,-75.11654")</f>
        <v>http://maps.google.com/maps?f=q&amp;hl=en&amp;geocode=&amp;q=39.99663,-75.11654</v>
      </c>
    </row>
    <row r="10697" spans="1:7" ht="15" x14ac:dyDescent="0.3">
      <c r="A10697">
        <v>39.684371948242202</v>
      </c>
      <c r="B10697">
        <v>21.8974094390869</v>
      </c>
      <c r="C10697" t="s">
        <v>41</v>
      </c>
      <c r="D10697" t="s">
        <v>94</v>
      </c>
      <c r="F10697" s="21"/>
      <c r="G10697" s="16" t="str">
        <f>HYPERLINK("http://maps.google.com/maps?f=q&amp;hl=en&amp;geocode=&amp;q=39.6843719482422,21.8974094390869")</f>
        <v>http://maps.google.com/maps?f=q&amp;hl=en&amp;geocode=&amp;q=39.6843719482422,21.8974094390869</v>
      </c>
    </row>
    <row r="10698" spans="1:7" ht="15" x14ac:dyDescent="0.3">
      <c r="A10698">
        <v>41.419338226318402</v>
      </c>
      <c r="B10698">
        <v>-75.072662353515597</v>
      </c>
      <c r="C10698" t="s">
        <v>41</v>
      </c>
      <c r="D10698" t="s">
        <v>3911</v>
      </c>
      <c r="F10698" s="21"/>
      <c r="G10698" s="16" t="str">
        <f>HYPERLINK("http://maps.google.com/maps?f=q&amp;hl=en&amp;geocode=&amp;q=41.4193382263184,-75.0726623535156")</f>
        <v>http://maps.google.com/maps?f=q&amp;hl=en&amp;geocode=&amp;q=41.4193382263184,-75.0726623535156</v>
      </c>
    </row>
    <row r="10699" spans="1:7" ht="15" x14ac:dyDescent="0.3">
      <c r="A10699">
        <v>-32.7033500671387</v>
      </c>
      <c r="B10699">
        <v>137.70617675781301</v>
      </c>
      <c r="C10699" t="s">
        <v>41</v>
      </c>
      <c r="D10699" t="s">
        <v>6052</v>
      </c>
      <c r="F10699" s="21"/>
      <c r="G10699" s="16" t="str">
        <f>HYPERLINK("http://maps.google.com/maps?f=q&amp;hl=en&amp;geocode=&amp;q=-32.7033500671387,137.706176757813")</f>
        <v>http://maps.google.com/maps?f=q&amp;hl=en&amp;geocode=&amp;q=-32.7033500671387,137.706176757813</v>
      </c>
    </row>
    <row r="10700" spans="1:7" ht="15" x14ac:dyDescent="0.3">
      <c r="A10700">
        <v>34.621390362148098</v>
      </c>
      <c r="B10700">
        <v>-82.1260451203066</v>
      </c>
      <c r="C10700" t="s">
        <v>43</v>
      </c>
      <c r="D10700" t="s">
        <v>4259</v>
      </c>
      <c r="F10700" s="21"/>
      <c r="G10700" s="16" t="str">
        <f>HYPERLINK("http://maps.google.com/maps?f=q&amp;hl=en&amp;geocode=&amp;q=34.6213903621481,-82.1260451203066")</f>
        <v>http://maps.google.com/maps?f=q&amp;hl=en&amp;geocode=&amp;q=34.6213903621481,-82.1260451203066</v>
      </c>
    </row>
    <row r="10701" spans="1:7" ht="15" x14ac:dyDescent="0.3">
      <c r="A10701">
        <v>34.621390362148098</v>
      </c>
      <c r="B10701">
        <v>-82.1260451203066</v>
      </c>
      <c r="C10701" t="s">
        <v>43</v>
      </c>
      <c r="D10701" t="s">
        <v>4259</v>
      </c>
      <c r="F10701" s="21"/>
      <c r="G10701" s="16" t="str">
        <f>HYPERLINK("http://maps.google.com/maps?f=q&amp;hl=en&amp;geocode=&amp;q=34.6213903621481,-82.1260451203066")</f>
        <v>http://maps.google.com/maps?f=q&amp;hl=en&amp;geocode=&amp;q=34.6213903621481,-82.1260451203066</v>
      </c>
    </row>
    <row r="10702" spans="1:7" ht="15" x14ac:dyDescent="0.3">
      <c r="A10702">
        <v>48.672306060791001</v>
      </c>
      <c r="B10702">
        <v>7.5540661811828604</v>
      </c>
      <c r="C10702" t="s">
        <v>43</v>
      </c>
      <c r="D10702" t="s">
        <v>5375</v>
      </c>
      <c r="F10702" s="21"/>
      <c r="G10702" s="16" t="str">
        <f>HYPERLINK("http://maps.google.com/maps?f=q&amp;hl=en&amp;geocode=&amp;q=48.672306060791,7.55406618118286")</f>
        <v>http://maps.google.com/maps?f=q&amp;hl=en&amp;geocode=&amp;q=48.672306060791,7.55406618118286</v>
      </c>
    </row>
    <row r="10703" spans="1:7" ht="15" x14ac:dyDescent="0.3">
      <c r="A10703" t="s">
        <v>44</v>
      </c>
      <c r="B10703" t="s">
        <v>44</v>
      </c>
      <c r="C10703" t="s">
        <v>44</v>
      </c>
      <c r="D10703" t="s">
        <v>4438</v>
      </c>
      <c r="F10703" s="21"/>
      <c r="G10703" s="16"/>
    </row>
    <row r="10704" spans="1:7" ht="15" x14ac:dyDescent="0.3">
      <c r="A10704">
        <v>48.672306060791001</v>
      </c>
      <c r="B10704">
        <v>7.5540661811828604</v>
      </c>
      <c r="C10704" t="s">
        <v>43</v>
      </c>
      <c r="D10704" t="s">
        <v>5325</v>
      </c>
      <c r="F10704" s="21"/>
      <c r="G10704" s="16" t="str">
        <f>HYPERLINK("http://maps.google.com/maps?f=q&amp;hl=en&amp;geocode=&amp;q=48.672306060791,7.55406618118286")</f>
        <v>http://maps.google.com/maps?f=q&amp;hl=en&amp;geocode=&amp;q=48.672306060791,7.55406618118286</v>
      </c>
    </row>
    <row r="10705" spans="1:7" ht="15" x14ac:dyDescent="0.3">
      <c r="A10705">
        <v>48.672306060791001</v>
      </c>
      <c r="B10705">
        <v>7.5540661811828604</v>
      </c>
      <c r="C10705" t="s">
        <v>43</v>
      </c>
      <c r="D10705" t="s">
        <v>5375</v>
      </c>
      <c r="F10705" s="21"/>
      <c r="G10705" s="16" t="str">
        <f>HYPERLINK("http://maps.google.com/maps?f=q&amp;hl=en&amp;geocode=&amp;q=48.672306060791,7.55406618118286")</f>
        <v>http://maps.google.com/maps?f=q&amp;hl=en&amp;geocode=&amp;q=48.672306060791,7.55406618118286</v>
      </c>
    </row>
    <row r="10706" spans="1:7" ht="15" x14ac:dyDescent="0.3">
      <c r="A10706">
        <v>52.429794311523402</v>
      </c>
      <c r="B10706">
        <v>-1.9258074760437001</v>
      </c>
      <c r="C10706" t="s">
        <v>41</v>
      </c>
      <c r="D10706" t="s">
        <v>6053</v>
      </c>
      <c r="F10706" s="21"/>
      <c r="G10706" s="16" t="str">
        <f>HYPERLINK("http://maps.google.com/maps?f=q&amp;hl=en&amp;geocode=&amp;q=52.4297943115234,-1.9258074760437")</f>
        <v>http://maps.google.com/maps?f=q&amp;hl=en&amp;geocode=&amp;q=52.4297943115234,-1.9258074760437</v>
      </c>
    </row>
    <row r="10707" spans="1:7" ht="15" x14ac:dyDescent="0.3">
      <c r="A10707">
        <v>48.672306060791001</v>
      </c>
      <c r="B10707">
        <v>7.5540661811828604</v>
      </c>
      <c r="C10707" t="s">
        <v>43</v>
      </c>
      <c r="D10707" t="s">
        <v>6054</v>
      </c>
      <c r="F10707" s="21"/>
      <c r="G10707" s="16" t="str">
        <f>HYPERLINK("http://maps.google.com/maps?f=q&amp;hl=en&amp;geocode=&amp;q=48.672306060791,7.55406618118286")</f>
        <v>http://maps.google.com/maps?f=q&amp;hl=en&amp;geocode=&amp;q=48.672306060791,7.55406618118286</v>
      </c>
    </row>
    <row r="10708" spans="1:7" ht="15" x14ac:dyDescent="0.3">
      <c r="A10708">
        <v>44.5414009094238</v>
      </c>
      <c r="B10708">
        <v>-68.424308776855497</v>
      </c>
      <c r="C10708" t="s">
        <v>43</v>
      </c>
      <c r="D10708" t="s">
        <v>4555</v>
      </c>
      <c r="F10708" s="21"/>
      <c r="G10708" s="16" t="str">
        <f>HYPERLINK("http://maps.google.com/maps?f=q&amp;hl=en&amp;geocode=&amp;q=44.5414009094238,-68.4243087768555")</f>
        <v>http://maps.google.com/maps?f=q&amp;hl=en&amp;geocode=&amp;q=44.5414009094238,-68.4243087768555</v>
      </c>
    </row>
    <row r="10709" spans="1:7" ht="15" x14ac:dyDescent="0.3">
      <c r="A10709">
        <v>40.045740000000002</v>
      </c>
      <c r="B10709">
        <v>-75.095939999999999</v>
      </c>
      <c r="C10709" t="s">
        <v>43</v>
      </c>
      <c r="D10709" t="s">
        <v>2596</v>
      </c>
      <c r="F10709" s="21"/>
      <c r="G10709" s="16" t="str">
        <f>HYPERLINK("http://maps.google.com/maps?f=q&amp;hl=en&amp;geocode=&amp;q=40.04574,-75.09594")</f>
        <v>http://maps.google.com/maps?f=q&amp;hl=en&amp;geocode=&amp;q=40.04574,-75.09594</v>
      </c>
    </row>
    <row r="10710" spans="1:7" ht="15" x14ac:dyDescent="0.3">
      <c r="A10710">
        <v>40.045740000000002</v>
      </c>
      <c r="B10710">
        <v>-75.095939999999999</v>
      </c>
      <c r="C10710" t="s">
        <v>43</v>
      </c>
      <c r="D10710" t="s">
        <v>2596</v>
      </c>
      <c r="F10710" s="21"/>
      <c r="G10710" s="16" t="str">
        <f>HYPERLINK("http://maps.google.com/maps?f=q&amp;hl=en&amp;geocode=&amp;q=40.04574,-75.09594")</f>
        <v>http://maps.google.com/maps?f=q&amp;hl=en&amp;geocode=&amp;q=40.04574,-75.09594</v>
      </c>
    </row>
    <row r="10711" spans="1:7" ht="15" x14ac:dyDescent="0.3">
      <c r="A10711">
        <v>54.901432037353501</v>
      </c>
      <c r="B10711">
        <v>10.7508296966553</v>
      </c>
      <c r="C10711" t="s">
        <v>43</v>
      </c>
      <c r="D10711" t="s">
        <v>6055</v>
      </c>
      <c r="F10711" s="21"/>
      <c r="G10711" s="16" t="str">
        <f>HYPERLINK("http://maps.google.com/maps?f=q&amp;hl=en&amp;geocode=&amp;q=54.9014320373535,10.7508296966553")</f>
        <v>http://maps.google.com/maps?f=q&amp;hl=en&amp;geocode=&amp;q=54.9014320373535,10.7508296966553</v>
      </c>
    </row>
    <row r="10712" spans="1:7" ht="15" x14ac:dyDescent="0.3">
      <c r="A10712">
        <v>39.982529999999997</v>
      </c>
      <c r="B10712">
        <v>-75.163600000000002</v>
      </c>
      <c r="C10712" t="s">
        <v>43</v>
      </c>
      <c r="D10712" t="s">
        <v>6056</v>
      </c>
      <c r="F10712" s="21"/>
      <c r="G10712" s="16" t="str">
        <f>HYPERLINK("http://maps.google.com/maps?f=q&amp;hl=en&amp;geocode=&amp;q=39.98253,-75.1636")</f>
        <v>http://maps.google.com/maps?f=q&amp;hl=en&amp;geocode=&amp;q=39.98253,-75.1636</v>
      </c>
    </row>
    <row r="10713" spans="1:7" ht="15" x14ac:dyDescent="0.3">
      <c r="A10713">
        <v>35.113682423625498</v>
      </c>
      <c r="B10713">
        <v>-90.025227416623196</v>
      </c>
      <c r="C10713" t="s">
        <v>41</v>
      </c>
      <c r="D10713" t="s">
        <v>6057</v>
      </c>
      <c r="F10713" s="21"/>
      <c r="G10713" s="16" t="str">
        <f>HYPERLINK("http://maps.google.com/maps?f=q&amp;hl=en&amp;geocode=&amp;q=35.1136824236255,-90.0252274166232")</f>
        <v>http://maps.google.com/maps?f=q&amp;hl=en&amp;geocode=&amp;q=35.1136824236255,-90.0252274166232</v>
      </c>
    </row>
    <row r="10714" spans="1:7" ht="15" x14ac:dyDescent="0.3">
      <c r="A10714">
        <v>35.113682423625498</v>
      </c>
      <c r="B10714">
        <v>-90.025227416623196</v>
      </c>
      <c r="C10714" t="s">
        <v>41</v>
      </c>
      <c r="D10714" t="s">
        <v>6057</v>
      </c>
      <c r="F10714" s="21"/>
      <c r="G10714" s="16" t="str">
        <f>HYPERLINK("http://maps.google.com/maps?f=q&amp;hl=en&amp;geocode=&amp;q=35.1136824236255,-90.0252274166232")</f>
        <v>http://maps.google.com/maps?f=q&amp;hl=en&amp;geocode=&amp;q=35.1136824236255,-90.0252274166232</v>
      </c>
    </row>
    <row r="10715" spans="1:7" ht="15" x14ac:dyDescent="0.3">
      <c r="A10715">
        <v>35.113682423625498</v>
      </c>
      <c r="B10715">
        <v>-90.025227416623196</v>
      </c>
      <c r="C10715" t="s">
        <v>41</v>
      </c>
      <c r="D10715" t="s">
        <v>6057</v>
      </c>
      <c r="F10715" s="21"/>
      <c r="G10715" s="16" t="str">
        <f>HYPERLINK("http://maps.google.com/maps?f=q&amp;hl=en&amp;geocode=&amp;q=35.1136824236255,-90.0252274166232")</f>
        <v>http://maps.google.com/maps?f=q&amp;hl=en&amp;geocode=&amp;q=35.1136824236255,-90.0252274166232</v>
      </c>
    </row>
    <row r="10716" spans="1:7" ht="15" x14ac:dyDescent="0.3">
      <c r="A10716">
        <v>38.688128016380503</v>
      </c>
      <c r="B10716">
        <v>-85.798346927876295</v>
      </c>
      <c r="C10716" t="s">
        <v>42</v>
      </c>
      <c r="D10716" t="s">
        <v>6058</v>
      </c>
      <c r="F10716" s="21"/>
      <c r="G10716" s="16" t="str">
        <f>HYPERLINK("http://maps.google.com/maps?f=q&amp;hl=en&amp;geocode=&amp;q=38.6881280163805,-85.7983469278763")</f>
        <v>http://maps.google.com/maps?f=q&amp;hl=en&amp;geocode=&amp;q=38.6881280163805,-85.7983469278763</v>
      </c>
    </row>
    <row r="10717" spans="1:7" ht="15" x14ac:dyDescent="0.3">
      <c r="A10717">
        <v>48.672306060791001</v>
      </c>
      <c r="B10717">
        <v>7.5540661811828604</v>
      </c>
      <c r="C10717" t="s">
        <v>43</v>
      </c>
      <c r="D10717" t="s">
        <v>5375</v>
      </c>
      <c r="F10717" s="21"/>
      <c r="G10717" s="16" t="str">
        <f>HYPERLINK("http://maps.google.com/maps?f=q&amp;hl=en&amp;geocode=&amp;q=48.672306060791,7.55406618118286")</f>
        <v>http://maps.google.com/maps?f=q&amp;hl=en&amp;geocode=&amp;q=48.672306060791,7.55406618118286</v>
      </c>
    </row>
    <row r="10718" spans="1:7" ht="15" x14ac:dyDescent="0.3">
      <c r="A10718">
        <v>31.507030975630698</v>
      </c>
      <c r="B10718">
        <v>-83.544475541597194</v>
      </c>
      <c r="C10718" t="s">
        <v>41</v>
      </c>
      <c r="D10718" t="s">
        <v>6059</v>
      </c>
      <c r="F10718" s="21"/>
      <c r="G10718" s="16" t="str">
        <f>HYPERLINK("http://maps.google.com/maps?f=q&amp;hl=en&amp;geocode=&amp;q=31.5070309756307,-83.5444755415972")</f>
        <v>http://maps.google.com/maps?f=q&amp;hl=en&amp;geocode=&amp;q=31.5070309756307,-83.5444755415972</v>
      </c>
    </row>
    <row r="10719" spans="1:7" ht="15" x14ac:dyDescent="0.3">
      <c r="A10719">
        <v>41.312533106911602</v>
      </c>
      <c r="B10719">
        <v>-93.062535801376399</v>
      </c>
      <c r="C10719" t="s">
        <v>41</v>
      </c>
      <c r="D10719" t="s">
        <v>6060</v>
      </c>
      <c r="F10719" s="21"/>
      <c r="G10719" s="16" t="str">
        <f>HYPERLINK("http://maps.google.com/maps?f=q&amp;hl=en&amp;geocode=&amp;q=41.3125331069116,-93.0625358013764")</f>
        <v>http://maps.google.com/maps?f=q&amp;hl=en&amp;geocode=&amp;q=41.3125331069116,-93.0625358013764</v>
      </c>
    </row>
    <row r="10720" spans="1:7" ht="15" x14ac:dyDescent="0.3">
      <c r="A10720">
        <v>40.038260000000001</v>
      </c>
      <c r="B10720">
        <v>-75.054289999999995</v>
      </c>
      <c r="C10720" t="s">
        <v>41</v>
      </c>
      <c r="D10720" t="s">
        <v>6061</v>
      </c>
      <c r="F10720" s="21"/>
      <c r="G10720" s="16" t="str">
        <f>HYPERLINK("http://maps.google.com/maps?f=q&amp;hl=en&amp;geocode=&amp;q=40.03826,-75.05429")</f>
        <v>http://maps.google.com/maps?f=q&amp;hl=en&amp;geocode=&amp;q=40.03826,-75.05429</v>
      </c>
    </row>
    <row r="10721" spans="1:7" ht="15" x14ac:dyDescent="0.3">
      <c r="A10721" t="s">
        <v>44</v>
      </c>
      <c r="B10721" t="s">
        <v>44</v>
      </c>
      <c r="C10721" t="s">
        <v>44</v>
      </c>
      <c r="D10721" t="s">
        <v>6062</v>
      </c>
      <c r="F10721" s="21"/>
      <c r="G10721" s="16"/>
    </row>
    <row r="10722" spans="1:7" ht="15" x14ac:dyDescent="0.3">
      <c r="A10722">
        <v>40.018901852138903</v>
      </c>
      <c r="B10722">
        <v>-75.115245230081001</v>
      </c>
      <c r="C10722" t="s">
        <v>41</v>
      </c>
      <c r="D10722" t="s">
        <v>1117</v>
      </c>
      <c r="F10722" s="21"/>
      <c r="G10722" s="16" t="str">
        <f>HYPERLINK("http://maps.google.com/maps?f=q&amp;hl=en&amp;geocode=&amp;q=40.0189018521389,-75.115245230081")</f>
        <v>http://maps.google.com/maps?f=q&amp;hl=en&amp;geocode=&amp;q=40.0189018521389,-75.115245230081</v>
      </c>
    </row>
    <row r="10723" spans="1:7" ht="15" x14ac:dyDescent="0.3">
      <c r="A10723">
        <v>40.018901852138903</v>
      </c>
      <c r="B10723">
        <v>-75.115245230081001</v>
      </c>
      <c r="C10723" t="s">
        <v>41</v>
      </c>
      <c r="D10723" t="s">
        <v>1117</v>
      </c>
      <c r="F10723" s="21"/>
      <c r="G10723" s="16" t="str">
        <f>HYPERLINK("http://maps.google.com/maps?f=q&amp;hl=en&amp;geocode=&amp;q=40.0189018521389,-75.115245230081")</f>
        <v>http://maps.google.com/maps?f=q&amp;hl=en&amp;geocode=&amp;q=40.0189018521389,-75.115245230081</v>
      </c>
    </row>
    <row r="10724" spans="1:7" ht="15" x14ac:dyDescent="0.3">
      <c r="A10724">
        <v>41.556565693957999</v>
      </c>
      <c r="B10724">
        <v>-80.418603663656398</v>
      </c>
      <c r="C10724" t="s">
        <v>41</v>
      </c>
      <c r="D10724" t="s">
        <v>6063</v>
      </c>
      <c r="F10724" s="21"/>
      <c r="G10724" s="16" t="str">
        <f>HYPERLINK("http://maps.google.com/maps?f=q&amp;hl=en&amp;geocode=&amp;q=41.556565693958,-80.4186036636564")</f>
        <v>http://maps.google.com/maps?f=q&amp;hl=en&amp;geocode=&amp;q=41.556565693958,-80.4186036636564</v>
      </c>
    </row>
    <row r="10725" spans="1:7" ht="15" x14ac:dyDescent="0.3">
      <c r="A10725" t="s">
        <v>44</v>
      </c>
      <c r="B10725" t="s">
        <v>44</v>
      </c>
      <c r="C10725" t="s">
        <v>44</v>
      </c>
      <c r="D10725" t="s">
        <v>6064</v>
      </c>
      <c r="F10725" s="21"/>
      <c r="G10725" s="16"/>
    </row>
    <row r="10726" spans="1:7" ht="15" x14ac:dyDescent="0.3">
      <c r="A10726">
        <v>40.0488</v>
      </c>
      <c r="B10726">
        <v>-75.196460000000002</v>
      </c>
      <c r="C10726" t="s">
        <v>41</v>
      </c>
      <c r="D10726" t="s">
        <v>6065</v>
      </c>
      <c r="F10726" s="21"/>
      <c r="G10726" s="16" t="str">
        <f>HYPERLINK("http://maps.google.com/maps?f=q&amp;hl=en&amp;geocode=&amp;q=40.0488,-75.19646")</f>
        <v>http://maps.google.com/maps?f=q&amp;hl=en&amp;geocode=&amp;q=40.0488,-75.19646</v>
      </c>
    </row>
    <row r="10727" spans="1:7" ht="15" x14ac:dyDescent="0.3">
      <c r="A10727">
        <v>39.698020935058601</v>
      </c>
      <c r="B10727">
        <v>-76.063499450683594</v>
      </c>
      <c r="C10727" t="s">
        <v>43</v>
      </c>
      <c r="D10727" t="s">
        <v>6066</v>
      </c>
      <c r="F10727" s="21"/>
      <c r="G10727" s="16" t="str">
        <f>HYPERLINK("http://maps.google.com/maps?f=q&amp;hl=en&amp;geocode=&amp;q=39.6980209350586,-76.0634994506836")</f>
        <v>http://maps.google.com/maps?f=q&amp;hl=en&amp;geocode=&amp;q=39.6980209350586,-76.0634994506836</v>
      </c>
    </row>
    <row r="10728" spans="1:7" ht="15" x14ac:dyDescent="0.3">
      <c r="A10728">
        <v>29.956340789794901</v>
      </c>
      <c r="B10728">
        <v>-90.190109252929702</v>
      </c>
      <c r="C10728" t="s">
        <v>41</v>
      </c>
      <c r="D10728" t="s">
        <v>6067</v>
      </c>
      <c r="F10728" s="21"/>
      <c r="G10728" s="16" t="str">
        <f>HYPERLINK("http://maps.google.com/maps?f=q&amp;hl=en&amp;geocode=&amp;q=29.9563407897949,-90.1901092529297")</f>
        <v>http://maps.google.com/maps?f=q&amp;hl=en&amp;geocode=&amp;q=29.9563407897949,-90.1901092529297</v>
      </c>
    </row>
    <row r="10729" spans="1:7" ht="15" x14ac:dyDescent="0.3">
      <c r="A10729">
        <v>38.611930000000001</v>
      </c>
      <c r="B10729">
        <v>-90.291370000000001</v>
      </c>
      <c r="C10729" t="s">
        <v>41</v>
      </c>
      <c r="D10729" t="s">
        <v>6068</v>
      </c>
      <c r="F10729" s="21"/>
      <c r="G10729" s="16" t="str">
        <f>HYPERLINK("http://maps.google.com/maps?f=q&amp;hl=en&amp;geocode=&amp;q=38.61193,-90.29137")</f>
        <v>http://maps.google.com/maps?f=q&amp;hl=en&amp;geocode=&amp;q=38.61193,-90.29137</v>
      </c>
    </row>
    <row r="10730" spans="1:7" ht="15" x14ac:dyDescent="0.3">
      <c r="A10730">
        <v>40.037979125976598</v>
      </c>
      <c r="B10730">
        <v>-75.223060607910199</v>
      </c>
      <c r="C10730" t="s">
        <v>41</v>
      </c>
      <c r="D10730" t="s">
        <v>2505</v>
      </c>
      <c r="F10730" s="21"/>
      <c r="G10730" s="16" t="str">
        <f>HYPERLINK("http://maps.google.com/maps?f=q&amp;hl=en&amp;geocode=&amp;q=40.0379791259766,-75.2230606079102")</f>
        <v>http://maps.google.com/maps?f=q&amp;hl=en&amp;geocode=&amp;q=40.0379791259766,-75.2230606079102</v>
      </c>
    </row>
    <row r="10731" spans="1:7" ht="15" x14ac:dyDescent="0.3">
      <c r="A10731">
        <v>40.049819999999997</v>
      </c>
      <c r="B10731">
        <v>-75.095699999999994</v>
      </c>
      <c r="C10731" t="s">
        <v>43</v>
      </c>
      <c r="D10731" t="s">
        <v>2496</v>
      </c>
      <c r="F10731" s="21"/>
      <c r="G10731" s="16" t="str">
        <f>HYPERLINK("http://maps.google.com/maps?f=q&amp;hl=en&amp;geocode=&amp;q=40.04982,-75.0957")</f>
        <v>http://maps.google.com/maps?f=q&amp;hl=en&amp;geocode=&amp;q=40.04982,-75.0957</v>
      </c>
    </row>
    <row r="10732" spans="1:7" ht="15" x14ac:dyDescent="0.3">
      <c r="A10732">
        <v>40.045299999999997</v>
      </c>
      <c r="B10732">
        <v>-75.108239999999995</v>
      </c>
      <c r="C10732" t="s">
        <v>41</v>
      </c>
      <c r="D10732" t="s">
        <v>5483</v>
      </c>
      <c r="F10732" s="21"/>
      <c r="G10732" s="16" t="str">
        <f>HYPERLINK("http://maps.google.com/maps?f=q&amp;hl=en&amp;geocode=&amp;q=40.0453,-75.10824")</f>
        <v>http://maps.google.com/maps?f=q&amp;hl=en&amp;geocode=&amp;q=40.0453,-75.10824</v>
      </c>
    </row>
    <row r="10733" spans="1:7" ht="15" x14ac:dyDescent="0.3">
      <c r="A10733">
        <v>35.228879999999997</v>
      </c>
      <c r="B10733">
        <v>-89.93374</v>
      </c>
      <c r="C10733" t="s">
        <v>43</v>
      </c>
      <c r="D10733" t="s">
        <v>3231</v>
      </c>
      <c r="F10733" s="21"/>
      <c r="G10733" s="16" t="str">
        <f>HYPERLINK("http://maps.google.com/maps?f=q&amp;hl=en&amp;geocode=&amp;q=35.22888,-89.93374")</f>
        <v>http://maps.google.com/maps?f=q&amp;hl=en&amp;geocode=&amp;q=35.22888,-89.93374</v>
      </c>
    </row>
    <row r="10734" spans="1:7" ht="15" x14ac:dyDescent="0.3">
      <c r="A10734">
        <v>35.228879999999997</v>
      </c>
      <c r="B10734">
        <v>-89.93374</v>
      </c>
      <c r="C10734" t="s">
        <v>43</v>
      </c>
      <c r="D10734" t="s">
        <v>3231</v>
      </c>
      <c r="F10734" s="21"/>
      <c r="G10734" s="16" t="str">
        <f>HYPERLINK("http://maps.google.com/maps?f=q&amp;hl=en&amp;geocode=&amp;q=35.22888,-89.93374")</f>
        <v>http://maps.google.com/maps?f=q&amp;hl=en&amp;geocode=&amp;q=35.22888,-89.93374</v>
      </c>
    </row>
    <row r="10735" spans="1:7" ht="15" x14ac:dyDescent="0.3">
      <c r="A10735">
        <v>48.672306060791001</v>
      </c>
      <c r="B10735">
        <v>7.5540661811828604</v>
      </c>
      <c r="C10735" t="s">
        <v>43</v>
      </c>
      <c r="D10735" t="s">
        <v>5325</v>
      </c>
      <c r="F10735" s="21"/>
      <c r="G10735" s="16" t="str">
        <f>HYPERLINK("http://maps.google.com/maps?f=q&amp;hl=en&amp;geocode=&amp;q=48.672306060791,7.55406618118286")</f>
        <v>http://maps.google.com/maps?f=q&amp;hl=en&amp;geocode=&amp;q=48.672306060791,7.55406618118286</v>
      </c>
    </row>
    <row r="10736" spans="1:7" ht="15" x14ac:dyDescent="0.3">
      <c r="A10736">
        <v>33.074719999999999</v>
      </c>
      <c r="B10736">
        <v>-98.571849999999998</v>
      </c>
      <c r="C10736" t="s">
        <v>41</v>
      </c>
      <c r="D10736" t="s">
        <v>6069</v>
      </c>
      <c r="F10736" s="21"/>
      <c r="G10736" s="16" t="str">
        <f>HYPERLINK("http://maps.google.com/maps?f=q&amp;hl=en&amp;geocode=&amp;q=33.07472,-98.57185")</f>
        <v>http://maps.google.com/maps?f=q&amp;hl=en&amp;geocode=&amp;q=33.07472,-98.57185</v>
      </c>
    </row>
    <row r="10737" spans="1:7" ht="15" x14ac:dyDescent="0.3">
      <c r="A10737">
        <v>-27.142856597900401</v>
      </c>
      <c r="B10737">
        <v>152.06526184082</v>
      </c>
      <c r="C10737" t="s">
        <v>41</v>
      </c>
      <c r="D10737" t="s">
        <v>6070</v>
      </c>
      <c r="F10737" s="21"/>
      <c r="G10737" s="16" t="str">
        <f>HYPERLINK("http://maps.google.com/maps?f=q&amp;hl=en&amp;geocode=&amp;q=-27.1428565979004,152.06526184082")</f>
        <v>http://maps.google.com/maps?f=q&amp;hl=en&amp;geocode=&amp;q=-27.1428565979004,152.06526184082</v>
      </c>
    </row>
    <row r="10738" spans="1:7" ht="15" x14ac:dyDescent="0.3">
      <c r="A10738">
        <v>40.028517902191702</v>
      </c>
      <c r="B10738">
        <v>-75.097809490713701</v>
      </c>
      <c r="C10738" t="s">
        <v>41</v>
      </c>
      <c r="D10738" t="s">
        <v>1050</v>
      </c>
      <c r="F10738" s="21"/>
      <c r="G10738" s="16" t="str">
        <f>HYPERLINK("http://maps.google.com/maps?f=q&amp;hl=en&amp;geocode=&amp;q=40.0285179021917,-75.0978094907137")</f>
        <v>http://maps.google.com/maps?f=q&amp;hl=en&amp;geocode=&amp;q=40.0285179021917,-75.0978094907137</v>
      </c>
    </row>
    <row r="10739" spans="1:7" ht="15" x14ac:dyDescent="0.3">
      <c r="A10739">
        <v>29.469738055417899</v>
      </c>
      <c r="B10739">
        <v>-95.357303361349196</v>
      </c>
      <c r="C10739" t="s">
        <v>41</v>
      </c>
      <c r="D10739" t="s">
        <v>6071</v>
      </c>
      <c r="F10739" s="21"/>
      <c r="G10739" s="16" t="str">
        <f>HYPERLINK("http://maps.google.com/maps?f=q&amp;hl=en&amp;geocode=&amp;q=29.4697380554179,-95.3573033613492")</f>
        <v>http://maps.google.com/maps?f=q&amp;hl=en&amp;geocode=&amp;q=29.4697380554179,-95.3573033613492</v>
      </c>
    </row>
    <row r="10740" spans="1:7" ht="15" x14ac:dyDescent="0.3">
      <c r="A10740">
        <v>54.562068939208999</v>
      </c>
      <c r="B10740">
        <v>-125.10440063476599</v>
      </c>
      <c r="C10740" t="s">
        <v>41</v>
      </c>
      <c r="D10740" t="s">
        <v>5441</v>
      </c>
      <c r="F10740" s="21"/>
      <c r="G10740" s="16" t="str">
        <f>HYPERLINK("http://maps.google.com/maps?f=q&amp;hl=en&amp;geocode=&amp;q=54.562068939209,-125.104400634766")</f>
        <v>http://maps.google.com/maps?f=q&amp;hl=en&amp;geocode=&amp;q=54.562068939209,-125.104400634766</v>
      </c>
    </row>
    <row r="10741" spans="1:7" ht="15" x14ac:dyDescent="0.3">
      <c r="A10741">
        <v>41.513409140216801</v>
      </c>
      <c r="B10741">
        <v>-78.232849891054798</v>
      </c>
      <c r="C10741" t="s">
        <v>41</v>
      </c>
      <c r="D10741" t="s">
        <v>1336</v>
      </c>
      <c r="F10741" s="21"/>
      <c r="G10741" s="16" t="str">
        <f>HYPERLINK("http://maps.google.com/maps?f=q&amp;hl=en&amp;geocode=&amp;q=41.5134091402168,-78.2328498910548")</f>
        <v>http://maps.google.com/maps?f=q&amp;hl=en&amp;geocode=&amp;q=41.5134091402168,-78.2328498910548</v>
      </c>
    </row>
    <row r="10742" spans="1:7" ht="15" x14ac:dyDescent="0.3">
      <c r="A10742">
        <v>39.05612</v>
      </c>
      <c r="B10742">
        <v>-94.885750000000002</v>
      </c>
      <c r="C10742" t="s">
        <v>43</v>
      </c>
      <c r="D10742" t="s">
        <v>6072</v>
      </c>
      <c r="F10742" s="21"/>
      <c r="G10742" s="16" t="str">
        <f>HYPERLINK("http://maps.google.com/maps?f=q&amp;hl=en&amp;geocode=&amp;q=39.05612,-94.88575")</f>
        <v>http://maps.google.com/maps?f=q&amp;hl=en&amp;geocode=&amp;q=39.05612,-94.88575</v>
      </c>
    </row>
    <row r="10743" spans="1:7" ht="15" x14ac:dyDescent="0.3">
      <c r="A10743">
        <v>36.432512063940699</v>
      </c>
      <c r="B10743">
        <v>-94.257858840258507</v>
      </c>
      <c r="C10743" t="s">
        <v>43</v>
      </c>
      <c r="D10743" t="s">
        <v>6073</v>
      </c>
      <c r="F10743" s="21"/>
      <c r="G10743" s="16" t="str">
        <f>HYPERLINK("http://maps.google.com/maps?f=q&amp;hl=en&amp;geocode=&amp;q=36.4325120639407,-94.2578588402585")</f>
        <v>http://maps.google.com/maps?f=q&amp;hl=en&amp;geocode=&amp;q=36.4325120639407,-94.2578588402585</v>
      </c>
    </row>
    <row r="10744" spans="1:7" ht="15" x14ac:dyDescent="0.3">
      <c r="A10744">
        <v>40.049819999999997</v>
      </c>
      <c r="B10744">
        <v>-75.095699999999994</v>
      </c>
      <c r="C10744" t="s">
        <v>43</v>
      </c>
      <c r="D10744" t="s">
        <v>2496</v>
      </c>
      <c r="F10744" s="21"/>
      <c r="G10744" s="16" t="str">
        <f>HYPERLINK("http://maps.google.com/maps?f=q&amp;hl=en&amp;geocode=&amp;q=40.04982,-75.0957")</f>
        <v>http://maps.google.com/maps?f=q&amp;hl=en&amp;geocode=&amp;q=40.04982,-75.0957</v>
      </c>
    </row>
    <row r="10745" spans="1:7" ht="15" x14ac:dyDescent="0.3">
      <c r="F10745" s="21"/>
      <c r="G10745" s="16"/>
    </row>
    <row r="10746" spans="1:7" ht="15" x14ac:dyDescent="0.3">
      <c r="A10746">
        <v>26.577497676635499</v>
      </c>
      <c r="B10746">
        <v>-80.054868670650293</v>
      </c>
      <c r="C10746" t="s">
        <v>41</v>
      </c>
      <c r="D10746" t="s">
        <v>6074</v>
      </c>
      <c r="F10746" s="21"/>
      <c r="G10746" s="16" t="str">
        <f>HYPERLINK("http://maps.google.com/maps?f=q&amp;hl=en&amp;geocode=&amp;q=26.5774976766355,-80.0548686706503")</f>
        <v>http://maps.google.com/maps?f=q&amp;hl=en&amp;geocode=&amp;q=26.5774976766355,-80.0548686706503</v>
      </c>
    </row>
    <row r="10747" spans="1:7" ht="15" x14ac:dyDescent="0.3">
      <c r="A10747">
        <v>26.577497676635499</v>
      </c>
      <c r="B10747">
        <v>-80.054868670650293</v>
      </c>
      <c r="C10747" t="s">
        <v>41</v>
      </c>
      <c r="D10747" t="s">
        <v>6074</v>
      </c>
      <c r="F10747" s="21"/>
      <c r="G10747" s="16" t="str">
        <f>HYPERLINK("http://maps.google.com/maps?f=q&amp;hl=en&amp;geocode=&amp;q=26.5774976766355,-80.0548686706503")</f>
        <v>http://maps.google.com/maps?f=q&amp;hl=en&amp;geocode=&amp;q=26.5774976766355,-80.0548686706503</v>
      </c>
    </row>
    <row r="10748" spans="1:7" ht="15" x14ac:dyDescent="0.3">
      <c r="A10748">
        <v>32.920580000000001</v>
      </c>
      <c r="B10748">
        <v>-107.56554</v>
      </c>
      <c r="C10748" t="s">
        <v>42</v>
      </c>
      <c r="D10748" t="s">
        <v>6075</v>
      </c>
      <c r="F10748" s="21"/>
      <c r="G10748" s="16" t="str">
        <f>HYPERLINK("http://maps.google.com/maps?f=q&amp;hl=en&amp;geocode=&amp;q=32.92058,-107.56554")</f>
        <v>http://maps.google.com/maps?f=q&amp;hl=en&amp;geocode=&amp;q=32.92058,-107.56554</v>
      </c>
    </row>
    <row r="10749" spans="1:7" ht="15" x14ac:dyDescent="0.3">
      <c r="A10749">
        <v>41.355820104151803</v>
      </c>
      <c r="B10749">
        <v>-88.855176531133594</v>
      </c>
      <c r="C10749" t="s">
        <v>41</v>
      </c>
      <c r="D10749" t="s">
        <v>6076</v>
      </c>
      <c r="F10749" s="21"/>
      <c r="G10749" s="16" t="str">
        <f>HYPERLINK("http://maps.google.com/maps?f=q&amp;hl=en&amp;geocode=&amp;q=41.3558201041518,-88.8551765311336")</f>
        <v>http://maps.google.com/maps?f=q&amp;hl=en&amp;geocode=&amp;q=41.3558201041518,-88.8551765311336</v>
      </c>
    </row>
    <row r="10750" spans="1:7" ht="15" x14ac:dyDescent="0.3">
      <c r="A10750">
        <v>39.4432563781738</v>
      </c>
      <c r="B10750">
        <v>-98.957336425781307</v>
      </c>
      <c r="C10750" t="s">
        <v>43</v>
      </c>
      <c r="D10750" t="s">
        <v>2169</v>
      </c>
      <c r="F10750" s="21"/>
      <c r="G10750" s="16" t="str">
        <f>HYPERLINK("http://maps.google.com/maps?f=q&amp;hl=en&amp;geocode=&amp;q=39.4432563781738,-98.9573364257813")</f>
        <v>http://maps.google.com/maps?f=q&amp;hl=en&amp;geocode=&amp;q=39.4432563781738,-98.9573364257813</v>
      </c>
    </row>
    <row r="10751" spans="1:7" ht="15" x14ac:dyDescent="0.3">
      <c r="A10751">
        <v>39.4432563781738</v>
      </c>
      <c r="B10751">
        <v>-98.957336425781307</v>
      </c>
      <c r="C10751" t="s">
        <v>43</v>
      </c>
      <c r="D10751" t="s">
        <v>2169</v>
      </c>
      <c r="F10751" s="21"/>
      <c r="G10751" s="16" t="str">
        <f>HYPERLINK("http://maps.google.com/maps?f=q&amp;hl=en&amp;geocode=&amp;q=39.4432563781738,-98.9573364257813")</f>
        <v>http://maps.google.com/maps?f=q&amp;hl=en&amp;geocode=&amp;q=39.4432563781738,-98.9573364257813</v>
      </c>
    </row>
    <row r="10752" spans="1:7" ht="15" x14ac:dyDescent="0.3">
      <c r="A10752">
        <v>28.462979902107001</v>
      </c>
      <c r="B10752">
        <v>-80.823073236268996</v>
      </c>
      <c r="C10752" t="s">
        <v>41</v>
      </c>
      <c r="D10752" t="s">
        <v>6077</v>
      </c>
      <c r="F10752" s="21"/>
      <c r="G10752" s="16" t="str">
        <f>HYPERLINK("http://maps.google.com/maps?f=q&amp;hl=en&amp;geocode=&amp;q=28.462979902107,-80.823073236269")</f>
        <v>http://maps.google.com/maps?f=q&amp;hl=en&amp;geocode=&amp;q=28.462979902107,-80.823073236269</v>
      </c>
    </row>
    <row r="10753" spans="1:7" ht="15" x14ac:dyDescent="0.3">
      <c r="A10753">
        <v>64.357643127441406</v>
      </c>
      <c r="B10753">
        <v>11.599784851074199</v>
      </c>
      <c r="C10753" t="s">
        <v>43</v>
      </c>
      <c r="D10753" t="s">
        <v>6078</v>
      </c>
      <c r="F10753" s="21"/>
      <c r="G10753" s="16" t="str">
        <f>HYPERLINK("http://maps.google.com/maps?f=q&amp;hl=en&amp;geocode=&amp;q=64.3576431274414,11.5997848510742")</f>
        <v>http://maps.google.com/maps?f=q&amp;hl=en&amp;geocode=&amp;q=64.3576431274414,11.5997848510742</v>
      </c>
    </row>
    <row r="10754" spans="1:7" ht="15" x14ac:dyDescent="0.3">
      <c r="A10754">
        <v>40.718512311769402</v>
      </c>
      <c r="B10754">
        <v>-75.3339303990454</v>
      </c>
      <c r="C10754" t="s">
        <v>41</v>
      </c>
      <c r="D10754" t="s">
        <v>6079</v>
      </c>
      <c r="F10754" s="21"/>
      <c r="G10754" s="16" t="str">
        <f>HYPERLINK("http://maps.google.com/maps?f=q&amp;hl=en&amp;geocode=&amp;q=40.7185123117694,-75.3339303990454")</f>
        <v>http://maps.google.com/maps?f=q&amp;hl=en&amp;geocode=&amp;q=40.7185123117694,-75.3339303990454</v>
      </c>
    </row>
    <row r="10755" spans="1:7" ht="15" x14ac:dyDescent="0.3">
      <c r="A10755">
        <v>39.927972078602302</v>
      </c>
      <c r="B10755">
        <v>-75.179437157804898</v>
      </c>
      <c r="C10755" t="s">
        <v>43</v>
      </c>
      <c r="D10755" t="s">
        <v>6080</v>
      </c>
      <c r="F10755" s="21"/>
      <c r="G10755" s="16" t="str">
        <f>HYPERLINK("http://maps.google.com/maps?f=q&amp;hl=en&amp;geocode=&amp;q=39.9279720786023,-75.1794371578049")</f>
        <v>http://maps.google.com/maps?f=q&amp;hl=en&amp;geocode=&amp;q=39.9279720786023,-75.1794371578049</v>
      </c>
    </row>
    <row r="10756" spans="1:7" ht="15" x14ac:dyDescent="0.3">
      <c r="A10756">
        <v>40.826839999999997</v>
      </c>
      <c r="B10756">
        <v>-86.794939999999997</v>
      </c>
      <c r="C10756" t="s">
        <v>43</v>
      </c>
      <c r="D10756" t="s">
        <v>4580</v>
      </c>
      <c r="F10756" s="21"/>
      <c r="G10756" s="16" t="str">
        <f>HYPERLINK("http://maps.google.com/maps?f=q&amp;hl=en&amp;geocode=&amp;q=40.82684,-86.79494")</f>
        <v>http://maps.google.com/maps?f=q&amp;hl=en&amp;geocode=&amp;q=40.82684,-86.79494</v>
      </c>
    </row>
    <row r="10757" spans="1:7" ht="15" x14ac:dyDescent="0.3">
      <c r="A10757">
        <v>52.209800720214801</v>
      </c>
      <c r="B10757">
        <v>0.111469998955727</v>
      </c>
      <c r="C10757" t="s">
        <v>41</v>
      </c>
      <c r="D10757" t="s">
        <v>6081</v>
      </c>
      <c r="F10757" s="21"/>
      <c r="G10757" s="16" t="str">
        <f>HYPERLINK("http://maps.google.com/maps?f=q&amp;hl=en&amp;geocode=&amp;q=52.2098007202148,0.111469998955727")</f>
        <v>http://maps.google.com/maps?f=q&amp;hl=en&amp;geocode=&amp;q=52.2098007202148,0.111469998955727</v>
      </c>
    </row>
    <row r="10758" spans="1:7" ht="15" x14ac:dyDescent="0.3">
      <c r="A10758">
        <v>31.010861794446299</v>
      </c>
      <c r="B10758">
        <v>-86.338552900126203</v>
      </c>
      <c r="C10758" t="s">
        <v>41</v>
      </c>
      <c r="D10758" t="s">
        <v>5601</v>
      </c>
      <c r="F10758" s="21"/>
      <c r="G10758" s="16" t="str">
        <f>HYPERLINK("http://maps.google.com/maps?f=q&amp;hl=en&amp;geocode=&amp;q=31.0108617944463,-86.3385529001262")</f>
        <v>http://maps.google.com/maps?f=q&amp;hl=en&amp;geocode=&amp;q=31.0108617944463,-86.3385529001262</v>
      </c>
    </row>
    <row r="10759" spans="1:7" ht="15" x14ac:dyDescent="0.3">
      <c r="A10759">
        <v>39.983702592957798</v>
      </c>
      <c r="B10759">
        <v>-83.043811390109596</v>
      </c>
      <c r="C10759" t="s">
        <v>43</v>
      </c>
      <c r="D10759" t="s">
        <v>6082</v>
      </c>
      <c r="F10759" s="21"/>
      <c r="G10759" s="16" t="str">
        <f>HYPERLINK("http://maps.google.com/maps?f=q&amp;hl=en&amp;geocode=&amp;q=39.9837025929578,-83.0438113901096")</f>
        <v>http://maps.google.com/maps?f=q&amp;hl=en&amp;geocode=&amp;q=39.9837025929578,-83.0438113901096</v>
      </c>
    </row>
    <row r="10760" spans="1:7" ht="15" x14ac:dyDescent="0.3">
      <c r="A10760">
        <v>38.2881189873087</v>
      </c>
      <c r="B10760">
        <v>-85.824273345788797</v>
      </c>
      <c r="C10760" t="s">
        <v>42</v>
      </c>
      <c r="D10760" t="s">
        <v>6083</v>
      </c>
      <c r="F10760" s="21"/>
      <c r="G10760" s="16" t="str">
        <f>HYPERLINK("http://maps.google.com/maps?f=q&amp;hl=en&amp;geocode=&amp;q=38.2881189873087,-85.8242733457888")</f>
        <v>http://maps.google.com/maps?f=q&amp;hl=en&amp;geocode=&amp;q=38.2881189873087,-85.8242733457888</v>
      </c>
    </row>
    <row r="10761" spans="1:7" ht="15" x14ac:dyDescent="0.3">
      <c r="A10761">
        <v>40.3005829969971</v>
      </c>
      <c r="B10761">
        <v>-85.216946715275398</v>
      </c>
      <c r="C10761" t="s">
        <v>41</v>
      </c>
      <c r="D10761" t="s">
        <v>6084</v>
      </c>
      <c r="F10761" s="21"/>
      <c r="G10761" s="16" t="str">
        <f>HYPERLINK("http://maps.google.com/maps?f=q&amp;hl=en&amp;geocode=&amp;q=40.3005829969971,-85.2169467152754")</f>
        <v>http://maps.google.com/maps?f=q&amp;hl=en&amp;geocode=&amp;q=40.3005829969971,-85.2169467152754</v>
      </c>
    </row>
    <row r="10762" spans="1:7" ht="15" x14ac:dyDescent="0.3">
      <c r="A10762" t="s">
        <v>44</v>
      </c>
      <c r="B10762" t="s">
        <v>44</v>
      </c>
      <c r="C10762" t="s">
        <v>44</v>
      </c>
      <c r="D10762" t="s">
        <v>6085</v>
      </c>
      <c r="F10762" s="21"/>
      <c r="G10762" s="16"/>
    </row>
    <row r="10763" spans="1:7" ht="15" x14ac:dyDescent="0.3">
      <c r="A10763">
        <v>39.938310000000001</v>
      </c>
      <c r="B10763">
        <v>-75.190190000000001</v>
      </c>
      <c r="C10763" t="s">
        <v>43</v>
      </c>
      <c r="D10763" t="s">
        <v>6086</v>
      </c>
      <c r="F10763" s="21"/>
      <c r="G10763" s="16" t="str">
        <f>HYPERLINK("http://maps.google.com/maps?f=q&amp;hl=en&amp;geocode=&amp;q=39.93831,-75.19019")</f>
        <v>http://maps.google.com/maps?f=q&amp;hl=en&amp;geocode=&amp;q=39.93831,-75.19019</v>
      </c>
    </row>
    <row r="10764" spans="1:7" ht="15" x14ac:dyDescent="0.3">
      <c r="A10764">
        <v>37.739128368272702</v>
      </c>
      <c r="B10764">
        <v>-81.266882110882193</v>
      </c>
      <c r="C10764" t="s">
        <v>41</v>
      </c>
      <c r="D10764" t="s">
        <v>3574</v>
      </c>
      <c r="F10764" s="21"/>
      <c r="G10764" s="16" t="str">
        <f>HYPERLINK("http://maps.google.com/maps?f=q&amp;hl=en&amp;geocode=&amp;q=37.7391283682727,-81.2668821108822")</f>
        <v>http://maps.google.com/maps?f=q&amp;hl=en&amp;geocode=&amp;q=37.7391283682727,-81.2668821108822</v>
      </c>
    </row>
    <row r="10765" spans="1:7" ht="15" x14ac:dyDescent="0.3">
      <c r="A10765">
        <v>48.672306060791001</v>
      </c>
      <c r="B10765">
        <v>7.5540661811828604</v>
      </c>
      <c r="C10765" t="s">
        <v>43</v>
      </c>
      <c r="D10765" t="s">
        <v>5375</v>
      </c>
      <c r="F10765" s="21"/>
      <c r="G10765" s="16" t="str">
        <f>HYPERLINK("http://maps.google.com/maps?f=q&amp;hl=en&amp;geocode=&amp;q=48.672306060791,7.55406618118286")</f>
        <v>http://maps.google.com/maps?f=q&amp;hl=en&amp;geocode=&amp;q=48.672306060791,7.55406618118286</v>
      </c>
    </row>
    <row r="10766" spans="1:7" ht="15" x14ac:dyDescent="0.3">
      <c r="A10766">
        <v>48.672306060791001</v>
      </c>
      <c r="B10766">
        <v>7.5540661811828604</v>
      </c>
      <c r="C10766" t="s">
        <v>43</v>
      </c>
      <c r="D10766" t="s">
        <v>5325</v>
      </c>
      <c r="F10766" s="21"/>
      <c r="G10766" s="16" t="str">
        <f>HYPERLINK("http://maps.google.com/maps?f=q&amp;hl=en&amp;geocode=&amp;q=48.672306060791,7.55406618118286")</f>
        <v>http://maps.google.com/maps?f=q&amp;hl=en&amp;geocode=&amp;q=48.672306060791,7.55406618118286</v>
      </c>
    </row>
    <row r="10767" spans="1:7" ht="15" x14ac:dyDescent="0.3">
      <c r="A10767">
        <v>-34.89349</v>
      </c>
      <c r="B10767">
        <v>138.56632999999999</v>
      </c>
      <c r="C10767" t="s">
        <v>41</v>
      </c>
      <c r="D10767" t="s">
        <v>5010</v>
      </c>
      <c r="F10767" s="21"/>
      <c r="G10767" s="16" t="str">
        <f>HYPERLINK("http://maps.google.com/maps?f=q&amp;hl=en&amp;geocode=&amp;q=-34.89349,138.56633")</f>
        <v>http://maps.google.com/maps?f=q&amp;hl=en&amp;geocode=&amp;q=-34.89349,138.56633</v>
      </c>
    </row>
    <row r="10768" spans="1:7" ht="15" x14ac:dyDescent="0.3">
      <c r="A10768">
        <v>48.672306060791001</v>
      </c>
      <c r="B10768">
        <v>7.5540661811828604</v>
      </c>
      <c r="C10768" t="s">
        <v>43</v>
      </c>
      <c r="D10768" t="s">
        <v>5325</v>
      </c>
      <c r="F10768" s="21"/>
      <c r="G10768" s="16" t="str">
        <f>HYPERLINK("http://maps.google.com/maps?f=q&amp;hl=en&amp;geocode=&amp;q=48.672306060791,7.55406618118286")</f>
        <v>http://maps.google.com/maps?f=q&amp;hl=en&amp;geocode=&amp;q=48.672306060791,7.55406618118286</v>
      </c>
    </row>
    <row r="10769" spans="1:7" ht="15" x14ac:dyDescent="0.3">
      <c r="A10769">
        <v>40.012628477380197</v>
      </c>
      <c r="B10769">
        <v>-75.068920915451599</v>
      </c>
      <c r="C10769" t="s">
        <v>41</v>
      </c>
      <c r="D10769" t="s">
        <v>6087</v>
      </c>
      <c r="F10769" s="21"/>
      <c r="G10769" s="16" t="str">
        <f>HYPERLINK("http://maps.google.com/maps?f=q&amp;hl=en&amp;geocode=&amp;q=40.0126284773802,-75.0689209154516")</f>
        <v>http://maps.google.com/maps?f=q&amp;hl=en&amp;geocode=&amp;q=40.0126284773802,-75.0689209154516</v>
      </c>
    </row>
    <row r="10770" spans="1:7" ht="15" x14ac:dyDescent="0.3">
      <c r="A10770">
        <v>38.783990000000003</v>
      </c>
      <c r="B10770">
        <v>-77.096450000000004</v>
      </c>
      <c r="C10770" t="s">
        <v>42</v>
      </c>
      <c r="D10770" t="s">
        <v>1136</v>
      </c>
      <c r="F10770" s="21"/>
      <c r="G10770" s="16" t="str">
        <f>HYPERLINK("http://maps.google.com/maps?f=q&amp;hl=en&amp;geocode=&amp;q=38.78399,-77.09645")</f>
        <v>http://maps.google.com/maps?f=q&amp;hl=en&amp;geocode=&amp;q=38.78399,-77.09645</v>
      </c>
    </row>
    <row r="10771" spans="1:7" ht="15" x14ac:dyDescent="0.3">
      <c r="A10771" t="s">
        <v>44</v>
      </c>
      <c r="B10771" t="s">
        <v>44</v>
      </c>
      <c r="C10771" t="s">
        <v>44</v>
      </c>
      <c r="D10771" t="s">
        <v>1243</v>
      </c>
      <c r="F10771" s="21"/>
      <c r="G10771" s="16"/>
    </row>
    <row r="10772" spans="1:7" ht="15" x14ac:dyDescent="0.3">
      <c r="A10772">
        <v>40.04683</v>
      </c>
      <c r="B10772">
        <v>-75.098050000000001</v>
      </c>
      <c r="C10772" t="s">
        <v>41</v>
      </c>
      <c r="D10772" t="s">
        <v>3217</v>
      </c>
      <c r="F10772" s="21"/>
      <c r="G10772" s="16" t="str">
        <f>HYPERLINK("http://maps.google.com/maps?f=q&amp;hl=en&amp;geocode=&amp;q=40.04683,-75.09805")</f>
        <v>http://maps.google.com/maps?f=q&amp;hl=en&amp;geocode=&amp;q=40.04683,-75.09805</v>
      </c>
    </row>
    <row r="10773" spans="1:7" ht="15" x14ac:dyDescent="0.3">
      <c r="A10773">
        <v>40.848214566088799</v>
      </c>
      <c r="B10773">
        <v>-89.457984347788397</v>
      </c>
      <c r="C10773" t="s">
        <v>41</v>
      </c>
      <c r="D10773" t="s">
        <v>6088</v>
      </c>
      <c r="F10773" s="21"/>
      <c r="G10773" s="16" t="str">
        <f>HYPERLINK("http://maps.google.com/maps?f=q&amp;hl=en&amp;geocode=&amp;q=40.8482145660888,-89.4579843477884")</f>
        <v>http://maps.google.com/maps?f=q&amp;hl=en&amp;geocode=&amp;q=40.8482145660888,-89.4579843477884</v>
      </c>
    </row>
    <row r="10774" spans="1:7" ht="15" x14ac:dyDescent="0.3">
      <c r="A10774">
        <v>32.583317490227202</v>
      </c>
      <c r="B10774">
        <v>-83.125344390433597</v>
      </c>
      <c r="C10774" t="s">
        <v>41</v>
      </c>
      <c r="D10774" t="s">
        <v>5039</v>
      </c>
      <c r="F10774" s="21"/>
      <c r="G10774" s="16" t="str">
        <f>HYPERLINK("http://maps.google.com/maps?f=q&amp;hl=en&amp;geocode=&amp;q=32.5833174902272,-83.1253443904336")</f>
        <v>http://maps.google.com/maps?f=q&amp;hl=en&amp;geocode=&amp;q=32.5833174902272,-83.1253443904336</v>
      </c>
    </row>
    <row r="10775" spans="1:7" ht="15" x14ac:dyDescent="0.3">
      <c r="A10775" t="s">
        <v>44</v>
      </c>
      <c r="B10775" t="s">
        <v>44</v>
      </c>
      <c r="C10775" t="s">
        <v>44</v>
      </c>
      <c r="D10775" t="s">
        <v>3225</v>
      </c>
      <c r="F10775" s="21"/>
      <c r="G10775" s="16"/>
    </row>
    <row r="10776" spans="1:7" ht="15" x14ac:dyDescent="0.3">
      <c r="A10776">
        <v>38.967320000000001</v>
      </c>
      <c r="B10776">
        <v>-90.087760000000003</v>
      </c>
      <c r="C10776" t="s">
        <v>43</v>
      </c>
      <c r="D10776" t="s">
        <v>6089</v>
      </c>
      <c r="F10776" s="21"/>
      <c r="G10776" s="16" t="str">
        <f>HYPERLINK("http://maps.google.com/maps?f=q&amp;hl=en&amp;geocode=&amp;q=38.96732,-90.08776")</f>
        <v>http://maps.google.com/maps?f=q&amp;hl=en&amp;geocode=&amp;q=38.96732,-90.08776</v>
      </c>
    </row>
    <row r="10777" spans="1:7" ht="15" x14ac:dyDescent="0.3">
      <c r="A10777">
        <v>39.993279999999999</v>
      </c>
      <c r="B10777">
        <v>-75.098560000000006</v>
      </c>
      <c r="C10777" t="s">
        <v>41</v>
      </c>
      <c r="D10777" t="s">
        <v>1697</v>
      </c>
      <c r="F10777" s="21"/>
      <c r="G10777" s="16" t="str">
        <f>HYPERLINK("http://maps.google.com/maps?f=q&amp;hl=en&amp;geocode=&amp;q=39.99328,-75.09856")</f>
        <v>http://maps.google.com/maps?f=q&amp;hl=en&amp;geocode=&amp;q=39.99328,-75.09856</v>
      </c>
    </row>
    <row r="10778" spans="1:7" ht="15" x14ac:dyDescent="0.3">
      <c r="A10778">
        <v>39.993279999999999</v>
      </c>
      <c r="B10778">
        <v>-75.098560000000006</v>
      </c>
      <c r="C10778" t="s">
        <v>41</v>
      </c>
      <c r="D10778" t="s">
        <v>1697</v>
      </c>
      <c r="F10778" s="21"/>
      <c r="G10778" s="16" t="str">
        <f>HYPERLINK("http://maps.google.com/maps?f=q&amp;hl=en&amp;geocode=&amp;q=39.99328,-75.09856")</f>
        <v>http://maps.google.com/maps?f=q&amp;hl=en&amp;geocode=&amp;q=39.99328,-75.09856</v>
      </c>
    </row>
    <row r="10779" spans="1:7" ht="15" x14ac:dyDescent="0.3">
      <c r="A10779">
        <v>38.783990000000003</v>
      </c>
      <c r="B10779">
        <v>-77.096450000000004</v>
      </c>
      <c r="C10779" t="s">
        <v>42</v>
      </c>
      <c r="D10779" t="s">
        <v>999</v>
      </c>
      <c r="F10779" s="21"/>
      <c r="G10779" s="16" t="str">
        <f>HYPERLINK("http://maps.google.com/maps?f=q&amp;hl=en&amp;geocode=&amp;q=38.78399,-77.09645")</f>
        <v>http://maps.google.com/maps?f=q&amp;hl=en&amp;geocode=&amp;q=38.78399,-77.09645</v>
      </c>
    </row>
    <row r="10780" spans="1:7" ht="15" x14ac:dyDescent="0.3">
      <c r="A10780">
        <v>46.010963400000001</v>
      </c>
      <c r="B10780">
        <v>-73.672311800000003</v>
      </c>
      <c r="C10780" t="s">
        <v>41</v>
      </c>
      <c r="D10780" t="s">
        <v>6090</v>
      </c>
      <c r="F10780" s="21"/>
      <c r="G10780" s="16" t="str">
        <f>HYPERLINK("http://maps.google.com/maps?f=q&amp;hl=en&amp;geocode=&amp;q=46.0109634,-73.6723118")</f>
        <v>http://maps.google.com/maps?f=q&amp;hl=en&amp;geocode=&amp;q=46.0109634,-73.6723118</v>
      </c>
    </row>
    <row r="10781" spans="1:7" ht="15" x14ac:dyDescent="0.3">
      <c r="A10781">
        <v>36.279620000000001</v>
      </c>
      <c r="B10781">
        <v>-80.356890000000007</v>
      </c>
      <c r="C10781" t="s">
        <v>41</v>
      </c>
      <c r="D10781" t="s">
        <v>6091</v>
      </c>
      <c r="F10781" s="21"/>
      <c r="G10781" s="16" t="str">
        <f>HYPERLINK("http://maps.google.com/maps?f=q&amp;hl=en&amp;geocode=&amp;q=36.27962,-80.35689")</f>
        <v>http://maps.google.com/maps?f=q&amp;hl=en&amp;geocode=&amp;q=36.27962,-80.35689</v>
      </c>
    </row>
    <row r="10782" spans="1:7" ht="15" x14ac:dyDescent="0.3">
      <c r="A10782" t="s">
        <v>44</v>
      </c>
      <c r="B10782" t="s">
        <v>44</v>
      </c>
      <c r="C10782" t="s">
        <v>44</v>
      </c>
      <c r="D10782" t="s">
        <v>6092</v>
      </c>
      <c r="F10782" s="21"/>
      <c r="G10782" s="16"/>
    </row>
    <row r="10783" spans="1:7" ht="15" x14ac:dyDescent="0.3">
      <c r="A10783">
        <v>39.923360000000002</v>
      </c>
      <c r="B10783">
        <v>-75.17165</v>
      </c>
      <c r="C10783" t="s">
        <v>41</v>
      </c>
      <c r="D10783" t="s">
        <v>5431</v>
      </c>
      <c r="F10783" s="21"/>
      <c r="G10783" s="16" t="str">
        <f>HYPERLINK("http://maps.google.com/maps?f=q&amp;hl=en&amp;geocode=&amp;q=39.92336,-75.17165")</f>
        <v>http://maps.google.com/maps?f=q&amp;hl=en&amp;geocode=&amp;q=39.92336,-75.17165</v>
      </c>
    </row>
    <row r="10784" spans="1:7" ht="15" x14ac:dyDescent="0.3">
      <c r="A10784">
        <v>39.923360000000002</v>
      </c>
      <c r="B10784">
        <v>-75.17165</v>
      </c>
      <c r="C10784" t="s">
        <v>41</v>
      </c>
      <c r="D10784" t="s">
        <v>5431</v>
      </c>
      <c r="F10784" s="21"/>
      <c r="G10784" s="16" t="str">
        <f>HYPERLINK("http://maps.google.com/maps?f=q&amp;hl=en&amp;geocode=&amp;q=39.92336,-75.17165")</f>
        <v>http://maps.google.com/maps?f=q&amp;hl=en&amp;geocode=&amp;q=39.92336,-75.17165</v>
      </c>
    </row>
    <row r="10785" spans="1:7" ht="15" x14ac:dyDescent="0.3">
      <c r="A10785">
        <v>36.394907524246499</v>
      </c>
      <c r="B10785">
        <v>-87.995200829853104</v>
      </c>
      <c r="C10785" t="s">
        <v>41</v>
      </c>
      <c r="D10785" t="s">
        <v>6093</v>
      </c>
      <c r="F10785" s="21"/>
      <c r="G10785" s="16" t="str">
        <f>HYPERLINK("http://maps.google.com/maps?f=q&amp;hl=en&amp;geocode=&amp;q=36.3949075242465,-87.9952008298531")</f>
        <v>http://maps.google.com/maps?f=q&amp;hl=en&amp;geocode=&amp;q=36.3949075242465,-87.9952008298531</v>
      </c>
    </row>
    <row r="10786" spans="1:7" ht="15" x14ac:dyDescent="0.3">
      <c r="A10786">
        <v>40.785390619335502</v>
      </c>
      <c r="B10786">
        <v>-96.637757905663705</v>
      </c>
      <c r="C10786" t="s">
        <v>41</v>
      </c>
      <c r="D10786" t="s">
        <v>6094</v>
      </c>
      <c r="F10786" s="21"/>
      <c r="G10786" s="16" t="str">
        <f>HYPERLINK("http://maps.google.com/maps?f=q&amp;hl=en&amp;geocode=&amp;q=40.7853906193355,-96.6377579056637")</f>
        <v>http://maps.google.com/maps?f=q&amp;hl=en&amp;geocode=&amp;q=40.7853906193355,-96.6377579056637</v>
      </c>
    </row>
    <row r="10787" spans="1:7" ht="15" x14ac:dyDescent="0.3">
      <c r="A10787">
        <v>39.934269999999998</v>
      </c>
      <c r="B10787">
        <v>-75.155659999999997</v>
      </c>
      <c r="C10787" t="s">
        <v>43</v>
      </c>
      <c r="D10787" t="s">
        <v>6095</v>
      </c>
      <c r="F10787" s="21"/>
      <c r="G10787" s="16" t="str">
        <f>HYPERLINK("http://maps.google.com/maps?f=q&amp;hl=en&amp;geocode=&amp;q=39.93427,-75.15566")</f>
        <v>http://maps.google.com/maps?f=q&amp;hl=en&amp;geocode=&amp;q=39.93427,-75.15566</v>
      </c>
    </row>
    <row r="10788" spans="1:7" ht="15" x14ac:dyDescent="0.3">
      <c r="A10788">
        <v>50.780136108398402</v>
      </c>
      <c r="B10788">
        <v>4.2288222312927202</v>
      </c>
      <c r="C10788" t="s">
        <v>43</v>
      </c>
      <c r="D10788" t="s">
        <v>6096</v>
      </c>
      <c r="F10788" s="21"/>
      <c r="G10788" s="16" t="str">
        <f>HYPERLINK("http://maps.google.com/maps?f=q&amp;hl=en&amp;geocode=&amp;q=50.7801361083984,4.22882223129272")</f>
        <v>http://maps.google.com/maps?f=q&amp;hl=en&amp;geocode=&amp;q=50.7801361083984,4.22882223129272</v>
      </c>
    </row>
    <row r="10789" spans="1:7" ht="15" x14ac:dyDescent="0.3">
      <c r="A10789">
        <v>40.255798159812898</v>
      </c>
      <c r="B10789">
        <v>-74.737254956354803</v>
      </c>
      <c r="C10789" t="s">
        <v>41</v>
      </c>
      <c r="D10789" t="s">
        <v>2521</v>
      </c>
      <c r="F10789" s="21"/>
      <c r="G10789" s="16" t="str">
        <f>HYPERLINK("http://maps.google.com/maps?f=q&amp;hl=en&amp;geocode=&amp;q=40.2557981598129,-74.7372549563548")</f>
        <v>http://maps.google.com/maps?f=q&amp;hl=en&amp;geocode=&amp;q=40.2557981598129,-74.7372549563548</v>
      </c>
    </row>
    <row r="10790" spans="1:7" ht="15" x14ac:dyDescent="0.3">
      <c r="A10790">
        <v>39.962714547313801</v>
      </c>
      <c r="B10790">
        <v>-77.074402821484696</v>
      </c>
      <c r="C10790" t="s">
        <v>41</v>
      </c>
      <c r="D10790" t="s">
        <v>6097</v>
      </c>
      <c r="F10790" s="21"/>
      <c r="G10790" s="16" t="str">
        <f>HYPERLINK("http://maps.google.com/maps?f=q&amp;hl=en&amp;geocode=&amp;q=39.9627145473138,-77.0744028214847")</f>
        <v>http://maps.google.com/maps?f=q&amp;hl=en&amp;geocode=&amp;q=39.9627145473138,-77.0744028214847</v>
      </c>
    </row>
    <row r="10791" spans="1:7" ht="15" x14ac:dyDescent="0.3">
      <c r="A10791">
        <v>40.055344959282202</v>
      </c>
      <c r="B10791">
        <v>-75.185214356015194</v>
      </c>
      <c r="C10791" t="s">
        <v>41</v>
      </c>
      <c r="D10791" t="s">
        <v>5788</v>
      </c>
      <c r="F10791" s="21"/>
      <c r="G10791" s="16" t="str">
        <f>HYPERLINK("http://maps.google.com/maps?f=q&amp;hl=en&amp;geocode=&amp;q=40.0553449592822,-75.1852143560152")</f>
        <v>http://maps.google.com/maps?f=q&amp;hl=en&amp;geocode=&amp;q=40.0553449592822,-75.1852143560152</v>
      </c>
    </row>
    <row r="10792" spans="1:7" ht="15" x14ac:dyDescent="0.3">
      <c r="A10792">
        <v>39.5642045883408</v>
      </c>
      <c r="B10792">
        <v>-90.132601938524502</v>
      </c>
      <c r="C10792" t="s">
        <v>41</v>
      </c>
      <c r="D10792" t="s">
        <v>3758</v>
      </c>
      <c r="F10792" s="21"/>
      <c r="G10792" s="16" t="str">
        <f>HYPERLINK("http://maps.google.com/maps?f=q&amp;hl=en&amp;geocode=&amp;q=39.5642045883408,-90.1326019385245")</f>
        <v>http://maps.google.com/maps?f=q&amp;hl=en&amp;geocode=&amp;q=39.5642045883408,-90.1326019385245</v>
      </c>
    </row>
    <row r="10793" spans="1:7" ht="15" x14ac:dyDescent="0.3">
      <c r="A10793">
        <v>39.5642045883408</v>
      </c>
      <c r="B10793">
        <v>-90.132601938524502</v>
      </c>
      <c r="C10793" t="s">
        <v>41</v>
      </c>
      <c r="D10793" t="s">
        <v>3758</v>
      </c>
      <c r="F10793" s="21"/>
      <c r="G10793" s="16" t="str">
        <f>HYPERLINK("http://maps.google.com/maps?f=q&amp;hl=en&amp;geocode=&amp;q=39.5642045883408,-90.1326019385245")</f>
        <v>http://maps.google.com/maps?f=q&amp;hl=en&amp;geocode=&amp;q=39.5642045883408,-90.1326019385245</v>
      </c>
    </row>
    <row r="10794" spans="1:7" ht="15" x14ac:dyDescent="0.3">
      <c r="A10794">
        <v>39.5642023482715</v>
      </c>
      <c r="B10794">
        <v>-90.142017543293903</v>
      </c>
      <c r="C10794" t="s">
        <v>41</v>
      </c>
      <c r="D10794" t="s">
        <v>3759</v>
      </c>
      <c r="F10794" s="21"/>
      <c r="G10794" s="16" t="str">
        <f>HYPERLINK("http://maps.google.com/maps?f=q&amp;hl=en&amp;geocode=&amp;q=39.5642023482715,-90.1420175432939")</f>
        <v>http://maps.google.com/maps?f=q&amp;hl=en&amp;geocode=&amp;q=39.5642023482715,-90.1420175432939</v>
      </c>
    </row>
    <row r="10795" spans="1:7" ht="15" x14ac:dyDescent="0.3">
      <c r="A10795">
        <v>39.5642023482715</v>
      </c>
      <c r="B10795">
        <v>-90.142017543293903</v>
      </c>
      <c r="C10795" t="s">
        <v>41</v>
      </c>
      <c r="D10795" t="s">
        <v>3759</v>
      </c>
      <c r="F10795" s="21"/>
      <c r="G10795" s="16" t="str">
        <f>HYPERLINK("http://maps.google.com/maps?f=q&amp;hl=en&amp;geocode=&amp;q=39.5642023482715,-90.1420175432939")</f>
        <v>http://maps.google.com/maps?f=q&amp;hl=en&amp;geocode=&amp;q=39.5642023482715,-90.1420175432939</v>
      </c>
    </row>
    <row r="10796" spans="1:7" ht="15" x14ac:dyDescent="0.3">
      <c r="A10796">
        <v>31.090544000000001</v>
      </c>
      <c r="B10796">
        <v>-97.767481000000004</v>
      </c>
      <c r="C10796" t="s">
        <v>41</v>
      </c>
      <c r="D10796" t="s">
        <v>6098</v>
      </c>
      <c r="F10796" s="21"/>
      <c r="G10796" s="16" t="str">
        <f>HYPERLINK("http://maps.google.com/maps?f=q&amp;hl=en&amp;geocode=&amp;q=31.090544,-97.767481")</f>
        <v>http://maps.google.com/maps?f=q&amp;hl=en&amp;geocode=&amp;q=31.090544,-97.767481</v>
      </c>
    </row>
    <row r="10797" spans="1:7" ht="15" x14ac:dyDescent="0.3">
      <c r="A10797">
        <v>31.028404141084099</v>
      </c>
      <c r="B10797">
        <v>-87.5244504042914</v>
      </c>
      <c r="C10797" t="s">
        <v>41</v>
      </c>
      <c r="D10797" t="s">
        <v>3690</v>
      </c>
      <c r="F10797" s="21"/>
      <c r="G10797" s="16" t="str">
        <f>HYPERLINK("http://maps.google.com/maps?f=q&amp;hl=en&amp;geocode=&amp;q=31.0284041410841,-87.5244504042914")</f>
        <v>http://maps.google.com/maps?f=q&amp;hl=en&amp;geocode=&amp;q=31.0284041410841,-87.5244504042914</v>
      </c>
    </row>
    <row r="10798" spans="1:7" ht="15" x14ac:dyDescent="0.3">
      <c r="A10798">
        <v>31.028232608806299</v>
      </c>
      <c r="B10798">
        <v>-87.524015854744405</v>
      </c>
      <c r="C10798" t="s">
        <v>41</v>
      </c>
      <c r="D10798" t="s">
        <v>4210</v>
      </c>
      <c r="F10798" s="21"/>
      <c r="G10798" s="16" t="str">
        <f>HYPERLINK("http://maps.google.com/maps?f=q&amp;hl=en&amp;geocode=&amp;q=31.0282326088063,-87.5240158547444")</f>
        <v>http://maps.google.com/maps?f=q&amp;hl=en&amp;geocode=&amp;q=31.0282326088063,-87.5240158547444</v>
      </c>
    </row>
    <row r="10799" spans="1:7" ht="15" x14ac:dyDescent="0.3">
      <c r="A10799">
        <v>43.142483858676599</v>
      </c>
      <c r="B10799">
        <v>-96.0976343209352</v>
      </c>
      <c r="C10799" t="s">
        <v>41</v>
      </c>
      <c r="D10799" t="s">
        <v>6099</v>
      </c>
      <c r="F10799" s="21"/>
      <c r="G10799" s="16" t="str">
        <f>HYPERLINK("http://maps.google.com/maps?f=q&amp;hl=en&amp;geocode=&amp;q=43.1424838586766,-96.0976343209352")</f>
        <v>http://maps.google.com/maps?f=q&amp;hl=en&amp;geocode=&amp;q=43.1424838586766,-96.0976343209352</v>
      </c>
    </row>
    <row r="10800" spans="1:7" ht="15" x14ac:dyDescent="0.3">
      <c r="A10800">
        <v>34.272004742409102</v>
      </c>
      <c r="B10800">
        <v>-116.935170361676</v>
      </c>
      <c r="C10800" t="s">
        <v>43</v>
      </c>
      <c r="D10800" t="s">
        <v>4820</v>
      </c>
      <c r="F10800" s="21"/>
      <c r="G10800" s="16" t="str">
        <f>HYPERLINK("http://maps.google.com/maps?f=q&amp;hl=en&amp;geocode=&amp;q=34.2720047424091,-116.935170361676")</f>
        <v>http://maps.google.com/maps?f=q&amp;hl=en&amp;geocode=&amp;q=34.2720047424091,-116.935170361676</v>
      </c>
    </row>
    <row r="10801" spans="1:7" ht="15" x14ac:dyDescent="0.3">
      <c r="A10801">
        <v>41.189891815185497</v>
      </c>
      <c r="B10801">
        <v>-73.426651000976605</v>
      </c>
      <c r="C10801" t="s">
        <v>43</v>
      </c>
      <c r="D10801" t="s">
        <v>6100</v>
      </c>
      <c r="F10801" s="21"/>
      <c r="G10801" s="16" t="str">
        <f>HYPERLINK("http://maps.google.com/maps?f=q&amp;hl=en&amp;geocode=&amp;q=41.1898918151855,-73.4266510009766")</f>
        <v>http://maps.google.com/maps?f=q&amp;hl=en&amp;geocode=&amp;q=41.1898918151855,-73.4266510009766</v>
      </c>
    </row>
    <row r="10802" spans="1:7" ht="15" x14ac:dyDescent="0.3">
      <c r="A10802">
        <v>43.26088</v>
      </c>
      <c r="B10802">
        <v>-112.14492</v>
      </c>
      <c r="C10802" t="s">
        <v>42</v>
      </c>
      <c r="D10802" t="s">
        <v>305</v>
      </c>
      <c r="F10802" s="21"/>
      <c r="G10802" s="16" t="str">
        <f>HYPERLINK("http://maps.google.com/maps?f=q&amp;hl=en&amp;geocode=&amp;q=43.26088,-112.14492")</f>
        <v>http://maps.google.com/maps?f=q&amp;hl=en&amp;geocode=&amp;q=43.26088,-112.14492</v>
      </c>
    </row>
    <row r="10803" spans="1:7" ht="15" x14ac:dyDescent="0.3">
      <c r="A10803" t="s">
        <v>44</v>
      </c>
      <c r="B10803" t="s">
        <v>44</v>
      </c>
      <c r="C10803" t="s">
        <v>44</v>
      </c>
      <c r="D10803" t="s">
        <v>981</v>
      </c>
      <c r="F10803" s="21"/>
      <c r="G10803" s="16"/>
    </row>
    <row r="10804" spans="1:7" ht="15" x14ac:dyDescent="0.3">
      <c r="F10804" s="21"/>
      <c r="G10804" s="16"/>
    </row>
    <row r="10805" spans="1:7" ht="15" x14ac:dyDescent="0.3">
      <c r="A10805">
        <v>55.444797515869098</v>
      </c>
      <c r="B10805">
        <v>12.1309967041016</v>
      </c>
      <c r="C10805" t="s">
        <v>41</v>
      </c>
      <c r="D10805" t="s">
        <v>6101</v>
      </c>
      <c r="F10805" s="21"/>
      <c r="G10805" s="16" t="str">
        <f>HYPERLINK("http://maps.google.com/maps?f=q&amp;hl=en&amp;geocode=&amp;q=55.4447975158691,12.1309967041016")</f>
        <v>http://maps.google.com/maps?f=q&amp;hl=en&amp;geocode=&amp;q=55.4447975158691,12.1309967041016</v>
      </c>
    </row>
    <row r="10806" spans="1:7" ht="15" x14ac:dyDescent="0.3">
      <c r="A10806">
        <v>55.444797515869098</v>
      </c>
      <c r="B10806">
        <v>12.1309967041016</v>
      </c>
      <c r="C10806" t="s">
        <v>41</v>
      </c>
      <c r="D10806" t="s">
        <v>6101</v>
      </c>
      <c r="F10806" s="21"/>
      <c r="G10806" s="16" t="str">
        <f>HYPERLINK("http://maps.google.com/maps?f=q&amp;hl=en&amp;geocode=&amp;q=55.4447975158691,12.1309967041016")</f>
        <v>http://maps.google.com/maps?f=q&amp;hl=en&amp;geocode=&amp;q=55.4447975158691,12.1309967041016</v>
      </c>
    </row>
    <row r="10807" spans="1:7" ht="15" x14ac:dyDescent="0.3">
      <c r="A10807">
        <v>33.657080000000001</v>
      </c>
      <c r="B10807">
        <v>-85.829790000000003</v>
      </c>
      <c r="C10807" t="s">
        <v>43</v>
      </c>
      <c r="D10807" t="s">
        <v>6102</v>
      </c>
      <c r="F10807" s="21"/>
      <c r="G10807" s="16" t="str">
        <f>HYPERLINK("http://maps.google.com/maps?f=q&amp;hl=en&amp;geocode=&amp;q=33.65708,-85.82979")</f>
        <v>http://maps.google.com/maps?f=q&amp;hl=en&amp;geocode=&amp;q=33.65708,-85.82979</v>
      </c>
    </row>
    <row r="10808" spans="1:7" ht="15" x14ac:dyDescent="0.3">
      <c r="A10808">
        <v>39.995550000000001</v>
      </c>
      <c r="B10808">
        <v>-75.165930000000003</v>
      </c>
      <c r="C10808" t="s">
        <v>41</v>
      </c>
      <c r="D10808" t="s">
        <v>2400</v>
      </c>
      <c r="F10808" s="21"/>
      <c r="G10808" s="16" t="str">
        <f>HYPERLINK("http://maps.google.com/maps?f=q&amp;hl=en&amp;geocode=&amp;q=39.99555,-75.16593")</f>
        <v>http://maps.google.com/maps?f=q&amp;hl=en&amp;geocode=&amp;q=39.99555,-75.16593</v>
      </c>
    </row>
    <row r="10809" spans="1:7" ht="15" x14ac:dyDescent="0.3">
      <c r="A10809">
        <v>40.982819787261697</v>
      </c>
      <c r="B10809">
        <v>-93.652910754426102</v>
      </c>
      <c r="C10809" t="s">
        <v>41</v>
      </c>
      <c r="D10809" t="s">
        <v>6103</v>
      </c>
      <c r="F10809" s="21"/>
      <c r="G10809" s="16" t="str">
        <f>HYPERLINK("http://maps.google.com/maps?f=q&amp;hl=en&amp;geocode=&amp;q=40.9828197872617,-93.6529107544261")</f>
        <v>http://maps.google.com/maps?f=q&amp;hl=en&amp;geocode=&amp;q=40.9828197872617,-93.6529107544261</v>
      </c>
    </row>
    <row r="10810" spans="1:7" ht="15" x14ac:dyDescent="0.3">
      <c r="A10810">
        <v>31.531070870062901</v>
      </c>
      <c r="B10810">
        <v>-81.364645665152096</v>
      </c>
      <c r="C10810" t="s">
        <v>41</v>
      </c>
      <c r="D10810" t="s">
        <v>6104</v>
      </c>
      <c r="F10810" s="21"/>
      <c r="G10810" s="16" t="str">
        <f>HYPERLINK("http://maps.google.com/maps?f=q&amp;hl=en&amp;geocode=&amp;q=31.5310708700629,-81.3646456651521")</f>
        <v>http://maps.google.com/maps?f=q&amp;hl=en&amp;geocode=&amp;q=31.5310708700629,-81.3646456651521</v>
      </c>
    </row>
    <row r="10811" spans="1:7" ht="15" x14ac:dyDescent="0.3">
      <c r="A10811">
        <v>42.829813753377501</v>
      </c>
      <c r="B10811">
        <v>-74.491486683752001</v>
      </c>
      <c r="C10811" t="s">
        <v>41</v>
      </c>
      <c r="D10811" t="s">
        <v>3164</v>
      </c>
      <c r="F10811" s="21"/>
      <c r="G10811" s="16" t="str">
        <f>HYPERLINK("http://maps.google.com/maps?f=q&amp;hl=en&amp;geocode=&amp;q=42.8298137533775,-74.491486683752")</f>
        <v>http://maps.google.com/maps?f=q&amp;hl=en&amp;geocode=&amp;q=42.8298137533775,-74.491486683752</v>
      </c>
    </row>
    <row r="10812" spans="1:7" ht="15" x14ac:dyDescent="0.3">
      <c r="A10812" t="s">
        <v>44</v>
      </c>
      <c r="B10812" t="s">
        <v>44</v>
      </c>
      <c r="C10812" t="s">
        <v>44</v>
      </c>
      <c r="D10812" t="s">
        <v>4438</v>
      </c>
      <c r="F10812" s="21"/>
      <c r="G10812" s="16"/>
    </row>
    <row r="10813" spans="1:7" ht="15" x14ac:dyDescent="0.3">
      <c r="A10813">
        <v>38.612372065177397</v>
      </c>
      <c r="B10813">
        <v>-89.049815627286193</v>
      </c>
      <c r="C10813" t="s">
        <v>41</v>
      </c>
      <c r="D10813" t="s">
        <v>6105</v>
      </c>
      <c r="F10813" s="21"/>
      <c r="G10813" s="16" t="str">
        <f>HYPERLINK("http://maps.google.com/maps?f=q&amp;hl=en&amp;geocode=&amp;q=38.6123720651774,-89.0498156272862")</f>
        <v>http://maps.google.com/maps?f=q&amp;hl=en&amp;geocode=&amp;q=38.6123720651774,-89.0498156272862</v>
      </c>
    </row>
    <row r="10814" spans="1:7" ht="15" x14ac:dyDescent="0.3">
      <c r="A10814">
        <v>39.950060000000001</v>
      </c>
      <c r="B10814">
        <v>-75.168139999999994</v>
      </c>
      <c r="C10814" t="s">
        <v>41</v>
      </c>
      <c r="D10814" t="s">
        <v>5999</v>
      </c>
      <c r="F10814" s="21"/>
      <c r="G10814" s="16" t="str">
        <f>HYPERLINK("http://maps.google.com/maps?f=q&amp;hl=en&amp;geocode=&amp;q=39.95006,-75.16814")</f>
        <v>http://maps.google.com/maps?f=q&amp;hl=en&amp;geocode=&amp;q=39.95006,-75.16814</v>
      </c>
    </row>
    <row r="10815" spans="1:7" ht="15" x14ac:dyDescent="0.3">
      <c r="A10815">
        <v>39.147663506092002</v>
      </c>
      <c r="B10815">
        <v>-98.5644995124036</v>
      </c>
      <c r="C10815" t="s">
        <v>41</v>
      </c>
      <c r="D10815" t="s">
        <v>6106</v>
      </c>
      <c r="F10815" s="21"/>
      <c r="G10815" s="16" t="str">
        <f>HYPERLINK("http://maps.google.com/maps?f=q&amp;hl=en&amp;geocode=&amp;q=39.147663506092,-98.5644995124036")</f>
        <v>http://maps.google.com/maps?f=q&amp;hl=en&amp;geocode=&amp;q=39.147663506092,-98.5644995124036</v>
      </c>
    </row>
    <row r="10816" spans="1:7" ht="15" x14ac:dyDescent="0.3">
      <c r="A10816">
        <v>29.583952285976601</v>
      </c>
      <c r="B10816">
        <v>-95.479528683276499</v>
      </c>
      <c r="C10816" t="s">
        <v>43</v>
      </c>
      <c r="D10816" t="s">
        <v>168</v>
      </c>
      <c r="F10816" s="21"/>
      <c r="G10816" s="16" t="str">
        <f>HYPERLINK("http://maps.google.com/maps?f=q&amp;hl=en&amp;geocode=&amp;q=29.5839522859766,-95.4795286832765")</f>
        <v>http://maps.google.com/maps?f=q&amp;hl=en&amp;geocode=&amp;q=29.5839522859766,-95.4795286832765</v>
      </c>
    </row>
    <row r="10817" spans="1:7" ht="15" x14ac:dyDescent="0.3">
      <c r="A10817">
        <v>36.053890000000003</v>
      </c>
      <c r="B10817">
        <v>-79.179389999999998</v>
      </c>
      <c r="C10817" t="s">
        <v>41</v>
      </c>
      <c r="D10817" t="s">
        <v>6107</v>
      </c>
      <c r="F10817" s="21"/>
      <c r="G10817" s="16" t="str">
        <f>HYPERLINK("http://maps.google.com/maps?f=q&amp;hl=en&amp;geocode=&amp;q=36.05389,-79.17939")</f>
        <v>http://maps.google.com/maps?f=q&amp;hl=en&amp;geocode=&amp;q=36.05389,-79.17939</v>
      </c>
    </row>
    <row r="10818" spans="1:7" ht="15" x14ac:dyDescent="0.3">
      <c r="A10818">
        <v>36.053890000000003</v>
      </c>
      <c r="B10818">
        <v>-79.179389999999998</v>
      </c>
      <c r="C10818" t="s">
        <v>41</v>
      </c>
      <c r="D10818" t="s">
        <v>6107</v>
      </c>
      <c r="F10818" s="21"/>
      <c r="G10818" s="16" t="str">
        <f>HYPERLINK("http://maps.google.com/maps?f=q&amp;hl=en&amp;geocode=&amp;q=36.05389,-79.17939")</f>
        <v>http://maps.google.com/maps?f=q&amp;hl=en&amp;geocode=&amp;q=36.05389,-79.17939</v>
      </c>
    </row>
    <row r="10819" spans="1:7" ht="15" x14ac:dyDescent="0.3">
      <c r="A10819">
        <v>36.053890000000003</v>
      </c>
      <c r="B10819">
        <v>-79.179389999999998</v>
      </c>
      <c r="C10819" t="s">
        <v>41</v>
      </c>
      <c r="D10819" t="s">
        <v>6107</v>
      </c>
      <c r="F10819" s="21"/>
      <c r="G10819" s="16" t="str">
        <f>HYPERLINK("http://maps.google.com/maps?f=q&amp;hl=en&amp;geocode=&amp;q=36.05389,-79.17939")</f>
        <v>http://maps.google.com/maps?f=q&amp;hl=en&amp;geocode=&amp;q=36.05389,-79.17939</v>
      </c>
    </row>
    <row r="10820" spans="1:7" ht="15" x14ac:dyDescent="0.3">
      <c r="A10820">
        <v>35.526899999999998</v>
      </c>
      <c r="B10820">
        <v>-97.971119999999999</v>
      </c>
      <c r="C10820" t="s">
        <v>41</v>
      </c>
      <c r="D10820" t="s">
        <v>6108</v>
      </c>
      <c r="F10820" s="21"/>
      <c r="G10820" s="16" t="str">
        <f>HYPERLINK("http://maps.google.com/maps?f=q&amp;hl=en&amp;geocode=&amp;q=35.5269,-97.97112")</f>
        <v>http://maps.google.com/maps?f=q&amp;hl=en&amp;geocode=&amp;q=35.5269,-97.97112</v>
      </c>
    </row>
    <row r="10821" spans="1:7" ht="15" x14ac:dyDescent="0.3">
      <c r="A10821">
        <v>39.950060000000001</v>
      </c>
      <c r="B10821">
        <v>-75.168139999999994</v>
      </c>
      <c r="C10821" t="s">
        <v>41</v>
      </c>
      <c r="D10821" t="s">
        <v>5999</v>
      </c>
      <c r="F10821" s="21"/>
      <c r="G10821" s="16" t="str">
        <f>HYPERLINK("http://maps.google.com/maps?f=q&amp;hl=en&amp;geocode=&amp;q=39.95006,-75.16814")</f>
        <v>http://maps.google.com/maps?f=q&amp;hl=en&amp;geocode=&amp;q=39.95006,-75.16814</v>
      </c>
    </row>
    <row r="10822" spans="1:7" ht="15" x14ac:dyDescent="0.3">
      <c r="A10822">
        <v>40.042947327277503</v>
      </c>
      <c r="B10822">
        <v>-75.100491989710605</v>
      </c>
      <c r="C10822" t="s">
        <v>41</v>
      </c>
      <c r="D10822" t="s">
        <v>2419</v>
      </c>
      <c r="F10822" s="21"/>
      <c r="G10822" s="16" t="str">
        <f>HYPERLINK("http://maps.google.com/maps?f=q&amp;hl=en&amp;geocode=&amp;q=40.0429473272775,-75.1004919897106")</f>
        <v>http://maps.google.com/maps?f=q&amp;hl=en&amp;geocode=&amp;q=40.0429473272775,-75.1004919897106</v>
      </c>
    </row>
    <row r="10823" spans="1:7" ht="15" x14ac:dyDescent="0.3">
      <c r="A10823">
        <v>47.202430725097699</v>
      </c>
      <c r="B10823">
        <v>19.835624694824201</v>
      </c>
      <c r="C10823" t="s">
        <v>43</v>
      </c>
      <c r="D10823" t="s">
        <v>6109</v>
      </c>
      <c r="F10823" s="21"/>
      <c r="G10823" s="16" t="str">
        <f>HYPERLINK("http://maps.google.com/maps?f=q&amp;hl=en&amp;geocode=&amp;q=47.2024307250977,19.8356246948242")</f>
        <v>http://maps.google.com/maps?f=q&amp;hl=en&amp;geocode=&amp;q=47.2024307250977,19.8356246948242</v>
      </c>
    </row>
    <row r="10824" spans="1:7" ht="15" x14ac:dyDescent="0.3">
      <c r="A10824" t="s">
        <v>44</v>
      </c>
      <c r="B10824" t="s">
        <v>44</v>
      </c>
      <c r="C10824" t="s">
        <v>44</v>
      </c>
      <c r="D10824" t="s">
        <v>6110</v>
      </c>
      <c r="F10824" s="21"/>
      <c r="G10824" s="16"/>
    </row>
    <row r="10825" spans="1:7" ht="15" x14ac:dyDescent="0.3">
      <c r="A10825" t="s">
        <v>44</v>
      </c>
      <c r="B10825" t="s">
        <v>44</v>
      </c>
      <c r="C10825" t="s">
        <v>44</v>
      </c>
      <c r="D10825" t="s">
        <v>6110</v>
      </c>
      <c r="F10825" s="21"/>
      <c r="G10825" s="16"/>
    </row>
    <row r="10826" spans="1:7" ht="15" x14ac:dyDescent="0.3">
      <c r="A10826">
        <v>49.79524</v>
      </c>
      <c r="B10826">
        <v>5.0770499999999998</v>
      </c>
      <c r="C10826" t="s">
        <v>41</v>
      </c>
      <c r="D10826" t="s">
        <v>6111</v>
      </c>
      <c r="F10826" s="21"/>
      <c r="G10826" s="16" t="str">
        <f>HYPERLINK("http://maps.google.com/maps?f=q&amp;hl=en&amp;geocode=&amp;q=49.79524,5.07705")</f>
        <v>http://maps.google.com/maps?f=q&amp;hl=en&amp;geocode=&amp;q=49.79524,5.07705</v>
      </c>
    </row>
    <row r="10827" spans="1:7" ht="15" x14ac:dyDescent="0.3">
      <c r="A10827">
        <v>50.2208442687988</v>
      </c>
      <c r="B10827">
        <v>4.2594909667968803</v>
      </c>
      <c r="C10827" t="s">
        <v>43</v>
      </c>
      <c r="D10827" t="s">
        <v>6112</v>
      </c>
      <c r="F10827" s="21"/>
      <c r="G10827" s="16" t="str">
        <f>HYPERLINK("http://maps.google.com/maps?f=q&amp;hl=en&amp;geocode=&amp;q=50.2208442687988,4.25949096679688")</f>
        <v>http://maps.google.com/maps?f=q&amp;hl=en&amp;geocode=&amp;q=50.2208442687988,4.25949096679688</v>
      </c>
    </row>
    <row r="10828" spans="1:7" ht="15" x14ac:dyDescent="0.3">
      <c r="A10828">
        <v>39.950530000000001</v>
      </c>
      <c r="B10828">
        <v>-75.222939999999994</v>
      </c>
      <c r="C10828" t="s">
        <v>41</v>
      </c>
      <c r="D10828" t="s">
        <v>434</v>
      </c>
      <c r="F10828" s="21"/>
      <c r="G10828" s="16" t="str">
        <f>HYPERLINK("http://maps.google.com/maps?f=q&amp;hl=en&amp;geocode=&amp;q=39.95053,-75.22294")</f>
        <v>http://maps.google.com/maps?f=q&amp;hl=en&amp;geocode=&amp;q=39.95053,-75.22294</v>
      </c>
    </row>
    <row r="10829" spans="1:7" ht="15" x14ac:dyDescent="0.3">
      <c r="A10829" t="s">
        <v>44</v>
      </c>
      <c r="B10829" t="s">
        <v>44</v>
      </c>
      <c r="C10829" t="s">
        <v>44</v>
      </c>
      <c r="D10829" t="s">
        <v>6113</v>
      </c>
      <c r="F10829" s="21"/>
      <c r="G10829" s="16"/>
    </row>
    <row r="10830" spans="1:7" ht="15" x14ac:dyDescent="0.3">
      <c r="A10830">
        <v>-26.188575744628899</v>
      </c>
      <c r="B10830">
        <v>27.929327011108398</v>
      </c>
      <c r="C10830" t="s">
        <v>43</v>
      </c>
      <c r="D10830" t="s">
        <v>6114</v>
      </c>
      <c r="F10830" s="21"/>
      <c r="G10830" s="16" t="str">
        <f>HYPERLINK("http://maps.google.com/maps?f=q&amp;hl=en&amp;geocode=&amp;q=-26.1885757446289,27.9293270111084")</f>
        <v>http://maps.google.com/maps?f=q&amp;hl=en&amp;geocode=&amp;q=-26.1885757446289,27.9293270111084</v>
      </c>
    </row>
    <row r="10831" spans="1:7" ht="15" x14ac:dyDescent="0.3">
      <c r="A10831">
        <v>39.992165997050101</v>
      </c>
      <c r="B10831">
        <v>-83.161762079930398</v>
      </c>
      <c r="C10831" t="s">
        <v>42</v>
      </c>
      <c r="D10831" t="s">
        <v>6010</v>
      </c>
      <c r="F10831" s="21"/>
      <c r="G10831" s="16" t="str">
        <f>HYPERLINK("http://maps.google.com/maps?f=q&amp;hl=en&amp;geocode=&amp;q=39.9921659970501,-83.1617620799304")</f>
        <v>http://maps.google.com/maps?f=q&amp;hl=en&amp;geocode=&amp;q=39.9921659970501,-83.1617620799304</v>
      </c>
    </row>
    <row r="10832" spans="1:7" ht="15" x14ac:dyDescent="0.3">
      <c r="A10832" t="s">
        <v>44</v>
      </c>
      <c r="B10832" t="s">
        <v>44</v>
      </c>
      <c r="C10832" t="s">
        <v>44</v>
      </c>
      <c r="D10832" t="s">
        <v>1004</v>
      </c>
      <c r="F10832" s="21"/>
      <c r="G10832" s="16"/>
    </row>
    <row r="10833" spans="1:7" ht="15" x14ac:dyDescent="0.3">
      <c r="A10833">
        <v>39.959980000000002</v>
      </c>
      <c r="B10833">
        <v>-75.237110000000001</v>
      </c>
      <c r="C10833" t="s">
        <v>43</v>
      </c>
      <c r="D10833" t="s">
        <v>6115</v>
      </c>
      <c r="F10833" s="21"/>
      <c r="G10833" s="16" t="str">
        <f>HYPERLINK("http://maps.google.com/maps?f=q&amp;hl=en&amp;geocode=&amp;q=39.95998,-75.23711")</f>
        <v>http://maps.google.com/maps?f=q&amp;hl=en&amp;geocode=&amp;q=39.95998,-75.23711</v>
      </c>
    </row>
    <row r="10834" spans="1:7" ht="15" x14ac:dyDescent="0.3">
      <c r="A10834">
        <v>31.4925842285156</v>
      </c>
      <c r="B10834">
        <v>-92.983482360839801</v>
      </c>
      <c r="C10834" t="s">
        <v>43</v>
      </c>
      <c r="D10834" t="s">
        <v>6116</v>
      </c>
      <c r="F10834" s="21"/>
      <c r="G10834" s="16" t="str">
        <f>HYPERLINK("http://maps.google.com/maps?f=q&amp;hl=en&amp;geocode=&amp;q=31.4925842285156,-92.9834823608398")</f>
        <v>http://maps.google.com/maps?f=q&amp;hl=en&amp;geocode=&amp;q=31.4925842285156,-92.9834823608398</v>
      </c>
    </row>
    <row r="10835" spans="1:7" ht="15" x14ac:dyDescent="0.3">
      <c r="A10835">
        <v>47.032825469970703</v>
      </c>
      <c r="B10835">
        <v>11.004442214965801</v>
      </c>
      <c r="C10835" t="s">
        <v>43</v>
      </c>
      <c r="D10835" t="s">
        <v>6117</v>
      </c>
      <c r="F10835" s="21"/>
      <c r="G10835" s="16" t="str">
        <f>HYPERLINK("http://maps.google.com/maps?f=q&amp;hl=en&amp;geocode=&amp;q=47.0328254699707,11.0044422149658")</f>
        <v>http://maps.google.com/maps?f=q&amp;hl=en&amp;geocode=&amp;q=47.0328254699707,11.0044422149658</v>
      </c>
    </row>
    <row r="10836" spans="1:7" ht="15" x14ac:dyDescent="0.3">
      <c r="A10836">
        <v>36.364945236640601</v>
      </c>
      <c r="B10836">
        <v>-93.551545840616001</v>
      </c>
      <c r="C10836" t="s">
        <v>41</v>
      </c>
      <c r="D10836" t="s">
        <v>6118</v>
      </c>
      <c r="F10836" s="21"/>
      <c r="G10836" s="16" t="str">
        <f>HYPERLINK("http://maps.google.com/maps?f=q&amp;hl=en&amp;geocode=&amp;q=36.3649452366406,-93.551545840616")</f>
        <v>http://maps.google.com/maps?f=q&amp;hl=en&amp;geocode=&amp;q=36.3649452366406,-93.551545840616</v>
      </c>
    </row>
    <row r="10837" spans="1:7" ht="15" x14ac:dyDescent="0.3">
      <c r="A10837">
        <v>32.842897181274502</v>
      </c>
      <c r="B10837">
        <v>-109.825930313925</v>
      </c>
      <c r="C10837" t="s">
        <v>41</v>
      </c>
      <c r="D10837" t="s">
        <v>6119</v>
      </c>
      <c r="F10837" s="21"/>
      <c r="G10837" s="16" t="str">
        <f>HYPERLINK("http://maps.google.com/maps?f=q&amp;hl=en&amp;geocode=&amp;q=32.8428971812745,-109.825930313925")</f>
        <v>http://maps.google.com/maps?f=q&amp;hl=en&amp;geocode=&amp;q=32.8428971812745,-109.825930313925</v>
      </c>
    </row>
    <row r="10838" spans="1:7" ht="15" x14ac:dyDescent="0.3">
      <c r="A10838" t="s">
        <v>44</v>
      </c>
      <c r="B10838" t="s">
        <v>44</v>
      </c>
      <c r="C10838" t="s">
        <v>44</v>
      </c>
      <c r="D10838" t="s">
        <v>235</v>
      </c>
      <c r="F10838" s="21"/>
      <c r="G10838" s="16"/>
    </row>
    <row r="10839" spans="1:7" ht="15" x14ac:dyDescent="0.3">
      <c r="A10839">
        <v>33.575737447170503</v>
      </c>
      <c r="B10839">
        <v>-83.363129312675099</v>
      </c>
      <c r="C10839" t="s">
        <v>41</v>
      </c>
      <c r="D10839" t="s">
        <v>6120</v>
      </c>
      <c r="F10839" s="21"/>
      <c r="G10839" s="16" t="str">
        <f>HYPERLINK("http://maps.google.com/maps?f=q&amp;hl=en&amp;geocode=&amp;q=33.5757374471705,-83.3631293126751")</f>
        <v>http://maps.google.com/maps?f=q&amp;hl=en&amp;geocode=&amp;q=33.5757374471705,-83.3631293126751</v>
      </c>
    </row>
    <row r="10840" spans="1:7" ht="15" x14ac:dyDescent="0.3">
      <c r="A10840">
        <v>45.166260000000001</v>
      </c>
      <c r="B10840">
        <v>-67.292349999999999</v>
      </c>
      <c r="C10840" t="s">
        <v>41</v>
      </c>
      <c r="D10840" t="s">
        <v>1992</v>
      </c>
      <c r="F10840" s="21"/>
      <c r="G10840" s="16" t="str">
        <f>HYPERLINK("http://maps.google.com/maps?f=q&amp;hl=en&amp;geocode=&amp;q=45.16626,-67.29235")</f>
        <v>http://maps.google.com/maps?f=q&amp;hl=en&amp;geocode=&amp;q=45.16626,-67.29235</v>
      </c>
    </row>
    <row r="10841" spans="1:7" ht="15" x14ac:dyDescent="0.3">
      <c r="A10841">
        <v>45.771915435791001</v>
      </c>
      <c r="B10841">
        <v>-68.757453918457003</v>
      </c>
      <c r="C10841" t="s">
        <v>41</v>
      </c>
      <c r="D10841" t="s">
        <v>5639</v>
      </c>
      <c r="F10841" s="21"/>
      <c r="G10841" s="16" t="str">
        <f>HYPERLINK("http://maps.google.com/maps?f=q&amp;hl=en&amp;geocode=&amp;q=45.771915435791,-68.757453918457")</f>
        <v>http://maps.google.com/maps?f=q&amp;hl=en&amp;geocode=&amp;q=45.771915435791,-68.757453918457</v>
      </c>
    </row>
    <row r="10842" spans="1:7" ht="15" x14ac:dyDescent="0.3">
      <c r="A10842">
        <v>42.068548230856798</v>
      </c>
      <c r="B10842">
        <v>-89.277026971492205</v>
      </c>
      <c r="C10842" t="s">
        <v>43</v>
      </c>
      <c r="D10842" t="s">
        <v>6121</v>
      </c>
      <c r="F10842" s="21"/>
      <c r="G10842" s="16" t="str">
        <f>HYPERLINK("http://maps.google.com/maps?f=q&amp;hl=en&amp;geocode=&amp;q=42.0685482308568,-89.2770269714922")</f>
        <v>http://maps.google.com/maps?f=q&amp;hl=en&amp;geocode=&amp;q=42.0685482308568,-89.2770269714922</v>
      </c>
    </row>
    <row r="10843" spans="1:7" ht="15" x14ac:dyDescent="0.3">
      <c r="A10843">
        <v>40.046358110877499</v>
      </c>
      <c r="B10843">
        <v>-75.148806222942198</v>
      </c>
      <c r="C10843" t="s">
        <v>41</v>
      </c>
      <c r="D10843" t="s">
        <v>6122</v>
      </c>
      <c r="F10843" s="21"/>
      <c r="G10843" s="16" t="str">
        <f>HYPERLINK("http://maps.google.com/maps?f=q&amp;hl=en&amp;geocode=&amp;q=40.0463581108775,-75.1488062229422")</f>
        <v>http://maps.google.com/maps?f=q&amp;hl=en&amp;geocode=&amp;q=40.0463581108775,-75.1488062229422</v>
      </c>
    </row>
    <row r="10844" spans="1:7" ht="15" x14ac:dyDescent="0.3">
      <c r="A10844" t="s">
        <v>44</v>
      </c>
      <c r="B10844" t="s">
        <v>44</v>
      </c>
      <c r="C10844" t="s">
        <v>44</v>
      </c>
      <c r="D10844" t="s">
        <v>4438</v>
      </c>
      <c r="F10844" s="21"/>
      <c r="G10844" s="16"/>
    </row>
    <row r="10845" spans="1:7" ht="15" x14ac:dyDescent="0.3">
      <c r="A10845">
        <v>36.180398246908197</v>
      </c>
      <c r="B10845">
        <v>-75.867921165676606</v>
      </c>
      <c r="C10845" t="s">
        <v>43</v>
      </c>
      <c r="D10845" t="s">
        <v>629</v>
      </c>
      <c r="F10845" s="21"/>
      <c r="G10845" s="16" t="str">
        <f>HYPERLINK("http://maps.google.com/maps?f=q&amp;hl=en&amp;geocode=&amp;q=36.1803982469082,-75.8679211656766")</f>
        <v>http://maps.google.com/maps?f=q&amp;hl=en&amp;geocode=&amp;q=36.1803982469082,-75.8679211656766</v>
      </c>
    </row>
    <row r="10846" spans="1:7" ht="15" x14ac:dyDescent="0.3">
      <c r="A10846">
        <v>33.456344876655699</v>
      </c>
      <c r="B10846">
        <v>-111.70465268169301</v>
      </c>
      <c r="C10846" t="s">
        <v>41</v>
      </c>
      <c r="D10846" t="s">
        <v>6123</v>
      </c>
      <c r="F10846" s="21"/>
      <c r="G10846" s="16" t="str">
        <f>HYPERLINK("http://maps.google.com/maps?f=q&amp;hl=en&amp;geocode=&amp;q=33.4563448766557,-111.704652681693")</f>
        <v>http://maps.google.com/maps?f=q&amp;hl=en&amp;geocode=&amp;q=33.4563448766557,-111.704652681693</v>
      </c>
    </row>
    <row r="10847" spans="1:7" ht="15" x14ac:dyDescent="0.3">
      <c r="A10847" t="s">
        <v>44</v>
      </c>
      <c r="B10847" t="s">
        <v>44</v>
      </c>
      <c r="C10847" t="s">
        <v>44</v>
      </c>
      <c r="D10847" t="s">
        <v>6124</v>
      </c>
      <c r="F10847" s="21"/>
      <c r="G10847" s="16"/>
    </row>
    <row r="10848" spans="1:7" ht="15" x14ac:dyDescent="0.3">
      <c r="A10848">
        <v>39.928043845619797</v>
      </c>
      <c r="B10848">
        <v>-75.225011432776597</v>
      </c>
      <c r="C10848" t="s">
        <v>43</v>
      </c>
      <c r="D10848" t="s">
        <v>6125</v>
      </c>
      <c r="F10848" s="21"/>
      <c r="G10848" s="16" t="str">
        <f>HYPERLINK("http://maps.google.com/maps?f=q&amp;hl=en&amp;geocode=&amp;q=39.9280438456198,-75.2250114327766")</f>
        <v>http://maps.google.com/maps?f=q&amp;hl=en&amp;geocode=&amp;q=39.9280438456198,-75.2250114327766</v>
      </c>
    </row>
    <row r="10849" spans="1:7" ht="15" x14ac:dyDescent="0.3">
      <c r="A10849">
        <v>36.753598306818503</v>
      </c>
      <c r="B10849">
        <v>-91.883332458533403</v>
      </c>
      <c r="C10849" t="s">
        <v>41</v>
      </c>
      <c r="D10849" t="s">
        <v>6126</v>
      </c>
      <c r="F10849" s="21"/>
      <c r="G10849" s="16" t="str">
        <f>HYPERLINK("http://maps.google.com/maps?f=q&amp;hl=en&amp;geocode=&amp;q=36.7535983068185,-91.8833324585334")</f>
        <v>http://maps.google.com/maps?f=q&amp;hl=en&amp;geocode=&amp;q=36.7535983068185,-91.8833324585334</v>
      </c>
    </row>
    <row r="10850" spans="1:7" ht="15" x14ac:dyDescent="0.3">
      <c r="A10850">
        <v>42.220357716619397</v>
      </c>
      <c r="B10850">
        <v>-89.716296540193497</v>
      </c>
      <c r="C10850" t="s">
        <v>41</v>
      </c>
      <c r="D10850" t="s">
        <v>6127</v>
      </c>
      <c r="F10850" s="21"/>
      <c r="G10850" s="16" t="str">
        <f>HYPERLINK("http://maps.google.com/maps?f=q&amp;hl=en&amp;geocode=&amp;q=42.2203577166194,-89.7162965401935")</f>
        <v>http://maps.google.com/maps?f=q&amp;hl=en&amp;geocode=&amp;q=42.2203577166194,-89.7162965401935</v>
      </c>
    </row>
    <row r="10851" spans="1:7" ht="15" x14ac:dyDescent="0.3">
      <c r="A10851">
        <v>40.650333235383897</v>
      </c>
      <c r="B10851">
        <v>-73.133124465177104</v>
      </c>
      <c r="C10851" t="s">
        <v>41</v>
      </c>
      <c r="D10851" t="s">
        <v>6128</v>
      </c>
      <c r="F10851" s="21"/>
      <c r="G10851" s="16" t="str">
        <f>HYPERLINK("http://maps.google.com/maps?f=q&amp;hl=en&amp;geocode=&amp;q=40.6503332353839,-73.1331244651771")</f>
        <v>http://maps.google.com/maps?f=q&amp;hl=en&amp;geocode=&amp;q=40.6503332353839,-73.1331244651771</v>
      </c>
    </row>
    <row r="10852" spans="1:7" ht="15" x14ac:dyDescent="0.3">
      <c r="A10852">
        <v>43.049706216103701</v>
      </c>
      <c r="B10852">
        <v>-83.719397930507199</v>
      </c>
      <c r="C10852" t="s">
        <v>41</v>
      </c>
      <c r="D10852" t="s">
        <v>232</v>
      </c>
      <c r="F10852" s="21"/>
      <c r="G10852" s="16" t="str">
        <f>HYPERLINK("http://maps.google.com/maps?f=q&amp;hl=en&amp;geocode=&amp;q=43.0497062161037,-83.7193979305072")</f>
        <v>http://maps.google.com/maps?f=q&amp;hl=en&amp;geocode=&amp;q=43.0497062161037,-83.7193979305072</v>
      </c>
    </row>
    <row r="10853" spans="1:7" ht="15" x14ac:dyDescent="0.3">
      <c r="F10853" s="21"/>
      <c r="G10853" s="16"/>
    </row>
    <row r="10854" spans="1:7" ht="15" x14ac:dyDescent="0.3">
      <c r="F10854" s="21"/>
      <c r="G10854" s="16"/>
    </row>
    <row r="10855" spans="1:7" ht="15" x14ac:dyDescent="0.3">
      <c r="F10855" s="21"/>
      <c r="G10855" s="16"/>
    </row>
    <row r="10856" spans="1:7" ht="15" x14ac:dyDescent="0.3">
      <c r="A10856">
        <v>27.613869999999999</v>
      </c>
      <c r="B10856">
        <v>-81.409710000000004</v>
      </c>
      <c r="C10856" t="s">
        <v>43</v>
      </c>
      <c r="D10856" t="s">
        <v>2184</v>
      </c>
      <c r="F10856" s="21"/>
      <c r="G10856" s="16" t="str">
        <f>HYPERLINK("http://maps.google.com/maps?f=q&amp;hl=en&amp;geocode=&amp;q=27.61387,-81.40971")</f>
        <v>http://maps.google.com/maps?f=q&amp;hl=en&amp;geocode=&amp;q=27.61387,-81.40971</v>
      </c>
    </row>
    <row r="10857" spans="1:7" ht="15" x14ac:dyDescent="0.3">
      <c r="A10857">
        <v>39.972110000000001</v>
      </c>
      <c r="B10857">
        <v>-75.164270000000002</v>
      </c>
      <c r="C10857" t="s">
        <v>43</v>
      </c>
      <c r="D10857" t="s">
        <v>6129</v>
      </c>
      <c r="F10857" s="21"/>
      <c r="G10857" s="16" t="str">
        <f>HYPERLINK("http://maps.google.com/maps?f=q&amp;hl=en&amp;geocode=&amp;q=39.97211,-75.16427")</f>
        <v>http://maps.google.com/maps?f=q&amp;hl=en&amp;geocode=&amp;q=39.97211,-75.16427</v>
      </c>
    </row>
    <row r="10858" spans="1:7" ht="15" x14ac:dyDescent="0.3">
      <c r="A10858">
        <v>31.010861794446299</v>
      </c>
      <c r="B10858">
        <v>-86.338552900126203</v>
      </c>
      <c r="C10858" t="s">
        <v>41</v>
      </c>
      <c r="D10858" t="s">
        <v>5601</v>
      </c>
      <c r="F10858" s="21"/>
      <c r="G10858" s="16" t="str">
        <f>HYPERLINK("http://maps.google.com/maps?f=q&amp;hl=en&amp;geocode=&amp;q=31.0108617944463,-86.3385529001262")</f>
        <v>http://maps.google.com/maps?f=q&amp;hl=en&amp;geocode=&amp;q=31.0108617944463,-86.3385529001262</v>
      </c>
    </row>
    <row r="10859" spans="1:7" ht="15" x14ac:dyDescent="0.3">
      <c r="F10859" s="21"/>
      <c r="G10859" s="16"/>
    </row>
    <row r="10860" spans="1:7" ht="15" x14ac:dyDescent="0.3">
      <c r="A10860">
        <v>39.3029449663211</v>
      </c>
      <c r="B10860">
        <v>-85.765802764411205</v>
      </c>
      <c r="C10860" t="s">
        <v>41</v>
      </c>
      <c r="D10860" t="s">
        <v>4487</v>
      </c>
      <c r="F10860" s="21"/>
      <c r="G10860" s="16" t="str">
        <f>HYPERLINK("http://maps.google.com/maps?f=q&amp;hl=en&amp;geocode=&amp;q=39.3029449663211,-85.7658027644112")</f>
        <v>http://maps.google.com/maps?f=q&amp;hl=en&amp;geocode=&amp;q=39.3029449663211,-85.7658027644112</v>
      </c>
    </row>
    <row r="10861" spans="1:7" ht="15" x14ac:dyDescent="0.3">
      <c r="A10861">
        <v>38.301668790420003</v>
      </c>
      <c r="B10861">
        <v>-75.567919536453601</v>
      </c>
      <c r="C10861" t="s">
        <v>42</v>
      </c>
      <c r="D10861" t="s">
        <v>6130</v>
      </c>
      <c r="F10861" s="21"/>
      <c r="G10861" s="16" t="str">
        <f>HYPERLINK("http://maps.google.com/maps?f=q&amp;hl=en&amp;geocode=&amp;q=38.30166879042,-75.5679195364536")</f>
        <v>http://maps.google.com/maps?f=q&amp;hl=en&amp;geocode=&amp;q=38.30166879042,-75.5679195364536</v>
      </c>
    </row>
    <row r="10862" spans="1:7" ht="15" x14ac:dyDescent="0.3">
      <c r="A10862">
        <v>47.068611145019503</v>
      </c>
      <c r="B10862">
        <v>15.4432697296143</v>
      </c>
      <c r="C10862" t="s">
        <v>41</v>
      </c>
      <c r="D10862" t="s">
        <v>6131</v>
      </c>
      <c r="F10862" s="21"/>
      <c r="G10862" s="16" t="str">
        <f>HYPERLINK("http://maps.google.com/maps?f=q&amp;hl=en&amp;geocode=&amp;q=47.0686111450195,15.4432697296143")</f>
        <v>http://maps.google.com/maps?f=q&amp;hl=en&amp;geocode=&amp;q=47.0686111450195,15.4432697296143</v>
      </c>
    </row>
    <row r="10863" spans="1:7" ht="15" x14ac:dyDescent="0.3">
      <c r="A10863">
        <v>39.934847576707497</v>
      </c>
      <c r="B10863">
        <v>-75.223645136509504</v>
      </c>
      <c r="C10863" t="s">
        <v>41</v>
      </c>
      <c r="D10863" t="s">
        <v>6132</v>
      </c>
      <c r="F10863" s="21"/>
      <c r="G10863" s="16" t="str">
        <f>HYPERLINK("http://maps.google.com/maps?f=q&amp;hl=en&amp;geocode=&amp;q=39.9348475767075,-75.2236451365095")</f>
        <v>http://maps.google.com/maps?f=q&amp;hl=en&amp;geocode=&amp;q=39.9348475767075,-75.2236451365095</v>
      </c>
    </row>
    <row r="10864" spans="1:7" ht="15" x14ac:dyDescent="0.3">
      <c r="A10864">
        <v>38.228270000000002</v>
      </c>
      <c r="B10864">
        <v>-85.695440000000005</v>
      </c>
      <c r="C10864" t="s">
        <v>41</v>
      </c>
      <c r="D10864" t="s">
        <v>6133</v>
      </c>
      <c r="F10864" s="21"/>
      <c r="G10864" s="16" t="str">
        <f>HYPERLINK("http://maps.google.com/maps?f=q&amp;hl=en&amp;geocode=&amp;q=38.22827,-85.69544")</f>
        <v>http://maps.google.com/maps?f=q&amp;hl=en&amp;geocode=&amp;q=38.22827,-85.69544</v>
      </c>
    </row>
    <row r="10865" spans="1:7" ht="15" x14ac:dyDescent="0.3">
      <c r="A10865">
        <v>-28.004280000000001</v>
      </c>
      <c r="B10865">
        <v>153.33539999999999</v>
      </c>
      <c r="C10865" t="s">
        <v>43</v>
      </c>
      <c r="D10865" t="s">
        <v>6134</v>
      </c>
      <c r="F10865" s="21"/>
      <c r="G10865" s="16" t="str">
        <f>HYPERLINK("http://maps.google.com/maps?f=q&amp;hl=en&amp;geocode=&amp;q=-28.00428,153.3354")</f>
        <v>http://maps.google.com/maps?f=q&amp;hl=en&amp;geocode=&amp;q=-28.00428,153.3354</v>
      </c>
    </row>
    <row r="10866" spans="1:7" ht="15" x14ac:dyDescent="0.3">
      <c r="A10866" t="s">
        <v>44</v>
      </c>
      <c r="B10866" t="s">
        <v>44</v>
      </c>
      <c r="C10866" t="s">
        <v>44</v>
      </c>
      <c r="D10866" t="s">
        <v>1004</v>
      </c>
      <c r="F10866" s="21"/>
      <c r="G10866" s="16"/>
    </row>
    <row r="10867" spans="1:7" ht="15" x14ac:dyDescent="0.3">
      <c r="A10867">
        <v>31.356929999999998</v>
      </c>
      <c r="B10867">
        <v>-89.800349999999995</v>
      </c>
      <c r="C10867" t="s">
        <v>43</v>
      </c>
      <c r="D10867" t="s">
        <v>6135</v>
      </c>
      <c r="F10867" s="21"/>
      <c r="G10867" s="16" t="str">
        <f>HYPERLINK("http://maps.google.com/maps?f=q&amp;hl=en&amp;geocode=&amp;q=31.35693,-89.80035")</f>
        <v>http://maps.google.com/maps?f=q&amp;hl=en&amp;geocode=&amp;q=31.35693,-89.80035</v>
      </c>
    </row>
    <row r="10868" spans="1:7" ht="15" x14ac:dyDescent="0.3">
      <c r="A10868">
        <v>31.260744001147799</v>
      </c>
      <c r="B10868">
        <v>-90.438285458838806</v>
      </c>
      <c r="C10868" t="s">
        <v>41</v>
      </c>
      <c r="D10868" t="s">
        <v>6136</v>
      </c>
      <c r="F10868" s="21"/>
      <c r="G10868" s="16" t="str">
        <f>HYPERLINK("http://maps.google.com/maps?f=q&amp;hl=en&amp;geocode=&amp;q=31.2607440011478,-90.4382854588388")</f>
        <v>http://maps.google.com/maps?f=q&amp;hl=en&amp;geocode=&amp;q=31.2607440011478,-90.4382854588388</v>
      </c>
    </row>
    <row r="10869" spans="1:7" ht="15" x14ac:dyDescent="0.3">
      <c r="A10869">
        <v>38.894852213008498</v>
      </c>
      <c r="B10869">
        <v>-84.233245863317606</v>
      </c>
      <c r="C10869" t="s">
        <v>41</v>
      </c>
      <c r="D10869" t="s">
        <v>6137</v>
      </c>
      <c r="F10869" s="21"/>
      <c r="G10869" s="16" t="str">
        <f>HYPERLINK("http://maps.google.com/maps?f=q&amp;hl=en&amp;geocode=&amp;q=38.8948522130085,-84.2332458633176")</f>
        <v>http://maps.google.com/maps?f=q&amp;hl=en&amp;geocode=&amp;q=38.8948522130085,-84.2332458633176</v>
      </c>
    </row>
    <row r="10870" spans="1:7" ht="15" x14ac:dyDescent="0.3">
      <c r="A10870">
        <v>35.655630000000002</v>
      </c>
      <c r="B10870">
        <v>-78.503450000000001</v>
      </c>
      <c r="C10870" t="s">
        <v>41</v>
      </c>
      <c r="D10870" t="s">
        <v>4968</v>
      </c>
      <c r="F10870" s="21"/>
      <c r="G10870" s="16" t="str">
        <f>HYPERLINK("http://maps.google.com/maps?f=q&amp;hl=en&amp;geocode=&amp;q=35.65563,-78.50345")</f>
        <v>http://maps.google.com/maps?f=q&amp;hl=en&amp;geocode=&amp;q=35.65563,-78.50345</v>
      </c>
    </row>
    <row r="10871" spans="1:7" ht="15" x14ac:dyDescent="0.3">
      <c r="A10871">
        <v>-26.143910000000002</v>
      </c>
      <c r="B10871">
        <v>28.331209999999999</v>
      </c>
      <c r="C10871" t="s">
        <v>41</v>
      </c>
      <c r="D10871" t="s">
        <v>6138</v>
      </c>
      <c r="F10871" s="21"/>
      <c r="G10871" s="16" t="str">
        <f>HYPERLINK("http://maps.google.com/maps?f=q&amp;hl=en&amp;geocode=&amp;q=-26.14391,28.33121")</f>
        <v>http://maps.google.com/maps?f=q&amp;hl=en&amp;geocode=&amp;q=-26.14391,28.33121</v>
      </c>
    </row>
    <row r="10872" spans="1:7" ht="15" x14ac:dyDescent="0.3">
      <c r="A10872">
        <v>39.900760650634801</v>
      </c>
      <c r="B10872">
        <v>-76.606178283691406</v>
      </c>
      <c r="C10872" t="s">
        <v>43</v>
      </c>
      <c r="D10872" t="s">
        <v>6139</v>
      </c>
      <c r="F10872" s="21"/>
      <c r="G10872" s="16" t="str">
        <f>HYPERLINK("http://maps.google.com/maps?f=q&amp;hl=en&amp;geocode=&amp;q=39.9007606506348,-76.6061782836914")</f>
        <v>http://maps.google.com/maps?f=q&amp;hl=en&amp;geocode=&amp;q=39.9007606506348,-76.6061782836914</v>
      </c>
    </row>
    <row r="10873" spans="1:7" ht="15" x14ac:dyDescent="0.3">
      <c r="A10873">
        <v>40.018901852138903</v>
      </c>
      <c r="B10873">
        <v>-75.115245230081001</v>
      </c>
      <c r="C10873" t="s">
        <v>41</v>
      </c>
      <c r="D10873" t="s">
        <v>1117</v>
      </c>
      <c r="F10873" s="21"/>
      <c r="G10873" s="16" t="str">
        <f>HYPERLINK("http://maps.google.com/maps?f=q&amp;hl=en&amp;geocode=&amp;q=40.0189018521389,-75.115245230081")</f>
        <v>http://maps.google.com/maps?f=q&amp;hl=en&amp;geocode=&amp;q=40.0189018521389,-75.115245230081</v>
      </c>
    </row>
    <row r="10874" spans="1:7" ht="15" x14ac:dyDescent="0.3">
      <c r="A10874">
        <v>40.018901852138903</v>
      </c>
      <c r="B10874">
        <v>-75.115245230081001</v>
      </c>
      <c r="C10874" t="s">
        <v>41</v>
      </c>
      <c r="D10874" t="s">
        <v>1117</v>
      </c>
      <c r="F10874" s="21"/>
      <c r="G10874" s="16" t="str">
        <f>HYPERLINK("http://maps.google.com/maps?f=q&amp;hl=en&amp;geocode=&amp;q=40.0189018521389,-75.115245230081")</f>
        <v>http://maps.google.com/maps?f=q&amp;hl=en&amp;geocode=&amp;q=40.0189018521389,-75.115245230081</v>
      </c>
    </row>
    <row r="10875" spans="1:7" ht="15" x14ac:dyDescent="0.3">
      <c r="A10875">
        <v>40.020427036841397</v>
      </c>
      <c r="B10875">
        <v>-75.114040848973801</v>
      </c>
      <c r="C10875" t="s">
        <v>41</v>
      </c>
      <c r="D10875" t="s">
        <v>5906</v>
      </c>
      <c r="F10875" s="21"/>
      <c r="G10875" s="16" t="str">
        <f>HYPERLINK("http://maps.google.com/maps?f=q&amp;hl=en&amp;geocode=&amp;q=40.0204270368414,-75.1140408489738")</f>
        <v>http://maps.google.com/maps?f=q&amp;hl=en&amp;geocode=&amp;q=40.0204270368414,-75.1140408489738</v>
      </c>
    </row>
    <row r="10876" spans="1:7" ht="15" x14ac:dyDescent="0.3">
      <c r="A10876">
        <v>40.020427036841397</v>
      </c>
      <c r="B10876">
        <v>-75.114040848973801</v>
      </c>
      <c r="C10876" t="s">
        <v>41</v>
      </c>
      <c r="D10876" t="s">
        <v>5906</v>
      </c>
      <c r="F10876" s="21"/>
      <c r="G10876" s="16" t="str">
        <f>HYPERLINK("http://maps.google.com/maps?f=q&amp;hl=en&amp;geocode=&amp;q=40.0204270368414,-75.1140408489738")</f>
        <v>http://maps.google.com/maps?f=q&amp;hl=en&amp;geocode=&amp;q=40.0204270368414,-75.1140408489738</v>
      </c>
    </row>
    <row r="10877" spans="1:7" ht="15" x14ac:dyDescent="0.3">
      <c r="A10877">
        <v>40.020427036841397</v>
      </c>
      <c r="B10877">
        <v>-75.114040848973801</v>
      </c>
      <c r="C10877" t="s">
        <v>41</v>
      </c>
      <c r="D10877" t="s">
        <v>5906</v>
      </c>
      <c r="F10877" s="21"/>
      <c r="G10877" s="16" t="str">
        <f>HYPERLINK("http://maps.google.com/maps?f=q&amp;hl=en&amp;geocode=&amp;q=40.0204270368414,-75.1140408489738")</f>
        <v>http://maps.google.com/maps?f=q&amp;hl=en&amp;geocode=&amp;q=40.0204270368414,-75.1140408489738</v>
      </c>
    </row>
    <row r="10878" spans="1:7" ht="15" x14ac:dyDescent="0.3">
      <c r="A10878" t="s">
        <v>44</v>
      </c>
      <c r="B10878" t="s">
        <v>44</v>
      </c>
      <c r="C10878" t="s">
        <v>44</v>
      </c>
      <c r="D10878" t="s">
        <v>5605</v>
      </c>
      <c r="F10878" s="21"/>
      <c r="G10878" s="16"/>
    </row>
    <row r="10879" spans="1:7" ht="15" x14ac:dyDescent="0.3">
      <c r="A10879" t="s">
        <v>44</v>
      </c>
      <c r="B10879" t="s">
        <v>44</v>
      </c>
      <c r="C10879" t="s">
        <v>44</v>
      </c>
      <c r="D10879" t="s">
        <v>5605</v>
      </c>
      <c r="F10879" s="21"/>
      <c r="G10879" s="16"/>
    </row>
    <row r="10880" spans="1:7" ht="15" x14ac:dyDescent="0.3">
      <c r="A10880">
        <v>40.018901852138903</v>
      </c>
      <c r="B10880">
        <v>-75.115245230081001</v>
      </c>
      <c r="C10880" t="s">
        <v>41</v>
      </c>
      <c r="D10880" t="s">
        <v>1117</v>
      </c>
      <c r="F10880" s="21"/>
      <c r="G10880" s="16" t="str">
        <f>HYPERLINK("http://maps.google.com/maps?f=q&amp;hl=en&amp;geocode=&amp;q=40.0189018521389,-75.115245230081")</f>
        <v>http://maps.google.com/maps?f=q&amp;hl=en&amp;geocode=&amp;q=40.0189018521389,-75.115245230081</v>
      </c>
    </row>
    <row r="10881" spans="1:7" ht="15" x14ac:dyDescent="0.3">
      <c r="A10881">
        <v>40.018901852138903</v>
      </c>
      <c r="B10881">
        <v>-75.115245230081001</v>
      </c>
      <c r="C10881" t="s">
        <v>41</v>
      </c>
      <c r="D10881" t="s">
        <v>1117</v>
      </c>
      <c r="F10881" s="21"/>
      <c r="G10881" s="16" t="str">
        <f>HYPERLINK("http://maps.google.com/maps?f=q&amp;hl=en&amp;geocode=&amp;q=40.0189018521389,-75.115245230081")</f>
        <v>http://maps.google.com/maps?f=q&amp;hl=en&amp;geocode=&amp;q=40.0189018521389,-75.115245230081</v>
      </c>
    </row>
    <row r="10882" spans="1:7" ht="15" x14ac:dyDescent="0.3">
      <c r="A10882" t="s">
        <v>44</v>
      </c>
      <c r="B10882" t="s">
        <v>44</v>
      </c>
      <c r="C10882" t="s">
        <v>44</v>
      </c>
      <c r="D10882" t="s">
        <v>6140</v>
      </c>
      <c r="F10882" s="21"/>
      <c r="G10882" s="16"/>
    </row>
    <row r="10883" spans="1:7" ht="15" x14ac:dyDescent="0.3">
      <c r="A10883">
        <v>28.445260000000001</v>
      </c>
      <c r="B10883">
        <v>-82.54504</v>
      </c>
      <c r="C10883" t="s">
        <v>42</v>
      </c>
      <c r="D10883" t="s">
        <v>5330</v>
      </c>
      <c r="F10883" s="21"/>
      <c r="G10883" s="16" t="str">
        <f>HYPERLINK("http://maps.google.com/maps?f=q&amp;hl=en&amp;geocode=&amp;q=28.44526,-82.54504")</f>
        <v>http://maps.google.com/maps?f=q&amp;hl=en&amp;geocode=&amp;q=28.44526,-82.54504</v>
      </c>
    </row>
    <row r="10884" spans="1:7" ht="15" x14ac:dyDescent="0.3">
      <c r="A10884">
        <v>32.808229888402501</v>
      </c>
      <c r="B10884">
        <v>-79.857249474710997</v>
      </c>
      <c r="C10884" t="s">
        <v>43</v>
      </c>
      <c r="D10884" t="s">
        <v>6141</v>
      </c>
      <c r="F10884" s="21"/>
      <c r="G10884" s="16" t="str">
        <f>HYPERLINK("http://maps.google.com/maps?f=q&amp;hl=en&amp;geocode=&amp;q=32.8082298884025,-79.857249474711")</f>
        <v>http://maps.google.com/maps?f=q&amp;hl=en&amp;geocode=&amp;q=32.8082298884025,-79.857249474711</v>
      </c>
    </row>
    <row r="10885" spans="1:7" ht="15" x14ac:dyDescent="0.3">
      <c r="F10885" s="21"/>
      <c r="G10885" s="16"/>
    </row>
    <row r="10886" spans="1:7" ht="15" x14ac:dyDescent="0.3">
      <c r="A10886">
        <v>30.054919778428701</v>
      </c>
      <c r="B10886">
        <v>-94.200733280081295</v>
      </c>
      <c r="C10886" t="s">
        <v>41</v>
      </c>
      <c r="D10886" t="s">
        <v>6142</v>
      </c>
      <c r="F10886" s="21"/>
      <c r="G10886" s="16" t="str">
        <f>HYPERLINK("http://maps.google.com/maps?f=q&amp;hl=en&amp;geocode=&amp;q=30.0549197784287,-94.2007332800813")</f>
        <v>http://maps.google.com/maps?f=q&amp;hl=en&amp;geocode=&amp;q=30.0549197784287,-94.2007332800813</v>
      </c>
    </row>
    <row r="10887" spans="1:7" ht="15" x14ac:dyDescent="0.3">
      <c r="A10887">
        <v>34.621390362148098</v>
      </c>
      <c r="B10887">
        <v>-82.1260451203066</v>
      </c>
      <c r="C10887" t="s">
        <v>43</v>
      </c>
      <c r="D10887" t="s">
        <v>4259</v>
      </c>
      <c r="F10887" s="21"/>
      <c r="G10887" s="16" t="str">
        <f>HYPERLINK("http://maps.google.com/maps?f=q&amp;hl=en&amp;geocode=&amp;q=34.6213903621481,-82.1260451203066")</f>
        <v>http://maps.google.com/maps?f=q&amp;hl=en&amp;geocode=&amp;q=34.6213903621481,-82.1260451203066</v>
      </c>
    </row>
    <row r="10888" spans="1:7" ht="15" x14ac:dyDescent="0.3">
      <c r="A10888">
        <v>32.384909999999998</v>
      </c>
      <c r="B10888">
        <v>-86.193430000000006</v>
      </c>
      <c r="C10888" t="s">
        <v>43</v>
      </c>
      <c r="D10888" t="s">
        <v>6143</v>
      </c>
      <c r="F10888" s="21"/>
      <c r="G10888" s="16" t="str">
        <f>HYPERLINK("http://maps.google.com/maps?f=q&amp;hl=en&amp;geocode=&amp;q=32.38491,-86.19343")</f>
        <v>http://maps.google.com/maps?f=q&amp;hl=en&amp;geocode=&amp;q=32.38491,-86.19343</v>
      </c>
    </row>
    <row r="10889" spans="1:7" ht="15" x14ac:dyDescent="0.3">
      <c r="A10889">
        <v>40.033589999999997</v>
      </c>
      <c r="B10889">
        <v>-75.115290000000002</v>
      </c>
      <c r="C10889" t="s">
        <v>43</v>
      </c>
      <c r="D10889" t="s">
        <v>6144</v>
      </c>
      <c r="F10889" s="21"/>
      <c r="G10889" s="16" t="str">
        <f>HYPERLINK("http://maps.google.com/maps?f=q&amp;hl=en&amp;geocode=&amp;q=40.03359,-75.11529")</f>
        <v>http://maps.google.com/maps?f=q&amp;hl=en&amp;geocode=&amp;q=40.03359,-75.11529</v>
      </c>
    </row>
    <row r="10890" spans="1:7" ht="15" x14ac:dyDescent="0.3">
      <c r="A10890">
        <v>40.045259999999999</v>
      </c>
      <c r="B10890">
        <v>-75.094250000000002</v>
      </c>
      <c r="C10890" t="s">
        <v>41</v>
      </c>
      <c r="D10890" t="s">
        <v>6145</v>
      </c>
      <c r="F10890" s="21"/>
      <c r="G10890" s="16" t="str">
        <f>HYPERLINK("http://maps.google.com/maps?f=q&amp;hl=en&amp;geocode=&amp;q=40.04526,-75.09425")</f>
        <v>http://maps.google.com/maps?f=q&amp;hl=en&amp;geocode=&amp;q=40.04526,-75.09425</v>
      </c>
    </row>
    <row r="10891" spans="1:7" ht="15" x14ac:dyDescent="0.3">
      <c r="A10891">
        <v>40.045740000000002</v>
      </c>
      <c r="B10891">
        <v>-75.095939999999999</v>
      </c>
      <c r="C10891" t="s">
        <v>43</v>
      </c>
      <c r="D10891" t="s">
        <v>2596</v>
      </c>
      <c r="F10891" s="21"/>
      <c r="G10891" s="16" t="str">
        <f>HYPERLINK("http://maps.google.com/maps?f=q&amp;hl=en&amp;geocode=&amp;q=40.04574,-75.09594")</f>
        <v>http://maps.google.com/maps?f=q&amp;hl=en&amp;geocode=&amp;q=40.04574,-75.09594</v>
      </c>
    </row>
    <row r="10892" spans="1:7" ht="15" x14ac:dyDescent="0.3">
      <c r="A10892">
        <v>36.585005781981103</v>
      </c>
      <c r="B10892">
        <v>-98.886518899170596</v>
      </c>
      <c r="C10892" t="s">
        <v>41</v>
      </c>
      <c r="D10892" t="s">
        <v>6146</v>
      </c>
      <c r="F10892" s="21"/>
      <c r="G10892" s="16" t="str">
        <f>HYPERLINK("http://maps.google.com/maps?f=q&amp;hl=en&amp;geocode=&amp;q=36.5850057819811,-98.8865188991706")</f>
        <v>http://maps.google.com/maps?f=q&amp;hl=en&amp;geocode=&amp;q=36.5850057819811,-98.8865188991706</v>
      </c>
    </row>
    <row r="10893" spans="1:7" ht="15" x14ac:dyDescent="0.3">
      <c r="A10893">
        <v>41.092744551431998</v>
      </c>
      <c r="B10893">
        <v>-85.112690466210097</v>
      </c>
      <c r="C10893" t="s">
        <v>41</v>
      </c>
      <c r="D10893" t="s">
        <v>6147</v>
      </c>
      <c r="F10893" s="21"/>
      <c r="G10893" s="16" t="str">
        <f>HYPERLINK("http://maps.google.com/maps?f=q&amp;hl=en&amp;geocode=&amp;q=41.092744551432,-85.1126904662101")</f>
        <v>http://maps.google.com/maps?f=q&amp;hl=en&amp;geocode=&amp;q=41.092744551432,-85.1126904662101</v>
      </c>
    </row>
    <row r="10894" spans="1:7" ht="15" x14ac:dyDescent="0.3">
      <c r="A10894">
        <v>42.470289999999999</v>
      </c>
      <c r="B10894">
        <v>-83.077780000000004</v>
      </c>
      <c r="C10894" t="s">
        <v>42</v>
      </c>
      <c r="D10894" t="s">
        <v>88</v>
      </c>
      <c r="F10894" s="21"/>
      <c r="G10894" s="16" t="str">
        <f>HYPERLINK("http://maps.google.com/maps?f=q&amp;hl=en&amp;geocode=&amp;q=42.47029,-83.07778")</f>
        <v>http://maps.google.com/maps?f=q&amp;hl=en&amp;geocode=&amp;q=42.47029,-83.07778</v>
      </c>
    </row>
    <row r="10895" spans="1:7" ht="15" x14ac:dyDescent="0.3">
      <c r="A10895" t="s">
        <v>44</v>
      </c>
      <c r="B10895" t="s">
        <v>44</v>
      </c>
      <c r="C10895" t="s">
        <v>44</v>
      </c>
      <c r="D10895" t="s">
        <v>1004</v>
      </c>
      <c r="F10895" s="21"/>
      <c r="G10895" s="16"/>
    </row>
    <row r="10896" spans="1:7" ht="15" x14ac:dyDescent="0.3">
      <c r="A10896" t="s">
        <v>44</v>
      </c>
      <c r="B10896" t="s">
        <v>44</v>
      </c>
      <c r="C10896" t="s">
        <v>44</v>
      </c>
      <c r="D10896" t="s">
        <v>3255</v>
      </c>
      <c r="F10896" s="21"/>
      <c r="G10896" s="16"/>
    </row>
    <row r="10897" spans="1:7" ht="15" x14ac:dyDescent="0.3">
      <c r="A10897">
        <v>39.950060000000001</v>
      </c>
      <c r="B10897">
        <v>-75.168139999999994</v>
      </c>
      <c r="C10897" t="s">
        <v>41</v>
      </c>
      <c r="D10897" t="s">
        <v>5999</v>
      </c>
      <c r="F10897" s="21"/>
      <c r="G10897" s="16" t="str">
        <f>HYPERLINK("http://maps.google.com/maps?f=q&amp;hl=en&amp;geocode=&amp;q=39.95006,-75.16814")</f>
        <v>http://maps.google.com/maps?f=q&amp;hl=en&amp;geocode=&amp;q=39.95006,-75.16814</v>
      </c>
    </row>
    <row r="10898" spans="1:7" ht="15" x14ac:dyDescent="0.3">
      <c r="A10898">
        <v>-26.034427642822301</v>
      </c>
      <c r="B10898">
        <v>28.5431098937988</v>
      </c>
      <c r="C10898" t="s">
        <v>43</v>
      </c>
      <c r="D10898" t="s">
        <v>6148</v>
      </c>
      <c r="F10898" s="21"/>
      <c r="G10898" s="16" t="str">
        <f>HYPERLINK("http://maps.google.com/maps?f=q&amp;hl=en&amp;geocode=&amp;q=-26.0344276428223,28.5431098937988")</f>
        <v>http://maps.google.com/maps?f=q&amp;hl=en&amp;geocode=&amp;q=-26.0344276428223,28.5431098937988</v>
      </c>
    </row>
    <row r="10899" spans="1:7" ht="15" x14ac:dyDescent="0.3">
      <c r="A10899">
        <v>54.562068939208999</v>
      </c>
      <c r="B10899">
        <v>-125.10440063476599</v>
      </c>
      <c r="C10899" t="s">
        <v>41</v>
      </c>
      <c r="D10899" t="s">
        <v>5686</v>
      </c>
      <c r="F10899" s="21"/>
      <c r="G10899" s="16" t="str">
        <f>HYPERLINK("http://maps.google.com/maps?f=q&amp;hl=en&amp;geocode=&amp;q=54.562068939209,-125.104400634766")</f>
        <v>http://maps.google.com/maps?f=q&amp;hl=en&amp;geocode=&amp;q=54.562068939209,-125.104400634766</v>
      </c>
    </row>
    <row r="10900" spans="1:7" ht="15" x14ac:dyDescent="0.3">
      <c r="A10900">
        <v>54.562068939208999</v>
      </c>
      <c r="B10900">
        <v>-125.10440063476599</v>
      </c>
      <c r="C10900" t="s">
        <v>41</v>
      </c>
      <c r="D10900" t="s">
        <v>5686</v>
      </c>
      <c r="F10900" s="21"/>
      <c r="G10900" s="16" t="str">
        <f>HYPERLINK("http://maps.google.com/maps?f=q&amp;hl=en&amp;geocode=&amp;q=54.562068939209,-125.104400634766")</f>
        <v>http://maps.google.com/maps?f=q&amp;hl=en&amp;geocode=&amp;q=54.562068939209,-125.104400634766</v>
      </c>
    </row>
    <row r="10901" spans="1:7" ht="15" x14ac:dyDescent="0.3">
      <c r="A10901">
        <v>40.981971740722699</v>
      </c>
      <c r="B10901">
        <v>-74.112579345703097</v>
      </c>
      <c r="C10901" t="s">
        <v>41</v>
      </c>
      <c r="D10901" t="s">
        <v>6149</v>
      </c>
      <c r="F10901" s="21"/>
      <c r="G10901" s="16" t="str">
        <f>HYPERLINK("http://maps.google.com/maps?f=q&amp;hl=en&amp;geocode=&amp;q=40.9819717407227,-74.1125793457031")</f>
        <v>http://maps.google.com/maps?f=q&amp;hl=en&amp;geocode=&amp;q=40.9819717407227,-74.1125793457031</v>
      </c>
    </row>
    <row r="10902" spans="1:7" ht="15" x14ac:dyDescent="0.3">
      <c r="A10902">
        <v>37.867830142722099</v>
      </c>
      <c r="B10902">
        <v>-122.26373345886699</v>
      </c>
      <c r="C10902" t="s">
        <v>41</v>
      </c>
      <c r="D10902" t="s">
        <v>6150</v>
      </c>
      <c r="F10902" s="21"/>
      <c r="G10902" s="16" t="str">
        <f>HYPERLINK("http://maps.google.com/maps?f=q&amp;hl=en&amp;geocode=&amp;q=37.8678301427221,-122.263733458867")</f>
        <v>http://maps.google.com/maps?f=q&amp;hl=en&amp;geocode=&amp;q=37.8678301427221,-122.263733458867</v>
      </c>
    </row>
    <row r="10903" spans="1:7" ht="15" x14ac:dyDescent="0.3">
      <c r="A10903">
        <v>38.882356839047603</v>
      </c>
      <c r="B10903">
        <v>-76.938616437646999</v>
      </c>
      <c r="C10903" t="s">
        <v>42</v>
      </c>
      <c r="D10903" t="s">
        <v>6151</v>
      </c>
      <c r="F10903" s="21"/>
      <c r="G10903" s="16" t="str">
        <f>HYPERLINK("http://maps.google.com/maps?f=q&amp;hl=en&amp;geocode=&amp;q=38.8823568390476,-76.938616437647")</f>
        <v>http://maps.google.com/maps?f=q&amp;hl=en&amp;geocode=&amp;q=38.8823568390476,-76.938616437647</v>
      </c>
    </row>
    <row r="10904" spans="1:7" ht="15" x14ac:dyDescent="0.3">
      <c r="A10904">
        <v>-33.848300000000002</v>
      </c>
      <c r="B10904">
        <v>151.12982</v>
      </c>
      <c r="C10904" t="s">
        <v>41</v>
      </c>
      <c r="D10904" t="s">
        <v>6152</v>
      </c>
      <c r="F10904" s="21"/>
      <c r="G10904" s="16" t="str">
        <f>HYPERLINK("http://maps.google.com/maps?f=q&amp;hl=en&amp;geocode=&amp;q=-33.8483,151.12982")</f>
        <v>http://maps.google.com/maps?f=q&amp;hl=en&amp;geocode=&amp;q=-33.8483,151.12982</v>
      </c>
    </row>
    <row r="10905" spans="1:7" ht="15" x14ac:dyDescent="0.3">
      <c r="A10905">
        <v>32.082221916476598</v>
      </c>
      <c r="B10905">
        <v>-83.800202174656306</v>
      </c>
      <c r="C10905" t="s">
        <v>41</v>
      </c>
      <c r="D10905" t="s">
        <v>2230</v>
      </c>
      <c r="F10905" s="21"/>
      <c r="G10905" s="16" t="str">
        <f>HYPERLINK("http://maps.google.com/maps?f=q&amp;hl=en&amp;geocode=&amp;q=32.0822219164766,-83.8002021746563")</f>
        <v>http://maps.google.com/maps?f=q&amp;hl=en&amp;geocode=&amp;q=32.0822219164766,-83.8002021746563</v>
      </c>
    </row>
    <row r="10906" spans="1:7" ht="15" x14ac:dyDescent="0.3">
      <c r="A10906">
        <v>39.840772090956399</v>
      </c>
      <c r="B10906">
        <v>-76.433967386198205</v>
      </c>
      <c r="C10906" t="s">
        <v>41</v>
      </c>
      <c r="D10906" t="s">
        <v>6153</v>
      </c>
      <c r="F10906" s="21"/>
      <c r="G10906" s="16" t="str">
        <f>HYPERLINK("http://maps.google.com/maps?f=q&amp;hl=en&amp;geocode=&amp;q=39.8407720909564,-76.4339673861982")</f>
        <v>http://maps.google.com/maps?f=q&amp;hl=en&amp;geocode=&amp;q=39.8407720909564,-76.4339673861982</v>
      </c>
    </row>
    <row r="10907" spans="1:7" ht="15" x14ac:dyDescent="0.3">
      <c r="A10907">
        <v>40.411692306742701</v>
      </c>
      <c r="B10907">
        <v>-84.471378619169499</v>
      </c>
      <c r="C10907" t="s">
        <v>41</v>
      </c>
      <c r="D10907" t="s">
        <v>6154</v>
      </c>
      <c r="F10907" s="21"/>
      <c r="G10907" s="16" t="str">
        <f>HYPERLINK("http://maps.google.com/maps?f=q&amp;hl=en&amp;geocode=&amp;q=40.4116923067427,-84.4713786191695")</f>
        <v>http://maps.google.com/maps?f=q&amp;hl=en&amp;geocode=&amp;q=40.4116923067427,-84.4713786191695</v>
      </c>
    </row>
    <row r="10908" spans="1:7" ht="15" x14ac:dyDescent="0.3">
      <c r="A10908">
        <v>39.918550000000003</v>
      </c>
      <c r="B10908">
        <v>-75.154229999999998</v>
      </c>
      <c r="C10908" t="s">
        <v>43</v>
      </c>
      <c r="D10908" t="s">
        <v>6155</v>
      </c>
      <c r="F10908" s="21"/>
      <c r="G10908" s="16" t="str">
        <f>HYPERLINK("http://maps.google.com/maps?f=q&amp;hl=en&amp;geocode=&amp;q=39.91855,-75.15423")</f>
        <v>http://maps.google.com/maps?f=q&amp;hl=en&amp;geocode=&amp;q=39.91855,-75.15423</v>
      </c>
    </row>
    <row r="10909" spans="1:7" ht="15" x14ac:dyDescent="0.3">
      <c r="A10909">
        <v>50.780136108398402</v>
      </c>
      <c r="B10909">
        <v>4.2288222312927202</v>
      </c>
      <c r="C10909" t="s">
        <v>43</v>
      </c>
      <c r="D10909" t="s">
        <v>6156</v>
      </c>
      <c r="F10909" s="21"/>
      <c r="G10909" s="16" t="str">
        <f>HYPERLINK("http://maps.google.com/maps?f=q&amp;hl=en&amp;geocode=&amp;q=50.7801361083984,4.22882223129272")</f>
        <v>http://maps.google.com/maps?f=q&amp;hl=en&amp;geocode=&amp;q=50.7801361083984,4.22882223129272</v>
      </c>
    </row>
    <row r="10910" spans="1:7" ht="15" x14ac:dyDescent="0.3">
      <c r="A10910">
        <v>37.241072477694097</v>
      </c>
      <c r="B10910">
        <v>-79.998654977856503</v>
      </c>
      <c r="C10910" t="s">
        <v>41</v>
      </c>
      <c r="D10910" t="s">
        <v>372</v>
      </c>
      <c r="F10910" s="21"/>
      <c r="G10910" s="16" t="str">
        <f>HYPERLINK("http://maps.google.com/maps?f=q&amp;hl=en&amp;geocode=&amp;q=37.2410724776941,-79.9986549778565")</f>
        <v>http://maps.google.com/maps?f=q&amp;hl=en&amp;geocode=&amp;q=37.2410724776941,-79.9986549778565</v>
      </c>
    </row>
    <row r="10911" spans="1:7" ht="15" x14ac:dyDescent="0.3">
      <c r="A10911">
        <v>32.380149841308601</v>
      </c>
      <c r="B10911">
        <v>-86.300079345703097</v>
      </c>
      <c r="C10911" t="s">
        <v>41</v>
      </c>
      <c r="D10911" t="s">
        <v>4651</v>
      </c>
      <c r="F10911" s="21"/>
      <c r="G10911" s="16" t="str">
        <f>HYPERLINK("http://maps.google.com/maps?f=q&amp;hl=en&amp;geocode=&amp;q=32.3801498413086,-86.3000793457031")</f>
        <v>http://maps.google.com/maps?f=q&amp;hl=en&amp;geocode=&amp;q=32.3801498413086,-86.3000793457031</v>
      </c>
    </row>
    <row r="10912" spans="1:7" ht="15" x14ac:dyDescent="0.3">
      <c r="A10912">
        <v>31.010861794446299</v>
      </c>
      <c r="B10912">
        <v>-86.338552900126203</v>
      </c>
      <c r="C10912" t="s">
        <v>41</v>
      </c>
      <c r="D10912" t="s">
        <v>5601</v>
      </c>
      <c r="F10912" s="21"/>
      <c r="G10912" s="16" t="str">
        <f>HYPERLINK("http://maps.google.com/maps?f=q&amp;hl=en&amp;geocode=&amp;q=31.0108617944463,-86.3385529001262")</f>
        <v>http://maps.google.com/maps?f=q&amp;hl=en&amp;geocode=&amp;q=31.0108617944463,-86.3385529001262</v>
      </c>
    </row>
    <row r="10913" spans="1:7" ht="15" x14ac:dyDescent="0.3">
      <c r="A10913">
        <v>40.040280000000003</v>
      </c>
      <c r="B10913">
        <v>-75.120570000000001</v>
      </c>
      <c r="C10913" t="s">
        <v>41</v>
      </c>
      <c r="D10913" t="s">
        <v>5387</v>
      </c>
      <c r="F10913" s="21"/>
      <c r="G10913" s="16" t="str">
        <f>HYPERLINK("http://maps.google.com/maps?f=q&amp;hl=en&amp;geocode=&amp;q=40.04028,-75.12057")</f>
        <v>http://maps.google.com/maps?f=q&amp;hl=en&amp;geocode=&amp;q=40.04028,-75.12057</v>
      </c>
    </row>
    <row r="10914" spans="1:7" ht="15" x14ac:dyDescent="0.3">
      <c r="A10914">
        <v>40.040280000000003</v>
      </c>
      <c r="B10914">
        <v>-75.120570000000001</v>
      </c>
      <c r="C10914" t="s">
        <v>41</v>
      </c>
      <c r="D10914" t="s">
        <v>5387</v>
      </c>
      <c r="F10914" s="21"/>
      <c r="G10914" s="16" t="str">
        <f>HYPERLINK("http://maps.google.com/maps?f=q&amp;hl=en&amp;geocode=&amp;q=40.04028,-75.12057")</f>
        <v>http://maps.google.com/maps?f=q&amp;hl=en&amp;geocode=&amp;q=40.04028,-75.12057</v>
      </c>
    </row>
    <row r="10915" spans="1:7" ht="15" x14ac:dyDescent="0.3">
      <c r="A10915">
        <v>40.433480000000003</v>
      </c>
      <c r="B10915">
        <v>-88.884100000000004</v>
      </c>
      <c r="C10915" t="s">
        <v>42</v>
      </c>
      <c r="D10915" t="s">
        <v>5750</v>
      </c>
      <c r="F10915" s="21"/>
      <c r="G10915" s="16" t="str">
        <f>HYPERLINK("http://maps.google.com/maps?f=q&amp;hl=en&amp;geocode=&amp;q=40.43348,-88.8841")</f>
        <v>http://maps.google.com/maps?f=q&amp;hl=en&amp;geocode=&amp;q=40.43348,-88.8841</v>
      </c>
    </row>
    <row r="10916" spans="1:7" ht="15" x14ac:dyDescent="0.3">
      <c r="A10916">
        <v>40.433480000000003</v>
      </c>
      <c r="B10916">
        <v>-88.884100000000004</v>
      </c>
      <c r="C10916" t="s">
        <v>42</v>
      </c>
      <c r="D10916" t="s">
        <v>5750</v>
      </c>
      <c r="F10916" s="21"/>
      <c r="G10916" s="16" t="str">
        <f>HYPERLINK("http://maps.google.com/maps?f=q&amp;hl=en&amp;geocode=&amp;q=40.43348,-88.8841")</f>
        <v>http://maps.google.com/maps?f=q&amp;hl=en&amp;geocode=&amp;q=40.43348,-88.8841</v>
      </c>
    </row>
    <row r="10917" spans="1:7" ht="15" x14ac:dyDescent="0.3">
      <c r="A10917">
        <v>40.433480000000003</v>
      </c>
      <c r="B10917">
        <v>-88.884100000000004</v>
      </c>
      <c r="C10917" t="s">
        <v>42</v>
      </c>
      <c r="D10917" t="s">
        <v>5750</v>
      </c>
      <c r="F10917" s="21"/>
      <c r="G10917" s="16" t="str">
        <f>HYPERLINK("http://maps.google.com/maps?f=q&amp;hl=en&amp;geocode=&amp;q=40.43348,-88.8841")</f>
        <v>http://maps.google.com/maps?f=q&amp;hl=en&amp;geocode=&amp;q=40.43348,-88.8841</v>
      </c>
    </row>
    <row r="10918" spans="1:7" ht="15" x14ac:dyDescent="0.3">
      <c r="A10918">
        <v>37.092350000000003</v>
      </c>
      <c r="B10918">
        <v>-95.642780000000002</v>
      </c>
      <c r="C10918" t="s">
        <v>42</v>
      </c>
      <c r="D10918" t="s">
        <v>6157</v>
      </c>
      <c r="F10918" s="21"/>
      <c r="G10918" s="16" t="str">
        <f>HYPERLINK("http://maps.google.com/maps?f=q&amp;hl=en&amp;geocode=&amp;q=37.09235,-95.64278")</f>
        <v>http://maps.google.com/maps?f=q&amp;hl=en&amp;geocode=&amp;q=37.09235,-95.64278</v>
      </c>
    </row>
    <row r="10919" spans="1:7" ht="15" x14ac:dyDescent="0.3">
      <c r="A10919">
        <v>37.092350000000003</v>
      </c>
      <c r="B10919">
        <v>-95.642780000000002</v>
      </c>
      <c r="C10919" t="s">
        <v>42</v>
      </c>
      <c r="D10919" t="s">
        <v>6158</v>
      </c>
      <c r="F10919" s="21"/>
      <c r="G10919" s="16" t="str">
        <f>HYPERLINK("http://maps.google.com/maps?f=q&amp;hl=en&amp;geocode=&amp;q=37.09235,-95.64278")</f>
        <v>http://maps.google.com/maps?f=q&amp;hl=en&amp;geocode=&amp;q=37.09235,-95.64278</v>
      </c>
    </row>
    <row r="10920" spans="1:7" ht="15" x14ac:dyDescent="0.3">
      <c r="A10920">
        <v>4.0979199409484899</v>
      </c>
      <c r="B10920">
        <v>26.765430450439499</v>
      </c>
      <c r="C10920" t="s">
        <v>43</v>
      </c>
      <c r="D10920" t="s">
        <v>6159</v>
      </c>
      <c r="F10920" s="21"/>
      <c r="G10920" s="16" t="str">
        <f>HYPERLINK("http://maps.google.com/maps?f=q&amp;hl=en&amp;geocode=&amp;q=4.09791994094849,26.7654304504395")</f>
        <v>http://maps.google.com/maps?f=q&amp;hl=en&amp;geocode=&amp;q=4.09791994094849,26.7654304504395</v>
      </c>
    </row>
    <row r="10921" spans="1:7" ht="15" x14ac:dyDescent="0.3">
      <c r="A10921">
        <v>31.028346963799802</v>
      </c>
      <c r="B10921">
        <v>-87.524305554217307</v>
      </c>
      <c r="C10921" t="s">
        <v>41</v>
      </c>
      <c r="D10921" t="s">
        <v>6020</v>
      </c>
      <c r="F10921" s="21"/>
      <c r="G10921" s="16" t="str">
        <f>HYPERLINK("http://maps.google.com/maps?f=q&amp;hl=en&amp;geocode=&amp;q=31.0283469637998,-87.5243055542173")</f>
        <v>http://maps.google.com/maps?f=q&amp;hl=en&amp;geocode=&amp;q=31.0283469637998,-87.5243055542173</v>
      </c>
    </row>
    <row r="10922" spans="1:7" ht="15" x14ac:dyDescent="0.3">
      <c r="A10922">
        <v>31.028346963799802</v>
      </c>
      <c r="B10922">
        <v>-87.524305554217307</v>
      </c>
      <c r="C10922" t="s">
        <v>41</v>
      </c>
      <c r="D10922" t="s">
        <v>6020</v>
      </c>
      <c r="F10922" s="21"/>
      <c r="G10922" s="16" t="str">
        <f>HYPERLINK("http://maps.google.com/maps?f=q&amp;hl=en&amp;geocode=&amp;q=31.0283469637998,-87.5243055542173")</f>
        <v>http://maps.google.com/maps?f=q&amp;hl=en&amp;geocode=&amp;q=31.0283469637998,-87.5243055542173</v>
      </c>
    </row>
    <row r="10923" spans="1:7" ht="15" x14ac:dyDescent="0.3">
      <c r="A10923">
        <v>31.028346963799802</v>
      </c>
      <c r="B10923">
        <v>-87.524305554217307</v>
      </c>
      <c r="C10923" t="s">
        <v>41</v>
      </c>
      <c r="D10923" t="s">
        <v>6020</v>
      </c>
      <c r="F10923" s="21"/>
      <c r="G10923" s="16" t="str">
        <f>HYPERLINK("http://maps.google.com/maps?f=q&amp;hl=en&amp;geocode=&amp;q=31.0283469637998,-87.5243055542173")</f>
        <v>http://maps.google.com/maps?f=q&amp;hl=en&amp;geocode=&amp;q=31.0283469637998,-87.5243055542173</v>
      </c>
    </row>
    <row r="10924" spans="1:7" ht="15" x14ac:dyDescent="0.3">
      <c r="A10924">
        <v>34.028524290997602</v>
      </c>
      <c r="B10924">
        <v>-84.0255959645052</v>
      </c>
      <c r="C10924" t="s">
        <v>43</v>
      </c>
      <c r="D10924" t="s">
        <v>6160</v>
      </c>
      <c r="F10924" s="21"/>
      <c r="G10924" s="16" t="str">
        <f>HYPERLINK("http://maps.google.com/maps?f=q&amp;hl=en&amp;geocode=&amp;q=34.0285242909976,-84.0255959645052")</f>
        <v>http://maps.google.com/maps?f=q&amp;hl=en&amp;geocode=&amp;q=34.0285242909976,-84.0255959645052</v>
      </c>
    </row>
    <row r="10925" spans="1:7" ht="15" x14ac:dyDescent="0.3">
      <c r="A10925">
        <v>32.750052680761598</v>
      </c>
      <c r="B10925">
        <v>-97.111952666519102</v>
      </c>
      <c r="C10925" t="s">
        <v>42</v>
      </c>
      <c r="D10925" t="s">
        <v>6161</v>
      </c>
      <c r="F10925" s="21"/>
      <c r="G10925" s="16" t="str">
        <f>HYPERLINK("http://maps.google.com/maps?f=q&amp;hl=en&amp;geocode=&amp;q=32.7500526807616,-97.1119526665191")</f>
        <v>http://maps.google.com/maps?f=q&amp;hl=en&amp;geocode=&amp;q=32.7500526807616,-97.1119526665191</v>
      </c>
    </row>
    <row r="10926" spans="1:7" ht="15" x14ac:dyDescent="0.3">
      <c r="A10926">
        <v>47.8032035857306</v>
      </c>
      <c r="B10926">
        <v>-92.275558879736295</v>
      </c>
      <c r="C10926" t="s">
        <v>41</v>
      </c>
      <c r="D10926" t="s">
        <v>6162</v>
      </c>
      <c r="F10926" s="21"/>
      <c r="G10926" s="16" t="str">
        <f>HYPERLINK("http://maps.google.com/maps?f=q&amp;hl=en&amp;geocode=&amp;q=47.8032035857306,-92.2755588797363")</f>
        <v>http://maps.google.com/maps?f=q&amp;hl=en&amp;geocode=&amp;q=47.8032035857306,-92.2755588797363</v>
      </c>
    </row>
    <row r="10927" spans="1:7" ht="15" x14ac:dyDescent="0.3">
      <c r="A10927">
        <v>43.057875406649401</v>
      </c>
      <c r="B10927">
        <v>-85.252916546354896</v>
      </c>
      <c r="C10927" t="s">
        <v>42</v>
      </c>
      <c r="D10927" t="s">
        <v>6163</v>
      </c>
      <c r="F10927" s="21"/>
      <c r="G10927" s="16" t="str">
        <f>HYPERLINK("http://maps.google.com/maps?f=q&amp;hl=en&amp;geocode=&amp;q=43.0578754066494,-85.2529165463549")</f>
        <v>http://maps.google.com/maps?f=q&amp;hl=en&amp;geocode=&amp;q=43.0578754066494,-85.2529165463549</v>
      </c>
    </row>
    <row r="10928" spans="1:7" ht="15" x14ac:dyDescent="0.3">
      <c r="A10928">
        <v>47.524021148681598</v>
      </c>
      <c r="B10928">
        <v>19.067560195922901</v>
      </c>
      <c r="C10928" t="s">
        <v>43</v>
      </c>
      <c r="D10928" t="s">
        <v>4492</v>
      </c>
      <c r="F10928" s="21"/>
      <c r="G10928" s="16" t="str">
        <f>HYPERLINK("http://maps.google.com/maps?f=q&amp;hl=en&amp;geocode=&amp;q=47.5240211486816,19.0675601959229")</f>
        <v>http://maps.google.com/maps?f=q&amp;hl=en&amp;geocode=&amp;q=47.5240211486816,19.0675601959229</v>
      </c>
    </row>
    <row r="10929" spans="1:7" ht="15" x14ac:dyDescent="0.3">
      <c r="A10929">
        <v>41.512193901135497</v>
      </c>
      <c r="B10929">
        <v>-78.230351774811496</v>
      </c>
      <c r="C10929" t="s">
        <v>41</v>
      </c>
      <c r="D10929" t="s">
        <v>6164</v>
      </c>
      <c r="F10929" s="21"/>
      <c r="G10929" s="16" t="str">
        <f>HYPERLINK("http://maps.google.com/maps?f=q&amp;hl=en&amp;geocode=&amp;q=41.5121939011355,-78.2303517748115")</f>
        <v>http://maps.google.com/maps?f=q&amp;hl=en&amp;geocode=&amp;q=41.5121939011355,-78.2303517748115</v>
      </c>
    </row>
    <row r="10930" spans="1:7" ht="15" x14ac:dyDescent="0.3">
      <c r="A10930">
        <v>-39.938659999999999</v>
      </c>
      <c r="B10930">
        <v>176.58796000000001</v>
      </c>
      <c r="C10930" t="s">
        <v>41</v>
      </c>
      <c r="D10930" t="s">
        <v>458</v>
      </c>
      <c r="F10930" s="21"/>
      <c r="G10930" s="16" t="str">
        <f>HYPERLINK("http://maps.google.com/maps?f=q&amp;hl=en&amp;geocode=&amp;q=-39.93866,176.58796")</f>
        <v>http://maps.google.com/maps?f=q&amp;hl=en&amp;geocode=&amp;q=-39.93866,176.58796</v>
      </c>
    </row>
    <row r="10931" spans="1:7" ht="15" x14ac:dyDescent="0.3">
      <c r="A10931">
        <v>42.157688909717997</v>
      </c>
      <c r="B10931">
        <v>-79.948462386443893</v>
      </c>
      <c r="C10931" t="s">
        <v>41</v>
      </c>
      <c r="D10931" t="s">
        <v>3321</v>
      </c>
      <c r="F10931" s="21"/>
      <c r="G10931" s="16" t="str">
        <f>HYPERLINK("http://maps.google.com/maps?f=q&amp;hl=en&amp;geocode=&amp;q=42.157688909718,-79.9484623864439")</f>
        <v>http://maps.google.com/maps?f=q&amp;hl=en&amp;geocode=&amp;q=42.157688909718,-79.9484623864439</v>
      </c>
    </row>
    <row r="10932" spans="1:7" ht="15" x14ac:dyDescent="0.3">
      <c r="A10932">
        <v>40.035910000000001</v>
      </c>
      <c r="B10932">
        <v>-75.185239999999993</v>
      </c>
      <c r="C10932" t="s">
        <v>41</v>
      </c>
      <c r="D10932" t="s">
        <v>6165</v>
      </c>
      <c r="F10932" s="21"/>
      <c r="G10932" s="16" t="str">
        <f>HYPERLINK("http://maps.google.com/maps?f=q&amp;hl=en&amp;geocode=&amp;q=40.03591,-75.18524")</f>
        <v>http://maps.google.com/maps?f=q&amp;hl=en&amp;geocode=&amp;q=40.03591,-75.18524</v>
      </c>
    </row>
    <row r="10933" spans="1:7" ht="15" x14ac:dyDescent="0.3">
      <c r="A10933">
        <v>40.046419999999998</v>
      </c>
      <c r="B10933">
        <v>-75.219380000000001</v>
      </c>
      <c r="C10933" t="s">
        <v>41</v>
      </c>
      <c r="D10933" t="s">
        <v>6166</v>
      </c>
      <c r="F10933" s="21"/>
      <c r="G10933" s="16" t="str">
        <f>HYPERLINK("http://maps.google.com/maps?f=q&amp;hl=en&amp;geocode=&amp;q=40.04642,-75.21938")</f>
        <v>http://maps.google.com/maps?f=q&amp;hl=en&amp;geocode=&amp;q=40.04642,-75.21938</v>
      </c>
    </row>
    <row r="10934" spans="1:7" ht="15" x14ac:dyDescent="0.3">
      <c r="A10934">
        <v>33.101131439208999</v>
      </c>
      <c r="B10934">
        <v>-96.674491882324205</v>
      </c>
      <c r="C10934" t="s">
        <v>43</v>
      </c>
      <c r="D10934" t="s">
        <v>6167</v>
      </c>
      <c r="F10934" s="21"/>
      <c r="G10934" s="16" t="str">
        <f>HYPERLINK("http://maps.google.com/maps?f=q&amp;hl=en&amp;geocode=&amp;q=33.101131439209,-96.6744918823242")</f>
        <v>http://maps.google.com/maps?f=q&amp;hl=en&amp;geocode=&amp;q=33.101131439209,-96.6744918823242</v>
      </c>
    </row>
    <row r="10935" spans="1:7" ht="15" x14ac:dyDescent="0.3">
      <c r="A10935">
        <v>35.739019999999996</v>
      </c>
      <c r="B10935">
        <v>-84.608750000000001</v>
      </c>
      <c r="C10935" t="s">
        <v>43</v>
      </c>
      <c r="D10935" t="s">
        <v>1658</v>
      </c>
      <c r="F10935" s="21"/>
      <c r="G10935" s="16" t="str">
        <f>HYPERLINK("http://maps.google.com/maps?f=q&amp;hl=en&amp;geocode=&amp;q=35.73902,-84.60875")</f>
        <v>http://maps.google.com/maps?f=q&amp;hl=en&amp;geocode=&amp;q=35.73902,-84.60875</v>
      </c>
    </row>
    <row r="10936" spans="1:7" ht="15" x14ac:dyDescent="0.3">
      <c r="A10936">
        <v>-34.031101226806598</v>
      </c>
      <c r="B10936">
        <v>150.99673461914099</v>
      </c>
      <c r="C10936" t="s">
        <v>43</v>
      </c>
      <c r="D10936" t="s">
        <v>6168</v>
      </c>
      <c r="F10936" s="21"/>
      <c r="G10936" s="16" t="str">
        <f>HYPERLINK("http://maps.google.com/maps?f=q&amp;hl=en&amp;geocode=&amp;q=-34.0311012268066,150.996734619141")</f>
        <v>http://maps.google.com/maps?f=q&amp;hl=en&amp;geocode=&amp;q=-34.0311012268066,150.996734619141</v>
      </c>
    </row>
    <row r="10937" spans="1:7" ht="15" x14ac:dyDescent="0.3">
      <c r="A10937">
        <v>-34.031101226806598</v>
      </c>
      <c r="B10937">
        <v>150.99673461914099</v>
      </c>
      <c r="C10937" t="s">
        <v>43</v>
      </c>
      <c r="D10937" t="s">
        <v>6168</v>
      </c>
      <c r="F10937" s="21"/>
      <c r="G10937" s="16" t="str">
        <f>HYPERLINK("http://maps.google.com/maps?f=q&amp;hl=en&amp;geocode=&amp;q=-34.0311012268066,150.996734619141")</f>
        <v>http://maps.google.com/maps?f=q&amp;hl=en&amp;geocode=&amp;q=-34.0311012268066,150.996734619141</v>
      </c>
    </row>
    <row r="10938" spans="1:7" ht="15" x14ac:dyDescent="0.3">
      <c r="A10938">
        <v>-34.031101226806598</v>
      </c>
      <c r="B10938">
        <v>150.99673461914099</v>
      </c>
      <c r="C10938" t="s">
        <v>43</v>
      </c>
      <c r="D10938" t="s">
        <v>6168</v>
      </c>
      <c r="F10938" s="21"/>
      <c r="G10938" s="16" t="str">
        <f>HYPERLINK("http://maps.google.com/maps?f=q&amp;hl=en&amp;geocode=&amp;q=-34.0311012268066,150.996734619141")</f>
        <v>http://maps.google.com/maps?f=q&amp;hl=en&amp;geocode=&amp;q=-34.0311012268066,150.996734619141</v>
      </c>
    </row>
    <row r="10939" spans="1:7" ht="15" x14ac:dyDescent="0.3">
      <c r="A10939">
        <v>41.255760000000002</v>
      </c>
      <c r="B10939">
        <v>-81.447999999999993</v>
      </c>
      <c r="C10939" t="s">
        <v>41</v>
      </c>
      <c r="D10939" t="s">
        <v>3338</v>
      </c>
      <c r="F10939" s="21"/>
      <c r="G10939" s="16" t="str">
        <f>HYPERLINK("http://maps.google.com/maps?f=q&amp;hl=en&amp;geocode=&amp;q=41.25576,-81.448")</f>
        <v>http://maps.google.com/maps?f=q&amp;hl=en&amp;geocode=&amp;q=41.25576,-81.448</v>
      </c>
    </row>
    <row r="10940" spans="1:7" ht="15" x14ac:dyDescent="0.3">
      <c r="A10940">
        <v>40.018901852138903</v>
      </c>
      <c r="B10940">
        <v>-75.115245230081001</v>
      </c>
      <c r="C10940" t="s">
        <v>41</v>
      </c>
      <c r="D10940" t="s">
        <v>1117</v>
      </c>
      <c r="F10940" s="21"/>
      <c r="G10940" s="16" t="str">
        <f>HYPERLINK("http://maps.google.com/maps?f=q&amp;hl=en&amp;geocode=&amp;q=40.0189018521389,-75.115245230081")</f>
        <v>http://maps.google.com/maps?f=q&amp;hl=en&amp;geocode=&amp;q=40.0189018521389,-75.115245230081</v>
      </c>
    </row>
    <row r="10941" spans="1:7" ht="15" x14ac:dyDescent="0.3">
      <c r="A10941">
        <v>27.962392315994201</v>
      </c>
      <c r="B10941">
        <v>-80.585839014088606</v>
      </c>
      <c r="C10941" t="s">
        <v>41</v>
      </c>
      <c r="D10941" t="s">
        <v>6169</v>
      </c>
      <c r="F10941" s="21"/>
      <c r="G10941" s="16" t="str">
        <f>HYPERLINK("http://maps.google.com/maps?f=q&amp;hl=en&amp;geocode=&amp;q=27.9623923159942,-80.5858390140886")</f>
        <v>http://maps.google.com/maps?f=q&amp;hl=en&amp;geocode=&amp;q=27.9623923159942,-80.5858390140886</v>
      </c>
    </row>
    <row r="10942" spans="1:7" ht="15" x14ac:dyDescent="0.3">
      <c r="A10942">
        <v>32.668353752963199</v>
      </c>
      <c r="B10942">
        <v>-84.8696514703894</v>
      </c>
      <c r="C10942" t="s">
        <v>42</v>
      </c>
      <c r="D10942" t="s">
        <v>6170</v>
      </c>
      <c r="F10942" s="21"/>
      <c r="G10942" s="16" t="str">
        <f>HYPERLINK("http://maps.google.com/maps?f=q&amp;hl=en&amp;geocode=&amp;q=32.6683537529632,-84.8696514703894")</f>
        <v>http://maps.google.com/maps?f=q&amp;hl=en&amp;geocode=&amp;q=32.6683537529632,-84.8696514703894</v>
      </c>
    </row>
    <row r="10943" spans="1:7" ht="15" x14ac:dyDescent="0.3">
      <c r="A10943">
        <v>34.621390362148098</v>
      </c>
      <c r="B10943">
        <v>-82.1260451203066</v>
      </c>
      <c r="C10943" t="s">
        <v>43</v>
      </c>
      <c r="D10943" t="s">
        <v>4259</v>
      </c>
      <c r="F10943" s="21"/>
      <c r="G10943" s="16" t="str">
        <f>HYPERLINK("http://maps.google.com/maps?f=q&amp;hl=en&amp;geocode=&amp;q=34.6213903621481,-82.1260451203066")</f>
        <v>http://maps.google.com/maps?f=q&amp;hl=en&amp;geocode=&amp;q=34.6213903621481,-82.1260451203066</v>
      </c>
    </row>
    <row r="10944" spans="1:7" ht="15" x14ac:dyDescent="0.3">
      <c r="A10944">
        <v>34.621390362148098</v>
      </c>
      <c r="B10944">
        <v>-82.1260451203066</v>
      </c>
      <c r="C10944" t="s">
        <v>43</v>
      </c>
      <c r="D10944" t="s">
        <v>4259</v>
      </c>
      <c r="F10944" s="21"/>
      <c r="G10944" s="16" t="str">
        <f>HYPERLINK("http://maps.google.com/maps?f=q&amp;hl=en&amp;geocode=&amp;q=34.6213903621481,-82.1260451203066")</f>
        <v>http://maps.google.com/maps?f=q&amp;hl=en&amp;geocode=&amp;q=34.6213903621481,-82.1260451203066</v>
      </c>
    </row>
    <row r="10945" spans="1:7" ht="15" x14ac:dyDescent="0.3">
      <c r="A10945">
        <v>39.4432563781738</v>
      </c>
      <c r="B10945">
        <v>-98.957336425781307</v>
      </c>
      <c r="C10945" t="s">
        <v>43</v>
      </c>
      <c r="D10945" t="s">
        <v>1940</v>
      </c>
      <c r="F10945" s="21"/>
      <c r="G10945" s="16" t="str">
        <f>HYPERLINK("http://maps.google.com/maps?f=q&amp;hl=en&amp;geocode=&amp;q=39.4432563781738,-98.9573364257813")</f>
        <v>http://maps.google.com/maps?f=q&amp;hl=en&amp;geocode=&amp;q=39.4432563781738,-98.9573364257813</v>
      </c>
    </row>
    <row r="10946" spans="1:7" ht="15" x14ac:dyDescent="0.3">
      <c r="A10946">
        <v>39.4432563781738</v>
      </c>
      <c r="B10946">
        <v>-98.957336425781307</v>
      </c>
      <c r="C10946" t="s">
        <v>43</v>
      </c>
      <c r="D10946" t="s">
        <v>1940</v>
      </c>
      <c r="F10946" s="21"/>
      <c r="G10946" s="16" t="str">
        <f>HYPERLINK("http://maps.google.com/maps?f=q&amp;hl=en&amp;geocode=&amp;q=39.4432563781738,-98.9573364257813")</f>
        <v>http://maps.google.com/maps?f=q&amp;hl=en&amp;geocode=&amp;q=39.4432563781738,-98.9573364257813</v>
      </c>
    </row>
    <row r="10947" spans="1:7" ht="15" x14ac:dyDescent="0.3">
      <c r="A10947">
        <v>39.4432563781738</v>
      </c>
      <c r="B10947">
        <v>-98.957336425781307</v>
      </c>
      <c r="C10947" t="s">
        <v>43</v>
      </c>
      <c r="D10947" t="s">
        <v>1940</v>
      </c>
      <c r="F10947" s="21"/>
      <c r="G10947" s="16" t="str">
        <f>HYPERLINK("http://maps.google.com/maps?f=q&amp;hl=en&amp;geocode=&amp;q=39.4432563781738,-98.9573364257813")</f>
        <v>http://maps.google.com/maps?f=q&amp;hl=en&amp;geocode=&amp;q=39.4432563781738,-98.9573364257813</v>
      </c>
    </row>
    <row r="10948" spans="1:7" ht="15" x14ac:dyDescent="0.3">
      <c r="A10948">
        <v>39.4432563781738</v>
      </c>
      <c r="B10948">
        <v>-98.957336425781307</v>
      </c>
      <c r="C10948" t="s">
        <v>43</v>
      </c>
      <c r="D10948" t="s">
        <v>1940</v>
      </c>
      <c r="F10948" s="21"/>
      <c r="G10948" s="16" t="str">
        <f>HYPERLINK("http://maps.google.com/maps?f=q&amp;hl=en&amp;geocode=&amp;q=39.4432563781738,-98.9573364257813")</f>
        <v>http://maps.google.com/maps?f=q&amp;hl=en&amp;geocode=&amp;q=39.4432563781738,-98.9573364257813</v>
      </c>
    </row>
    <row r="10949" spans="1:7" ht="15" x14ac:dyDescent="0.3">
      <c r="A10949">
        <v>40.121519999999997</v>
      </c>
      <c r="B10949">
        <v>-75.035120000000006</v>
      </c>
      <c r="C10949" t="s">
        <v>41</v>
      </c>
      <c r="D10949" t="s">
        <v>1876</v>
      </c>
      <c r="F10949" s="21"/>
      <c r="G10949" s="16" t="str">
        <f>HYPERLINK("http://maps.google.com/maps?f=q&amp;hl=en&amp;geocode=&amp;q=40.12152,-75.03512")</f>
        <v>http://maps.google.com/maps?f=q&amp;hl=en&amp;geocode=&amp;q=40.12152,-75.03512</v>
      </c>
    </row>
    <row r="10950" spans="1:7" ht="15" x14ac:dyDescent="0.3">
      <c r="A10950">
        <v>40.121519999999997</v>
      </c>
      <c r="B10950">
        <v>-75.035120000000006</v>
      </c>
      <c r="C10950" t="s">
        <v>41</v>
      </c>
      <c r="D10950" t="s">
        <v>1876</v>
      </c>
      <c r="F10950" s="21"/>
      <c r="G10950" s="16" t="str">
        <f>HYPERLINK("http://maps.google.com/maps?f=q&amp;hl=en&amp;geocode=&amp;q=40.12152,-75.03512")</f>
        <v>http://maps.google.com/maps?f=q&amp;hl=en&amp;geocode=&amp;q=40.12152,-75.03512</v>
      </c>
    </row>
    <row r="10951" spans="1:7" ht="15" x14ac:dyDescent="0.3">
      <c r="A10951">
        <v>43.031179999999999</v>
      </c>
      <c r="B10951">
        <v>-83.729839999999996</v>
      </c>
      <c r="C10951" t="s">
        <v>41</v>
      </c>
      <c r="D10951" t="s">
        <v>6171</v>
      </c>
      <c r="F10951" s="21"/>
      <c r="G10951" s="16" t="str">
        <f>HYPERLINK("http://maps.google.com/maps?f=q&amp;hl=en&amp;geocode=&amp;q=43.03118,-83.72984")</f>
        <v>http://maps.google.com/maps?f=q&amp;hl=en&amp;geocode=&amp;q=43.03118,-83.72984</v>
      </c>
    </row>
    <row r="10952" spans="1:7" ht="15" x14ac:dyDescent="0.3">
      <c r="A10952">
        <v>52.209800720214801</v>
      </c>
      <c r="B10952">
        <v>0.111469998955727</v>
      </c>
      <c r="C10952" t="s">
        <v>41</v>
      </c>
      <c r="D10952" t="s">
        <v>6081</v>
      </c>
      <c r="F10952" s="21"/>
      <c r="G10952" s="16" t="str">
        <f>HYPERLINK("http://maps.google.com/maps?f=q&amp;hl=en&amp;geocode=&amp;q=52.2098007202148,0.111469998955727")</f>
        <v>http://maps.google.com/maps?f=q&amp;hl=en&amp;geocode=&amp;q=52.2098007202148,0.111469998955727</v>
      </c>
    </row>
    <row r="10953" spans="1:7" ht="15" x14ac:dyDescent="0.3">
      <c r="A10953">
        <v>19.282154083251999</v>
      </c>
      <c r="B10953">
        <v>-99.246757507324205</v>
      </c>
      <c r="C10953" t="s">
        <v>43</v>
      </c>
      <c r="D10953" t="s">
        <v>6172</v>
      </c>
      <c r="F10953" s="21"/>
      <c r="G10953" s="16" t="str">
        <f>HYPERLINK("http://maps.google.com/maps?f=q&amp;hl=en&amp;geocode=&amp;q=19.282154083252,-99.2467575073242")</f>
        <v>http://maps.google.com/maps?f=q&amp;hl=en&amp;geocode=&amp;q=19.282154083252,-99.2467575073242</v>
      </c>
    </row>
    <row r="10954" spans="1:7" ht="15" x14ac:dyDescent="0.3">
      <c r="A10954">
        <v>32.380149841308601</v>
      </c>
      <c r="B10954">
        <v>-86.300079345703097</v>
      </c>
      <c r="C10954" t="s">
        <v>41</v>
      </c>
      <c r="D10954" t="s">
        <v>4651</v>
      </c>
      <c r="F10954" s="21"/>
      <c r="G10954" s="16" t="str">
        <f>HYPERLINK("http://maps.google.com/maps?f=q&amp;hl=en&amp;geocode=&amp;q=32.3801498413086,-86.3000793457031")</f>
        <v>http://maps.google.com/maps?f=q&amp;hl=en&amp;geocode=&amp;q=32.3801498413086,-86.3000793457031</v>
      </c>
    </row>
    <row r="10955" spans="1:7" ht="15" x14ac:dyDescent="0.3">
      <c r="A10955">
        <v>49.613365173339801</v>
      </c>
      <c r="B10955">
        <v>6.1064939498901403</v>
      </c>
      <c r="C10955" t="s">
        <v>41</v>
      </c>
      <c r="D10955" t="s">
        <v>4405</v>
      </c>
      <c r="F10955" s="21"/>
      <c r="G10955" s="16" t="str">
        <f>HYPERLINK("http://maps.google.com/maps?f=q&amp;hl=en&amp;geocode=&amp;q=49.6133651733398,6.10649394989014")</f>
        <v>http://maps.google.com/maps?f=q&amp;hl=en&amp;geocode=&amp;q=49.6133651733398,6.10649394989014</v>
      </c>
    </row>
    <row r="10956" spans="1:7" ht="15" x14ac:dyDescent="0.3">
      <c r="A10956">
        <v>33.1972846984863</v>
      </c>
      <c r="B10956">
        <v>-87.584518432617202</v>
      </c>
      <c r="C10956" t="s">
        <v>41</v>
      </c>
      <c r="D10956" t="s">
        <v>6173</v>
      </c>
      <c r="F10956" s="21"/>
      <c r="G10956" s="16" t="str">
        <f>HYPERLINK("http://maps.google.com/maps?f=q&amp;hl=en&amp;geocode=&amp;q=33.1972846984863,-87.5845184326172")</f>
        <v>http://maps.google.com/maps?f=q&amp;hl=en&amp;geocode=&amp;q=33.1972846984863,-87.5845184326172</v>
      </c>
    </row>
    <row r="10957" spans="1:7" ht="15" x14ac:dyDescent="0.3">
      <c r="A10957">
        <v>42.754152799243201</v>
      </c>
      <c r="B10957">
        <v>-89.269461915482907</v>
      </c>
      <c r="C10957" t="s">
        <v>41</v>
      </c>
      <c r="D10957" t="s">
        <v>6174</v>
      </c>
      <c r="F10957" s="21"/>
      <c r="G10957" s="16" t="str">
        <f>HYPERLINK("http://maps.google.com/maps?f=q&amp;hl=en&amp;geocode=&amp;q=42.7541527992432,-89.2694619154829")</f>
        <v>http://maps.google.com/maps?f=q&amp;hl=en&amp;geocode=&amp;q=42.7541527992432,-89.2694619154829</v>
      </c>
    </row>
    <row r="10958" spans="1:7" ht="15" x14ac:dyDescent="0.3">
      <c r="A10958">
        <v>40.020084588387</v>
      </c>
      <c r="B10958">
        <v>-75.171899245459898</v>
      </c>
      <c r="C10958" t="s">
        <v>41</v>
      </c>
      <c r="D10958" t="s">
        <v>6175</v>
      </c>
      <c r="F10958" s="21"/>
      <c r="G10958" s="16" t="str">
        <f>HYPERLINK("http://maps.google.com/maps?f=q&amp;hl=en&amp;geocode=&amp;q=40.020084588387,-75.1718992454599")</f>
        <v>http://maps.google.com/maps?f=q&amp;hl=en&amp;geocode=&amp;q=40.020084588387,-75.1718992454599</v>
      </c>
    </row>
    <row r="10959" spans="1:7" ht="15" x14ac:dyDescent="0.3">
      <c r="A10959" t="s">
        <v>44</v>
      </c>
      <c r="B10959" t="s">
        <v>44</v>
      </c>
      <c r="C10959" t="s">
        <v>44</v>
      </c>
      <c r="D10959" t="s">
        <v>6176</v>
      </c>
      <c r="F10959" s="21"/>
      <c r="G10959" s="16"/>
    </row>
    <row r="10960" spans="1:7" ht="15" x14ac:dyDescent="0.3">
      <c r="A10960" t="s">
        <v>44</v>
      </c>
      <c r="B10960" t="s">
        <v>44</v>
      </c>
      <c r="C10960" t="s">
        <v>44</v>
      </c>
      <c r="D10960" t="s">
        <v>6176</v>
      </c>
      <c r="F10960" s="21"/>
      <c r="G10960" s="16"/>
    </row>
    <row r="10961" spans="1:7" ht="15" x14ac:dyDescent="0.3">
      <c r="A10961" t="s">
        <v>44</v>
      </c>
      <c r="B10961" t="s">
        <v>44</v>
      </c>
      <c r="C10961" t="s">
        <v>44</v>
      </c>
      <c r="D10961" t="s">
        <v>6176</v>
      </c>
      <c r="F10961" s="21"/>
      <c r="G10961" s="16"/>
    </row>
    <row r="10962" spans="1:7" ht="15" x14ac:dyDescent="0.3">
      <c r="A10962" t="s">
        <v>44</v>
      </c>
      <c r="B10962" t="s">
        <v>44</v>
      </c>
      <c r="C10962" t="s">
        <v>44</v>
      </c>
      <c r="D10962" t="s">
        <v>6177</v>
      </c>
      <c r="F10962" s="21"/>
      <c r="G10962" s="16"/>
    </row>
    <row r="10963" spans="1:7" ht="15" x14ac:dyDescent="0.3">
      <c r="A10963">
        <v>38.761949999999999</v>
      </c>
      <c r="B10963">
        <v>-77.069360000000003</v>
      </c>
      <c r="C10963" t="s">
        <v>42</v>
      </c>
      <c r="D10963" t="s">
        <v>6178</v>
      </c>
      <c r="F10963" s="21"/>
      <c r="G10963" s="16" t="str">
        <f>HYPERLINK("http://maps.google.com/maps?f=q&amp;hl=en&amp;geocode=&amp;q=38.76195,-77.06936")</f>
        <v>http://maps.google.com/maps?f=q&amp;hl=en&amp;geocode=&amp;q=38.76195,-77.06936</v>
      </c>
    </row>
    <row r="10964" spans="1:7" ht="15" x14ac:dyDescent="0.3">
      <c r="A10964">
        <v>38.761949999999999</v>
      </c>
      <c r="B10964">
        <v>-77.069360000000003</v>
      </c>
      <c r="C10964" t="s">
        <v>42</v>
      </c>
      <c r="D10964" t="s">
        <v>6178</v>
      </c>
      <c r="F10964" s="21"/>
      <c r="G10964" s="16" t="str">
        <f>HYPERLINK("http://maps.google.com/maps?f=q&amp;hl=en&amp;geocode=&amp;q=38.76195,-77.06936")</f>
        <v>http://maps.google.com/maps?f=q&amp;hl=en&amp;geocode=&amp;q=38.76195,-77.06936</v>
      </c>
    </row>
    <row r="10965" spans="1:7" ht="15" x14ac:dyDescent="0.3">
      <c r="A10965">
        <v>38.761949999999999</v>
      </c>
      <c r="B10965">
        <v>-77.069360000000003</v>
      </c>
      <c r="C10965" t="s">
        <v>42</v>
      </c>
      <c r="D10965" t="s">
        <v>6178</v>
      </c>
      <c r="F10965" s="21"/>
      <c r="G10965" s="16" t="str">
        <f>HYPERLINK("http://maps.google.com/maps?f=q&amp;hl=en&amp;geocode=&amp;q=38.76195,-77.06936")</f>
        <v>http://maps.google.com/maps?f=q&amp;hl=en&amp;geocode=&amp;q=38.76195,-77.06936</v>
      </c>
    </row>
    <row r="10966" spans="1:7" ht="15" x14ac:dyDescent="0.3">
      <c r="A10966">
        <v>46.955040910953102</v>
      </c>
      <c r="B10966">
        <v>-114.011424534187</v>
      </c>
      <c r="C10966" t="s">
        <v>41</v>
      </c>
      <c r="D10966" t="s">
        <v>4457</v>
      </c>
      <c r="F10966" s="21"/>
      <c r="G10966" s="16" t="str">
        <f>HYPERLINK("http://maps.google.com/maps?f=q&amp;hl=en&amp;geocode=&amp;q=46.9550409109531,-114.011424534187")</f>
        <v>http://maps.google.com/maps?f=q&amp;hl=en&amp;geocode=&amp;q=46.9550409109531,-114.011424534187</v>
      </c>
    </row>
    <row r="10967" spans="1:7" ht="15" x14ac:dyDescent="0.3">
      <c r="A10967" t="s">
        <v>44</v>
      </c>
      <c r="B10967" t="s">
        <v>44</v>
      </c>
      <c r="C10967" t="s">
        <v>44</v>
      </c>
      <c r="D10967" t="s">
        <v>6179</v>
      </c>
      <c r="F10967" s="21"/>
      <c r="G10967" s="16"/>
    </row>
    <row r="10968" spans="1:7" ht="15" x14ac:dyDescent="0.3">
      <c r="A10968">
        <v>-26.512306213378899</v>
      </c>
      <c r="B10968">
        <v>28.428449630737301</v>
      </c>
      <c r="C10968" t="s">
        <v>43</v>
      </c>
      <c r="D10968" t="s">
        <v>6180</v>
      </c>
      <c r="F10968" s="21"/>
      <c r="G10968" s="16" t="str">
        <f>HYPERLINK("http://maps.google.com/maps?f=q&amp;hl=en&amp;geocode=&amp;q=-26.5123062133789,28.4284496307373")</f>
        <v>http://maps.google.com/maps?f=q&amp;hl=en&amp;geocode=&amp;q=-26.5123062133789,28.4284496307373</v>
      </c>
    </row>
    <row r="10969" spans="1:7" ht="15" x14ac:dyDescent="0.3">
      <c r="A10969">
        <v>43.121498107910199</v>
      </c>
      <c r="B10969">
        <v>17.316139221191399</v>
      </c>
      <c r="C10969" t="s">
        <v>41</v>
      </c>
      <c r="D10969" t="s">
        <v>6181</v>
      </c>
      <c r="F10969" s="21"/>
      <c r="G10969" s="16" t="str">
        <f>HYPERLINK("http://maps.google.com/maps?f=q&amp;hl=en&amp;geocode=&amp;q=43.1214981079102,17.3161392211914")</f>
        <v>http://maps.google.com/maps?f=q&amp;hl=en&amp;geocode=&amp;q=43.1214981079102,17.3161392211914</v>
      </c>
    </row>
    <row r="10970" spans="1:7" ht="15" x14ac:dyDescent="0.3">
      <c r="A10970" t="s">
        <v>44</v>
      </c>
      <c r="B10970" t="s">
        <v>44</v>
      </c>
      <c r="C10970" t="s">
        <v>44</v>
      </c>
      <c r="D10970" t="s">
        <v>5418</v>
      </c>
      <c r="F10970" s="21"/>
      <c r="G10970" s="16"/>
    </row>
    <row r="10971" spans="1:7" ht="15" x14ac:dyDescent="0.3">
      <c r="A10971" t="s">
        <v>44</v>
      </c>
      <c r="B10971" t="s">
        <v>44</v>
      </c>
      <c r="C10971" t="s">
        <v>44</v>
      </c>
      <c r="D10971" t="s">
        <v>5418</v>
      </c>
      <c r="F10971" s="21"/>
      <c r="G10971" s="16"/>
    </row>
    <row r="10972" spans="1:7" ht="15" x14ac:dyDescent="0.3">
      <c r="A10972" t="s">
        <v>44</v>
      </c>
      <c r="B10972" t="s">
        <v>44</v>
      </c>
      <c r="C10972" t="s">
        <v>44</v>
      </c>
      <c r="D10972" t="s">
        <v>5418</v>
      </c>
      <c r="F10972" s="21"/>
      <c r="G10972" s="16"/>
    </row>
    <row r="10973" spans="1:7" ht="15" x14ac:dyDescent="0.3">
      <c r="A10973">
        <v>40.297224438793897</v>
      </c>
      <c r="B10973">
        <v>-78.5909871480943</v>
      </c>
      <c r="C10973" t="s">
        <v>41</v>
      </c>
      <c r="D10973" t="s">
        <v>6182</v>
      </c>
      <c r="F10973" s="21"/>
      <c r="G10973" s="16" t="str">
        <f>HYPERLINK("http://maps.google.com/maps?f=q&amp;hl=en&amp;geocode=&amp;q=40.2972244387939,-78.5909871480943")</f>
        <v>http://maps.google.com/maps?f=q&amp;hl=en&amp;geocode=&amp;q=40.2972244387939,-78.5909871480943</v>
      </c>
    </row>
    <row r="10974" spans="1:7" ht="15" x14ac:dyDescent="0.3">
      <c r="A10974">
        <v>40.018901852138903</v>
      </c>
      <c r="B10974">
        <v>-75.115245230081001</v>
      </c>
      <c r="C10974" t="s">
        <v>41</v>
      </c>
      <c r="D10974" t="s">
        <v>1117</v>
      </c>
      <c r="F10974" s="21"/>
      <c r="G10974" s="16" t="str">
        <f>HYPERLINK("http://maps.google.com/maps?f=q&amp;hl=en&amp;geocode=&amp;q=40.0189018521389,-75.115245230081")</f>
        <v>http://maps.google.com/maps?f=q&amp;hl=en&amp;geocode=&amp;q=40.0189018521389,-75.115245230081</v>
      </c>
    </row>
    <row r="10975" spans="1:7" ht="15" x14ac:dyDescent="0.3">
      <c r="A10975">
        <v>40.018901852138903</v>
      </c>
      <c r="B10975">
        <v>-75.115245230081001</v>
      </c>
      <c r="C10975" t="s">
        <v>41</v>
      </c>
      <c r="D10975" t="s">
        <v>1117</v>
      </c>
      <c r="F10975" s="21"/>
      <c r="G10975" s="16" t="str">
        <f>HYPERLINK("http://maps.google.com/maps?f=q&amp;hl=en&amp;geocode=&amp;q=40.0189018521389,-75.115245230081")</f>
        <v>http://maps.google.com/maps?f=q&amp;hl=en&amp;geocode=&amp;q=40.0189018521389,-75.115245230081</v>
      </c>
    </row>
    <row r="10976" spans="1:7" ht="15" x14ac:dyDescent="0.3">
      <c r="A10976">
        <v>39.925469999999997</v>
      </c>
      <c r="B10976">
        <v>-75.228359999999995</v>
      </c>
      <c r="C10976" t="s">
        <v>41</v>
      </c>
      <c r="D10976" t="s">
        <v>6183</v>
      </c>
      <c r="F10976" s="21"/>
      <c r="G10976" s="16" t="str">
        <f>HYPERLINK("http://maps.google.com/maps?f=q&amp;hl=en&amp;geocode=&amp;q=39.92547,-75.22836")</f>
        <v>http://maps.google.com/maps?f=q&amp;hl=en&amp;geocode=&amp;q=39.92547,-75.22836</v>
      </c>
    </row>
    <row r="10977" spans="1:7" ht="15" x14ac:dyDescent="0.3">
      <c r="A10977" t="s">
        <v>44</v>
      </c>
      <c r="B10977" t="s">
        <v>44</v>
      </c>
      <c r="C10977" t="s">
        <v>44</v>
      </c>
      <c r="D10977" t="s">
        <v>6184</v>
      </c>
      <c r="F10977" s="21"/>
      <c r="G10977" s="16"/>
    </row>
    <row r="10978" spans="1:7" ht="15" x14ac:dyDescent="0.3">
      <c r="A10978">
        <v>39.980200000000004</v>
      </c>
      <c r="B10978">
        <v>-75.156549999999996</v>
      </c>
      <c r="C10978" t="s">
        <v>43</v>
      </c>
      <c r="D10978" t="s">
        <v>4195</v>
      </c>
      <c r="F10978" s="21"/>
      <c r="G10978" s="16" t="str">
        <f>HYPERLINK("http://maps.google.com/maps?f=q&amp;hl=en&amp;geocode=&amp;q=39.9802,-75.15655")</f>
        <v>http://maps.google.com/maps?f=q&amp;hl=en&amp;geocode=&amp;q=39.9802,-75.15655</v>
      </c>
    </row>
    <row r="10979" spans="1:7" ht="15" x14ac:dyDescent="0.3">
      <c r="A10979" t="s">
        <v>44</v>
      </c>
      <c r="B10979" t="s">
        <v>44</v>
      </c>
      <c r="C10979" t="s">
        <v>44</v>
      </c>
      <c r="D10979" t="s">
        <v>3767</v>
      </c>
      <c r="F10979" s="21"/>
      <c r="G10979" s="16"/>
    </row>
    <row r="10980" spans="1:7" ht="15" x14ac:dyDescent="0.3">
      <c r="A10980">
        <v>42.999576568603501</v>
      </c>
      <c r="B10980">
        <v>-107.551513671875</v>
      </c>
      <c r="C10980" t="s">
        <v>41</v>
      </c>
      <c r="D10980" t="s">
        <v>5909</v>
      </c>
      <c r="F10980" s="21"/>
      <c r="G10980" s="16" t="str">
        <f>HYPERLINK("http://maps.google.com/maps?f=q&amp;hl=en&amp;geocode=&amp;q=42.9995765686035,-107.551513671875")</f>
        <v>http://maps.google.com/maps?f=q&amp;hl=en&amp;geocode=&amp;q=42.9995765686035,-107.551513671875</v>
      </c>
    </row>
    <row r="10981" spans="1:7" ht="15" x14ac:dyDescent="0.3">
      <c r="A10981">
        <v>42.999576568603501</v>
      </c>
      <c r="B10981">
        <v>-107.551513671875</v>
      </c>
      <c r="C10981" t="s">
        <v>41</v>
      </c>
      <c r="D10981" t="s">
        <v>6185</v>
      </c>
      <c r="F10981" s="21"/>
      <c r="G10981" s="16" t="str">
        <f>HYPERLINK("http://maps.google.com/maps?f=q&amp;hl=en&amp;geocode=&amp;q=42.9995765686035,-107.551513671875")</f>
        <v>http://maps.google.com/maps?f=q&amp;hl=en&amp;geocode=&amp;q=42.9995765686035,-107.551513671875</v>
      </c>
    </row>
    <row r="10982" spans="1:7" ht="15" x14ac:dyDescent="0.3">
      <c r="A10982">
        <v>35.924320000000002</v>
      </c>
      <c r="B10982">
        <v>-86.925910000000002</v>
      </c>
      <c r="C10982" t="s">
        <v>41</v>
      </c>
      <c r="D10982" t="s">
        <v>4921</v>
      </c>
      <c r="F10982" s="21"/>
      <c r="G10982" s="16" t="str">
        <f>HYPERLINK("http://maps.google.com/maps?f=q&amp;hl=en&amp;geocode=&amp;q=35.92432,-86.92591")</f>
        <v>http://maps.google.com/maps?f=q&amp;hl=en&amp;geocode=&amp;q=35.92432,-86.92591</v>
      </c>
    </row>
    <row r="10983" spans="1:7" ht="15" x14ac:dyDescent="0.3">
      <c r="A10983">
        <v>33.752352999999999</v>
      </c>
      <c r="B10983">
        <v>-86.710181000000006</v>
      </c>
      <c r="C10983" t="s">
        <v>41</v>
      </c>
      <c r="D10983" t="s">
        <v>1251</v>
      </c>
      <c r="F10983" s="21"/>
      <c r="G10983" s="16" t="str">
        <f>HYPERLINK("http://maps.google.com/maps?f=q&amp;hl=en&amp;geocode=&amp;q=33.752353,-86.710181")</f>
        <v>http://maps.google.com/maps?f=q&amp;hl=en&amp;geocode=&amp;q=33.752353,-86.710181</v>
      </c>
    </row>
    <row r="10984" spans="1:7" ht="15" x14ac:dyDescent="0.3">
      <c r="A10984">
        <v>39.990184966231602</v>
      </c>
      <c r="B10984">
        <v>-88.263939006029901</v>
      </c>
      <c r="C10984" t="s">
        <v>41</v>
      </c>
      <c r="D10984" t="s">
        <v>6186</v>
      </c>
      <c r="F10984" s="21"/>
      <c r="G10984" s="16" t="str">
        <f>HYPERLINK("http://maps.google.com/maps?f=q&amp;hl=en&amp;geocode=&amp;q=39.9901849662316,-88.2639390060299")</f>
        <v>http://maps.google.com/maps?f=q&amp;hl=en&amp;geocode=&amp;q=39.9901849662316,-88.2639390060299</v>
      </c>
    </row>
    <row r="10985" spans="1:7" ht="15" x14ac:dyDescent="0.3">
      <c r="A10985">
        <v>33.334800000000001</v>
      </c>
      <c r="B10985">
        <v>-86.995630000000006</v>
      </c>
      <c r="C10985" t="s">
        <v>42</v>
      </c>
      <c r="D10985" t="s">
        <v>6187</v>
      </c>
      <c r="F10985" s="21"/>
      <c r="G10985" s="16" t="str">
        <f>HYPERLINK("http://maps.google.com/maps?f=q&amp;hl=en&amp;geocode=&amp;q=33.3348,-86.99563")</f>
        <v>http://maps.google.com/maps?f=q&amp;hl=en&amp;geocode=&amp;q=33.3348,-86.99563</v>
      </c>
    </row>
    <row r="10986" spans="1:7" ht="15" x14ac:dyDescent="0.3">
      <c r="A10986">
        <v>-36.875801086425803</v>
      </c>
      <c r="B10986">
        <v>174.82800292968801</v>
      </c>
      <c r="C10986" t="s">
        <v>41</v>
      </c>
      <c r="D10986" t="s">
        <v>6188</v>
      </c>
      <c r="F10986" s="21"/>
      <c r="G10986" s="16" t="str">
        <f>HYPERLINK("http://maps.google.com/maps?f=q&amp;hl=en&amp;geocode=&amp;q=-36.8758010864258,174.828002929688")</f>
        <v>http://maps.google.com/maps?f=q&amp;hl=en&amp;geocode=&amp;q=-36.8758010864258,174.828002929688</v>
      </c>
    </row>
    <row r="10987" spans="1:7" ht="15" x14ac:dyDescent="0.3">
      <c r="A10987">
        <v>33.752352999999999</v>
      </c>
      <c r="B10987">
        <v>-86.710181000000006</v>
      </c>
      <c r="C10987" t="s">
        <v>41</v>
      </c>
      <c r="D10987" t="s">
        <v>1251</v>
      </c>
      <c r="F10987" s="21"/>
      <c r="G10987" s="16" t="str">
        <f>HYPERLINK("http://maps.google.com/maps?f=q&amp;hl=en&amp;geocode=&amp;q=33.752353,-86.710181")</f>
        <v>http://maps.google.com/maps?f=q&amp;hl=en&amp;geocode=&amp;q=33.752353,-86.710181</v>
      </c>
    </row>
    <row r="10988" spans="1:7" ht="15" x14ac:dyDescent="0.3">
      <c r="A10988">
        <v>59.922351837158203</v>
      </c>
      <c r="B10988">
        <v>11.178321838378899</v>
      </c>
      <c r="C10988" t="s">
        <v>43</v>
      </c>
      <c r="D10988" t="s">
        <v>5651</v>
      </c>
      <c r="F10988" s="21"/>
      <c r="G10988" s="16" t="str">
        <f>HYPERLINK("http://maps.google.com/maps?f=q&amp;hl=en&amp;geocode=&amp;q=59.9223518371582,11.1783218383789")</f>
        <v>http://maps.google.com/maps?f=q&amp;hl=en&amp;geocode=&amp;q=59.9223518371582,11.1783218383789</v>
      </c>
    </row>
    <row r="10989" spans="1:7" ht="15" x14ac:dyDescent="0.3">
      <c r="A10989" t="s">
        <v>44</v>
      </c>
      <c r="B10989" t="s">
        <v>44</v>
      </c>
      <c r="C10989" t="s">
        <v>44</v>
      </c>
      <c r="D10989" t="s">
        <v>3225</v>
      </c>
      <c r="F10989" s="21"/>
      <c r="G10989" s="16"/>
    </row>
    <row r="10990" spans="1:7" ht="15" x14ac:dyDescent="0.3">
      <c r="A10990">
        <v>31.5742538072451</v>
      </c>
      <c r="B10990">
        <v>-85.257873499207406</v>
      </c>
      <c r="C10990" t="s">
        <v>41</v>
      </c>
      <c r="D10990" t="s">
        <v>6189</v>
      </c>
      <c r="F10990" s="21"/>
      <c r="G10990" s="16" t="str">
        <f>HYPERLINK("http://maps.google.com/maps?f=q&amp;hl=en&amp;geocode=&amp;q=31.5742538072451,-85.2578734992074")</f>
        <v>http://maps.google.com/maps?f=q&amp;hl=en&amp;geocode=&amp;q=31.5742538072451,-85.2578734992074</v>
      </c>
    </row>
    <row r="10991" spans="1:7" ht="15" x14ac:dyDescent="0.3">
      <c r="A10991">
        <v>37.651718610285599</v>
      </c>
      <c r="B10991">
        <v>-97.491964219099302</v>
      </c>
      <c r="C10991" t="s">
        <v>43</v>
      </c>
      <c r="D10991" t="s">
        <v>6190</v>
      </c>
      <c r="F10991" s="21"/>
      <c r="G10991" s="16" t="str">
        <f>HYPERLINK("http://maps.google.com/maps?f=q&amp;hl=en&amp;geocode=&amp;q=37.6517186102856,-97.4919642190993")</f>
        <v>http://maps.google.com/maps?f=q&amp;hl=en&amp;geocode=&amp;q=37.6517186102856,-97.4919642190993</v>
      </c>
    </row>
    <row r="10992" spans="1:7" ht="15" x14ac:dyDescent="0.3">
      <c r="A10992">
        <v>37.651718610285599</v>
      </c>
      <c r="B10992">
        <v>-97.491964219099302</v>
      </c>
      <c r="C10992" t="s">
        <v>43</v>
      </c>
      <c r="D10992" t="s">
        <v>6190</v>
      </c>
      <c r="F10992" s="21"/>
      <c r="G10992" s="16" t="str">
        <f>HYPERLINK("http://maps.google.com/maps?f=q&amp;hl=en&amp;geocode=&amp;q=37.6517186102856,-97.4919642190993")</f>
        <v>http://maps.google.com/maps?f=q&amp;hl=en&amp;geocode=&amp;q=37.6517186102856,-97.4919642190993</v>
      </c>
    </row>
    <row r="10993" spans="1:7" ht="15" x14ac:dyDescent="0.3">
      <c r="A10993">
        <v>42.470289999999999</v>
      </c>
      <c r="B10993">
        <v>-83.077780000000004</v>
      </c>
      <c r="C10993" t="s">
        <v>42</v>
      </c>
      <c r="D10993" t="s">
        <v>130</v>
      </c>
      <c r="F10993" s="21"/>
      <c r="G10993" s="16" t="str">
        <f>HYPERLINK("http://maps.google.com/maps?f=q&amp;hl=en&amp;geocode=&amp;q=42.47029,-83.07778")</f>
        <v>http://maps.google.com/maps?f=q&amp;hl=en&amp;geocode=&amp;q=42.47029,-83.07778</v>
      </c>
    </row>
    <row r="10994" spans="1:7" ht="15" x14ac:dyDescent="0.3">
      <c r="A10994">
        <v>41.403591156005902</v>
      </c>
      <c r="B10994">
        <v>-94.888656616210895</v>
      </c>
      <c r="C10994" t="s">
        <v>41</v>
      </c>
      <c r="D10994" t="s">
        <v>4910</v>
      </c>
      <c r="F10994" s="21"/>
      <c r="G10994" s="16" t="str">
        <f>HYPERLINK("http://maps.google.com/maps?f=q&amp;hl=en&amp;geocode=&amp;q=41.4035911560059,-94.8886566162109")</f>
        <v>http://maps.google.com/maps?f=q&amp;hl=en&amp;geocode=&amp;q=41.4035911560059,-94.8886566162109</v>
      </c>
    </row>
    <row r="10995" spans="1:7" ht="15" x14ac:dyDescent="0.3">
      <c r="A10995">
        <v>33.636039733886697</v>
      </c>
      <c r="B10995">
        <v>-96.609130859375</v>
      </c>
      <c r="C10995" t="s">
        <v>43</v>
      </c>
      <c r="D10995" t="s">
        <v>6191</v>
      </c>
      <c r="F10995" s="21"/>
      <c r="G10995" s="16" t="str">
        <f>HYPERLINK("http://maps.google.com/maps?f=q&amp;hl=en&amp;geocode=&amp;q=33.6360397338867,-96.609130859375")</f>
        <v>http://maps.google.com/maps?f=q&amp;hl=en&amp;geocode=&amp;q=33.6360397338867,-96.609130859375</v>
      </c>
    </row>
    <row r="10996" spans="1:7" ht="15" x14ac:dyDescent="0.3">
      <c r="A10996" t="s">
        <v>44</v>
      </c>
      <c r="B10996" t="s">
        <v>44</v>
      </c>
      <c r="C10996" t="s">
        <v>44</v>
      </c>
      <c r="D10996" t="s">
        <v>6192</v>
      </c>
      <c r="F10996" s="21"/>
      <c r="G10996" s="16"/>
    </row>
    <row r="10997" spans="1:7" ht="15" x14ac:dyDescent="0.3">
      <c r="A10997">
        <v>39.96949</v>
      </c>
      <c r="B10997">
        <v>-75.230400000000003</v>
      </c>
      <c r="C10997" t="s">
        <v>43</v>
      </c>
      <c r="D10997" t="s">
        <v>6193</v>
      </c>
      <c r="F10997" s="21"/>
      <c r="G10997" s="16" t="str">
        <f>HYPERLINK("http://maps.google.com/maps?f=q&amp;hl=en&amp;geocode=&amp;q=39.96949,-75.2304")</f>
        <v>http://maps.google.com/maps?f=q&amp;hl=en&amp;geocode=&amp;q=39.96949,-75.2304</v>
      </c>
    </row>
    <row r="10998" spans="1:7" ht="15" x14ac:dyDescent="0.3">
      <c r="A10998">
        <v>54.562068939208999</v>
      </c>
      <c r="B10998">
        <v>-125.10440063476599</v>
      </c>
      <c r="C10998" t="s">
        <v>41</v>
      </c>
      <c r="D10998" t="s">
        <v>5686</v>
      </c>
      <c r="F10998" s="21"/>
      <c r="G10998" s="16" t="str">
        <f>HYPERLINK("http://maps.google.com/maps?f=q&amp;hl=en&amp;geocode=&amp;q=54.562068939209,-125.104400634766")</f>
        <v>http://maps.google.com/maps?f=q&amp;hl=en&amp;geocode=&amp;q=54.562068939209,-125.104400634766</v>
      </c>
    </row>
    <row r="10999" spans="1:7" ht="15" x14ac:dyDescent="0.3">
      <c r="A10999" t="s">
        <v>44</v>
      </c>
      <c r="B10999" t="s">
        <v>44</v>
      </c>
      <c r="C10999" t="s">
        <v>44</v>
      </c>
      <c r="D10999" t="s">
        <v>1004</v>
      </c>
      <c r="F10999" s="21"/>
      <c r="G10999" s="16"/>
    </row>
    <row r="11000" spans="1:7" ht="15" x14ac:dyDescent="0.3">
      <c r="A11000">
        <v>40.02525</v>
      </c>
      <c r="B11000">
        <v>-75.049790000000002</v>
      </c>
      <c r="C11000" t="s">
        <v>41</v>
      </c>
      <c r="D11000" t="s">
        <v>6194</v>
      </c>
      <c r="F11000" s="21"/>
      <c r="G11000" s="16" t="str">
        <f>HYPERLINK("http://maps.google.com/maps?f=q&amp;hl=en&amp;geocode=&amp;q=40.02525,-75.04979")</f>
        <v>http://maps.google.com/maps?f=q&amp;hl=en&amp;geocode=&amp;q=40.02525,-75.04979</v>
      </c>
    </row>
    <row r="11001" spans="1:7" ht="15" x14ac:dyDescent="0.3">
      <c r="A11001">
        <v>32.081724653044098</v>
      </c>
      <c r="B11001">
        <v>-83.800871612628001</v>
      </c>
      <c r="C11001" t="s">
        <v>41</v>
      </c>
      <c r="D11001" t="s">
        <v>2873</v>
      </c>
      <c r="F11001" s="21"/>
      <c r="G11001" s="16" t="str">
        <f>HYPERLINK("http://maps.google.com/maps?f=q&amp;hl=en&amp;geocode=&amp;q=32.0817246530441,-83.800871612628")</f>
        <v>http://maps.google.com/maps?f=q&amp;hl=en&amp;geocode=&amp;q=32.0817246530441,-83.800871612628</v>
      </c>
    </row>
    <row r="11002" spans="1:7" ht="15" x14ac:dyDescent="0.3">
      <c r="A11002">
        <v>28.795809999999999</v>
      </c>
      <c r="B11002">
        <v>-81.273099999999999</v>
      </c>
      <c r="C11002" t="s">
        <v>42</v>
      </c>
      <c r="D11002" t="s">
        <v>6195</v>
      </c>
      <c r="F11002" s="21"/>
      <c r="G11002" s="16" t="str">
        <f>HYPERLINK("http://maps.google.com/maps?f=q&amp;hl=en&amp;geocode=&amp;q=28.79581,-81.2731")</f>
        <v>http://maps.google.com/maps?f=q&amp;hl=en&amp;geocode=&amp;q=28.79581,-81.2731</v>
      </c>
    </row>
    <row r="11003" spans="1:7" ht="15" x14ac:dyDescent="0.3">
      <c r="A11003">
        <v>39.982529999999997</v>
      </c>
      <c r="B11003">
        <v>-75.163600000000002</v>
      </c>
      <c r="C11003" t="s">
        <v>43</v>
      </c>
      <c r="D11003" t="s">
        <v>6056</v>
      </c>
      <c r="F11003" s="21"/>
      <c r="G11003" s="16" t="str">
        <f>HYPERLINK("http://maps.google.com/maps?f=q&amp;hl=en&amp;geocode=&amp;q=39.98253,-75.1636")</f>
        <v>http://maps.google.com/maps?f=q&amp;hl=en&amp;geocode=&amp;q=39.98253,-75.1636</v>
      </c>
    </row>
    <row r="11004" spans="1:7" ht="15" x14ac:dyDescent="0.3">
      <c r="A11004">
        <v>39.982529999999997</v>
      </c>
      <c r="B11004">
        <v>-75.163600000000002</v>
      </c>
      <c r="C11004" t="s">
        <v>43</v>
      </c>
      <c r="D11004" t="s">
        <v>6056</v>
      </c>
      <c r="F11004" s="21"/>
      <c r="G11004" s="16" t="str">
        <f>HYPERLINK("http://maps.google.com/maps?f=q&amp;hl=en&amp;geocode=&amp;q=39.98253,-75.1636")</f>
        <v>http://maps.google.com/maps?f=q&amp;hl=en&amp;geocode=&amp;q=39.98253,-75.1636</v>
      </c>
    </row>
    <row r="11005" spans="1:7" ht="15" x14ac:dyDescent="0.3">
      <c r="A11005">
        <v>-26.207569122314499</v>
      </c>
      <c r="B11005">
        <v>28.324785232543899</v>
      </c>
      <c r="C11005" t="s">
        <v>43</v>
      </c>
      <c r="D11005" t="s">
        <v>6196</v>
      </c>
      <c r="F11005" s="21"/>
      <c r="G11005" s="16" t="str">
        <f>HYPERLINK("http://maps.google.com/maps?f=q&amp;hl=en&amp;geocode=&amp;q=-26.2075691223145,28.3247852325439")</f>
        <v>http://maps.google.com/maps?f=q&amp;hl=en&amp;geocode=&amp;q=-26.2075691223145,28.3247852325439</v>
      </c>
    </row>
    <row r="11006" spans="1:7" ht="15" x14ac:dyDescent="0.3">
      <c r="A11006">
        <v>39.950090000000003</v>
      </c>
      <c r="B11006">
        <v>-75.168360000000007</v>
      </c>
      <c r="C11006" t="s">
        <v>41</v>
      </c>
      <c r="D11006" t="s">
        <v>6197</v>
      </c>
      <c r="F11006" s="21"/>
      <c r="G11006" s="16" t="str">
        <f>HYPERLINK("http://maps.google.com/maps?f=q&amp;hl=en&amp;geocode=&amp;q=39.95009,-75.16836")</f>
        <v>http://maps.google.com/maps?f=q&amp;hl=en&amp;geocode=&amp;q=39.95009,-75.16836</v>
      </c>
    </row>
    <row r="11007" spans="1:7" ht="15" x14ac:dyDescent="0.3">
      <c r="A11007">
        <v>35.3321458643954</v>
      </c>
      <c r="B11007">
        <v>-83.174752036288496</v>
      </c>
      <c r="C11007" t="s">
        <v>41</v>
      </c>
      <c r="D11007" t="s">
        <v>6198</v>
      </c>
      <c r="F11007" s="21"/>
      <c r="G11007" s="16" t="str">
        <f>HYPERLINK("http://maps.google.com/maps?f=q&amp;hl=en&amp;geocode=&amp;q=35.3321458643954,-83.1747520362885")</f>
        <v>http://maps.google.com/maps?f=q&amp;hl=en&amp;geocode=&amp;q=35.3321458643954,-83.1747520362885</v>
      </c>
    </row>
    <row r="11008" spans="1:7" ht="15" x14ac:dyDescent="0.3">
      <c r="A11008">
        <v>-26.188575744628899</v>
      </c>
      <c r="B11008">
        <v>27.929327011108398</v>
      </c>
      <c r="C11008" t="s">
        <v>43</v>
      </c>
      <c r="D11008" t="s">
        <v>6199</v>
      </c>
      <c r="F11008" s="21"/>
      <c r="G11008" s="16" t="str">
        <f>HYPERLINK("http://maps.google.com/maps?f=q&amp;hl=en&amp;geocode=&amp;q=-26.1885757446289,27.9293270111084")</f>
        <v>http://maps.google.com/maps?f=q&amp;hl=en&amp;geocode=&amp;q=-26.1885757446289,27.9293270111084</v>
      </c>
    </row>
    <row r="11009" spans="1:7" ht="15" x14ac:dyDescent="0.3">
      <c r="A11009">
        <v>36.385362880786403</v>
      </c>
      <c r="B11009">
        <v>-78.626081207609204</v>
      </c>
      <c r="C11009" t="s">
        <v>41</v>
      </c>
      <c r="D11009" t="s">
        <v>308</v>
      </c>
      <c r="F11009" s="21"/>
      <c r="G11009" s="16" t="str">
        <f>HYPERLINK("http://maps.google.com/maps?f=q&amp;hl=en&amp;geocode=&amp;q=36.3853628807864,-78.6260812076092")</f>
        <v>http://maps.google.com/maps?f=q&amp;hl=en&amp;geocode=&amp;q=36.3853628807864,-78.6260812076092</v>
      </c>
    </row>
    <row r="11010" spans="1:7" ht="15" x14ac:dyDescent="0.3">
      <c r="A11010">
        <v>39.950119999999998</v>
      </c>
      <c r="B11010">
        <v>-75.168589999999995</v>
      </c>
      <c r="C11010" t="s">
        <v>41</v>
      </c>
      <c r="D11010" t="s">
        <v>6200</v>
      </c>
      <c r="F11010" s="21"/>
      <c r="G11010" s="16" t="str">
        <f>HYPERLINK("http://maps.google.com/maps?f=q&amp;hl=en&amp;geocode=&amp;q=39.95012,-75.16859")</f>
        <v>http://maps.google.com/maps?f=q&amp;hl=en&amp;geocode=&amp;q=39.95012,-75.16859</v>
      </c>
    </row>
    <row r="11011" spans="1:7" ht="15" x14ac:dyDescent="0.3">
      <c r="A11011" t="s">
        <v>44</v>
      </c>
      <c r="B11011" t="s">
        <v>44</v>
      </c>
      <c r="C11011" t="s">
        <v>44</v>
      </c>
      <c r="D11011" t="s">
        <v>6201</v>
      </c>
      <c r="F11011" s="21"/>
      <c r="G11011" s="16"/>
    </row>
    <row r="11012" spans="1:7" ht="15" x14ac:dyDescent="0.3">
      <c r="A11012">
        <v>40.279999703685803</v>
      </c>
      <c r="B11012">
        <v>-75.342802505290706</v>
      </c>
      <c r="C11012" t="s">
        <v>41</v>
      </c>
      <c r="D11012" t="s">
        <v>6202</v>
      </c>
      <c r="F11012" s="21"/>
      <c r="G11012" s="16" t="str">
        <f>HYPERLINK("http://maps.google.com/maps?f=q&amp;hl=en&amp;geocode=&amp;q=40.2799997036858,-75.3428025052907")</f>
        <v>http://maps.google.com/maps?f=q&amp;hl=en&amp;geocode=&amp;q=40.2799997036858,-75.3428025052907</v>
      </c>
    </row>
    <row r="11013" spans="1:7" ht="15" x14ac:dyDescent="0.3">
      <c r="A11013">
        <v>33.908496033772103</v>
      </c>
      <c r="B11013">
        <v>-83.436222335170399</v>
      </c>
      <c r="C11013" t="s">
        <v>41</v>
      </c>
      <c r="D11013" t="s">
        <v>6203</v>
      </c>
      <c r="F11013" s="21"/>
      <c r="G11013" s="16" t="str">
        <f>HYPERLINK("http://maps.google.com/maps?f=q&amp;hl=en&amp;geocode=&amp;q=33.9084960337721,-83.4362223351704")</f>
        <v>http://maps.google.com/maps?f=q&amp;hl=en&amp;geocode=&amp;q=33.9084960337721,-83.4362223351704</v>
      </c>
    </row>
    <row r="11014" spans="1:7" ht="15" x14ac:dyDescent="0.3">
      <c r="A11014">
        <v>41.255760000000002</v>
      </c>
      <c r="B11014">
        <v>-81.447999999999993</v>
      </c>
      <c r="C11014" t="s">
        <v>41</v>
      </c>
      <c r="D11014" t="s">
        <v>3338</v>
      </c>
      <c r="F11014" s="21"/>
      <c r="G11014" s="16" t="str">
        <f>HYPERLINK("http://maps.google.com/maps?f=q&amp;hl=en&amp;geocode=&amp;q=41.25576,-81.448")</f>
        <v>http://maps.google.com/maps?f=q&amp;hl=en&amp;geocode=&amp;q=41.25576,-81.448</v>
      </c>
    </row>
    <row r="11015" spans="1:7" ht="15" x14ac:dyDescent="0.3">
      <c r="A11015">
        <v>35.793187984252199</v>
      </c>
      <c r="B11015">
        <v>-77.639810462054001</v>
      </c>
      <c r="C11015" t="s">
        <v>41</v>
      </c>
      <c r="D11015" t="s">
        <v>6204</v>
      </c>
      <c r="F11015" s="21"/>
      <c r="G11015" s="16" t="str">
        <f>HYPERLINK("http://maps.google.com/maps?f=q&amp;hl=en&amp;geocode=&amp;q=35.7931879842522,-77.639810462054")</f>
        <v>http://maps.google.com/maps?f=q&amp;hl=en&amp;geocode=&amp;q=35.7931879842522,-77.639810462054</v>
      </c>
    </row>
    <row r="11016" spans="1:7" ht="15" x14ac:dyDescent="0.3">
      <c r="A11016">
        <v>41.585880000000003</v>
      </c>
      <c r="B11016">
        <v>-83.888589999999994</v>
      </c>
      <c r="C11016" t="s">
        <v>41</v>
      </c>
      <c r="D11016" t="s">
        <v>6205</v>
      </c>
      <c r="F11016" s="21"/>
      <c r="G11016" s="16" t="str">
        <f>HYPERLINK("http://maps.google.com/maps?f=q&amp;hl=en&amp;geocode=&amp;q=41.58588,-83.88859")</f>
        <v>http://maps.google.com/maps?f=q&amp;hl=en&amp;geocode=&amp;q=41.58588,-83.88859</v>
      </c>
    </row>
    <row r="11017" spans="1:7" ht="15" x14ac:dyDescent="0.3">
      <c r="A11017">
        <v>40.781210000000002</v>
      </c>
      <c r="B11017">
        <v>-74.024339999999995</v>
      </c>
      <c r="C11017" t="s">
        <v>41</v>
      </c>
      <c r="D11017" t="s">
        <v>6206</v>
      </c>
      <c r="F11017" s="21"/>
      <c r="G11017" s="16" t="str">
        <f>HYPERLINK("http://maps.google.com/maps?f=q&amp;hl=en&amp;geocode=&amp;q=40.78121,-74.02434")</f>
        <v>http://maps.google.com/maps?f=q&amp;hl=en&amp;geocode=&amp;q=40.78121,-74.02434</v>
      </c>
    </row>
    <row r="11018" spans="1:7" ht="15" x14ac:dyDescent="0.3">
      <c r="A11018">
        <v>37.234729766845703</v>
      </c>
      <c r="B11018">
        <v>-7.4779791831970197</v>
      </c>
      <c r="C11018" t="s">
        <v>41</v>
      </c>
      <c r="D11018" t="s">
        <v>6207</v>
      </c>
      <c r="F11018" s="21"/>
      <c r="G11018" s="16" t="str">
        <f>HYPERLINK("http://maps.google.com/maps?f=q&amp;hl=en&amp;geocode=&amp;q=37.2347297668457,-7.47797918319702")</f>
        <v>http://maps.google.com/maps?f=q&amp;hl=en&amp;geocode=&amp;q=37.2347297668457,-7.47797918319702</v>
      </c>
    </row>
    <row r="11019" spans="1:7" ht="15" x14ac:dyDescent="0.3">
      <c r="A11019">
        <v>37.234729766845703</v>
      </c>
      <c r="B11019">
        <v>-7.4779791831970197</v>
      </c>
      <c r="C11019" t="s">
        <v>41</v>
      </c>
      <c r="D11019" t="s">
        <v>6207</v>
      </c>
      <c r="F11019" s="21"/>
      <c r="G11019" s="16" t="str">
        <f>HYPERLINK("http://maps.google.com/maps?f=q&amp;hl=en&amp;geocode=&amp;q=37.2347297668457,-7.47797918319702")</f>
        <v>http://maps.google.com/maps?f=q&amp;hl=en&amp;geocode=&amp;q=37.2347297668457,-7.47797918319702</v>
      </c>
    </row>
    <row r="11020" spans="1:7" ht="15" x14ac:dyDescent="0.3">
      <c r="A11020">
        <v>40.84984</v>
      </c>
      <c r="B11020">
        <v>-73.918869999999998</v>
      </c>
      <c r="C11020" t="s">
        <v>41</v>
      </c>
      <c r="D11020" t="s">
        <v>5874</v>
      </c>
      <c r="F11020" s="21"/>
      <c r="G11020" s="16" t="str">
        <f>HYPERLINK("http://maps.google.com/maps?f=q&amp;hl=en&amp;geocode=&amp;q=40.84984,-73.91887")</f>
        <v>http://maps.google.com/maps?f=q&amp;hl=en&amp;geocode=&amp;q=40.84984,-73.91887</v>
      </c>
    </row>
    <row r="11021" spans="1:7" ht="15" x14ac:dyDescent="0.3">
      <c r="A11021">
        <v>30.682682836131999</v>
      </c>
      <c r="B11021">
        <v>-85.665350656419903</v>
      </c>
      <c r="C11021" t="s">
        <v>41</v>
      </c>
      <c r="D11021" t="s">
        <v>6208</v>
      </c>
      <c r="F11021" s="21"/>
      <c r="G11021" s="16" t="str">
        <f>HYPERLINK("http://maps.google.com/maps?f=q&amp;hl=en&amp;geocode=&amp;q=30.682682836132,-85.6653506564199")</f>
        <v>http://maps.google.com/maps?f=q&amp;hl=en&amp;geocode=&amp;q=30.682682836132,-85.6653506564199</v>
      </c>
    </row>
    <row r="11022" spans="1:7" ht="15" x14ac:dyDescent="0.3">
      <c r="A11022">
        <v>29.7082328796387</v>
      </c>
      <c r="B11022">
        <v>-90.006401062011705</v>
      </c>
      <c r="C11022" t="s">
        <v>43</v>
      </c>
      <c r="D11022" t="s">
        <v>2278</v>
      </c>
      <c r="F11022" s="21"/>
      <c r="G11022" s="16" t="str">
        <f>HYPERLINK("http://maps.google.com/maps?f=q&amp;hl=en&amp;geocode=&amp;q=29.7082328796387,-90.0064010620117")</f>
        <v>http://maps.google.com/maps?f=q&amp;hl=en&amp;geocode=&amp;q=29.7082328796387,-90.0064010620117</v>
      </c>
    </row>
    <row r="11023" spans="1:7" ht="15" x14ac:dyDescent="0.3">
      <c r="A11023">
        <v>-36.71763</v>
      </c>
      <c r="B11023">
        <v>142.19479000000001</v>
      </c>
      <c r="C11023" t="s">
        <v>43</v>
      </c>
      <c r="D11023" t="s">
        <v>6209</v>
      </c>
      <c r="F11023" s="21"/>
      <c r="G11023" s="16" t="str">
        <f>HYPERLINK("http://maps.google.com/maps?f=q&amp;hl=en&amp;geocode=&amp;q=-36.71763,142.19479")</f>
        <v>http://maps.google.com/maps?f=q&amp;hl=en&amp;geocode=&amp;q=-36.71763,142.19479</v>
      </c>
    </row>
    <row r="11024" spans="1:7" ht="15" x14ac:dyDescent="0.3">
      <c r="A11024">
        <v>40.000219999999999</v>
      </c>
      <c r="B11024">
        <v>-75.157430000000005</v>
      </c>
      <c r="C11024" t="s">
        <v>41</v>
      </c>
      <c r="D11024" t="s">
        <v>6210</v>
      </c>
      <c r="F11024" s="21"/>
      <c r="G11024" s="16" t="str">
        <f>HYPERLINK("http://maps.google.com/maps?f=q&amp;hl=en&amp;geocode=&amp;q=40.00022,-75.15743")</f>
        <v>http://maps.google.com/maps?f=q&amp;hl=en&amp;geocode=&amp;q=40.00022,-75.15743</v>
      </c>
    </row>
    <row r="11025" spans="1:7" ht="15" x14ac:dyDescent="0.3">
      <c r="A11025">
        <v>40.036731719970703</v>
      </c>
      <c r="B11025">
        <v>-74.908149719238295</v>
      </c>
      <c r="C11025" t="s">
        <v>43</v>
      </c>
      <c r="D11025" t="s">
        <v>3663</v>
      </c>
      <c r="F11025" s="21"/>
      <c r="G11025" s="16" t="str">
        <f>HYPERLINK("http://maps.google.com/maps?f=q&amp;hl=en&amp;geocode=&amp;q=40.0367317199707,-74.9081497192383")</f>
        <v>http://maps.google.com/maps?f=q&amp;hl=en&amp;geocode=&amp;q=40.0367317199707,-74.9081497192383</v>
      </c>
    </row>
    <row r="11026" spans="1:7" ht="15" x14ac:dyDescent="0.3">
      <c r="A11026">
        <v>42.276538848877003</v>
      </c>
      <c r="B11026">
        <v>-74.122673034667997</v>
      </c>
      <c r="C11026" t="s">
        <v>41</v>
      </c>
      <c r="D11026" t="s">
        <v>6211</v>
      </c>
      <c r="F11026" s="21"/>
      <c r="G11026" s="16" t="str">
        <f>HYPERLINK("http://maps.google.com/maps?f=q&amp;hl=en&amp;geocode=&amp;q=42.276538848877,-74.122673034668")</f>
        <v>http://maps.google.com/maps?f=q&amp;hl=en&amp;geocode=&amp;q=42.276538848877,-74.122673034668</v>
      </c>
    </row>
    <row r="11027" spans="1:7" ht="15" x14ac:dyDescent="0.3">
      <c r="A11027">
        <v>31.0106773186406</v>
      </c>
      <c r="B11027">
        <v>-86.338380566299705</v>
      </c>
      <c r="C11027" t="s">
        <v>41</v>
      </c>
      <c r="D11027" t="s">
        <v>4184</v>
      </c>
      <c r="F11027" s="21"/>
      <c r="G11027" s="16" t="str">
        <f>HYPERLINK("http://maps.google.com/maps?f=q&amp;hl=en&amp;geocode=&amp;q=31.0106773186406,-86.3383805662997")</f>
        <v>http://maps.google.com/maps?f=q&amp;hl=en&amp;geocode=&amp;q=31.0106773186406,-86.3383805662997</v>
      </c>
    </row>
    <row r="11028" spans="1:7" ht="15" x14ac:dyDescent="0.3">
      <c r="A11028">
        <v>39.182571411132798</v>
      </c>
      <c r="B11028">
        <v>-77.270347595214801</v>
      </c>
      <c r="C11028" t="s">
        <v>41</v>
      </c>
      <c r="D11028" t="s">
        <v>4048</v>
      </c>
      <c r="F11028" s="21"/>
      <c r="G11028" s="16" t="str">
        <f>HYPERLINK("http://maps.google.com/maps?f=q&amp;hl=en&amp;geocode=&amp;q=39.1825714111328,-77.2703475952148")</f>
        <v>http://maps.google.com/maps?f=q&amp;hl=en&amp;geocode=&amp;q=39.1825714111328,-77.2703475952148</v>
      </c>
    </row>
    <row r="11029" spans="1:7" ht="15" x14ac:dyDescent="0.3">
      <c r="A11029">
        <v>35.027957086890602</v>
      </c>
      <c r="B11029">
        <v>-114.565984629977</v>
      </c>
      <c r="C11029" t="s">
        <v>41</v>
      </c>
      <c r="D11029" t="s">
        <v>6212</v>
      </c>
      <c r="F11029" s="21"/>
      <c r="G11029" s="16" t="str">
        <f>HYPERLINK("http://maps.google.com/maps?f=q&amp;hl=en&amp;geocode=&amp;q=35.0279570868906,-114.565984629977")</f>
        <v>http://maps.google.com/maps?f=q&amp;hl=en&amp;geocode=&amp;q=35.0279570868906,-114.565984629977</v>
      </c>
    </row>
    <row r="11030" spans="1:7" ht="15" x14ac:dyDescent="0.3">
      <c r="A11030">
        <v>40.187781867647999</v>
      </c>
      <c r="B11030">
        <v>-85.129892369219604</v>
      </c>
      <c r="C11030" t="s">
        <v>41</v>
      </c>
      <c r="D11030" t="s">
        <v>6213</v>
      </c>
      <c r="F11030" s="21"/>
      <c r="G11030" s="16" t="str">
        <f>HYPERLINK("http://maps.google.com/maps?f=q&amp;hl=en&amp;geocode=&amp;q=40.187781867648,-85.1298923692196")</f>
        <v>http://maps.google.com/maps?f=q&amp;hl=en&amp;geocode=&amp;q=40.187781867648,-85.1298923692196</v>
      </c>
    </row>
    <row r="11031" spans="1:7" ht="15" x14ac:dyDescent="0.3">
      <c r="A11031">
        <v>32.282825959109502</v>
      </c>
      <c r="B11031">
        <v>-90.202233958957095</v>
      </c>
      <c r="C11031" t="s">
        <v>41</v>
      </c>
      <c r="D11031" t="s">
        <v>6214</v>
      </c>
      <c r="F11031" s="21"/>
      <c r="G11031" s="16" t="str">
        <f>HYPERLINK("http://maps.google.com/maps?f=q&amp;hl=en&amp;geocode=&amp;q=32.2828259591095,-90.2022339589571")</f>
        <v>http://maps.google.com/maps?f=q&amp;hl=en&amp;geocode=&amp;q=32.2828259591095,-90.2022339589571</v>
      </c>
    </row>
    <row r="11032" spans="1:7" ht="15" x14ac:dyDescent="0.3">
      <c r="A11032">
        <v>46.344470977783203</v>
      </c>
      <c r="B11032">
        <v>-83.921478271484403</v>
      </c>
      <c r="C11032" t="s">
        <v>43</v>
      </c>
      <c r="D11032" t="s">
        <v>4303</v>
      </c>
      <c r="F11032" s="21"/>
      <c r="G11032" s="16" t="str">
        <f>HYPERLINK("http://maps.google.com/maps?f=q&amp;hl=en&amp;geocode=&amp;q=46.3444709777832,-83.9214782714844")</f>
        <v>http://maps.google.com/maps?f=q&amp;hl=en&amp;geocode=&amp;q=46.3444709777832,-83.9214782714844</v>
      </c>
    </row>
    <row r="11033" spans="1:7" ht="15" x14ac:dyDescent="0.3">
      <c r="A11033">
        <v>44.901672853588202</v>
      </c>
      <c r="B11033">
        <v>-89.600563482719494</v>
      </c>
      <c r="C11033" t="s">
        <v>41</v>
      </c>
      <c r="D11033" t="s">
        <v>2598</v>
      </c>
      <c r="F11033" s="21"/>
      <c r="G11033" s="16" t="str">
        <f>HYPERLINK("http://maps.google.com/maps?f=q&amp;hl=en&amp;geocode=&amp;q=44.9016728535882,-89.6005634827195")</f>
        <v>http://maps.google.com/maps?f=q&amp;hl=en&amp;geocode=&amp;q=44.9016728535882,-89.6005634827195</v>
      </c>
    </row>
    <row r="11034" spans="1:7" ht="15" x14ac:dyDescent="0.3">
      <c r="A11034">
        <v>42.0754106996365</v>
      </c>
      <c r="B11034">
        <v>-87.725456625436493</v>
      </c>
      <c r="C11034" t="s">
        <v>41</v>
      </c>
      <c r="D11034" t="s">
        <v>6215</v>
      </c>
      <c r="F11034" s="21"/>
      <c r="G11034" s="16" t="str">
        <f>HYPERLINK("http://maps.google.com/maps?f=q&amp;hl=en&amp;geocode=&amp;q=42.0754106996365,-87.7254566254365")</f>
        <v>http://maps.google.com/maps?f=q&amp;hl=en&amp;geocode=&amp;q=42.0754106996365,-87.7254566254365</v>
      </c>
    </row>
    <row r="11035" spans="1:7" ht="15" x14ac:dyDescent="0.3">
      <c r="A11035">
        <v>32.274881000000001</v>
      </c>
      <c r="B11035">
        <v>-92.713254000000006</v>
      </c>
      <c r="C11035" t="s">
        <v>41</v>
      </c>
      <c r="D11035" t="s">
        <v>2651</v>
      </c>
      <c r="F11035" s="21"/>
      <c r="G11035" s="16" t="str">
        <f>HYPERLINK("http://maps.google.com/maps?f=q&amp;hl=en&amp;geocode=&amp;q=32.274881,-92.713254")</f>
        <v>http://maps.google.com/maps?f=q&amp;hl=en&amp;geocode=&amp;q=32.274881,-92.713254</v>
      </c>
    </row>
    <row r="11036" spans="1:7" ht="15" x14ac:dyDescent="0.3">
      <c r="A11036">
        <v>39.992750000000001</v>
      </c>
      <c r="B11036">
        <v>-83.161469999999994</v>
      </c>
      <c r="C11036" t="s">
        <v>42</v>
      </c>
      <c r="D11036" t="s">
        <v>6216</v>
      </c>
      <c r="F11036" s="21"/>
      <c r="G11036" s="16" t="str">
        <f>HYPERLINK("http://maps.google.com/maps?f=q&amp;hl=en&amp;geocode=&amp;q=39.99275,-83.16147")</f>
        <v>http://maps.google.com/maps?f=q&amp;hl=en&amp;geocode=&amp;q=39.99275,-83.16147</v>
      </c>
    </row>
    <row r="11037" spans="1:7" ht="15" x14ac:dyDescent="0.3">
      <c r="A11037" t="s">
        <v>44</v>
      </c>
      <c r="B11037" t="s">
        <v>44</v>
      </c>
      <c r="C11037" t="s">
        <v>44</v>
      </c>
      <c r="D11037" t="s">
        <v>5903</v>
      </c>
      <c r="F11037" s="21"/>
      <c r="G11037" s="16"/>
    </row>
    <row r="11038" spans="1:7" ht="15" x14ac:dyDescent="0.3">
      <c r="A11038">
        <v>39.995420000000003</v>
      </c>
      <c r="B11038">
        <v>-75.167749999999998</v>
      </c>
      <c r="C11038" t="s">
        <v>41</v>
      </c>
      <c r="D11038" t="s">
        <v>2442</v>
      </c>
      <c r="F11038" s="21"/>
      <c r="G11038" s="16" t="str">
        <f>HYPERLINK("http://maps.google.com/maps?f=q&amp;hl=en&amp;geocode=&amp;q=39.99542,-75.16775")</f>
        <v>http://maps.google.com/maps?f=q&amp;hl=en&amp;geocode=&amp;q=39.99542,-75.16775</v>
      </c>
    </row>
    <row r="11039" spans="1:7" ht="15" x14ac:dyDescent="0.3">
      <c r="A11039">
        <v>40.329950537255698</v>
      </c>
      <c r="B11039">
        <v>-73.978525532084006</v>
      </c>
      <c r="C11039" t="s">
        <v>43</v>
      </c>
      <c r="D11039" t="s">
        <v>6217</v>
      </c>
      <c r="F11039" s="21"/>
      <c r="G11039" s="16" t="str">
        <f>HYPERLINK("http://maps.google.com/maps?f=q&amp;hl=en&amp;geocode=&amp;q=40.3299505372557,-73.978525532084")</f>
        <v>http://maps.google.com/maps?f=q&amp;hl=en&amp;geocode=&amp;q=40.3299505372557,-73.978525532084</v>
      </c>
    </row>
    <row r="11040" spans="1:7" ht="15" x14ac:dyDescent="0.3">
      <c r="A11040">
        <v>29.6948247475312</v>
      </c>
      <c r="B11040">
        <v>-95.352270013052305</v>
      </c>
      <c r="C11040" t="s">
        <v>41</v>
      </c>
      <c r="D11040" t="s">
        <v>2995</v>
      </c>
      <c r="F11040" s="21"/>
      <c r="G11040" s="16" t="str">
        <f>HYPERLINK("http://maps.google.com/maps?f=q&amp;hl=en&amp;geocode=&amp;q=29.6948247475312,-95.3522700130523")</f>
        <v>http://maps.google.com/maps?f=q&amp;hl=en&amp;geocode=&amp;q=29.6948247475312,-95.3522700130523</v>
      </c>
    </row>
    <row r="11041" spans="1:7" ht="15" x14ac:dyDescent="0.3">
      <c r="A11041">
        <v>29.6948247475312</v>
      </c>
      <c r="B11041">
        <v>-95.352270013052305</v>
      </c>
      <c r="C11041" t="s">
        <v>41</v>
      </c>
      <c r="D11041" t="s">
        <v>2995</v>
      </c>
      <c r="F11041" s="21"/>
      <c r="G11041" s="16" t="str">
        <f>HYPERLINK("http://maps.google.com/maps?f=q&amp;hl=en&amp;geocode=&amp;q=29.6948247475312,-95.3522700130523")</f>
        <v>http://maps.google.com/maps?f=q&amp;hl=en&amp;geocode=&amp;q=29.6948247475312,-95.3522700130523</v>
      </c>
    </row>
    <row r="11042" spans="1:7" ht="15" x14ac:dyDescent="0.3">
      <c r="A11042">
        <v>39.950334942294802</v>
      </c>
      <c r="B11042">
        <v>-75.166369544417194</v>
      </c>
      <c r="C11042" t="s">
        <v>41</v>
      </c>
      <c r="D11042" t="s">
        <v>6218</v>
      </c>
      <c r="F11042" s="21"/>
      <c r="G11042" s="16" t="str">
        <f>HYPERLINK("http://maps.google.com/maps?f=q&amp;hl=en&amp;geocode=&amp;q=39.9503349422948,-75.1663695444172")</f>
        <v>http://maps.google.com/maps?f=q&amp;hl=en&amp;geocode=&amp;q=39.9503349422948,-75.1663695444172</v>
      </c>
    </row>
    <row r="11043" spans="1:7" ht="15" x14ac:dyDescent="0.3">
      <c r="A11043">
        <v>39.950313834176697</v>
      </c>
      <c r="B11043">
        <v>-75.166192906827007</v>
      </c>
      <c r="C11043" t="s">
        <v>41</v>
      </c>
      <c r="D11043" t="s">
        <v>6219</v>
      </c>
      <c r="F11043" s="21"/>
      <c r="G11043" s="16" t="str">
        <f>HYPERLINK("http://maps.google.com/maps?f=q&amp;hl=en&amp;geocode=&amp;q=39.9503138341767,-75.166192906827")</f>
        <v>http://maps.google.com/maps?f=q&amp;hl=en&amp;geocode=&amp;q=39.9503138341767,-75.166192906827</v>
      </c>
    </row>
    <row r="11044" spans="1:7" ht="15" x14ac:dyDescent="0.3">
      <c r="A11044">
        <v>28.011420000000001</v>
      </c>
      <c r="B11044">
        <v>-82.149090000000001</v>
      </c>
      <c r="C11044" t="s">
        <v>42</v>
      </c>
      <c r="D11044" t="s">
        <v>6220</v>
      </c>
      <c r="F11044" s="21"/>
      <c r="G11044" s="16" t="str">
        <f>HYPERLINK("http://maps.google.com/maps?f=q&amp;hl=en&amp;geocode=&amp;q=28.01142,-82.14909")</f>
        <v>http://maps.google.com/maps?f=q&amp;hl=en&amp;geocode=&amp;q=28.01142,-82.14909</v>
      </c>
    </row>
    <row r="11045" spans="1:7" ht="15" x14ac:dyDescent="0.3">
      <c r="A11045">
        <v>43.255093748862897</v>
      </c>
      <c r="B11045">
        <v>-73.763893573949602</v>
      </c>
      <c r="C11045" t="s">
        <v>41</v>
      </c>
      <c r="D11045" t="s">
        <v>6221</v>
      </c>
      <c r="F11045" s="21"/>
      <c r="G11045" s="16" t="str">
        <f>HYPERLINK("http://maps.google.com/maps?f=q&amp;hl=en&amp;geocode=&amp;q=43.2550937488629,-73.7638935739496")</f>
        <v>http://maps.google.com/maps?f=q&amp;hl=en&amp;geocode=&amp;q=43.2550937488629,-73.7638935739496</v>
      </c>
    </row>
    <row r="11046" spans="1:7" ht="15" x14ac:dyDescent="0.3">
      <c r="A11046">
        <v>39.950090000000003</v>
      </c>
      <c r="B11046">
        <v>-75.168360000000007</v>
      </c>
      <c r="C11046" t="s">
        <v>41</v>
      </c>
      <c r="D11046" t="s">
        <v>6197</v>
      </c>
      <c r="F11046" s="21"/>
      <c r="G11046" s="16" t="str">
        <f>HYPERLINK("http://maps.google.com/maps?f=q&amp;hl=en&amp;geocode=&amp;q=39.95009,-75.16836")</f>
        <v>http://maps.google.com/maps?f=q&amp;hl=en&amp;geocode=&amp;q=39.95009,-75.16836</v>
      </c>
    </row>
    <row r="11047" spans="1:7" ht="15" x14ac:dyDescent="0.3">
      <c r="A11047">
        <v>-25.977725982666001</v>
      </c>
      <c r="B11047">
        <v>28.4685955047607</v>
      </c>
      <c r="C11047" t="s">
        <v>41</v>
      </c>
      <c r="D11047" t="s">
        <v>6222</v>
      </c>
      <c r="F11047" s="21"/>
      <c r="G11047" s="16" t="str">
        <f>HYPERLINK("http://maps.google.com/maps?f=q&amp;hl=en&amp;geocode=&amp;q=-25.977725982666,28.4685955047607")</f>
        <v>http://maps.google.com/maps?f=q&amp;hl=en&amp;geocode=&amp;q=-25.977725982666,28.4685955047607</v>
      </c>
    </row>
    <row r="11048" spans="1:7" ht="15" x14ac:dyDescent="0.3">
      <c r="A11048">
        <v>40.576259999999998</v>
      </c>
      <c r="B11048">
        <v>-75.348519999999994</v>
      </c>
      <c r="C11048" t="s">
        <v>43</v>
      </c>
      <c r="D11048" t="s">
        <v>6223</v>
      </c>
      <c r="F11048" s="21"/>
      <c r="G11048" s="16" t="str">
        <f>HYPERLINK("http://maps.google.com/maps?f=q&amp;hl=en&amp;geocode=&amp;q=40.57626,-75.34852")</f>
        <v>http://maps.google.com/maps?f=q&amp;hl=en&amp;geocode=&amp;q=40.57626,-75.34852</v>
      </c>
    </row>
    <row r="11049" spans="1:7" ht="15" x14ac:dyDescent="0.3">
      <c r="A11049">
        <v>39.982529999999997</v>
      </c>
      <c r="B11049">
        <v>-75.163600000000002</v>
      </c>
      <c r="C11049" t="s">
        <v>42</v>
      </c>
      <c r="D11049" t="s">
        <v>6224</v>
      </c>
      <c r="F11049" s="21"/>
      <c r="G11049" s="16" t="str">
        <f>HYPERLINK("http://maps.google.com/maps?f=q&amp;hl=en&amp;geocode=&amp;q=39.98253,-75.1636")</f>
        <v>http://maps.google.com/maps?f=q&amp;hl=en&amp;geocode=&amp;q=39.98253,-75.1636</v>
      </c>
    </row>
    <row r="11050" spans="1:7" ht="15" x14ac:dyDescent="0.3">
      <c r="A11050">
        <v>39.845998024828901</v>
      </c>
      <c r="B11050">
        <v>-75.013062436115106</v>
      </c>
      <c r="C11050" t="s">
        <v>41</v>
      </c>
      <c r="D11050" t="s">
        <v>6225</v>
      </c>
      <c r="F11050" s="21"/>
      <c r="G11050" s="16" t="str">
        <f>HYPERLINK("http://maps.google.com/maps?f=q&amp;hl=en&amp;geocode=&amp;q=39.8459980248289,-75.0130624361151")</f>
        <v>http://maps.google.com/maps?f=q&amp;hl=en&amp;geocode=&amp;q=39.8459980248289,-75.0130624361151</v>
      </c>
    </row>
    <row r="11051" spans="1:7" ht="15" x14ac:dyDescent="0.3">
      <c r="A11051">
        <v>39.982529999999997</v>
      </c>
      <c r="B11051">
        <v>-75.163600000000002</v>
      </c>
      <c r="C11051" t="s">
        <v>42</v>
      </c>
      <c r="D11051" t="s">
        <v>6224</v>
      </c>
      <c r="F11051" s="21"/>
      <c r="G11051" s="16" t="str">
        <f>HYPERLINK("http://maps.google.com/maps?f=q&amp;hl=en&amp;geocode=&amp;q=39.98253,-75.1636")</f>
        <v>http://maps.google.com/maps?f=q&amp;hl=en&amp;geocode=&amp;q=39.98253,-75.1636</v>
      </c>
    </row>
    <row r="11052" spans="1:7" ht="15" x14ac:dyDescent="0.3">
      <c r="A11052">
        <v>34.542929999999998</v>
      </c>
      <c r="B11052">
        <v>-93.182190000000006</v>
      </c>
      <c r="C11052" t="s">
        <v>43</v>
      </c>
      <c r="D11052" t="s">
        <v>6226</v>
      </c>
      <c r="F11052" s="21"/>
      <c r="G11052" s="16" t="str">
        <f>HYPERLINK("http://maps.google.com/maps?f=q&amp;hl=en&amp;geocode=&amp;q=34.54293,-93.18219")</f>
        <v>http://maps.google.com/maps?f=q&amp;hl=en&amp;geocode=&amp;q=34.54293,-93.18219</v>
      </c>
    </row>
    <row r="11053" spans="1:7" ht="15" x14ac:dyDescent="0.3">
      <c r="A11053">
        <v>41.255760000000002</v>
      </c>
      <c r="B11053">
        <v>-81.447999999999993</v>
      </c>
      <c r="C11053" t="s">
        <v>41</v>
      </c>
      <c r="D11053" t="s">
        <v>3338</v>
      </c>
      <c r="F11053" s="21"/>
      <c r="G11053" s="16" t="str">
        <f>HYPERLINK("http://maps.google.com/maps?f=q&amp;hl=en&amp;geocode=&amp;q=41.25576,-81.448")</f>
        <v>http://maps.google.com/maps?f=q&amp;hl=en&amp;geocode=&amp;q=41.25576,-81.448</v>
      </c>
    </row>
    <row r="11054" spans="1:7" ht="15" x14ac:dyDescent="0.3">
      <c r="A11054">
        <v>40.168048858642599</v>
      </c>
      <c r="B11054">
        <v>-78.135139465332003</v>
      </c>
      <c r="C11054" t="s">
        <v>43</v>
      </c>
      <c r="D11054" t="s">
        <v>558</v>
      </c>
      <c r="F11054" s="21"/>
      <c r="G11054" s="16" t="str">
        <f>HYPERLINK("http://maps.google.com/maps?f=q&amp;hl=en&amp;geocode=&amp;q=40.1680488586426,-78.135139465332")</f>
        <v>http://maps.google.com/maps?f=q&amp;hl=en&amp;geocode=&amp;q=40.1680488586426,-78.135139465332</v>
      </c>
    </row>
    <row r="11055" spans="1:7" ht="15" x14ac:dyDescent="0.3">
      <c r="A11055">
        <v>46.687984466552699</v>
      </c>
      <c r="B11055">
        <v>7.6761589050293004</v>
      </c>
      <c r="C11055" t="s">
        <v>43</v>
      </c>
      <c r="D11055" t="s">
        <v>6227</v>
      </c>
      <c r="F11055" s="21"/>
      <c r="G11055" s="16" t="str">
        <f>HYPERLINK("http://maps.google.com/maps?f=q&amp;hl=en&amp;geocode=&amp;q=46.6879844665527,7.6761589050293")</f>
        <v>http://maps.google.com/maps?f=q&amp;hl=en&amp;geocode=&amp;q=46.6879844665527,7.6761589050293</v>
      </c>
    </row>
    <row r="11056" spans="1:7" ht="15" x14ac:dyDescent="0.3">
      <c r="A11056">
        <v>39.947240000000001</v>
      </c>
      <c r="B11056">
        <v>-75.174689999999998</v>
      </c>
      <c r="C11056" t="s">
        <v>43</v>
      </c>
      <c r="D11056" t="s">
        <v>6228</v>
      </c>
      <c r="F11056" s="21"/>
      <c r="G11056" s="16" t="str">
        <f>HYPERLINK("http://maps.google.com/maps?f=q&amp;hl=en&amp;geocode=&amp;q=39.94724,-75.17469")</f>
        <v>http://maps.google.com/maps?f=q&amp;hl=en&amp;geocode=&amp;q=39.94724,-75.17469</v>
      </c>
    </row>
    <row r="11057" spans="1:7" ht="15" x14ac:dyDescent="0.3">
      <c r="A11057">
        <v>-36.718856811523402</v>
      </c>
      <c r="B11057">
        <v>142.19622802734401</v>
      </c>
      <c r="C11057" t="s">
        <v>43</v>
      </c>
      <c r="D11057" t="s">
        <v>4332</v>
      </c>
      <c r="F11057" s="21"/>
      <c r="G11057" s="16" t="str">
        <f>HYPERLINK("http://maps.google.com/maps?f=q&amp;hl=en&amp;geocode=&amp;q=-36.7188568115234,142.196228027344")</f>
        <v>http://maps.google.com/maps?f=q&amp;hl=en&amp;geocode=&amp;q=-36.7188568115234,142.196228027344</v>
      </c>
    </row>
    <row r="11058" spans="1:7" ht="15" x14ac:dyDescent="0.3">
      <c r="A11058">
        <v>46.408790588378899</v>
      </c>
      <c r="B11058">
        <v>12.017880439758301</v>
      </c>
      <c r="C11058" t="s">
        <v>41</v>
      </c>
      <c r="D11058" t="s">
        <v>6229</v>
      </c>
      <c r="F11058" s="21"/>
      <c r="G11058" s="16" t="str">
        <f>HYPERLINK("http://maps.google.com/maps?f=q&amp;hl=en&amp;geocode=&amp;q=46.4087905883789,12.0178804397583")</f>
        <v>http://maps.google.com/maps?f=q&amp;hl=en&amp;geocode=&amp;q=46.4087905883789,12.0178804397583</v>
      </c>
    </row>
    <row r="11059" spans="1:7" ht="15" x14ac:dyDescent="0.3">
      <c r="A11059">
        <v>40.265030000000003</v>
      </c>
      <c r="B11059">
        <v>-85.840140000000005</v>
      </c>
      <c r="C11059" t="s">
        <v>43</v>
      </c>
      <c r="D11059" t="s">
        <v>6230</v>
      </c>
      <c r="F11059" s="21"/>
      <c r="G11059" s="16" t="str">
        <f>HYPERLINK("http://maps.google.com/maps?f=q&amp;hl=en&amp;geocode=&amp;q=40.26503,-85.84014")</f>
        <v>http://maps.google.com/maps?f=q&amp;hl=en&amp;geocode=&amp;q=40.26503,-85.84014</v>
      </c>
    </row>
    <row r="11060" spans="1:7" ht="15" x14ac:dyDescent="0.3">
      <c r="A11060">
        <v>40.801070000000003</v>
      </c>
      <c r="B11060">
        <v>-96.744690000000006</v>
      </c>
      <c r="C11060" t="s">
        <v>42</v>
      </c>
      <c r="D11060" t="s">
        <v>2408</v>
      </c>
      <c r="F11060" s="21"/>
      <c r="G11060" s="16" t="str">
        <f>HYPERLINK("http://maps.google.com/maps?f=q&amp;hl=en&amp;geocode=&amp;q=40.80107,-96.74469")</f>
        <v>http://maps.google.com/maps?f=q&amp;hl=en&amp;geocode=&amp;q=40.80107,-96.74469</v>
      </c>
    </row>
    <row r="11061" spans="1:7" ht="15" x14ac:dyDescent="0.3">
      <c r="A11061">
        <v>39.950119999999998</v>
      </c>
      <c r="B11061">
        <v>-75.168589999999995</v>
      </c>
      <c r="C11061" t="s">
        <v>41</v>
      </c>
      <c r="D11061" t="s">
        <v>6200</v>
      </c>
      <c r="F11061" s="21"/>
      <c r="G11061" s="16" t="str">
        <f>HYPERLINK("http://maps.google.com/maps?f=q&amp;hl=en&amp;geocode=&amp;q=39.95012,-75.16859")</f>
        <v>http://maps.google.com/maps?f=q&amp;hl=en&amp;geocode=&amp;q=39.95012,-75.16859</v>
      </c>
    </row>
    <row r="11062" spans="1:7" ht="15" x14ac:dyDescent="0.3">
      <c r="A11062">
        <v>14.5684041976929</v>
      </c>
      <c r="B11062">
        <v>121.07935333252</v>
      </c>
      <c r="C11062" t="s">
        <v>43</v>
      </c>
      <c r="D11062">
        <v>1606</v>
      </c>
      <c r="F11062" s="21"/>
      <c r="G11062" s="16" t="str">
        <f>HYPERLINK("http://maps.google.com/maps?f=q&amp;hl=en&amp;geocode=&amp;q=14.5684041976929,121.07935333252")</f>
        <v>http://maps.google.com/maps?f=q&amp;hl=en&amp;geocode=&amp;q=14.5684041976929,121.07935333252</v>
      </c>
    </row>
    <row r="11063" spans="1:7" ht="15" x14ac:dyDescent="0.3">
      <c r="A11063">
        <v>33.001736422719702</v>
      </c>
      <c r="B11063">
        <v>-96.801505934742394</v>
      </c>
      <c r="C11063" t="s">
        <v>41</v>
      </c>
      <c r="D11063" t="s">
        <v>5358</v>
      </c>
      <c r="F11063" s="21"/>
      <c r="G11063" s="16" t="str">
        <f>HYPERLINK("http://maps.google.com/maps?f=q&amp;hl=en&amp;geocode=&amp;q=33.0017364227197,-96.8015059347424")</f>
        <v>http://maps.google.com/maps?f=q&amp;hl=en&amp;geocode=&amp;q=33.0017364227197,-96.8015059347424</v>
      </c>
    </row>
    <row r="11064" spans="1:7" ht="15" x14ac:dyDescent="0.3">
      <c r="A11064">
        <v>50.723228454589801</v>
      </c>
      <c r="B11064">
        <v>4.6152939796447798</v>
      </c>
      <c r="C11064" t="s">
        <v>43</v>
      </c>
      <c r="D11064" t="s">
        <v>5395</v>
      </c>
      <c r="F11064" s="21"/>
      <c r="G11064" s="16" t="str">
        <f>HYPERLINK("http://maps.google.com/maps?f=q&amp;hl=en&amp;geocode=&amp;q=50.7232284545898,4.61529397964478")</f>
        <v>http://maps.google.com/maps?f=q&amp;hl=en&amp;geocode=&amp;q=50.7232284545898,4.61529397964478</v>
      </c>
    </row>
    <row r="11065" spans="1:7" ht="15" x14ac:dyDescent="0.3">
      <c r="A11065">
        <v>-25.366157531738299</v>
      </c>
      <c r="B11065">
        <v>26.781944274902301</v>
      </c>
      <c r="C11065" t="s">
        <v>43</v>
      </c>
      <c r="D11065" t="s">
        <v>6231</v>
      </c>
      <c r="F11065" s="21"/>
      <c r="G11065" s="16" t="str">
        <f>HYPERLINK("http://maps.google.com/maps?f=q&amp;hl=en&amp;geocode=&amp;q=-25.3661575317383,26.7819442749023")</f>
        <v>http://maps.google.com/maps?f=q&amp;hl=en&amp;geocode=&amp;q=-25.3661575317383,26.7819442749023</v>
      </c>
    </row>
    <row r="11066" spans="1:7" ht="15" x14ac:dyDescent="0.3">
      <c r="F11066" s="21"/>
      <c r="G11066" s="16"/>
    </row>
    <row r="11067" spans="1:7" ht="15" x14ac:dyDescent="0.3">
      <c r="A11067">
        <v>42.296340205590099</v>
      </c>
      <c r="B11067">
        <v>-89.066970791681001</v>
      </c>
      <c r="C11067" t="s">
        <v>43</v>
      </c>
      <c r="D11067" t="s">
        <v>6232</v>
      </c>
      <c r="F11067" s="21"/>
      <c r="G11067" s="16" t="str">
        <f>HYPERLINK("http://maps.google.com/maps?f=q&amp;hl=en&amp;geocode=&amp;q=42.2963402055901,-89.066970791681")</f>
        <v>http://maps.google.com/maps?f=q&amp;hl=en&amp;geocode=&amp;q=42.2963402055901,-89.066970791681</v>
      </c>
    </row>
    <row r="11068" spans="1:7" ht="15" x14ac:dyDescent="0.3">
      <c r="A11068">
        <v>53.774799999999999</v>
      </c>
      <c r="B11068">
        <v>-1.54918</v>
      </c>
      <c r="C11068" t="s">
        <v>43</v>
      </c>
      <c r="D11068" t="s">
        <v>6233</v>
      </c>
      <c r="F11068" s="21"/>
      <c r="G11068" s="16" t="str">
        <f>HYPERLINK("http://maps.google.com/maps?f=q&amp;hl=en&amp;geocode=&amp;q=53.7748,-1.54918")</f>
        <v>http://maps.google.com/maps?f=q&amp;hl=en&amp;geocode=&amp;q=53.7748,-1.54918</v>
      </c>
    </row>
    <row r="11069" spans="1:7" ht="15" x14ac:dyDescent="0.3">
      <c r="A11069">
        <v>39.625340000000001</v>
      </c>
      <c r="B11069">
        <v>-79.949749999999995</v>
      </c>
      <c r="C11069" t="s">
        <v>43</v>
      </c>
      <c r="D11069" t="s">
        <v>1464</v>
      </c>
      <c r="F11069" s="21"/>
      <c r="G11069" s="16" t="str">
        <f>HYPERLINK("http://maps.google.com/maps?f=q&amp;hl=en&amp;geocode=&amp;q=39.62534,-79.94975")</f>
        <v>http://maps.google.com/maps?f=q&amp;hl=en&amp;geocode=&amp;q=39.62534,-79.94975</v>
      </c>
    </row>
    <row r="11070" spans="1:7" ht="15" x14ac:dyDescent="0.3">
      <c r="A11070">
        <v>50.587699890136697</v>
      </c>
      <c r="B11070">
        <v>4.32674217224121</v>
      </c>
      <c r="C11070" t="s">
        <v>43</v>
      </c>
      <c r="D11070" t="s">
        <v>6234</v>
      </c>
      <c r="F11070" s="21"/>
      <c r="G11070" s="16" t="str">
        <f>HYPERLINK("http://maps.google.com/maps?f=q&amp;hl=en&amp;geocode=&amp;q=50.5876998901367,4.32674217224121")</f>
        <v>http://maps.google.com/maps?f=q&amp;hl=en&amp;geocode=&amp;q=50.5876998901367,4.32674217224121</v>
      </c>
    </row>
    <row r="11071" spans="1:7" ht="15" x14ac:dyDescent="0.3">
      <c r="A11071">
        <v>42.072286684945503</v>
      </c>
      <c r="B11071">
        <v>-77.585855849096305</v>
      </c>
      <c r="C11071" t="s">
        <v>41</v>
      </c>
      <c r="D11071" t="s">
        <v>6235</v>
      </c>
      <c r="F11071" s="21"/>
      <c r="G11071" s="16" t="str">
        <f>HYPERLINK("http://maps.google.com/maps?f=q&amp;hl=en&amp;geocode=&amp;q=42.0722866849455,-77.5858558490963")</f>
        <v>http://maps.google.com/maps?f=q&amp;hl=en&amp;geocode=&amp;q=42.0722866849455,-77.5858558490963</v>
      </c>
    </row>
    <row r="11072" spans="1:7" ht="15" x14ac:dyDescent="0.3">
      <c r="A11072">
        <v>42.072286684945503</v>
      </c>
      <c r="B11072">
        <v>-77.585855849096305</v>
      </c>
      <c r="C11072" t="s">
        <v>41</v>
      </c>
      <c r="D11072" t="s">
        <v>6235</v>
      </c>
      <c r="F11072" s="21"/>
      <c r="G11072" s="16" t="str">
        <f>HYPERLINK("http://maps.google.com/maps?f=q&amp;hl=en&amp;geocode=&amp;q=42.0722866849455,-77.5858558490963")</f>
        <v>http://maps.google.com/maps?f=q&amp;hl=en&amp;geocode=&amp;q=42.0722866849455,-77.5858558490963</v>
      </c>
    </row>
    <row r="11073" spans="1:7" ht="15" x14ac:dyDescent="0.3">
      <c r="A11073">
        <v>39.974179999999997</v>
      </c>
      <c r="B11073">
        <v>-75.180430000000001</v>
      </c>
      <c r="C11073" t="s">
        <v>43</v>
      </c>
      <c r="D11073" t="s">
        <v>6236</v>
      </c>
      <c r="F11073" s="21"/>
      <c r="G11073" s="16" t="str">
        <f>HYPERLINK("http://maps.google.com/maps?f=q&amp;hl=en&amp;geocode=&amp;q=39.97418,-75.18043")</f>
        <v>http://maps.google.com/maps?f=q&amp;hl=en&amp;geocode=&amp;q=39.97418,-75.18043</v>
      </c>
    </row>
    <row r="11074" spans="1:7" ht="15" x14ac:dyDescent="0.3">
      <c r="A11074">
        <v>26.942900000000002</v>
      </c>
      <c r="B11074">
        <v>-82.220060000000004</v>
      </c>
      <c r="C11074" t="s">
        <v>43</v>
      </c>
      <c r="D11074" t="s">
        <v>6237</v>
      </c>
      <c r="F11074" s="21"/>
      <c r="G11074" s="16" t="str">
        <f>HYPERLINK("http://maps.google.com/maps?f=q&amp;hl=en&amp;geocode=&amp;q=26.9429,-82.22006")</f>
        <v>http://maps.google.com/maps?f=q&amp;hl=en&amp;geocode=&amp;q=26.9429,-82.22006</v>
      </c>
    </row>
    <row r="11075" spans="1:7" ht="15" x14ac:dyDescent="0.3">
      <c r="A11075">
        <v>40.095723765527502</v>
      </c>
      <c r="B11075">
        <v>-111.606798151455</v>
      </c>
      <c r="C11075" t="s">
        <v>41</v>
      </c>
      <c r="D11075" t="s">
        <v>5370</v>
      </c>
      <c r="F11075" s="21"/>
      <c r="G11075" s="16" t="str">
        <f>HYPERLINK("http://maps.google.com/maps?f=q&amp;hl=en&amp;geocode=&amp;q=40.0957237655275,-111.606798151455")</f>
        <v>http://maps.google.com/maps?f=q&amp;hl=en&amp;geocode=&amp;q=40.0957237655275,-111.606798151455</v>
      </c>
    </row>
    <row r="11076" spans="1:7" ht="15" x14ac:dyDescent="0.3">
      <c r="A11076">
        <v>39.684371948242202</v>
      </c>
      <c r="B11076">
        <v>21.8974094390869</v>
      </c>
      <c r="C11076" t="s">
        <v>41</v>
      </c>
      <c r="D11076" t="s">
        <v>94</v>
      </c>
      <c r="F11076" s="21"/>
      <c r="G11076" s="16" t="str">
        <f>HYPERLINK("http://maps.google.com/maps?f=q&amp;hl=en&amp;geocode=&amp;q=39.6843719482422,21.8974094390869")</f>
        <v>http://maps.google.com/maps?f=q&amp;hl=en&amp;geocode=&amp;q=39.6843719482422,21.8974094390869</v>
      </c>
    </row>
    <row r="11077" spans="1:7" ht="15" x14ac:dyDescent="0.3">
      <c r="A11077">
        <v>-36.884181976318402</v>
      </c>
      <c r="B11077">
        <v>147.82412719726599</v>
      </c>
      <c r="C11077" t="s">
        <v>43</v>
      </c>
      <c r="D11077" t="s">
        <v>2699</v>
      </c>
      <c r="F11077" s="21"/>
      <c r="G11077" s="16" t="str">
        <f>HYPERLINK("http://maps.google.com/maps?f=q&amp;hl=en&amp;geocode=&amp;q=-36.8841819763184,147.824127197266")</f>
        <v>http://maps.google.com/maps?f=q&amp;hl=en&amp;geocode=&amp;q=-36.8841819763184,147.824127197266</v>
      </c>
    </row>
    <row r="11078" spans="1:7" ht="15" x14ac:dyDescent="0.3">
      <c r="A11078">
        <v>40.446689605712898</v>
      </c>
      <c r="B11078">
        <v>-76.231819152832003</v>
      </c>
      <c r="C11078" t="s">
        <v>41</v>
      </c>
      <c r="D11078" t="s">
        <v>6238</v>
      </c>
      <c r="F11078" s="21"/>
      <c r="G11078" s="16" t="str">
        <f>HYPERLINK("http://maps.google.com/maps?f=q&amp;hl=en&amp;geocode=&amp;q=40.4466896057129,-76.231819152832")</f>
        <v>http://maps.google.com/maps?f=q&amp;hl=en&amp;geocode=&amp;q=40.4466896057129,-76.231819152832</v>
      </c>
    </row>
    <row r="11079" spans="1:7" ht="15" x14ac:dyDescent="0.3">
      <c r="A11079">
        <v>40.686477267661999</v>
      </c>
      <c r="B11079">
        <v>-73.522429905199303</v>
      </c>
      <c r="C11079" t="s">
        <v>41</v>
      </c>
      <c r="D11079" t="s">
        <v>6031</v>
      </c>
      <c r="F11079" s="21"/>
      <c r="G11079" s="16" t="str">
        <f>HYPERLINK("http://maps.google.com/maps?f=q&amp;hl=en&amp;geocode=&amp;q=40.686477267662,-73.5224299051993")</f>
        <v>http://maps.google.com/maps?f=q&amp;hl=en&amp;geocode=&amp;q=40.686477267662,-73.5224299051993</v>
      </c>
    </row>
    <row r="11080" spans="1:7" ht="15" x14ac:dyDescent="0.3">
      <c r="A11080" t="s">
        <v>44</v>
      </c>
      <c r="B11080" t="s">
        <v>44</v>
      </c>
      <c r="C11080" t="s">
        <v>44</v>
      </c>
      <c r="D11080" t="s">
        <v>5012</v>
      </c>
      <c r="F11080" s="21"/>
      <c r="G11080" s="16"/>
    </row>
    <row r="11081" spans="1:7" ht="15" x14ac:dyDescent="0.3">
      <c r="A11081" t="s">
        <v>44</v>
      </c>
      <c r="B11081" t="s">
        <v>44</v>
      </c>
      <c r="C11081" t="s">
        <v>44</v>
      </c>
      <c r="D11081" t="s">
        <v>5012</v>
      </c>
      <c r="F11081" s="21"/>
      <c r="G11081" s="16"/>
    </row>
    <row r="11082" spans="1:7" ht="15" x14ac:dyDescent="0.3">
      <c r="A11082">
        <v>52.4771537780762</v>
      </c>
      <c r="B11082">
        <v>-1.88746237754822</v>
      </c>
      <c r="C11082" t="s">
        <v>41</v>
      </c>
      <c r="D11082" t="s">
        <v>6239</v>
      </c>
      <c r="F11082" s="21"/>
      <c r="G11082" s="16" t="str">
        <f>HYPERLINK("http://maps.google.com/maps?f=q&amp;hl=en&amp;geocode=&amp;q=52.4771537780762,-1.88746237754822")</f>
        <v>http://maps.google.com/maps?f=q&amp;hl=en&amp;geocode=&amp;q=52.4771537780762,-1.88746237754822</v>
      </c>
    </row>
    <row r="11083" spans="1:7" ht="15" x14ac:dyDescent="0.3">
      <c r="A11083">
        <v>51.448848724365199</v>
      </c>
      <c r="B11083">
        <v>4.4442300796508798</v>
      </c>
      <c r="C11083" t="s">
        <v>43</v>
      </c>
      <c r="D11083" t="s">
        <v>6240</v>
      </c>
      <c r="F11083" s="21"/>
      <c r="G11083" s="16" t="str">
        <f>HYPERLINK("http://maps.google.com/maps?f=q&amp;hl=en&amp;geocode=&amp;q=51.4488487243652,4.44423007965088")</f>
        <v>http://maps.google.com/maps?f=q&amp;hl=en&amp;geocode=&amp;q=51.4488487243652,4.44423007965088</v>
      </c>
    </row>
    <row r="11084" spans="1:7" ht="15" x14ac:dyDescent="0.3">
      <c r="A11084">
        <v>51.309604644775398</v>
      </c>
      <c r="B11084">
        <v>4.5141911506652797</v>
      </c>
      <c r="C11084" t="s">
        <v>43</v>
      </c>
      <c r="D11084" t="s">
        <v>6241</v>
      </c>
      <c r="F11084" s="21"/>
      <c r="G11084" s="16" t="str">
        <f>HYPERLINK("http://maps.google.com/maps?f=q&amp;hl=en&amp;geocode=&amp;q=51.3096046447754,4.51419115066528")</f>
        <v>http://maps.google.com/maps?f=q&amp;hl=en&amp;geocode=&amp;q=51.3096046447754,4.51419115066528</v>
      </c>
    </row>
    <row r="11085" spans="1:7" ht="15" x14ac:dyDescent="0.3">
      <c r="A11085">
        <v>41.477333068847699</v>
      </c>
      <c r="B11085">
        <v>23.879806518554702</v>
      </c>
      <c r="C11085" t="s">
        <v>43</v>
      </c>
      <c r="D11085" t="s">
        <v>6242</v>
      </c>
      <c r="F11085" s="21"/>
      <c r="G11085" s="16" t="str">
        <f>HYPERLINK("http://maps.google.com/maps?f=q&amp;hl=en&amp;geocode=&amp;q=41.4773330688477,23.8798065185547")</f>
        <v>http://maps.google.com/maps?f=q&amp;hl=en&amp;geocode=&amp;q=41.4773330688477,23.8798065185547</v>
      </c>
    </row>
    <row r="11086" spans="1:7" ht="15" x14ac:dyDescent="0.3">
      <c r="A11086">
        <v>44.628067750106702</v>
      </c>
      <c r="B11086">
        <v>-93.414630982940906</v>
      </c>
      <c r="C11086" t="s">
        <v>41</v>
      </c>
      <c r="D11086" t="s">
        <v>6243</v>
      </c>
      <c r="F11086" s="21"/>
      <c r="G11086" s="16" t="str">
        <f>HYPERLINK("http://maps.google.com/maps?f=q&amp;hl=en&amp;geocode=&amp;q=44.6280677501067,-93.4146309829409")</f>
        <v>http://maps.google.com/maps?f=q&amp;hl=en&amp;geocode=&amp;q=44.6280677501067,-93.4146309829409</v>
      </c>
    </row>
    <row r="11087" spans="1:7" ht="15" x14ac:dyDescent="0.3">
      <c r="A11087">
        <v>10.5598154067993</v>
      </c>
      <c r="B11087">
        <v>-69.107070922851605</v>
      </c>
      <c r="C11087" t="s">
        <v>43</v>
      </c>
      <c r="D11087" t="s">
        <v>3308</v>
      </c>
      <c r="F11087" s="21"/>
      <c r="G11087" s="16" t="str">
        <f>HYPERLINK("http://maps.google.com/maps?f=q&amp;hl=en&amp;geocode=&amp;q=10.5598154067993,-69.1070709228516")</f>
        <v>http://maps.google.com/maps?f=q&amp;hl=en&amp;geocode=&amp;q=10.5598154067993,-69.1070709228516</v>
      </c>
    </row>
    <row r="11088" spans="1:7" ht="15" x14ac:dyDescent="0.3">
      <c r="A11088">
        <v>59.424308776855497</v>
      </c>
      <c r="B11088">
        <v>5.38491010665894</v>
      </c>
      <c r="C11088" t="s">
        <v>41</v>
      </c>
      <c r="D11088" t="s">
        <v>6244</v>
      </c>
      <c r="F11088" s="21"/>
      <c r="G11088" s="16" t="str">
        <f>HYPERLINK("http://maps.google.com/maps?f=q&amp;hl=en&amp;geocode=&amp;q=59.4243087768555,5.38491010665894")</f>
        <v>http://maps.google.com/maps?f=q&amp;hl=en&amp;geocode=&amp;q=59.4243087768555,5.38491010665894</v>
      </c>
    </row>
    <row r="11089" spans="1:7" ht="15" x14ac:dyDescent="0.3">
      <c r="A11089">
        <v>32.380149841308601</v>
      </c>
      <c r="B11089">
        <v>-86.300079345703097</v>
      </c>
      <c r="C11089" t="s">
        <v>41</v>
      </c>
      <c r="D11089" t="s">
        <v>4651</v>
      </c>
      <c r="F11089" s="21"/>
      <c r="G11089" s="16" t="str">
        <f>HYPERLINK("http://maps.google.com/maps?f=q&amp;hl=en&amp;geocode=&amp;q=32.3801498413086,-86.3000793457031")</f>
        <v>http://maps.google.com/maps?f=q&amp;hl=en&amp;geocode=&amp;q=32.3801498413086,-86.3000793457031</v>
      </c>
    </row>
    <row r="11090" spans="1:7" ht="15" x14ac:dyDescent="0.3">
      <c r="A11090">
        <v>31.008949999999999</v>
      </c>
      <c r="B11090">
        <v>-86.337400000000002</v>
      </c>
      <c r="C11090" t="s">
        <v>42</v>
      </c>
      <c r="D11090" t="s">
        <v>4649</v>
      </c>
      <c r="F11090" s="21"/>
      <c r="G11090" s="16" t="str">
        <f>HYPERLINK("http://maps.google.com/maps?f=q&amp;hl=en&amp;geocode=&amp;q=31.00895,-86.3374")</f>
        <v>http://maps.google.com/maps?f=q&amp;hl=en&amp;geocode=&amp;q=31.00895,-86.3374</v>
      </c>
    </row>
    <row r="11091" spans="1:7" ht="15" x14ac:dyDescent="0.3">
      <c r="A11091">
        <v>31.010861794446299</v>
      </c>
      <c r="B11091">
        <v>-86.338552900126203</v>
      </c>
      <c r="C11091" t="s">
        <v>41</v>
      </c>
      <c r="D11091" t="s">
        <v>5601</v>
      </c>
      <c r="F11091" s="21"/>
      <c r="G11091" s="16" t="str">
        <f>HYPERLINK("http://maps.google.com/maps?f=q&amp;hl=en&amp;geocode=&amp;q=31.0108617944463,-86.3385529001262")</f>
        <v>http://maps.google.com/maps?f=q&amp;hl=en&amp;geocode=&amp;q=31.0108617944463,-86.3385529001262</v>
      </c>
    </row>
    <row r="11092" spans="1:7" ht="15" x14ac:dyDescent="0.3">
      <c r="A11092">
        <v>39.976312773196803</v>
      </c>
      <c r="B11092">
        <v>-75.160997586468397</v>
      </c>
      <c r="C11092" t="s">
        <v>41</v>
      </c>
      <c r="D11092" t="s">
        <v>6245</v>
      </c>
      <c r="F11092" s="21"/>
      <c r="G11092" s="16" t="str">
        <f>HYPERLINK("http://maps.google.com/maps?f=q&amp;hl=en&amp;geocode=&amp;q=39.9763127731968,-75.1609975864684")</f>
        <v>http://maps.google.com/maps?f=q&amp;hl=en&amp;geocode=&amp;q=39.9763127731968,-75.1609975864684</v>
      </c>
    </row>
    <row r="11093" spans="1:7" ht="15" x14ac:dyDescent="0.3">
      <c r="A11093">
        <v>34.272004742409102</v>
      </c>
      <c r="B11093">
        <v>-116.935170361676</v>
      </c>
      <c r="C11093" t="s">
        <v>43</v>
      </c>
      <c r="D11093" t="s">
        <v>4820</v>
      </c>
      <c r="F11093" s="21"/>
      <c r="G11093" s="16" t="str">
        <f>HYPERLINK("http://maps.google.com/maps?f=q&amp;hl=en&amp;geocode=&amp;q=34.2720047424091,-116.935170361676")</f>
        <v>http://maps.google.com/maps?f=q&amp;hl=en&amp;geocode=&amp;q=34.2720047424091,-116.935170361676</v>
      </c>
    </row>
    <row r="11094" spans="1:7" ht="15" x14ac:dyDescent="0.3">
      <c r="A11094">
        <v>49.5926322937012</v>
      </c>
      <c r="B11094">
        <v>6.1470780372619602</v>
      </c>
      <c r="C11094" t="s">
        <v>41</v>
      </c>
      <c r="D11094" t="s">
        <v>5435</v>
      </c>
      <c r="F11094" s="21"/>
      <c r="G11094" s="16" t="str">
        <f>HYPERLINK("http://maps.google.com/maps?f=q&amp;hl=en&amp;geocode=&amp;q=49.5926322937012,6.14707803726196")</f>
        <v>http://maps.google.com/maps?f=q&amp;hl=en&amp;geocode=&amp;q=49.5926322937012,6.14707803726196</v>
      </c>
    </row>
    <row r="11095" spans="1:7" ht="15" x14ac:dyDescent="0.3">
      <c r="A11095">
        <v>40.024867018873699</v>
      </c>
      <c r="B11095">
        <v>-75.113977105009695</v>
      </c>
      <c r="C11095" t="s">
        <v>43</v>
      </c>
      <c r="D11095" t="s">
        <v>6246</v>
      </c>
      <c r="F11095" s="21"/>
      <c r="G11095" s="16" t="str">
        <f>HYPERLINK("http://maps.google.com/maps?f=q&amp;hl=en&amp;geocode=&amp;q=40.0248670188737,-75.1139771050097")</f>
        <v>http://maps.google.com/maps?f=q&amp;hl=en&amp;geocode=&amp;q=40.0248670188737,-75.1139771050097</v>
      </c>
    </row>
    <row r="11096" spans="1:7" ht="15" x14ac:dyDescent="0.3">
      <c r="A11096">
        <v>38.973060607910199</v>
      </c>
      <c r="B11096">
        <v>-95.236526489257798</v>
      </c>
      <c r="C11096" t="s">
        <v>43</v>
      </c>
      <c r="D11096" t="s">
        <v>1271</v>
      </c>
      <c r="F11096" s="21"/>
      <c r="G11096" s="16" t="str">
        <f>HYPERLINK("http://maps.google.com/maps?f=q&amp;hl=en&amp;geocode=&amp;q=38.9730606079102,-95.2365264892578")</f>
        <v>http://maps.google.com/maps?f=q&amp;hl=en&amp;geocode=&amp;q=38.9730606079102,-95.2365264892578</v>
      </c>
    </row>
    <row r="11097" spans="1:7" ht="15" x14ac:dyDescent="0.3">
      <c r="A11097">
        <v>49.613365173339801</v>
      </c>
      <c r="B11097">
        <v>6.1064939498901403</v>
      </c>
      <c r="C11097" t="s">
        <v>41</v>
      </c>
      <c r="D11097" t="s">
        <v>4405</v>
      </c>
      <c r="F11097" s="21"/>
      <c r="G11097" s="16" t="str">
        <f>HYPERLINK("http://maps.google.com/maps?f=q&amp;hl=en&amp;geocode=&amp;q=49.6133651733398,6.10649394989014")</f>
        <v>http://maps.google.com/maps?f=q&amp;hl=en&amp;geocode=&amp;q=49.6133651733398,6.10649394989014</v>
      </c>
    </row>
    <row r="11098" spans="1:7" ht="15" x14ac:dyDescent="0.3">
      <c r="A11098">
        <v>40.038051605224602</v>
      </c>
      <c r="B11098">
        <v>-76.301292419433594</v>
      </c>
      <c r="C11098" t="s">
        <v>41</v>
      </c>
      <c r="D11098" t="s">
        <v>6247</v>
      </c>
      <c r="F11098" s="21"/>
      <c r="G11098" s="16" t="str">
        <f>HYPERLINK("http://maps.google.com/maps?f=q&amp;hl=en&amp;geocode=&amp;q=40.0380516052246,-76.3012924194336")</f>
        <v>http://maps.google.com/maps?f=q&amp;hl=en&amp;geocode=&amp;q=40.0380516052246,-76.3012924194336</v>
      </c>
    </row>
    <row r="11099" spans="1:7" ht="15" x14ac:dyDescent="0.3">
      <c r="A11099">
        <v>55.491008758544901</v>
      </c>
      <c r="B11099">
        <v>9.9075298309326207</v>
      </c>
      <c r="C11099" t="s">
        <v>43</v>
      </c>
      <c r="D11099" t="s">
        <v>6248</v>
      </c>
      <c r="F11099" s="21"/>
      <c r="G11099" s="16" t="str">
        <f>HYPERLINK("http://maps.google.com/maps?f=q&amp;hl=en&amp;geocode=&amp;q=55.4910087585449,9.90752983093262")</f>
        <v>http://maps.google.com/maps?f=q&amp;hl=en&amp;geocode=&amp;q=55.4910087585449,9.90752983093262</v>
      </c>
    </row>
    <row r="11100" spans="1:7" ht="15" x14ac:dyDescent="0.3">
      <c r="A11100">
        <v>39.996009999999998</v>
      </c>
      <c r="B11100">
        <v>-75.172529999999995</v>
      </c>
      <c r="C11100" t="s">
        <v>41</v>
      </c>
      <c r="D11100" t="s">
        <v>4331</v>
      </c>
      <c r="F11100" s="21"/>
      <c r="G11100" s="16" t="str">
        <f>HYPERLINK("http://maps.google.com/maps?f=q&amp;hl=en&amp;geocode=&amp;q=39.99601,-75.17253")</f>
        <v>http://maps.google.com/maps?f=q&amp;hl=en&amp;geocode=&amp;q=39.99601,-75.17253</v>
      </c>
    </row>
    <row r="11101" spans="1:7" ht="15" x14ac:dyDescent="0.3">
      <c r="A11101">
        <v>47.116134643554702</v>
      </c>
      <c r="B11101">
        <v>6.8440089225768999</v>
      </c>
      <c r="C11101" t="s">
        <v>43</v>
      </c>
      <c r="D11101" t="s">
        <v>2746</v>
      </c>
      <c r="F11101" s="21"/>
      <c r="G11101" s="16" t="str">
        <f>HYPERLINK("http://maps.google.com/maps?f=q&amp;hl=en&amp;geocode=&amp;q=47.1161346435547,6.8440089225769")</f>
        <v>http://maps.google.com/maps?f=q&amp;hl=en&amp;geocode=&amp;q=47.1161346435547,6.8440089225769</v>
      </c>
    </row>
    <row r="11102" spans="1:7" ht="15" x14ac:dyDescent="0.3">
      <c r="A11102">
        <v>42.470289999999999</v>
      </c>
      <c r="B11102">
        <v>-83.077780000000004</v>
      </c>
      <c r="C11102" t="s">
        <v>42</v>
      </c>
      <c r="D11102" t="s">
        <v>88</v>
      </c>
      <c r="F11102" s="21"/>
      <c r="G11102" s="16" t="str">
        <f>HYPERLINK("http://maps.google.com/maps?f=q&amp;hl=en&amp;geocode=&amp;q=42.47029,-83.07778")</f>
        <v>http://maps.google.com/maps?f=q&amp;hl=en&amp;geocode=&amp;q=42.47029,-83.07778</v>
      </c>
    </row>
    <row r="11103" spans="1:7" ht="15" x14ac:dyDescent="0.3">
      <c r="A11103">
        <v>28.904071570022499</v>
      </c>
      <c r="B11103">
        <v>-81.216390005921994</v>
      </c>
      <c r="C11103" t="s">
        <v>41</v>
      </c>
      <c r="D11103" t="s">
        <v>6249</v>
      </c>
      <c r="F11103" s="21"/>
      <c r="G11103" s="16" t="str">
        <f>HYPERLINK("http://maps.google.com/maps?f=q&amp;hl=en&amp;geocode=&amp;q=28.9040715700225,-81.216390005922")</f>
        <v>http://maps.google.com/maps?f=q&amp;hl=en&amp;geocode=&amp;q=28.9040715700225,-81.216390005922</v>
      </c>
    </row>
    <row r="11104" spans="1:7" ht="15" x14ac:dyDescent="0.3">
      <c r="A11104" t="s">
        <v>44</v>
      </c>
      <c r="B11104" t="s">
        <v>44</v>
      </c>
      <c r="C11104" t="s">
        <v>44</v>
      </c>
      <c r="D11104" t="s">
        <v>6250</v>
      </c>
      <c r="F11104" s="21"/>
      <c r="G11104" s="16"/>
    </row>
    <row r="11105" spans="1:7" ht="15" x14ac:dyDescent="0.3">
      <c r="A11105" t="s">
        <v>44</v>
      </c>
      <c r="B11105" t="s">
        <v>44</v>
      </c>
      <c r="C11105" t="s">
        <v>44</v>
      </c>
      <c r="D11105" t="s">
        <v>981</v>
      </c>
      <c r="F11105" s="21"/>
      <c r="G11105" s="16"/>
    </row>
    <row r="11106" spans="1:7" ht="15" x14ac:dyDescent="0.3">
      <c r="A11106" t="s">
        <v>44</v>
      </c>
      <c r="B11106" t="s">
        <v>44</v>
      </c>
      <c r="C11106" t="s">
        <v>44</v>
      </c>
      <c r="D11106" t="s">
        <v>1004</v>
      </c>
      <c r="F11106" s="21"/>
      <c r="G11106" s="16"/>
    </row>
    <row r="11107" spans="1:7" ht="15" x14ac:dyDescent="0.3">
      <c r="A11107">
        <v>28.011420000000001</v>
      </c>
      <c r="B11107">
        <v>-82.149090000000001</v>
      </c>
      <c r="C11107" t="s">
        <v>42</v>
      </c>
      <c r="D11107" t="s">
        <v>6220</v>
      </c>
      <c r="F11107" s="21"/>
      <c r="G11107" s="16" t="str">
        <f>HYPERLINK("http://maps.google.com/maps?f=q&amp;hl=en&amp;geocode=&amp;q=28.01142,-82.14909")</f>
        <v>http://maps.google.com/maps?f=q&amp;hl=en&amp;geocode=&amp;q=28.01142,-82.14909</v>
      </c>
    </row>
    <row r="11108" spans="1:7" ht="15" x14ac:dyDescent="0.3">
      <c r="A11108">
        <v>40.718981566297799</v>
      </c>
      <c r="B11108">
        <v>-73.988849189717698</v>
      </c>
      <c r="C11108" t="s">
        <v>41</v>
      </c>
      <c r="D11108" t="s">
        <v>6251</v>
      </c>
      <c r="F11108" s="21"/>
      <c r="G11108" s="16" t="str">
        <f>HYPERLINK("http://maps.google.com/maps?f=q&amp;hl=en&amp;geocode=&amp;q=40.7189815662978,-73.9888491897177")</f>
        <v>http://maps.google.com/maps?f=q&amp;hl=en&amp;geocode=&amp;q=40.7189815662978,-73.9888491897177</v>
      </c>
    </row>
    <row r="11109" spans="1:7" ht="15" x14ac:dyDescent="0.3">
      <c r="A11109">
        <v>39.992789999999999</v>
      </c>
      <c r="B11109">
        <v>-75.153175000000005</v>
      </c>
      <c r="C11109" t="s">
        <v>41</v>
      </c>
      <c r="D11109" t="s">
        <v>4954</v>
      </c>
      <c r="F11109" s="21"/>
      <c r="G11109" s="16" t="str">
        <f>HYPERLINK("http://maps.google.com/maps?f=q&amp;hl=en&amp;geocode=&amp;q=39.99279,-75.153175")</f>
        <v>http://maps.google.com/maps?f=q&amp;hl=en&amp;geocode=&amp;q=39.99279,-75.153175</v>
      </c>
    </row>
    <row r="11110" spans="1:7" ht="15" x14ac:dyDescent="0.3">
      <c r="A11110">
        <v>51.403045654296903</v>
      </c>
      <c r="B11110">
        <v>-0.262797862291336</v>
      </c>
      <c r="C11110" t="s">
        <v>41</v>
      </c>
      <c r="D11110" t="s">
        <v>2815</v>
      </c>
      <c r="F11110" s="21"/>
      <c r="G11110" s="16" t="str">
        <f>HYPERLINK("http://maps.google.com/maps?f=q&amp;hl=en&amp;geocode=&amp;q=51.4030456542969,-0.262797862291336")</f>
        <v>http://maps.google.com/maps?f=q&amp;hl=en&amp;geocode=&amp;q=51.4030456542969,-0.262797862291336</v>
      </c>
    </row>
    <row r="11111" spans="1:7" ht="15" x14ac:dyDescent="0.3">
      <c r="A11111">
        <v>38.8083305358887</v>
      </c>
      <c r="B11111">
        <v>0.116669997572899</v>
      </c>
      <c r="C11111" t="s">
        <v>41</v>
      </c>
      <c r="D11111" t="s">
        <v>6252</v>
      </c>
      <c r="F11111" s="21"/>
      <c r="G11111" s="16" t="str">
        <f>HYPERLINK("http://maps.google.com/maps?f=q&amp;hl=en&amp;geocode=&amp;q=38.8083305358887,0.116669997572899")</f>
        <v>http://maps.google.com/maps?f=q&amp;hl=en&amp;geocode=&amp;q=38.8083305358887,0.116669997572899</v>
      </c>
    </row>
    <row r="11112" spans="1:7" ht="15" x14ac:dyDescent="0.3">
      <c r="A11112">
        <v>38.894845892219799</v>
      </c>
      <c r="B11112">
        <v>-84.233261665208403</v>
      </c>
      <c r="C11112" t="s">
        <v>41</v>
      </c>
      <c r="D11112" t="s">
        <v>6253</v>
      </c>
      <c r="F11112" s="21"/>
      <c r="G11112" s="16" t="str">
        <f>HYPERLINK("http://maps.google.com/maps?f=q&amp;hl=en&amp;geocode=&amp;q=38.8948458922198,-84.2332616652084")</f>
        <v>http://maps.google.com/maps?f=q&amp;hl=en&amp;geocode=&amp;q=38.8948458922198,-84.2332616652084</v>
      </c>
    </row>
    <row r="11113" spans="1:7" ht="15" x14ac:dyDescent="0.3">
      <c r="A11113">
        <v>39.927289999999999</v>
      </c>
      <c r="B11113">
        <v>-75.153999999999996</v>
      </c>
      <c r="C11113" t="s">
        <v>43</v>
      </c>
      <c r="D11113" t="s">
        <v>2768</v>
      </c>
      <c r="F11113" s="21"/>
      <c r="G11113" s="16" t="str">
        <f>HYPERLINK("http://maps.google.com/maps?f=q&amp;hl=en&amp;geocode=&amp;q=39.92729,-75.154")</f>
        <v>http://maps.google.com/maps?f=q&amp;hl=en&amp;geocode=&amp;q=39.92729,-75.154</v>
      </c>
    </row>
    <row r="11114" spans="1:7" ht="15" x14ac:dyDescent="0.3">
      <c r="A11114">
        <v>-36.850700378417997</v>
      </c>
      <c r="B11114">
        <v>174.85800170898401</v>
      </c>
      <c r="C11114" t="s">
        <v>43</v>
      </c>
      <c r="D11114" t="s">
        <v>6254</v>
      </c>
      <c r="F11114" s="21"/>
      <c r="G11114" s="16" t="str">
        <f>HYPERLINK("http://maps.google.com/maps?f=q&amp;hl=en&amp;geocode=&amp;q=-36.850700378418,174.858001708984")</f>
        <v>http://maps.google.com/maps?f=q&amp;hl=en&amp;geocode=&amp;q=-36.850700378418,174.858001708984</v>
      </c>
    </row>
    <row r="11115" spans="1:7" ht="15" x14ac:dyDescent="0.3">
      <c r="A11115">
        <v>39.950060000000001</v>
      </c>
      <c r="B11115">
        <v>-75.168139999999994</v>
      </c>
      <c r="C11115" t="s">
        <v>41</v>
      </c>
      <c r="D11115" t="s">
        <v>5999</v>
      </c>
      <c r="F11115" s="21"/>
      <c r="G11115" s="16" t="str">
        <f>HYPERLINK("http://maps.google.com/maps?f=q&amp;hl=en&amp;geocode=&amp;q=39.95006,-75.16814")</f>
        <v>http://maps.google.com/maps?f=q&amp;hl=en&amp;geocode=&amp;q=39.95006,-75.16814</v>
      </c>
    </row>
    <row r="11116" spans="1:7" ht="15" x14ac:dyDescent="0.3">
      <c r="A11116">
        <v>40.576259999999998</v>
      </c>
      <c r="B11116">
        <v>-75.348519999999994</v>
      </c>
      <c r="C11116" t="s">
        <v>43</v>
      </c>
      <c r="D11116" t="s">
        <v>6223</v>
      </c>
      <c r="F11116" s="21"/>
      <c r="G11116" s="16" t="str">
        <f>HYPERLINK("http://maps.google.com/maps?f=q&amp;hl=en&amp;geocode=&amp;q=40.57626,-75.34852")</f>
        <v>http://maps.google.com/maps?f=q&amp;hl=en&amp;geocode=&amp;q=40.57626,-75.34852</v>
      </c>
    </row>
    <row r="11117" spans="1:7" ht="15" x14ac:dyDescent="0.3">
      <c r="A11117">
        <v>39.94782</v>
      </c>
      <c r="B11117">
        <v>-75.178169999999994</v>
      </c>
      <c r="C11117" t="s">
        <v>43</v>
      </c>
      <c r="D11117" t="s">
        <v>6255</v>
      </c>
      <c r="F11117" s="21"/>
      <c r="G11117" s="16" t="str">
        <f>HYPERLINK("http://maps.google.com/maps?f=q&amp;hl=en&amp;geocode=&amp;q=39.94782,-75.17817")</f>
        <v>http://maps.google.com/maps?f=q&amp;hl=en&amp;geocode=&amp;q=39.94782,-75.17817</v>
      </c>
    </row>
    <row r="11118" spans="1:7" ht="15" x14ac:dyDescent="0.3">
      <c r="A11118">
        <v>40.229881286621101</v>
      </c>
      <c r="B11118">
        <v>-74.936637878417997</v>
      </c>
      <c r="C11118" t="s">
        <v>41</v>
      </c>
      <c r="D11118" t="s">
        <v>6256</v>
      </c>
      <c r="F11118" s="21"/>
      <c r="G11118" s="16" t="str">
        <f>HYPERLINK("http://maps.google.com/maps?f=q&amp;hl=en&amp;geocode=&amp;q=40.2298812866211,-74.936637878418")</f>
        <v>http://maps.google.com/maps?f=q&amp;hl=en&amp;geocode=&amp;q=40.2298812866211,-74.936637878418</v>
      </c>
    </row>
    <row r="11119" spans="1:7" ht="15" x14ac:dyDescent="0.3">
      <c r="A11119">
        <v>-26.72869</v>
      </c>
      <c r="B11119">
        <v>27.850180000000002</v>
      </c>
      <c r="C11119" t="s">
        <v>41</v>
      </c>
      <c r="D11119" t="s">
        <v>6257</v>
      </c>
      <c r="F11119" s="21"/>
      <c r="G11119" s="16" t="str">
        <f>HYPERLINK("http://maps.google.com/maps?f=q&amp;hl=en&amp;geocode=&amp;q=-26.72869,27.85018")</f>
        <v>http://maps.google.com/maps?f=q&amp;hl=en&amp;geocode=&amp;q=-26.72869,27.85018</v>
      </c>
    </row>
    <row r="11120" spans="1:7" ht="15" x14ac:dyDescent="0.3">
      <c r="A11120">
        <v>40.067748132789703</v>
      </c>
      <c r="B11120">
        <v>-88.332726086679003</v>
      </c>
      <c r="C11120" t="s">
        <v>41</v>
      </c>
      <c r="D11120" t="s">
        <v>4335</v>
      </c>
      <c r="F11120" s="21"/>
      <c r="G11120" s="16" t="str">
        <f>HYPERLINK("http://maps.google.com/maps?f=q&amp;hl=en&amp;geocode=&amp;q=40.0677481327897,-88.332726086679")</f>
        <v>http://maps.google.com/maps?f=q&amp;hl=en&amp;geocode=&amp;q=40.0677481327897,-88.332726086679</v>
      </c>
    </row>
    <row r="11121" spans="1:7" ht="15" x14ac:dyDescent="0.3">
      <c r="A11121">
        <v>39.950090000000003</v>
      </c>
      <c r="B11121">
        <v>-75.168360000000007</v>
      </c>
      <c r="C11121" t="s">
        <v>41</v>
      </c>
      <c r="D11121" t="s">
        <v>6197</v>
      </c>
      <c r="F11121" s="21"/>
      <c r="G11121" s="16" t="str">
        <f>HYPERLINK("http://maps.google.com/maps?f=q&amp;hl=en&amp;geocode=&amp;q=39.95009,-75.16836")</f>
        <v>http://maps.google.com/maps?f=q&amp;hl=en&amp;geocode=&amp;q=39.95009,-75.16836</v>
      </c>
    </row>
    <row r="11122" spans="1:7" ht="15" x14ac:dyDescent="0.3">
      <c r="A11122">
        <v>39.994509000000001</v>
      </c>
      <c r="B11122">
        <v>-75.092248999999995</v>
      </c>
      <c r="C11122" t="s">
        <v>41</v>
      </c>
      <c r="D11122" t="s">
        <v>553</v>
      </c>
      <c r="F11122" s="21"/>
      <c r="G11122" s="16" t="str">
        <f>HYPERLINK("http://maps.google.com/maps?f=q&amp;hl=en&amp;geocode=&amp;q=39.994509,-75.092249")</f>
        <v>http://maps.google.com/maps?f=q&amp;hl=en&amp;geocode=&amp;q=39.994509,-75.092249</v>
      </c>
    </row>
    <row r="11123" spans="1:7" ht="15" x14ac:dyDescent="0.3">
      <c r="A11123">
        <v>39.947240000000001</v>
      </c>
      <c r="B11123">
        <v>-75.174689999999998</v>
      </c>
      <c r="C11123" t="s">
        <v>43</v>
      </c>
      <c r="D11123" t="s">
        <v>6228</v>
      </c>
      <c r="F11123" s="21"/>
      <c r="G11123" s="16" t="str">
        <f>HYPERLINK("http://maps.google.com/maps?f=q&amp;hl=en&amp;geocode=&amp;q=39.94724,-75.17469")</f>
        <v>http://maps.google.com/maps?f=q&amp;hl=en&amp;geocode=&amp;q=39.94724,-75.17469</v>
      </c>
    </row>
    <row r="11124" spans="1:7" ht="15" x14ac:dyDescent="0.3">
      <c r="A11124">
        <v>39.751322041520801</v>
      </c>
      <c r="B11124">
        <v>-104.99632161971201</v>
      </c>
      <c r="C11124" t="s">
        <v>41</v>
      </c>
      <c r="D11124" t="s">
        <v>6258</v>
      </c>
      <c r="F11124" s="21"/>
      <c r="G11124" s="16" t="str">
        <f>HYPERLINK("http://maps.google.com/maps?f=q&amp;hl=en&amp;geocode=&amp;q=39.7513220415208,-104.996321619712")</f>
        <v>http://maps.google.com/maps?f=q&amp;hl=en&amp;geocode=&amp;q=39.7513220415208,-104.996321619712</v>
      </c>
    </row>
    <row r="11125" spans="1:7" ht="15" x14ac:dyDescent="0.3">
      <c r="A11125">
        <v>41.882610321044901</v>
      </c>
      <c r="B11125">
        <v>-72.267852783203097</v>
      </c>
      <c r="C11125" t="s">
        <v>43</v>
      </c>
      <c r="D11125" t="s">
        <v>6259</v>
      </c>
      <c r="F11125" s="21"/>
      <c r="G11125" s="16" t="str">
        <f>HYPERLINK("http://maps.google.com/maps?f=q&amp;hl=en&amp;geocode=&amp;q=41.8826103210449,-72.2678527832031")</f>
        <v>http://maps.google.com/maps?f=q&amp;hl=en&amp;geocode=&amp;q=41.8826103210449,-72.2678527832031</v>
      </c>
    </row>
    <row r="11126" spans="1:7" ht="15" x14ac:dyDescent="0.3">
      <c r="A11126" t="s">
        <v>44</v>
      </c>
      <c r="B11126" t="s">
        <v>44</v>
      </c>
      <c r="C11126" t="s">
        <v>44</v>
      </c>
      <c r="D11126" t="s">
        <v>6260</v>
      </c>
      <c r="F11126" s="21"/>
      <c r="G11126" s="16"/>
    </row>
    <row r="11127" spans="1:7" ht="15" x14ac:dyDescent="0.3">
      <c r="A11127" t="s">
        <v>44</v>
      </c>
      <c r="B11127" t="s">
        <v>44</v>
      </c>
      <c r="C11127" t="s">
        <v>44</v>
      </c>
      <c r="D11127" t="s">
        <v>6261</v>
      </c>
      <c r="F11127" s="21"/>
      <c r="G11127" s="16"/>
    </row>
    <row r="11128" spans="1:7" ht="15" x14ac:dyDescent="0.3">
      <c r="A11128">
        <v>51.756290435791001</v>
      </c>
      <c r="B11128">
        <v>-1.2595100402832</v>
      </c>
      <c r="C11128" t="s">
        <v>43</v>
      </c>
      <c r="D11128" t="s">
        <v>6262</v>
      </c>
      <c r="F11128" s="21"/>
      <c r="G11128" s="16" t="str">
        <f>HYPERLINK("http://maps.google.com/maps?f=q&amp;hl=en&amp;geocode=&amp;q=51.756290435791,-1.2595100402832")</f>
        <v>http://maps.google.com/maps?f=q&amp;hl=en&amp;geocode=&amp;q=51.756290435791,-1.2595100402832</v>
      </c>
    </row>
    <row r="11129" spans="1:7" ht="15" x14ac:dyDescent="0.3">
      <c r="A11129" t="s">
        <v>44</v>
      </c>
      <c r="B11129" t="s">
        <v>44</v>
      </c>
      <c r="C11129" t="s">
        <v>44</v>
      </c>
      <c r="D11129" t="s">
        <v>6263</v>
      </c>
      <c r="F11129" s="21"/>
      <c r="G11129" s="16"/>
    </row>
    <row r="11130" spans="1:7" ht="15" x14ac:dyDescent="0.3">
      <c r="A11130">
        <v>42.999576568603501</v>
      </c>
      <c r="B11130">
        <v>-107.551513671875</v>
      </c>
      <c r="C11130" t="s">
        <v>41</v>
      </c>
      <c r="D11130" t="s">
        <v>3099</v>
      </c>
      <c r="F11130" s="21"/>
      <c r="G11130" s="16" t="str">
        <f>HYPERLINK("http://maps.google.com/maps?f=q&amp;hl=en&amp;geocode=&amp;q=42.9995765686035,-107.551513671875")</f>
        <v>http://maps.google.com/maps?f=q&amp;hl=en&amp;geocode=&amp;q=42.9995765686035,-107.551513671875</v>
      </c>
    </row>
    <row r="11131" spans="1:7" ht="15" x14ac:dyDescent="0.3">
      <c r="A11131">
        <v>31.161860000000001</v>
      </c>
      <c r="B11131">
        <v>-85.604039999999998</v>
      </c>
      <c r="C11131" t="s">
        <v>42</v>
      </c>
      <c r="D11131" t="s">
        <v>6264</v>
      </c>
      <c r="F11131" s="21"/>
      <c r="G11131" s="16" t="str">
        <f>HYPERLINK("http://maps.google.com/maps?f=q&amp;hl=en&amp;geocode=&amp;q=31.16186,-85.60404")</f>
        <v>http://maps.google.com/maps?f=q&amp;hl=en&amp;geocode=&amp;q=31.16186,-85.60404</v>
      </c>
    </row>
    <row r="11132" spans="1:7" ht="15" x14ac:dyDescent="0.3">
      <c r="A11132">
        <v>-32.485370000000003</v>
      </c>
      <c r="B11132">
        <v>137.74346</v>
      </c>
      <c r="C11132" t="s">
        <v>43</v>
      </c>
      <c r="D11132" t="s">
        <v>6265</v>
      </c>
      <c r="F11132" s="21"/>
      <c r="G11132" s="16" t="str">
        <f>HYPERLINK("http://maps.google.com/maps?f=q&amp;hl=en&amp;geocode=&amp;q=-32.48537,137.74346")</f>
        <v>http://maps.google.com/maps?f=q&amp;hl=en&amp;geocode=&amp;q=-32.48537,137.74346</v>
      </c>
    </row>
    <row r="11133" spans="1:7" ht="15" x14ac:dyDescent="0.3">
      <c r="A11133">
        <v>40.294942825157797</v>
      </c>
      <c r="B11133">
        <v>-120.51605816745101</v>
      </c>
      <c r="C11133" t="s">
        <v>41</v>
      </c>
      <c r="D11133" t="s">
        <v>6266</v>
      </c>
      <c r="F11133" s="21"/>
      <c r="G11133" s="16" t="str">
        <f>HYPERLINK("http://maps.google.com/maps?f=q&amp;hl=en&amp;geocode=&amp;q=40.2949428251578,-120.516058167451")</f>
        <v>http://maps.google.com/maps?f=q&amp;hl=en&amp;geocode=&amp;q=40.2949428251578,-120.516058167451</v>
      </c>
    </row>
    <row r="11134" spans="1:7" ht="15" x14ac:dyDescent="0.3">
      <c r="A11134">
        <v>40.034730000000003</v>
      </c>
      <c r="B11134">
        <v>-75.130880000000005</v>
      </c>
      <c r="C11134" t="s">
        <v>42</v>
      </c>
      <c r="D11134" t="s">
        <v>6267</v>
      </c>
      <c r="F11134" s="21"/>
      <c r="G11134" s="16" t="str">
        <f>HYPERLINK("http://maps.google.com/maps?f=q&amp;hl=en&amp;geocode=&amp;q=40.03473,-75.13088")</f>
        <v>http://maps.google.com/maps?f=q&amp;hl=en&amp;geocode=&amp;q=40.03473,-75.13088</v>
      </c>
    </row>
    <row r="11135" spans="1:7" ht="15" x14ac:dyDescent="0.3">
      <c r="A11135">
        <v>36.0435027075658</v>
      </c>
      <c r="B11135">
        <v>-83.881813849224599</v>
      </c>
      <c r="C11135" t="s">
        <v>43</v>
      </c>
      <c r="D11135" t="s">
        <v>4369</v>
      </c>
      <c r="F11135" s="21"/>
      <c r="G11135" s="16" t="str">
        <f>HYPERLINK("http://maps.google.com/maps?f=q&amp;hl=en&amp;geocode=&amp;q=36.0435027075658,-83.8818138492246")</f>
        <v>http://maps.google.com/maps?f=q&amp;hl=en&amp;geocode=&amp;q=36.0435027075658,-83.8818138492246</v>
      </c>
    </row>
    <row r="11136" spans="1:7" ht="15" x14ac:dyDescent="0.3">
      <c r="A11136">
        <v>34.722659999999998</v>
      </c>
      <c r="B11136">
        <v>-76.706680000000006</v>
      </c>
      <c r="C11136" t="s">
        <v>43</v>
      </c>
      <c r="D11136" t="s">
        <v>6268</v>
      </c>
      <c r="F11136" s="21"/>
      <c r="G11136" s="16" t="str">
        <f>HYPERLINK("http://maps.google.com/maps?f=q&amp;hl=en&amp;geocode=&amp;q=34.72266,-76.70668")</f>
        <v>http://maps.google.com/maps?f=q&amp;hl=en&amp;geocode=&amp;q=34.72266,-76.70668</v>
      </c>
    </row>
    <row r="11137" spans="1:7" ht="15" x14ac:dyDescent="0.3">
      <c r="A11137">
        <v>40.026150000000001</v>
      </c>
      <c r="B11137">
        <v>-75.127939999999995</v>
      </c>
      <c r="C11137" t="s">
        <v>42</v>
      </c>
      <c r="D11137" t="s">
        <v>4308</v>
      </c>
      <c r="F11137" s="21"/>
      <c r="G11137" s="16" t="str">
        <f>HYPERLINK("http://maps.google.com/maps?f=q&amp;hl=en&amp;geocode=&amp;q=40.02615,-75.12794")</f>
        <v>http://maps.google.com/maps?f=q&amp;hl=en&amp;geocode=&amp;q=40.02615,-75.12794</v>
      </c>
    </row>
    <row r="11138" spans="1:7" ht="15" x14ac:dyDescent="0.3">
      <c r="A11138">
        <v>40.026150000000001</v>
      </c>
      <c r="B11138">
        <v>-75.127939999999995</v>
      </c>
      <c r="C11138" t="s">
        <v>42</v>
      </c>
      <c r="D11138" t="s">
        <v>4308</v>
      </c>
      <c r="F11138" s="21"/>
      <c r="G11138" s="16" t="str">
        <f>HYPERLINK("http://maps.google.com/maps?f=q&amp;hl=en&amp;geocode=&amp;q=40.02615,-75.12794")</f>
        <v>http://maps.google.com/maps?f=q&amp;hl=en&amp;geocode=&amp;q=40.02615,-75.12794</v>
      </c>
    </row>
    <row r="11139" spans="1:7" ht="15" x14ac:dyDescent="0.3">
      <c r="A11139">
        <v>40.026910000000001</v>
      </c>
      <c r="B11139">
        <v>-75.129630000000006</v>
      </c>
      <c r="C11139" t="s">
        <v>42</v>
      </c>
      <c r="D11139" t="s">
        <v>6269</v>
      </c>
      <c r="F11139" s="21"/>
      <c r="G11139" s="16" t="str">
        <f>HYPERLINK("http://maps.google.com/maps?f=q&amp;hl=en&amp;geocode=&amp;q=40.02691,-75.12963")</f>
        <v>http://maps.google.com/maps?f=q&amp;hl=en&amp;geocode=&amp;q=40.02691,-75.12963</v>
      </c>
    </row>
    <row r="11140" spans="1:7" ht="15" x14ac:dyDescent="0.3">
      <c r="A11140" t="s">
        <v>44</v>
      </c>
      <c r="B11140" t="s">
        <v>44</v>
      </c>
      <c r="C11140" t="s">
        <v>44</v>
      </c>
      <c r="D11140" t="s">
        <v>5767</v>
      </c>
      <c r="F11140" s="21"/>
      <c r="G11140" s="16"/>
    </row>
    <row r="11141" spans="1:7" ht="15" x14ac:dyDescent="0.3">
      <c r="A11141">
        <v>38.373374966153499</v>
      </c>
      <c r="B11141">
        <v>-89.795614935532299</v>
      </c>
      <c r="C11141" t="s">
        <v>43</v>
      </c>
      <c r="D11141" t="s">
        <v>6270</v>
      </c>
      <c r="F11141" s="21"/>
      <c r="G11141" s="16" t="str">
        <f>HYPERLINK("http://maps.google.com/maps?f=q&amp;hl=en&amp;geocode=&amp;q=38.3733749661535,-89.7956149355323")</f>
        <v>http://maps.google.com/maps?f=q&amp;hl=en&amp;geocode=&amp;q=38.3733749661535,-89.7956149355323</v>
      </c>
    </row>
    <row r="11142" spans="1:7" ht="15" x14ac:dyDescent="0.3">
      <c r="A11142">
        <v>31.531155312387</v>
      </c>
      <c r="B11142">
        <v>-81.364527751547399</v>
      </c>
      <c r="C11142" t="s">
        <v>41</v>
      </c>
      <c r="D11142" t="s">
        <v>6271</v>
      </c>
      <c r="F11142" s="21"/>
      <c r="G11142" s="16" t="str">
        <f>HYPERLINK("http://maps.google.com/maps?f=q&amp;hl=en&amp;geocode=&amp;q=31.531155312387,-81.3645277515474")</f>
        <v>http://maps.google.com/maps?f=q&amp;hl=en&amp;geocode=&amp;q=31.531155312387,-81.3645277515474</v>
      </c>
    </row>
    <row r="11143" spans="1:7" ht="15" x14ac:dyDescent="0.3">
      <c r="A11143">
        <v>40.055344959282202</v>
      </c>
      <c r="B11143">
        <v>-75.185214356015194</v>
      </c>
      <c r="C11143" t="s">
        <v>41</v>
      </c>
      <c r="D11143" t="s">
        <v>5788</v>
      </c>
      <c r="F11143" s="21"/>
      <c r="G11143" s="16" t="str">
        <f>HYPERLINK("http://maps.google.com/maps?f=q&amp;hl=en&amp;geocode=&amp;q=40.0553449592822,-75.1852143560152")</f>
        <v>http://maps.google.com/maps?f=q&amp;hl=en&amp;geocode=&amp;q=40.0553449592822,-75.1852143560152</v>
      </c>
    </row>
    <row r="11144" spans="1:7" ht="15" x14ac:dyDescent="0.3">
      <c r="A11144">
        <v>32.380149841308601</v>
      </c>
      <c r="B11144">
        <v>-86.300079345703097</v>
      </c>
      <c r="C11144" t="s">
        <v>41</v>
      </c>
      <c r="D11144" t="s">
        <v>6272</v>
      </c>
      <c r="F11144" s="21"/>
      <c r="G11144" s="16" t="str">
        <f>HYPERLINK("http://maps.google.com/maps?f=q&amp;hl=en&amp;geocode=&amp;q=32.3801498413086,-86.3000793457031")</f>
        <v>http://maps.google.com/maps?f=q&amp;hl=en&amp;geocode=&amp;q=32.3801498413086,-86.3000793457031</v>
      </c>
    </row>
    <row r="11145" spans="1:7" ht="15" x14ac:dyDescent="0.3">
      <c r="A11145">
        <v>34.621390362148098</v>
      </c>
      <c r="B11145">
        <v>-82.1260451203066</v>
      </c>
      <c r="C11145" t="s">
        <v>43</v>
      </c>
      <c r="D11145" t="s">
        <v>4259</v>
      </c>
      <c r="F11145" s="21"/>
      <c r="G11145" s="16" t="str">
        <f>HYPERLINK("http://maps.google.com/maps?f=q&amp;hl=en&amp;geocode=&amp;q=34.6213903621481,-82.1260451203066")</f>
        <v>http://maps.google.com/maps?f=q&amp;hl=en&amp;geocode=&amp;q=34.6213903621481,-82.1260451203066</v>
      </c>
    </row>
    <row r="11146" spans="1:7" ht="15" x14ac:dyDescent="0.3">
      <c r="A11146">
        <v>47.411106109619098</v>
      </c>
      <c r="B11146">
        <v>13.218259811401399</v>
      </c>
      <c r="C11146" t="s">
        <v>43</v>
      </c>
      <c r="D11146" t="s">
        <v>1207</v>
      </c>
      <c r="F11146" s="21"/>
      <c r="G11146" s="16" t="str">
        <f>HYPERLINK("http://maps.google.com/maps?f=q&amp;hl=en&amp;geocode=&amp;q=47.4111061096191,13.2182598114014")</f>
        <v>http://maps.google.com/maps?f=q&amp;hl=en&amp;geocode=&amp;q=47.4111061096191,13.2182598114014</v>
      </c>
    </row>
    <row r="11147" spans="1:7" ht="15" x14ac:dyDescent="0.3">
      <c r="A11147">
        <v>31.008949999999999</v>
      </c>
      <c r="B11147">
        <v>-86.337400000000002</v>
      </c>
      <c r="C11147" t="s">
        <v>42</v>
      </c>
      <c r="D11147" t="s">
        <v>4650</v>
      </c>
      <c r="F11147" s="21"/>
      <c r="G11147" s="16" t="str">
        <f>HYPERLINK("http://maps.google.com/maps?f=q&amp;hl=en&amp;geocode=&amp;q=31.00895,-86.3374")</f>
        <v>http://maps.google.com/maps?f=q&amp;hl=en&amp;geocode=&amp;q=31.00895,-86.3374</v>
      </c>
    </row>
    <row r="11148" spans="1:7" ht="15" x14ac:dyDescent="0.3">
      <c r="A11148">
        <v>49.634262084960902</v>
      </c>
      <c r="B11148">
        <v>6.1651101112365696</v>
      </c>
      <c r="C11148" t="s">
        <v>41</v>
      </c>
      <c r="D11148" t="s">
        <v>6273</v>
      </c>
      <c r="F11148" s="21"/>
      <c r="G11148" s="16" t="str">
        <f>HYPERLINK("http://maps.google.com/maps?f=q&amp;hl=en&amp;geocode=&amp;q=49.6342620849609,6.16511011123657")</f>
        <v>http://maps.google.com/maps?f=q&amp;hl=en&amp;geocode=&amp;q=49.6342620849609,6.16511011123657</v>
      </c>
    </row>
    <row r="11149" spans="1:7" ht="15" x14ac:dyDescent="0.3">
      <c r="A11149">
        <v>32.380149841308601</v>
      </c>
      <c r="B11149">
        <v>-86.300079345703097</v>
      </c>
      <c r="C11149" t="s">
        <v>41</v>
      </c>
      <c r="D11149" t="s">
        <v>3978</v>
      </c>
      <c r="F11149" s="21"/>
      <c r="G11149" s="16" t="str">
        <f>HYPERLINK("http://maps.google.com/maps?f=q&amp;hl=en&amp;geocode=&amp;q=32.3801498413086,-86.3000793457031")</f>
        <v>http://maps.google.com/maps?f=q&amp;hl=en&amp;geocode=&amp;q=32.3801498413086,-86.3000793457031</v>
      </c>
    </row>
    <row r="11150" spans="1:7" ht="15" x14ac:dyDescent="0.3">
      <c r="A11150">
        <v>35.197429999999997</v>
      </c>
      <c r="B11150">
        <v>-89.84348</v>
      </c>
      <c r="C11150" t="s">
        <v>41</v>
      </c>
      <c r="D11150" t="s">
        <v>3580</v>
      </c>
      <c r="F11150" s="21"/>
      <c r="G11150" s="16" t="str">
        <f>HYPERLINK("http://maps.google.com/maps?f=q&amp;hl=en&amp;geocode=&amp;q=35.19743,-89.84348")</f>
        <v>http://maps.google.com/maps?f=q&amp;hl=en&amp;geocode=&amp;q=35.19743,-89.84348</v>
      </c>
    </row>
    <row r="11151" spans="1:7" ht="15" x14ac:dyDescent="0.3">
      <c r="A11151">
        <v>-26.034427642822301</v>
      </c>
      <c r="B11151">
        <v>28.5431098937988</v>
      </c>
      <c r="C11151" t="s">
        <v>43</v>
      </c>
      <c r="D11151" t="s">
        <v>6274</v>
      </c>
      <c r="F11151" s="21"/>
      <c r="G11151" s="16" t="str">
        <f>HYPERLINK("http://maps.google.com/maps?f=q&amp;hl=en&amp;geocode=&amp;q=-26.0344276428223,28.5431098937988")</f>
        <v>http://maps.google.com/maps?f=q&amp;hl=en&amp;geocode=&amp;q=-26.0344276428223,28.5431098937988</v>
      </c>
    </row>
    <row r="11152" spans="1:7" ht="15" x14ac:dyDescent="0.3">
      <c r="A11152">
        <v>42.634770000000003</v>
      </c>
      <c r="B11152">
        <v>-70.680359999999993</v>
      </c>
      <c r="C11152" t="s">
        <v>41</v>
      </c>
      <c r="D11152" t="s">
        <v>6275</v>
      </c>
      <c r="F11152" s="21"/>
      <c r="G11152" s="16" t="str">
        <f>HYPERLINK("http://maps.google.com/maps?f=q&amp;hl=en&amp;geocode=&amp;q=42.63477,-70.68036")</f>
        <v>http://maps.google.com/maps?f=q&amp;hl=en&amp;geocode=&amp;q=42.63477,-70.68036</v>
      </c>
    </row>
    <row r="11153" spans="1:7" ht="15" x14ac:dyDescent="0.3">
      <c r="A11153">
        <v>40.003880000000002</v>
      </c>
      <c r="B11153">
        <v>-75.201909999999998</v>
      </c>
      <c r="C11153" t="s">
        <v>41</v>
      </c>
      <c r="D11153" t="s">
        <v>2708</v>
      </c>
      <c r="F11153" s="21"/>
      <c r="G11153" s="16" t="str">
        <f>HYPERLINK("http://maps.google.com/maps?f=q&amp;hl=en&amp;geocode=&amp;q=40.00388,-75.20191")</f>
        <v>http://maps.google.com/maps?f=q&amp;hl=en&amp;geocode=&amp;q=40.00388,-75.20191</v>
      </c>
    </row>
    <row r="11154" spans="1:7" ht="15" x14ac:dyDescent="0.3">
      <c r="A11154">
        <v>40.003880000000002</v>
      </c>
      <c r="B11154">
        <v>-75.201909999999998</v>
      </c>
      <c r="C11154" t="s">
        <v>41</v>
      </c>
      <c r="D11154" t="s">
        <v>2708</v>
      </c>
      <c r="F11154" s="21"/>
      <c r="G11154" s="16" t="str">
        <f>HYPERLINK("http://maps.google.com/maps?f=q&amp;hl=en&amp;geocode=&amp;q=40.00388,-75.20191")</f>
        <v>http://maps.google.com/maps?f=q&amp;hl=en&amp;geocode=&amp;q=40.00388,-75.20191</v>
      </c>
    </row>
    <row r="11155" spans="1:7" ht="15" x14ac:dyDescent="0.3">
      <c r="A11155">
        <v>40.779430389404297</v>
      </c>
      <c r="B11155">
        <v>-7.1032009124755904</v>
      </c>
      <c r="C11155" t="s">
        <v>43</v>
      </c>
      <c r="D11155" t="s">
        <v>174</v>
      </c>
      <c r="F11155" s="21"/>
      <c r="G11155" s="16" t="str">
        <f>HYPERLINK("http://maps.google.com/maps?f=q&amp;hl=en&amp;geocode=&amp;q=40.7794303894043,-7.10320091247559")</f>
        <v>http://maps.google.com/maps?f=q&amp;hl=en&amp;geocode=&amp;q=40.7794303894043,-7.10320091247559</v>
      </c>
    </row>
    <row r="11156" spans="1:7" ht="15" x14ac:dyDescent="0.3">
      <c r="A11156">
        <v>37.968174262901698</v>
      </c>
      <c r="B11156">
        <v>-98.093761623001598</v>
      </c>
      <c r="C11156" t="s">
        <v>41</v>
      </c>
      <c r="D11156" t="s">
        <v>6276</v>
      </c>
      <c r="F11156" s="21"/>
      <c r="G11156" s="16" t="str">
        <f>HYPERLINK("http://maps.google.com/maps?f=q&amp;hl=en&amp;geocode=&amp;q=37.9681742629017,-98.0937616230016")</f>
        <v>http://maps.google.com/maps?f=q&amp;hl=en&amp;geocode=&amp;q=37.9681742629017,-98.0937616230016</v>
      </c>
    </row>
    <row r="11157" spans="1:7" ht="15" x14ac:dyDescent="0.3">
      <c r="A11157" t="s">
        <v>44</v>
      </c>
      <c r="B11157" t="s">
        <v>44</v>
      </c>
      <c r="C11157" t="s">
        <v>44</v>
      </c>
      <c r="D11157" t="s">
        <v>6277</v>
      </c>
      <c r="F11157" s="21"/>
      <c r="G11157" s="16"/>
    </row>
    <row r="11158" spans="1:7" ht="15" x14ac:dyDescent="0.3">
      <c r="A11158">
        <v>41.524250000000002</v>
      </c>
      <c r="B11158">
        <v>-88.222260000000006</v>
      </c>
      <c r="C11158" t="s">
        <v>43</v>
      </c>
      <c r="D11158" t="s">
        <v>6278</v>
      </c>
      <c r="F11158" s="21"/>
      <c r="G11158" s="16" t="str">
        <f>HYPERLINK("http://maps.google.com/maps?f=q&amp;hl=en&amp;geocode=&amp;q=41.52425,-88.22226")</f>
        <v>http://maps.google.com/maps?f=q&amp;hl=en&amp;geocode=&amp;q=41.52425,-88.22226</v>
      </c>
    </row>
    <row r="11159" spans="1:7" ht="15" x14ac:dyDescent="0.3">
      <c r="A11159">
        <v>37.050380706787102</v>
      </c>
      <c r="B11159">
        <v>-122.07330322265599</v>
      </c>
      <c r="C11159" t="s">
        <v>43</v>
      </c>
      <c r="D11159" t="s">
        <v>490</v>
      </c>
      <c r="F11159" s="21"/>
      <c r="G11159" s="16" t="str">
        <f>HYPERLINK("http://maps.google.com/maps?f=q&amp;hl=en&amp;geocode=&amp;q=37.0503807067871,-122.073303222656")</f>
        <v>http://maps.google.com/maps?f=q&amp;hl=en&amp;geocode=&amp;q=37.0503807067871,-122.073303222656</v>
      </c>
    </row>
    <row r="11160" spans="1:7" ht="15" x14ac:dyDescent="0.3">
      <c r="A11160" t="s">
        <v>44</v>
      </c>
      <c r="B11160" t="s">
        <v>44</v>
      </c>
      <c r="C11160" t="s">
        <v>44</v>
      </c>
      <c r="D11160" t="s">
        <v>6279</v>
      </c>
      <c r="F11160" s="21"/>
      <c r="G11160" s="16"/>
    </row>
    <row r="11161" spans="1:7" ht="15" x14ac:dyDescent="0.3">
      <c r="A11161">
        <v>40.061635000000003</v>
      </c>
      <c r="B11161">
        <v>-75.136840000000007</v>
      </c>
      <c r="C11161" t="s">
        <v>43</v>
      </c>
      <c r="D11161" t="s">
        <v>6280</v>
      </c>
      <c r="F11161" s="21"/>
      <c r="G11161" s="16" t="str">
        <f>HYPERLINK("http://maps.google.com/maps?f=q&amp;hl=en&amp;geocode=&amp;q=40.061635,-75.13684")</f>
        <v>http://maps.google.com/maps?f=q&amp;hl=en&amp;geocode=&amp;q=40.061635,-75.13684</v>
      </c>
    </row>
    <row r="11162" spans="1:7" ht="15" x14ac:dyDescent="0.3">
      <c r="A11162">
        <v>43.528829999999999</v>
      </c>
      <c r="B11162">
        <v>-116.5654</v>
      </c>
      <c r="C11162" t="s">
        <v>42</v>
      </c>
      <c r="D11162" t="s">
        <v>909</v>
      </c>
      <c r="F11162" s="21"/>
      <c r="G11162" s="16" t="str">
        <f>HYPERLINK("http://maps.google.com/maps?f=q&amp;hl=en&amp;geocode=&amp;q=43.52883,-116.5654")</f>
        <v>http://maps.google.com/maps?f=q&amp;hl=en&amp;geocode=&amp;q=43.52883,-116.5654</v>
      </c>
    </row>
    <row r="11163" spans="1:7" ht="15" x14ac:dyDescent="0.3">
      <c r="A11163">
        <v>40.10219</v>
      </c>
      <c r="B11163">
        <v>-111.64558</v>
      </c>
      <c r="C11163" t="s">
        <v>43</v>
      </c>
      <c r="D11163" t="s">
        <v>6281</v>
      </c>
      <c r="F11163" s="21"/>
      <c r="G11163" s="16" t="str">
        <f>HYPERLINK("http://maps.google.com/maps?f=q&amp;hl=en&amp;geocode=&amp;q=40.10219,-111.64558")</f>
        <v>http://maps.google.com/maps?f=q&amp;hl=en&amp;geocode=&amp;q=40.10219,-111.64558</v>
      </c>
    </row>
    <row r="11164" spans="1:7" ht="15" x14ac:dyDescent="0.3">
      <c r="A11164">
        <v>40.011229999999998</v>
      </c>
      <c r="B11164">
        <v>-75.124369999999999</v>
      </c>
      <c r="C11164" t="s">
        <v>41</v>
      </c>
      <c r="D11164" t="s">
        <v>5954</v>
      </c>
      <c r="F11164" s="21"/>
      <c r="G11164" s="16" t="str">
        <f>HYPERLINK("http://maps.google.com/maps?f=q&amp;hl=en&amp;geocode=&amp;q=40.01123,-75.12437")</f>
        <v>http://maps.google.com/maps?f=q&amp;hl=en&amp;geocode=&amp;q=40.01123,-75.12437</v>
      </c>
    </row>
    <row r="11165" spans="1:7" ht="15" x14ac:dyDescent="0.3">
      <c r="A11165">
        <v>40.011229999999998</v>
      </c>
      <c r="B11165">
        <v>-75.124369999999999</v>
      </c>
      <c r="C11165" t="s">
        <v>41</v>
      </c>
      <c r="D11165" t="s">
        <v>5954</v>
      </c>
      <c r="F11165" s="21"/>
      <c r="G11165" s="16" t="str">
        <f>HYPERLINK("http://maps.google.com/maps?f=q&amp;hl=en&amp;geocode=&amp;q=40.01123,-75.12437")</f>
        <v>http://maps.google.com/maps?f=q&amp;hl=en&amp;geocode=&amp;q=40.01123,-75.12437</v>
      </c>
    </row>
    <row r="11166" spans="1:7" ht="15" x14ac:dyDescent="0.3">
      <c r="A11166">
        <v>51.403045654296903</v>
      </c>
      <c r="B11166">
        <v>-0.262797862291336</v>
      </c>
      <c r="C11166" t="s">
        <v>41</v>
      </c>
      <c r="D11166" t="s">
        <v>2815</v>
      </c>
      <c r="F11166" s="21"/>
      <c r="G11166" s="16" t="str">
        <f>HYPERLINK("http://maps.google.com/maps?f=q&amp;hl=en&amp;geocode=&amp;q=51.4030456542969,-0.262797862291336")</f>
        <v>http://maps.google.com/maps?f=q&amp;hl=en&amp;geocode=&amp;q=51.4030456542969,-0.262797862291336</v>
      </c>
    </row>
    <row r="11167" spans="1:7" ht="15" x14ac:dyDescent="0.3">
      <c r="A11167">
        <v>39.972318695888198</v>
      </c>
      <c r="B11167">
        <v>-75.165635345149994</v>
      </c>
      <c r="C11167" t="s">
        <v>41</v>
      </c>
      <c r="D11167" t="s">
        <v>6282</v>
      </c>
      <c r="F11167" s="21"/>
      <c r="G11167" s="16" t="str">
        <f>HYPERLINK("http://maps.google.com/maps?f=q&amp;hl=en&amp;geocode=&amp;q=39.9723186958882,-75.16563534515")</f>
        <v>http://maps.google.com/maps?f=q&amp;hl=en&amp;geocode=&amp;q=39.9723186958882,-75.16563534515</v>
      </c>
    </row>
    <row r="11168" spans="1:7" ht="15" x14ac:dyDescent="0.3">
      <c r="A11168">
        <v>32.583317490227202</v>
      </c>
      <c r="B11168">
        <v>-83.125344390433597</v>
      </c>
      <c r="C11168" t="s">
        <v>41</v>
      </c>
      <c r="D11168" t="s">
        <v>5039</v>
      </c>
      <c r="F11168" s="21"/>
      <c r="G11168" s="16" t="str">
        <f>HYPERLINK("http://maps.google.com/maps?f=q&amp;hl=en&amp;geocode=&amp;q=32.5833174902272,-83.1253443904336")</f>
        <v>http://maps.google.com/maps?f=q&amp;hl=en&amp;geocode=&amp;q=32.5833174902272,-83.1253443904336</v>
      </c>
    </row>
    <row r="11169" spans="1:7" ht="15" x14ac:dyDescent="0.3">
      <c r="A11169">
        <v>37.765643670295198</v>
      </c>
      <c r="B11169">
        <v>-113.711334017117</v>
      </c>
      <c r="C11169" t="s">
        <v>43</v>
      </c>
      <c r="D11169" t="s">
        <v>3154</v>
      </c>
      <c r="F11169" s="21"/>
      <c r="G11169" s="16" t="str">
        <f>HYPERLINK("http://maps.google.com/maps?f=q&amp;hl=en&amp;geocode=&amp;q=37.7656436702952,-113.711334017117")</f>
        <v>http://maps.google.com/maps?f=q&amp;hl=en&amp;geocode=&amp;q=37.7656436702952,-113.711334017117</v>
      </c>
    </row>
    <row r="11170" spans="1:7" ht="15" x14ac:dyDescent="0.3">
      <c r="A11170" t="s">
        <v>44</v>
      </c>
      <c r="B11170" t="s">
        <v>44</v>
      </c>
      <c r="C11170" t="s">
        <v>44</v>
      </c>
      <c r="D11170" t="s">
        <v>3225</v>
      </c>
      <c r="F11170" s="21"/>
      <c r="G11170" s="16"/>
    </row>
    <row r="11171" spans="1:7" ht="15" x14ac:dyDescent="0.3">
      <c r="A11171">
        <v>42.469007724327597</v>
      </c>
      <c r="B11171">
        <v>-95.420260959097007</v>
      </c>
      <c r="C11171" t="s">
        <v>41</v>
      </c>
      <c r="D11171" t="s">
        <v>6283</v>
      </c>
      <c r="F11171" s="21"/>
      <c r="G11171" s="16" t="str">
        <f>HYPERLINK("http://maps.google.com/maps?f=q&amp;hl=en&amp;geocode=&amp;q=42.4690077243276,-95.420260959097")</f>
        <v>http://maps.google.com/maps?f=q&amp;hl=en&amp;geocode=&amp;q=42.4690077243276,-95.420260959097</v>
      </c>
    </row>
    <row r="11172" spans="1:7" ht="15" x14ac:dyDescent="0.3">
      <c r="A11172">
        <v>49.640823364257798</v>
      </c>
      <c r="B11172">
        <v>6.1329598426818803</v>
      </c>
      <c r="C11172" t="s">
        <v>43</v>
      </c>
      <c r="D11172" t="s">
        <v>6284</v>
      </c>
      <c r="F11172" s="21"/>
      <c r="G11172" s="16" t="str">
        <f>HYPERLINK("http://maps.google.com/maps?f=q&amp;hl=en&amp;geocode=&amp;q=49.6408233642578,6.13295984268188")</f>
        <v>http://maps.google.com/maps?f=q&amp;hl=en&amp;geocode=&amp;q=49.6408233642578,6.13295984268188</v>
      </c>
    </row>
    <row r="11173" spans="1:7" ht="15" x14ac:dyDescent="0.3">
      <c r="A11173">
        <v>38.112580000000001</v>
      </c>
      <c r="B11173">
        <v>-122.59246</v>
      </c>
      <c r="C11173" t="s">
        <v>42</v>
      </c>
      <c r="D11173" t="s">
        <v>6285</v>
      </c>
      <c r="F11173" s="21"/>
      <c r="G11173" s="16" t="str">
        <f>HYPERLINK("http://maps.google.com/maps?f=q&amp;hl=en&amp;geocode=&amp;q=38.11258,-122.59246")</f>
        <v>http://maps.google.com/maps?f=q&amp;hl=en&amp;geocode=&amp;q=38.11258,-122.59246</v>
      </c>
    </row>
    <row r="11174" spans="1:7" ht="15" x14ac:dyDescent="0.3">
      <c r="A11174">
        <v>38.112580000000001</v>
      </c>
      <c r="B11174">
        <v>-122.59246</v>
      </c>
      <c r="C11174" t="s">
        <v>42</v>
      </c>
      <c r="D11174" t="s">
        <v>6286</v>
      </c>
      <c r="F11174" s="21"/>
      <c r="G11174" s="16" t="str">
        <f>HYPERLINK("http://maps.google.com/maps?f=q&amp;hl=en&amp;geocode=&amp;q=38.11258,-122.59246")</f>
        <v>http://maps.google.com/maps?f=q&amp;hl=en&amp;geocode=&amp;q=38.11258,-122.59246</v>
      </c>
    </row>
    <row r="11175" spans="1:7" ht="15" x14ac:dyDescent="0.3">
      <c r="A11175">
        <v>-36.718856811523402</v>
      </c>
      <c r="B11175">
        <v>142.19622802734401</v>
      </c>
      <c r="C11175" t="s">
        <v>43</v>
      </c>
      <c r="D11175" t="s">
        <v>4332</v>
      </c>
      <c r="F11175" s="21"/>
      <c r="G11175" s="16" t="str">
        <f>HYPERLINK("http://maps.google.com/maps?f=q&amp;hl=en&amp;geocode=&amp;q=-36.7188568115234,142.196228027344")</f>
        <v>http://maps.google.com/maps?f=q&amp;hl=en&amp;geocode=&amp;q=-36.7188568115234,142.196228027344</v>
      </c>
    </row>
    <row r="11176" spans="1:7" ht="15" x14ac:dyDescent="0.3">
      <c r="A11176" t="s">
        <v>44</v>
      </c>
      <c r="B11176" t="s">
        <v>44</v>
      </c>
      <c r="C11176" t="s">
        <v>44</v>
      </c>
      <c r="D11176" t="s">
        <v>2254</v>
      </c>
      <c r="F11176" s="21"/>
      <c r="G11176" s="16"/>
    </row>
    <row r="11177" spans="1:7" ht="15" x14ac:dyDescent="0.3">
      <c r="A11177">
        <v>39.99774</v>
      </c>
      <c r="B11177">
        <v>-75.120919999999998</v>
      </c>
      <c r="C11177" t="s">
        <v>41</v>
      </c>
      <c r="D11177" t="s">
        <v>6287</v>
      </c>
      <c r="F11177" s="21"/>
      <c r="G11177" s="16" t="str">
        <f>HYPERLINK("http://maps.google.com/maps?f=q&amp;hl=en&amp;geocode=&amp;q=39.99774,-75.12092")</f>
        <v>http://maps.google.com/maps?f=q&amp;hl=en&amp;geocode=&amp;q=39.99774,-75.12092</v>
      </c>
    </row>
    <row r="11178" spans="1:7" ht="15" x14ac:dyDescent="0.3">
      <c r="A11178">
        <v>18.040580749511701</v>
      </c>
      <c r="B11178">
        <v>-66.552909851074205</v>
      </c>
      <c r="C11178" t="s">
        <v>43</v>
      </c>
      <c r="D11178" t="s">
        <v>6288</v>
      </c>
      <c r="F11178" s="21"/>
      <c r="G11178" s="16" t="str">
        <f>HYPERLINK("http://maps.google.com/maps?f=q&amp;hl=en&amp;geocode=&amp;q=18.0405807495117,-66.5529098510742")</f>
        <v>http://maps.google.com/maps?f=q&amp;hl=en&amp;geocode=&amp;q=18.0405807495117,-66.5529098510742</v>
      </c>
    </row>
    <row r="11179" spans="1:7" ht="15" x14ac:dyDescent="0.3">
      <c r="A11179">
        <v>39.996009999999998</v>
      </c>
      <c r="B11179">
        <v>-75.172529999999995</v>
      </c>
      <c r="C11179" t="s">
        <v>41</v>
      </c>
      <c r="D11179" t="s">
        <v>4331</v>
      </c>
      <c r="F11179" s="21"/>
      <c r="G11179" s="16" t="str">
        <f>HYPERLINK("http://maps.google.com/maps?f=q&amp;hl=en&amp;geocode=&amp;q=39.99601,-75.17253")</f>
        <v>http://maps.google.com/maps?f=q&amp;hl=en&amp;geocode=&amp;q=39.99601,-75.17253</v>
      </c>
    </row>
    <row r="11180" spans="1:7" ht="15" x14ac:dyDescent="0.3">
      <c r="A11180">
        <v>39.947240000000001</v>
      </c>
      <c r="B11180">
        <v>-75.174689999999998</v>
      </c>
      <c r="C11180" t="s">
        <v>43</v>
      </c>
      <c r="D11180" t="s">
        <v>6228</v>
      </c>
      <c r="F11180" s="21"/>
      <c r="G11180" s="16" t="str">
        <f>HYPERLINK("http://maps.google.com/maps?f=q&amp;hl=en&amp;geocode=&amp;q=39.94724,-75.17469")</f>
        <v>http://maps.google.com/maps?f=q&amp;hl=en&amp;geocode=&amp;q=39.94724,-75.17469</v>
      </c>
    </row>
    <row r="11181" spans="1:7" ht="15" x14ac:dyDescent="0.3">
      <c r="A11181">
        <v>39.947240000000001</v>
      </c>
      <c r="B11181">
        <v>-75.174689999999998</v>
      </c>
      <c r="C11181" t="s">
        <v>43</v>
      </c>
      <c r="D11181" t="s">
        <v>6228</v>
      </c>
      <c r="F11181" s="21"/>
      <c r="G11181" s="16" t="str">
        <f>HYPERLINK("http://maps.google.com/maps?f=q&amp;hl=en&amp;geocode=&amp;q=39.94724,-75.17469")</f>
        <v>http://maps.google.com/maps?f=q&amp;hl=en&amp;geocode=&amp;q=39.94724,-75.17469</v>
      </c>
    </row>
    <row r="11182" spans="1:7" ht="15" x14ac:dyDescent="0.3">
      <c r="A11182">
        <v>39.94782</v>
      </c>
      <c r="B11182">
        <v>-75.178169999999994</v>
      </c>
      <c r="C11182" t="s">
        <v>43</v>
      </c>
      <c r="D11182" t="s">
        <v>6255</v>
      </c>
      <c r="F11182" s="21"/>
      <c r="G11182" s="16" t="str">
        <f>HYPERLINK("http://maps.google.com/maps?f=q&amp;hl=en&amp;geocode=&amp;q=39.94782,-75.17817")</f>
        <v>http://maps.google.com/maps?f=q&amp;hl=en&amp;geocode=&amp;q=39.94782,-75.17817</v>
      </c>
    </row>
    <row r="11183" spans="1:7" ht="15" x14ac:dyDescent="0.3">
      <c r="A11183">
        <v>-36.884181976318402</v>
      </c>
      <c r="B11183">
        <v>147.82412719726599</v>
      </c>
      <c r="C11183" t="s">
        <v>43</v>
      </c>
      <c r="D11183">
        <v>3900</v>
      </c>
      <c r="F11183" s="21"/>
      <c r="G11183" s="16" t="str">
        <f>HYPERLINK("http://maps.google.com/maps?f=q&amp;hl=en&amp;geocode=&amp;q=-36.8841819763184,147.824127197266")</f>
        <v>http://maps.google.com/maps?f=q&amp;hl=en&amp;geocode=&amp;q=-36.8841819763184,147.824127197266</v>
      </c>
    </row>
    <row r="11184" spans="1:7" ht="15" x14ac:dyDescent="0.3">
      <c r="A11184">
        <v>37.749290000000002</v>
      </c>
      <c r="B11184">
        <v>-89.300420000000003</v>
      </c>
      <c r="C11184" t="s">
        <v>43</v>
      </c>
      <c r="D11184" t="s">
        <v>6289</v>
      </c>
      <c r="F11184" s="21"/>
      <c r="G11184" s="16" t="str">
        <f>HYPERLINK("http://maps.google.com/maps?f=q&amp;hl=en&amp;geocode=&amp;q=37.74929,-89.30042")</f>
        <v>http://maps.google.com/maps?f=q&amp;hl=en&amp;geocode=&amp;q=37.74929,-89.30042</v>
      </c>
    </row>
    <row r="11185" spans="1:7" ht="15" x14ac:dyDescent="0.3">
      <c r="A11185">
        <v>50.587699890136697</v>
      </c>
      <c r="B11185">
        <v>4.32674217224121</v>
      </c>
      <c r="C11185" t="s">
        <v>43</v>
      </c>
      <c r="D11185" t="s">
        <v>6290</v>
      </c>
      <c r="F11185" s="21"/>
      <c r="G11185" s="16" t="str">
        <f>HYPERLINK("http://maps.google.com/maps?f=q&amp;hl=en&amp;geocode=&amp;q=50.5876998901367,4.32674217224121")</f>
        <v>http://maps.google.com/maps?f=q&amp;hl=en&amp;geocode=&amp;q=50.5876998901367,4.32674217224121</v>
      </c>
    </row>
    <row r="11186" spans="1:7" ht="15" x14ac:dyDescent="0.3">
      <c r="A11186">
        <v>50.587699890136697</v>
      </c>
      <c r="B11186">
        <v>4.32674217224121</v>
      </c>
      <c r="C11186" t="s">
        <v>43</v>
      </c>
      <c r="D11186" t="s">
        <v>6291</v>
      </c>
      <c r="F11186" s="21"/>
      <c r="G11186" s="16" t="str">
        <f>HYPERLINK("http://maps.google.com/maps?f=q&amp;hl=en&amp;geocode=&amp;q=50.5876998901367,4.32674217224121")</f>
        <v>http://maps.google.com/maps?f=q&amp;hl=en&amp;geocode=&amp;q=50.5876998901367,4.32674217224121</v>
      </c>
    </row>
    <row r="11187" spans="1:7" ht="15" x14ac:dyDescent="0.3">
      <c r="A11187">
        <v>28.011420000000001</v>
      </c>
      <c r="B11187">
        <v>-82.149090000000001</v>
      </c>
      <c r="C11187" t="s">
        <v>42</v>
      </c>
      <c r="D11187" t="s">
        <v>6220</v>
      </c>
      <c r="F11187" s="21"/>
      <c r="G11187" s="16" t="str">
        <f>HYPERLINK("http://maps.google.com/maps?f=q&amp;hl=en&amp;geocode=&amp;q=28.01142,-82.14909")</f>
        <v>http://maps.google.com/maps?f=q&amp;hl=en&amp;geocode=&amp;q=28.01142,-82.14909</v>
      </c>
    </row>
    <row r="11188" spans="1:7" ht="15" x14ac:dyDescent="0.3">
      <c r="A11188">
        <v>41.801112014468501</v>
      </c>
      <c r="B11188">
        <v>-86.283719380252094</v>
      </c>
      <c r="C11188" t="s">
        <v>41</v>
      </c>
      <c r="D11188" t="s">
        <v>6292</v>
      </c>
      <c r="F11188" s="21"/>
      <c r="G11188" s="16" t="str">
        <f>HYPERLINK("http://maps.google.com/maps?f=q&amp;hl=en&amp;geocode=&amp;q=41.8011120144685,-86.2837193802521")</f>
        <v>http://maps.google.com/maps?f=q&amp;hl=en&amp;geocode=&amp;q=41.8011120144685,-86.2837193802521</v>
      </c>
    </row>
    <row r="11189" spans="1:7" ht="15" x14ac:dyDescent="0.3">
      <c r="A11189" t="s">
        <v>44</v>
      </c>
      <c r="B11189" t="s">
        <v>44</v>
      </c>
      <c r="C11189" t="s">
        <v>44</v>
      </c>
      <c r="D11189" t="s">
        <v>6263</v>
      </c>
      <c r="F11189" s="21"/>
      <c r="G11189" s="16"/>
    </row>
    <row r="11190" spans="1:7" ht="15" x14ac:dyDescent="0.3">
      <c r="A11190">
        <v>38.112580000000001</v>
      </c>
      <c r="B11190">
        <v>-122.59246</v>
      </c>
      <c r="C11190" t="s">
        <v>42</v>
      </c>
      <c r="D11190" t="s">
        <v>6293</v>
      </c>
      <c r="F11190" s="21"/>
      <c r="G11190" s="16" t="str">
        <f>HYPERLINK("http://maps.google.com/maps?f=q&amp;hl=en&amp;geocode=&amp;q=38.11258,-122.59246")</f>
        <v>http://maps.google.com/maps?f=q&amp;hl=en&amp;geocode=&amp;q=38.11258,-122.59246</v>
      </c>
    </row>
    <row r="11191" spans="1:7" ht="15" x14ac:dyDescent="0.3">
      <c r="A11191">
        <v>39.926870000000001</v>
      </c>
      <c r="B11191">
        <v>-75.235010000000003</v>
      </c>
      <c r="C11191" t="s">
        <v>41</v>
      </c>
      <c r="D11191" t="s">
        <v>1571</v>
      </c>
      <c r="F11191" s="21"/>
      <c r="G11191" s="16" t="str">
        <f>HYPERLINK("http://maps.google.com/maps?f=q&amp;hl=en&amp;geocode=&amp;q=39.92687,-75.23501")</f>
        <v>http://maps.google.com/maps?f=q&amp;hl=en&amp;geocode=&amp;q=39.92687,-75.23501</v>
      </c>
    </row>
    <row r="11192" spans="1:7" ht="15" x14ac:dyDescent="0.3">
      <c r="A11192">
        <v>40.031770000000002</v>
      </c>
      <c r="B11192">
        <v>-75.221040000000002</v>
      </c>
      <c r="C11192" t="s">
        <v>41</v>
      </c>
      <c r="D11192" t="s">
        <v>6294</v>
      </c>
      <c r="F11192" s="21"/>
      <c r="G11192" s="16" t="str">
        <f>HYPERLINK("http://maps.google.com/maps?f=q&amp;hl=en&amp;geocode=&amp;q=40.03177,-75.22104")</f>
        <v>http://maps.google.com/maps?f=q&amp;hl=en&amp;geocode=&amp;q=40.03177,-75.22104</v>
      </c>
    </row>
    <row r="11193" spans="1:7" ht="15" x14ac:dyDescent="0.3">
      <c r="A11193">
        <v>44.977687843744803</v>
      </c>
      <c r="B11193">
        <v>-93.053169522719998</v>
      </c>
      <c r="C11193" t="s">
        <v>41</v>
      </c>
      <c r="D11193" t="s">
        <v>1987</v>
      </c>
      <c r="F11193" s="21"/>
      <c r="G11193" s="16" t="str">
        <f>HYPERLINK("http://maps.google.com/maps?f=q&amp;hl=en&amp;geocode=&amp;q=44.9776878437448,-93.05316952272")</f>
        <v>http://maps.google.com/maps?f=q&amp;hl=en&amp;geocode=&amp;q=44.9776878437448,-93.05316952272</v>
      </c>
    </row>
    <row r="11194" spans="1:7" ht="15" x14ac:dyDescent="0.3">
      <c r="A11194">
        <v>39.925739999999998</v>
      </c>
      <c r="B11194">
        <v>-75.226140000000001</v>
      </c>
      <c r="C11194" t="s">
        <v>41</v>
      </c>
      <c r="D11194" t="s">
        <v>6295</v>
      </c>
      <c r="F11194" s="21"/>
      <c r="G11194" s="16" t="str">
        <f>HYPERLINK("http://maps.google.com/maps?f=q&amp;hl=en&amp;geocode=&amp;q=39.92574,-75.22614")</f>
        <v>http://maps.google.com/maps?f=q&amp;hl=en&amp;geocode=&amp;q=39.92574,-75.22614</v>
      </c>
    </row>
    <row r="11195" spans="1:7" ht="15" x14ac:dyDescent="0.3">
      <c r="A11195">
        <v>32.855235034246199</v>
      </c>
      <c r="B11195">
        <v>-97.337026738883097</v>
      </c>
      <c r="C11195" t="s">
        <v>41</v>
      </c>
      <c r="D11195" t="s">
        <v>4010</v>
      </c>
      <c r="F11195" s="21"/>
      <c r="G11195" s="16" t="str">
        <f>HYPERLINK("http://maps.google.com/maps?f=q&amp;hl=en&amp;geocode=&amp;q=32.8552350342462,-97.3370267388831")</f>
        <v>http://maps.google.com/maps?f=q&amp;hl=en&amp;geocode=&amp;q=32.8552350342462,-97.3370267388831</v>
      </c>
    </row>
    <row r="11196" spans="1:7" ht="15" x14ac:dyDescent="0.3">
      <c r="A11196">
        <v>32.384909999999998</v>
      </c>
      <c r="B11196">
        <v>-86.193430000000006</v>
      </c>
      <c r="C11196" t="s">
        <v>43</v>
      </c>
      <c r="D11196" t="s">
        <v>2024</v>
      </c>
      <c r="F11196" s="21"/>
      <c r="G11196" s="16" t="str">
        <f>HYPERLINK("http://maps.google.com/maps?f=q&amp;hl=en&amp;geocode=&amp;q=32.38491,-86.19343")</f>
        <v>http://maps.google.com/maps?f=q&amp;hl=en&amp;geocode=&amp;q=32.38491,-86.19343</v>
      </c>
    </row>
    <row r="11197" spans="1:7" ht="15" x14ac:dyDescent="0.3">
      <c r="A11197">
        <v>34.127125146745698</v>
      </c>
      <c r="B11197">
        <v>-83.409724127592497</v>
      </c>
      <c r="C11197" t="s">
        <v>41</v>
      </c>
      <c r="D11197" t="s">
        <v>6296</v>
      </c>
      <c r="F11197" s="21"/>
      <c r="G11197" s="16" t="str">
        <f>HYPERLINK("http://maps.google.com/maps?f=q&amp;hl=en&amp;geocode=&amp;q=34.1271251467457,-83.4097241275925")</f>
        <v>http://maps.google.com/maps?f=q&amp;hl=en&amp;geocode=&amp;q=34.1271251467457,-83.4097241275925</v>
      </c>
    </row>
    <row r="11198" spans="1:7" ht="15" x14ac:dyDescent="0.3">
      <c r="A11198">
        <v>40.015439999999998</v>
      </c>
      <c r="B11198">
        <v>-75.07114</v>
      </c>
      <c r="C11198" t="s">
        <v>41</v>
      </c>
      <c r="D11198" t="s">
        <v>4466</v>
      </c>
      <c r="F11198" s="21"/>
      <c r="G11198" s="16" t="str">
        <f>HYPERLINK("http://maps.google.com/maps?f=q&amp;hl=en&amp;geocode=&amp;q=40.01544,-75.07114")</f>
        <v>http://maps.google.com/maps?f=q&amp;hl=en&amp;geocode=&amp;q=40.01544,-75.07114</v>
      </c>
    </row>
    <row r="11199" spans="1:7" ht="15" x14ac:dyDescent="0.3">
      <c r="A11199">
        <v>33.264513851168999</v>
      </c>
      <c r="B11199">
        <v>-81.255151073417693</v>
      </c>
      <c r="C11199" t="s">
        <v>41</v>
      </c>
      <c r="D11199" t="s">
        <v>6297</v>
      </c>
      <c r="F11199" s="21"/>
      <c r="G11199" s="16" t="str">
        <f>HYPERLINK("http://maps.google.com/maps?f=q&amp;hl=en&amp;geocode=&amp;q=33.264513851169,-81.2551510734177")</f>
        <v>http://maps.google.com/maps?f=q&amp;hl=en&amp;geocode=&amp;q=33.264513851169,-81.2551510734177</v>
      </c>
    </row>
    <row r="11200" spans="1:7" ht="15" x14ac:dyDescent="0.3">
      <c r="A11200">
        <v>-36.718856811523402</v>
      </c>
      <c r="B11200">
        <v>142.19622802734401</v>
      </c>
      <c r="C11200" t="s">
        <v>43</v>
      </c>
      <c r="D11200" t="s">
        <v>508</v>
      </c>
      <c r="F11200" s="21"/>
      <c r="G11200" s="16" t="str">
        <f>HYPERLINK("http://maps.google.com/maps?f=q&amp;hl=en&amp;geocode=&amp;q=-36.7188568115234,142.196228027344")</f>
        <v>http://maps.google.com/maps?f=q&amp;hl=en&amp;geocode=&amp;q=-36.7188568115234,142.196228027344</v>
      </c>
    </row>
    <row r="11201" spans="1:7" ht="15" x14ac:dyDescent="0.3">
      <c r="A11201">
        <v>-37.148120880127003</v>
      </c>
      <c r="B11201">
        <v>144.62788391113301</v>
      </c>
      <c r="C11201" t="s">
        <v>41</v>
      </c>
      <c r="D11201" t="s">
        <v>6298</v>
      </c>
      <c r="F11201" s="21"/>
      <c r="G11201" s="16" t="str">
        <f>HYPERLINK("http://maps.google.com/maps?f=q&amp;hl=en&amp;geocode=&amp;q=-37.148120880127,144.627883911133")</f>
        <v>http://maps.google.com/maps?f=q&amp;hl=en&amp;geocode=&amp;q=-37.148120880127,144.627883911133</v>
      </c>
    </row>
    <row r="11202" spans="1:7" ht="15" x14ac:dyDescent="0.3">
      <c r="A11202">
        <v>40.21</v>
      </c>
      <c r="B11202">
        <v>-111.62848</v>
      </c>
      <c r="C11202" t="s">
        <v>42</v>
      </c>
      <c r="D11202" t="s">
        <v>6299</v>
      </c>
      <c r="F11202" s="21"/>
      <c r="G11202" s="16" t="str">
        <f>HYPERLINK("http://maps.google.com/maps?f=q&amp;hl=en&amp;geocode=&amp;q=40.21,-111.62848")</f>
        <v>http://maps.google.com/maps?f=q&amp;hl=en&amp;geocode=&amp;q=40.21,-111.62848</v>
      </c>
    </row>
    <row r="11203" spans="1:7" ht="15" x14ac:dyDescent="0.3">
      <c r="A11203">
        <v>39.953060000000001</v>
      </c>
      <c r="B11203">
        <v>-75.089659999999995</v>
      </c>
      <c r="C11203" t="s">
        <v>43</v>
      </c>
      <c r="D11203" t="s">
        <v>6300</v>
      </c>
      <c r="F11203" s="21"/>
      <c r="G11203" s="16" t="str">
        <f>HYPERLINK("http://maps.google.com/maps?f=q&amp;hl=en&amp;geocode=&amp;q=39.95306,-75.08966")</f>
        <v>http://maps.google.com/maps?f=q&amp;hl=en&amp;geocode=&amp;q=39.95306,-75.08966</v>
      </c>
    </row>
    <row r="11204" spans="1:7" ht="15" x14ac:dyDescent="0.3">
      <c r="A11204">
        <v>39.586313108584797</v>
      </c>
      <c r="B11204">
        <v>-87.462927106950005</v>
      </c>
      <c r="C11204" t="s">
        <v>41</v>
      </c>
      <c r="D11204" t="s">
        <v>6301</v>
      </c>
      <c r="F11204" s="21"/>
      <c r="G11204" s="16" t="str">
        <f>HYPERLINK("http://maps.google.com/maps?f=q&amp;hl=en&amp;geocode=&amp;q=39.5863131085848,-87.46292710695")</f>
        <v>http://maps.google.com/maps?f=q&amp;hl=en&amp;geocode=&amp;q=39.5863131085848,-87.46292710695</v>
      </c>
    </row>
    <row r="11205" spans="1:7" ht="15" x14ac:dyDescent="0.3">
      <c r="A11205" t="s">
        <v>44</v>
      </c>
      <c r="B11205" t="s">
        <v>44</v>
      </c>
      <c r="C11205" t="s">
        <v>44</v>
      </c>
      <c r="D11205" t="s">
        <v>5197</v>
      </c>
      <c r="F11205" s="21"/>
      <c r="G11205" s="16"/>
    </row>
    <row r="11206" spans="1:7" ht="15" x14ac:dyDescent="0.3">
      <c r="A11206">
        <v>33.53284</v>
      </c>
      <c r="B11206">
        <v>-112.06205</v>
      </c>
      <c r="C11206" t="s">
        <v>43</v>
      </c>
      <c r="D11206" t="s">
        <v>6302</v>
      </c>
      <c r="F11206" s="21"/>
      <c r="G11206" s="16" t="str">
        <f>HYPERLINK("http://maps.google.com/maps?f=q&amp;hl=en&amp;geocode=&amp;q=33.53284,-112.06205")</f>
        <v>http://maps.google.com/maps?f=q&amp;hl=en&amp;geocode=&amp;q=33.53284,-112.06205</v>
      </c>
    </row>
    <row r="11207" spans="1:7" ht="15" x14ac:dyDescent="0.3">
      <c r="A11207">
        <v>39.926470000000002</v>
      </c>
      <c r="B11207">
        <v>-75.160579999999996</v>
      </c>
      <c r="C11207" t="s">
        <v>43</v>
      </c>
      <c r="D11207" t="s">
        <v>4321</v>
      </c>
      <c r="F11207" s="21"/>
      <c r="G11207" s="16" t="str">
        <f>HYPERLINK("http://maps.google.com/maps?f=q&amp;hl=en&amp;geocode=&amp;q=39.92647,-75.16058")</f>
        <v>http://maps.google.com/maps?f=q&amp;hl=en&amp;geocode=&amp;q=39.92647,-75.16058</v>
      </c>
    </row>
    <row r="11208" spans="1:7" ht="15" x14ac:dyDescent="0.3">
      <c r="A11208">
        <v>42.390380859375</v>
      </c>
      <c r="B11208">
        <v>23.876703262329102</v>
      </c>
      <c r="C11208" t="s">
        <v>41</v>
      </c>
      <c r="D11208" t="s">
        <v>6303</v>
      </c>
      <c r="F11208" s="21"/>
      <c r="G11208" s="16" t="str">
        <f>HYPERLINK("http://maps.google.com/maps?f=q&amp;hl=en&amp;geocode=&amp;q=42.390380859375,23.8767032623291")</f>
        <v>http://maps.google.com/maps?f=q&amp;hl=en&amp;geocode=&amp;q=42.390380859375,23.8767032623291</v>
      </c>
    </row>
    <row r="11209" spans="1:7" ht="15" x14ac:dyDescent="0.3">
      <c r="A11209">
        <v>50.046298980712898</v>
      </c>
      <c r="B11209">
        <v>4.0255999565124503</v>
      </c>
      <c r="C11209" t="s">
        <v>43</v>
      </c>
      <c r="D11209" t="s">
        <v>6304</v>
      </c>
      <c r="F11209" s="21"/>
      <c r="G11209" s="16" t="str">
        <f>HYPERLINK("http://maps.google.com/maps?f=q&amp;hl=en&amp;geocode=&amp;q=50.0462989807129,4.02559995651245")</f>
        <v>http://maps.google.com/maps?f=q&amp;hl=en&amp;geocode=&amp;q=50.0462989807129,4.02559995651245</v>
      </c>
    </row>
    <row r="11210" spans="1:7" ht="15" x14ac:dyDescent="0.3">
      <c r="A11210">
        <v>40.011229999999998</v>
      </c>
      <c r="B11210">
        <v>-75.124369999999999</v>
      </c>
      <c r="C11210" t="s">
        <v>41</v>
      </c>
      <c r="D11210" t="s">
        <v>5954</v>
      </c>
      <c r="F11210" s="21"/>
      <c r="G11210" s="16" t="str">
        <f>HYPERLINK("http://maps.google.com/maps?f=q&amp;hl=en&amp;geocode=&amp;q=40.01123,-75.12437")</f>
        <v>http://maps.google.com/maps?f=q&amp;hl=en&amp;geocode=&amp;q=40.01123,-75.12437</v>
      </c>
    </row>
    <row r="11211" spans="1:7" ht="15" x14ac:dyDescent="0.3">
      <c r="A11211">
        <v>37.93871</v>
      </c>
      <c r="B11211">
        <v>-86.754599999999996</v>
      </c>
      <c r="C11211" t="s">
        <v>42</v>
      </c>
      <c r="D11211" t="s">
        <v>6305</v>
      </c>
      <c r="F11211" s="21"/>
      <c r="G11211" s="16" t="str">
        <f>HYPERLINK("http://maps.google.com/maps?f=q&amp;hl=en&amp;geocode=&amp;q=37.93871,-86.7546")</f>
        <v>http://maps.google.com/maps?f=q&amp;hl=en&amp;geocode=&amp;q=37.93871,-86.7546</v>
      </c>
    </row>
    <row r="11212" spans="1:7" ht="15" x14ac:dyDescent="0.3">
      <c r="A11212">
        <v>39.834539999999997</v>
      </c>
      <c r="B11212">
        <v>-88.933700000000002</v>
      </c>
      <c r="C11212" t="s">
        <v>43</v>
      </c>
      <c r="D11212" t="s">
        <v>6306</v>
      </c>
      <c r="F11212" s="21"/>
      <c r="G11212" s="16" t="str">
        <f>HYPERLINK("http://maps.google.com/maps?f=q&amp;hl=en&amp;geocode=&amp;q=39.83454,-88.9337")</f>
        <v>http://maps.google.com/maps?f=q&amp;hl=en&amp;geocode=&amp;q=39.83454,-88.9337</v>
      </c>
    </row>
    <row r="11213" spans="1:7" ht="15" x14ac:dyDescent="0.3">
      <c r="A11213" t="s">
        <v>44</v>
      </c>
      <c r="B11213" t="s">
        <v>44</v>
      </c>
      <c r="C11213" t="s">
        <v>44</v>
      </c>
      <c r="D11213" t="s">
        <v>6307</v>
      </c>
      <c r="F11213" s="21"/>
      <c r="G11213" s="16"/>
    </row>
    <row r="11214" spans="1:7" ht="15" x14ac:dyDescent="0.3">
      <c r="A11214">
        <v>41.073733678957701</v>
      </c>
      <c r="B11214">
        <v>-111.966614727406</v>
      </c>
      <c r="C11214" t="s">
        <v>41</v>
      </c>
      <c r="D11214" t="s">
        <v>6308</v>
      </c>
      <c r="F11214" s="21"/>
      <c r="G11214" s="16" t="str">
        <f>HYPERLINK("http://maps.google.com/maps?f=q&amp;hl=en&amp;geocode=&amp;q=41.0737336789577,-111.966614727406")</f>
        <v>http://maps.google.com/maps?f=q&amp;hl=en&amp;geocode=&amp;q=41.0737336789577,-111.966614727406</v>
      </c>
    </row>
    <row r="11215" spans="1:7" ht="15" x14ac:dyDescent="0.3">
      <c r="A11215">
        <v>38.894515257107898</v>
      </c>
      <c r="B11215">
        <v>-84.234091354702201</v>
      </c>
      <c r="C11215" t="s">
        <v>41</v>
      </c>
      <c r="D11215" t="s">
        <v>6309</v>
      </c>
      <c r="F11215" s="21"/>
      <c r="G11215" s="16" t="str">
        <f>HYPERLINK("http://maps.google.com/maps?f=q&amp;hl=en&amp;geocode=&amp;q=38.8945152571079,-84.2340913547022")</f>
        <v>http://maps.google.com/maps?f=q&amp;hl=en&amp;geocode=&amp;q=38.8945152571079,-84.2340913547022</v>
      </c>
    </row>
    <row r="11216" spans="1:7" ht="15" x14ac:dyDescent="0.3">
      <c r="A11216">
        <v>39.950060000000001</v>
      </c>
      <c r="B11216">
        <v>-75.168139999999994</v>
      </c>
      <c r="C11216" t="s">
        <v>41</v>
      </c>
      <c r="D11216" t="s">
        <v>5999</v>
      </c>
      <c r="F11216" s="21"/>
      <c r="G11216" s="16" t="str">
        <f>HYPERLINK("http://maps.google.com/maps?f=q&amp;hl=en&amp;geocode=&amp;q=39.95006,-75.16814")</f>
        <v>http://maps.google.com/maps?f=q&amp;hl=en&amp;geocode=&amp;q=39.95006,-75.16814</v>
      </c>
    </row>
    <row r="11217" spans="1:7" ht="15" x14ac:dyDescent="0.3">
      <c r="A11217">
        <v>38.112580000000001</v>
      </c>
      <c r="B11217">
        <v>-122.59246</v>
      </c>
      <c r="C11217" t="s">
        <v>43</v>
      </c>
      <c r="D11217" t="s">
        <v>6310</v>
      </c>
      <c r="F11217" s="21"/>
      <c r="G11217" s="16" t="str">
        <f>HYPERLINK("http://maps.google.com/maps?f=q&amp;hl=en&amp;geocode=&amp;q=38.11258,-122.59246")</f>
        <v>http://maps.google.com/maps?f=q&amp;hl=en&amp;geocode=&amp;q=38.11258,-122.59246</v>
      </c>
    </row>
    <row r="11218" spans="1:7" ht="15" x14ac:dyDescent="0.3">
      <c r="A11218">
        <v>28.011420000000001</v>
      </c>
      <c r="B11218">
        <v>-82.149090000000001</v>
      </c>
      <c r="C11218" t="s">
        <v>42</v>
      </c>
      <c r="D11218" t="s">
        <v>6220</v>
      </c>
      <c r="F11218" s="21"/>
      <c r="G11218" s="16" t="str">
        <f>HYPERLINK("http://maps.google.com/maps?f=q&amp;hl=en&amp;geocode=&amp;q=28.01142,-82.14909")</f>
        <v>http://maps.google.com/maps?f=q&amp;hl=en&amp;geocode=&amp;q=28.01142,-82.14909</v>
      </c>
    </row>
    <row r="11219" spans="1:7" ht="15" x14ac:dyDescent="0.3">
      <c r="A11219">
        <v>41.801112014468501</v>
      </c>
      <c r="B11219">
        <v>-86.283719380252094</v>
      </c>
      <c r="C11219" t="s">
        <v>41</v>
      </c>
      <c r="D11219" t="s">
        <v>6292</v>
      </c>
      <c r="F11219" s="21"/>
      <c r="G11219" s="16" t="str">
        <f>HYPERLINK("http://maps.google.com/maps?f=q&amp;hl=en&amp;geocode=&amp;q=41.8011120144685,-86.2837193802521")</f>
        <v>http://maps.google.com/maps?f=q&amp;hl=en&amp;geocode=&amp;q=41.8011120144685,-86.2837193802521</v>
      </c>
    </row>
    <row r="11220" spans="1:7" ht="15" x14ac:dyDescent="0.3">
      <c r="A11220">
        <v>39.948230000000002</v>
      </c>
      <c r="B11220">
        <v>-75.173069999999996</v>
      </c>
      <c r="C11220" t="s">
        <v>41</v>
      </c>
      <c r="D11220" t="s">
        <v>6311</v>
      </c>
      <c r="F11220" s="21"/>
      <c r="G11220" s="16" t="str">
        <f>HYPERLINK("http://maps.google.com/maps?f=q&amp;hl=en&amp;geocode=&amp;q=39.94823,-75.17307")</f>
        <v>http://maps.google.com/maps?f=q&amp;hl=en&amp;geocode=&amp;q=39.94823,-75.17307</v>
      </c>
    </row>
    <row r="11221" spans="1:7" ht="15" x14ac:dyDescent="0.3">
      <c r="A11221" t="s">
        <v>44</v>
      </c>
      <c r="B11221" t="s">
        <v>44</v>
      </c>
      <c r="C11221" t="s">
        <v>44</v>
      </c>
      <c r="D11221" t="s">
        <v>3361</v>
      </c>
      <c r="F11221" s="21"/>
      <c r="G11221" s="16"/>
    </row>
    <row r="11222" spans="1:7" ht="15" x14ac:dyDescent="0.3">
      <c r="A11222">
        <v>39.992179999999998</v>
      </c>
      <c r="B11222">
        <v>-75.100999999999999</v>
      </c>
      <c r="C11222" t="s">
        <v>41</v>
      </c>
      <c r="D11222" t="s">
        <v>716</v>
      </c>
      <c r="F11222" s="21"/>
      <c r="G11222" s="16" t="str">
        <f>HYPERLINK("http://maps.google.com/maps?f=q&amp;hl=en&amp;geocode=&amp;q=39.99218,-75.101")</f>
        <v>http://maps.google.com/maps?f=q&amp;hl=en&amp;geocode=&amp;q=39.99218,-75.101</v>
      </c>
    </row>
    <row r="11223" spans="1:7" ht="15" x14ac:dyDescent="0.3">
      <c r="A11223">
        <v>38.591107438640897</v>
      </c>
      <c r="B11223">
        <v>-90.307767273304094</v>
      </c>
      <c r="C11223" t="s">
        <v>41</v>
      </c>
      <c r="D11223" t="s">
        <v>3774</v>
      </c>
      <c r="F11223" s="21"/>
      <c r="G11223" s="16" t="str">
        <f>HYPERLINK("http://maps.google.com/maps?f=q&amp;hl=en&amp;geocode=&amp;q=38.5911074386409,-90.3077672733041")</f>
        <v>http://maps.google.com/maps?f=q&amp;hl=en&amp;geocode=&amp;q=38.5911074386409,-90.3077672733041</v>
      </c>
    </row>
    <row r="11224" spans="1:7" ht="15" x14ac:dyDescent="0.3">
      <c r="A11224">
        <v>40.367789999999999</v>
      </c>
      <c r="B11224">
        <v>-75.901679999999999</v>
      </c>
      <c r="C11224" t="s">
        <v>42</v>
      </c>
      <c r="D11224" t="s">
        <v>6312</v>
      </c>
      <c r="F11224" s="21"/>
      <c r="G11224" s="16" t="str">
        <f>HYPERLINK("http://maps.google.com/maps?f=q&amp;hl=en&amp;geocode=&amp;q=40.36779,-75.90168")</f>
        <v>http://maps.google.com/maps?f=q&amp;hl=en&amp;geocode=&amp;q=40.36779,-75.90168</v>
      </c>
    </row>
    <row r="11225" spans="1:7" ht="15" x14ac:dyDescent="0.3">
      <c r="A11225">
        <v>39.948230000000002</v>
      </c>
      <c r="B11225">
        <v>-75.173069999999996</v>
      </c>
      <c r="C11225" t="s">
        <v>41</v>
      </c>
      <c r="D11225" t="s">
        <v>6311</v>
      </c>
      <c r="F11225" s="21"/>
      <c r="G11225" s="16" t="str">
        <f>HYPERLINK("http://maps.google.com/maps?f=q&amp;hl=en&amp;geocode=&amp;q=39.94823,-75.17307")</f>
        <v>http://maps.google.com/maps?f=q&amp;hl=en&amp;geocode=&amp;q=39.94823,-75.17307</v>
      </c>
    </row>
    <row r="11226" spans="1:7" ht="15" x14ac:dyDescent="0.3">
      <c r="A11226">
        <v>40.0258378323093</v>
      </c>
      <c r="B11226">
        <v>-75.212078572713196</v>
      </c>
      <c r="C11226" t="s">
        <v>41</v>
      </c>
      <c r="D11226" t="s">
        <v>272</v>
      </c>
      <c r="F11226" s="21"/>
      <c r="G11226" s="16" t="str">
        <f>HYPERLINK("http://maps.google.com/maps?f=q&amp;hl=en&amp;geocode=&amp;q=40.0258378323093,-75.2120785727132")</f>
        <v>http://maps.google.com/maps?f=q&amp;hl=en&amp;geocode=&amp;q=40.0258378323093,-75.2120785727132</v>
      </c>
    </row>
    <row r="11227" spans="1:7" ht="15" x14ac:dyDescent="0.3">
      <c r="A11227">
        <v>40.0258378323093</v>
      </c>
      <c r="B11227">
        <v>-75.212078572713196</v>
      </c>
      <c r="C11227" t="s">
        <v>41</v>
      </c>
      <c r="D11227" t="s">
        <v>272</v>
      </c>
      <c r="F11227" s="21"/>
      <c r="G11227" s="16" t="str">
        <f>HYPERLINK("http://maps.google.com/maps?f=q&amp;hl=en&amp;geocode=&amp;q=40.0258378323093,-75.2120785727132")</f>
        <v>http://maps.google.com/maps?f=q&amp;hl=en&amp;geocode=&amp;q=40.0258378323093,-75.2120785727132</v>
      </c>
    </row>
    <row r="11228" spans="1:7" ht="15" x14ac:dyDescent="0.3">
      <c r="A11228">
        <v>42.999576568603501</v>
      </c>
      <c r="B11228">
        <v>-107.551513671875</v>
      </c>
      <c r="C11228" t="s">
        <v>41</v>
      </c>
      <c r="D11228" t="s">
        <v>3099</v>
      </c>
      <c r="F11228" s="21"/>
      <c r="G11228" s="16" t="str">
        <f>HYPERLINK("http://maps.google.com/maps?f=q&amp;hl=en&amp;geocode=&amp;q=42.9995765686035,-107.551513671875")</f>
        <v>http://maps.google.com/maps?f=q&amp;hl=en&amp;geocode=&amp;q=42.9995765686035,-107.551513671875</v>
      </c>
    </row>
    <row r="11229" spans="1:7" ht="15" x14ac:dyDescent="0.3">
      <c r="A11229">
        <v>-26.034427642822301</v>
      </c>
      <c r="B11229">
        <v>28.5431098937988</v>
      </c>
      <c r="C11229" t="s">
        <v>43</v>
      </c>
      <c r="D11229" t="s">
        <v>6148</v>
      </c>
      <c r="F11229" s="21"/>
      <c r="G11229" s="16" t="str">
        <f>HYPERLINK("http://maps.google.com/maps?f=q&amp;hl=en&amp;geocode=&amp;q=-26.0344276428223,28.5431098937988")</f>
        <v>http://maps.google.com/maps?f=q&amp;hl=en&amp;geocode=&amp;q=-26.0344276428223,28.5431098937988</v>
      </c>
    </row>
    <row r="11230" spans="1:7" ht="15" x14ac:dyDescent="0.3">
      <c r="A11230">
        <v>35.243940000000002</v>
      </c>
      <c r="B11230">
        <v>-97.423190000000005</v>
      </c>
      <c r="C11230" t="s">
        <v>41</v>
      </c>
      <c r="D11230" t="s">
        <v>6313</v>
      </c>
      <c r="F11230" s="21"/>
      <c r="G11230" s="16" t="str">
        <f>HYPERLINK("http://maps.google.com/maps?f=q&amp;hl=en&amp;geocode=&amp;q=35.24394,-97.42319")</f>
        <v>http://maps.google.com/maps?f=q&amp;hl=en&amp;geocode=&amp;q=35.24394,-97.42319</v>
      </c>
    </row>
    <row r="11231" spans="1:7" ht="15" x14ac:dyDescent="0.3">
      <c r="A11231">
        <v>40.018901852138903</v>
      </c>
      <c r="B11231">
        <v>-75.115245230081001</v>
      </c>
      <c r="C11231" t="s">
        <v>41</v>
      </c>
      <c r="D11231" t="s">
        <v>1117</v>
      </c>
      <c r="F11231" s="21"/>
      <c r="G11231" s="16" t="str">
        <f>HYPERLINK("http://maps.google.com/maps?f=q&amp;hl=en&amp;geocode=&amp;q=40.0189018521389,-75.115245230081")</f>
        <v>http://maps.google.com/maps?f=q&amp;hl=en&amp;geocode=&amp;q=40.0189018521389,-75.115245230081</v>
      </c>
    </row>
    <row r="11232" spans="1:7" ht="15" x14ac:dyDescent="0.3">
      <c r="A11232">
        <v>40.019543710206598</v>
      </c>
      <c r="B11232">
        <v>-75.114796381463094</v>
      </c>
      <c r="C11232" t="s">
        <v>41</v>
      </c>
      <c r="D11232" t="s">
        <v>6314</v>
      </c>
      <c r="F11232" s="21"/>
      <c r="G11232" s="16" t="str">
        <f>HYPERLINK("http://maps.google.com/maps?f=q&amp;hl=en&amp;geocode=&amp;q=40.0195437102066,-75.1147963814631")</f>
        <v>http://maps.google.com/maps?f=q&amp;hl=en&amp;geocode=&amp;q=40.0195437102066,-75.1147963814631</v>
      </c>
    </row>
    <row r="11233" spans="1:7" ht="15" x14ac:dyDescent="0.3">
      <c r="A11233">
        <v>-25.965841293335</v>
      </c>
      <c r="B11233">
        <v>28.207445144653299</v>
      </c>
      <c r="C11233" t="s">
        <v>43</v>
      </c>
      <c r="D11233" t="s">
        <v>6315</v>
      </c>
      <c r="F11233" s="21"/>
      <c r="G11233" s="16" t="str">
        <f>HYPERLINK("http://maps.google.com/maps?f=q&amp;hl=en&amp;geocode=&amp;q=-25.965841293335,28.2074451446533")</f>
        <v>http://maps.google.com/maps?f=q&amp;hl=en&amp;geocode=&amp;q=-25.965841293335,28.2074451446533</v>
      </c>
    </row>
    <row r="11234" spans="1:7" ht="15" x14ac:dyDescent="0.3">
      <c r="A11234">
        <v>52.256698608398402</v>
      </c>
      <c r="B11234">
        <v>4.9152798652648899</v>
      </c>
      <c r="C11234" t="s">
        <v>41</v>
      </c>
      <c r="D11234" t="s">
        <v>6316</v>
      </c>
      <c r="F11234" s="21"/>
      <c r="G11234" s="16" t="str">
        <f>HYPERLINK("http://maps.google.com/maps?f=q&amp;hl=en&amp;geocode=&amp;q=52.2566986083984,4.91527986526489")</f>
        <v>http://maps.google.com/maps?f=q&amp;hl=en&amp;geocode=&amp;q=52.2566986083984,4.91527986526489</v>
      </c>
    </row>
    <row r="11235" spans="1:7" ht="15" x14ac:dyDescent="0.3">
      <c r="A11235">
        <v>48.672306060791001</v>
      </c>
      <c r="B11235">
        <v>7.5540661811828604</v>
      </c>
      <c r="C11235" t="s">
        <v>43</v>
      </c>
      <c r="D11235" t="s">
        <v>5375</v>
      </c>
      <c r="F11235" s="21"/>
      <c r="G11235" s="16" t="str">
        <f>HYPERLINK("http://maps.google.com/maps?f=q&amp;hl=en&amp;geocode=&amp;q=48.672306060791,7.55406618118286")</f>
        <v>http://maps.google.com/maps?f=q&amp;hl=en&amp;geocode=&amp;q=48.672306060791,7.55406618118286</v>
      </c>
    </row>
    <row r="11236" spans="1:7" ht="15" x14ac:dyDescent="0.3">
      <c r="A11236">
        <v>48.672306060791001</v>
      </c>
      <c r="B11236">
        <v>7.5540661811828604</v>
      </c>
      <c r="C11236" t="s">
        <v>43</v>
      </c>
      <c r="D11236" t="s">
        <v>5375</v>
      </c>
      <c r="F11236" s="21"/>
      <c r="G11236" s="16" t="str">
        <f>HYPERLINK("http://maps.google.com/maps?f=q&amp;hl=en&amp;geocode=&amp;q=48.672306060791,7.55406618118286")</f>
        <v>http://maps.google.com/maps?f=q&amp;hl=en&amp;geocode=&amp;q=48.672306060791,7.55406618118286</v>
      </c>
    </row>
    <row r="11237" spans="1:7" ht="15" x14ac:dyDescent="0.3">
      <c r="A11237">
        <v>-25.965841293335</v>
      </c>
      <c r="B11237">
        <v>28.207445144653299</v>
      </c>
      <c r="C11237" t="s">
        <v>43</v>
      </c>
      <c r="D11237" t="s">
        <v>6315</v>
      </c>
      <c r="F11237" s="21"/>
      <c r="G11237" s="16" t="str">
        <f>HYPERLINK("http://maps.google.com/maps?f=q&amp;hl=en&amp;geocode=&amp;q=-25.965841293335,28.2074451446533")</f>
        <v>http://maps.google.com/maps?f=q&amp;hl=en&amp;geocode=&amp;q=-25.965841293335,28.2074451446533</v>
      </c>
    </row>
    <row r="11238" spans="1:7" ht="15" x14ac:dyDescent="0.3">
      <c r="A11238">
        <v>31.531070870062901</v>
      </c>
      <c r="B11238">
        <v>-81.364645665152096</v>
      </c>
      <c r="C11238" t="s">
        <v>41</v>
      </c>
      <c r="D11238" t="s">
        <v>6104</v>
      </c>
      <c r="F11238" s="21"/>
      <c r="G11238" s="16" t="str">
        <f>HYPERLINK("http://maps.google.com/maps?f=q&amp;hl=en&amp;geocode=&amp;q=31.5310708700629,-81.3646456651521")</f>
        <v>http://maps.google.com/maps?f=q&amp;hl=en&amp;geocode=&amp;q=31.5310708700629,-81.3646456651521</v>
      </c>
    </row>
    <row r="11239" spans="1:7" ht="15" x14ac:dyDescent="0.3">
      <c r="A11239">
        <v>39.950060000000001</v>
      </c>
      <c r="B11239">
        <v>-75.168139999999994</v>
      </c>
      <c r="C11239" t="s">
        <v>41</v>
      </c>
      <c r="D11239" t="s">
        <v>5999</v>
      </c>
      <c r="F11239" s="21"/>
      <c r="G11239" s="16" t="str">
        <f>HYPERLINK("http://maps.google.com/maps?f=q&amp;hl=en&amp;geocode=&amp;q=39.95006,-75.16814")</f>
        <v>http://maps.google.com/maps?f=q&amp;hl=en&amp;geocode=&amp;q=39.95006,-75.16814</v>
      </c>
    </row>
    <row r="11240" spans="1:7" ht="15" x14ac:dyDescent="0.3">
      <c r="A11240">
        <v>32.137379284511802</v>
      </c>
      <c r="B11240">
        <v>-110.995171068888</v>
      </c>
      <c r="C11240" t="s">
        <v>43</v>
      </c>
      <c r="D11240" t="s">
        <v>5783</v>
      </c>
      <c r="F11240" s="21"/>
      <c r="G11240" s="16" t="str">
        <f>HYPERLINK("http://maps.google.com/maps?f=q&amp;hl=en&amp;geocode=&amp;q=32.1373792845118,-110.995171068888")</f>
        <v>http://maps.google.com/maps?f=q&amp;hl=en&amp;geocode=&amp;q=32.1373792845118,-110.995171068888</v>
      </c>
    </row>
    <row r="11241" spans="1:7" ht="15" x14ac:dyDescent="0.3">
      <c r="A11241">
        <v>41.751742275634697</v>
      </c>
      <c r="B11241">
        <v>-77.302407878398498</v>
      </c>
      <c r="C11241" t="s">
        <v>42</v>
      </c>
      <c r="D11241" t="s">
        <v>6317</v>
      </c>
      <c r="F11241" s="21"/>
      <c r="G11241" s="16" t="str">
        <f>HYPERLINK("http://maps.google.com/maps?f=q&amp;hl=en&amp;geocode=&amp;q=41.7517422756347,-77.3024078783985")</f>
        <v>http://maps.google.com/maps?f=q&amp;hl=en&amp;geocode=&amp;q=41.7517422756347,-77.3024078783985</v>
      </c>
    </row>
    <row r="11242" spans="1:7" ht="15" x14ac:dyDescent="0.3">
      <c r="A11242">
        <v>41.751742275634697</v>
      </c>
      <c r="B11242">
        <v>-77.302407878398498</v>
      </c>
      <c r="C11242" t="s">
        <v>42</v>
      </c>
      <c r="D11242" t="s">
        <v>6317</v>
      </c>
      <c r="F11242" s="21"/>
      <c r="G11242" s="16" t="str">
        <f>HYPERLINK("http://maps.google.com/maps?f=q&amp;hl=en&amp;geocode=&amp;q=41.7517422756347,-77.3024078783985")</f>
        <v>http://maps.google.com/maps?f=q&amp;hl=en&amp;geocode=&amp;q=41.7517422756347,-77.3024078783985</v>
      </c>
    </row>
    <row r="11243" spans="1:7" ht="15" x14ac:dyDescent="0.3">
      <c r="A11243" t="s">
        <v>44</v>
      </c>
      <c r="B11243" t="s">
        <v>44</v>
      </c>
      <c r="C11243" t="s">
        <v>44</v>
      </c>
      <c r="D11243" t="s">
        <v>6318</v>
      </c>
      <c r="F11243" s="21"/>
      <c r="G11243" s="16"/>
    </row>
    <row r="11244" spans="1:7" ht="15" x14ac:dyDescent="0.3">
      <c r="A11244">
        <v>39.979179999999999</v>
      </c>
      <c r="B11244">
        <v>-75.141509999999997</v>
      </c>
      <c r="C11244" t="s">
        <v>41</v>
      </c>
      <c r="D11244" t="s">
        <v>6319</v>
      </c>
      <c r="F11244" s="21"/>
      <c r="G11244" s="16" t="str">
        <f>HYPERLINK("http://maps.google.com/maps?f=q&amp;hl=en&amp;geocode=&amp;q=39.97918,-75.14151")</f>
        <v>http://maps.google.com/maps?f=q&amp;hl=en&amp;geocode=&amp;q=39.97918,-75.14151</v>
      </c>
    </row>
    <row r="11245" spans="1:7" ht="15" x14ac:dyDescent="0.3">
      <c r="A11245">
        <v>49.9104614257813</v>
      </c>
      <c r="B11245">
        <v>-101.055801391602</v>
      </c>
      <c r="C11245" t="s">
        <v>43</v>
      </c>
      <c r="D11245" t="s">
        <v>6320</v>
      </c>
      <c r="F11245" s="21"/>
      <c r="G11245" s="16" t="str">
        <f>HYPERLINK("http://maps.google.com/maps?f=q&amp;hl=en&amp;geocode=&amp;q=49.9104614257813,-101.055801391602")</f>
        <v>http://maps.google.com/maps?f=q&amp;hl=en&amp;geocode=&amp;q=49.9104614257813,-101.055801391602</v>
      </c>
    </row>
    <row r="11246" spans="1:7" ht="15" x14ac:dyDescent="0.3">
      <c r="A11246">
        <v>44.715461730957003</v>
      </c>
      <c r="B11246">
        <v>5.0091400146484402</v>
      </c>
      <c r="C11246" t="s">
        <v>43</v>
      </c>
      <c r="D11246" t="s">
        <v>6321</v>
      </c>
      <c r="F11246" s="21"/>
      <c r="G11246" s="16" t="str">
        <f>HYPERLINK("http://maps.google.com/maps?f=q&amp;hl=en&amp;geocode=&amp;q=44.715461730957,5.00914001464844")</f>
        <v>http://maps.google.com/maps?f=q&amp;hl=en&amp;geocode=&amp;q=44.715461730957,5.00914001464844</v>
      </c>
    </row>
    <row r="11247" spans="1:7" ht="15" x14ac:dyDescent="0.3">
      <c r="A11247">
        <v>39.979179999999999</v>
      </c>
      <c r="B11247">
        <v>-75.141509999999997</v>
      </c>
      <c r="C11247" t="s">
        <v>41</v>
      </c>
      <c r="D11247" t="s">
        <v>6319</v>
      </c>
      <c r="F11247" s="21"/>
      <c r="G11247" s="16" t="str">
        <f>HYPERLINK("http://maps.google.com/maps?f=q&amp;hl=en&amp;geocode=&amp;q=39.97918,-75.14151")</f>
        <v>http://maps.google.com/maps?f=q&amp;hl=en&amp;geocode=&amp;q=39.97918,-75.14151</v>
      </c>
    </row>
    <row r="11248" spans="1:7" ht="15" x14ac:dyDescent="0.3">
      <c r="A11248">
        <v>39.9997949895209</v>
      </c>
      <c r="B11248">
        <v>-75.119334467032502</v>
      </c>
      <c r="C11248" t="s">
        <v>41</v>
      </c>
      <c r="D11248" t="s">
        <v>6322</v>
      </c>
      <c r="F11248" s="21"/>
      <c r="G11248" s="16" t="str">
        <f>HYPERLINK("http://maps.google.com/maps?f=q&amp;hl=en&amp;geocode=&amp;q=39.9997949895209,-75.1193344670325")</f>
        <v>http://maps.google.com/maps?f=q&amp;hl=en&amp;geocode=&amp;q=39.9997949895209,-75.1193344670325</v>
      </c>
    </row>
    <row r="11249" spans="1:7" ht="15" x14ac:dyDescent="0.3">
      <c r="F11249" s="21"/>
      <c r="G11249" s="16"/>
    </row>
    <row r="11250" spans="1:7" ht="15" x14ac:dyDescent="0.3">
      <c r="A11250">
        <v>43.082389831542997</v>
      </c>
      <c r="B11250">
        <v>-77.673004150390597</v>
      </c>
      <c r="C11250" t="s">
        <v>43</v>
      </c>
      <c r="D11250" t="s">
        <v>6323</v>
      </c>
      <c r="F11250" s="21"/>
      <c r="G11250" s="16" t="str">
        <f>HYPERLINK("http://maps.google.com/maps?f=q&amp;hl=en&amp;geocode=&amp;q=43.082389831543,-77.6730041503906")</f>
        <v>http://maps.google.com/maps?f=q&amp;hl=en&amp;geocode=&amp;q=43.082389831543,-77.6730041503906</v>
      </c>
    </row>
    <row r="11251" spans="1:7" ht="15" x14ac:dyDescent="0.3">
      <c r="A11251" t="s">
        <v>44</v>
      </c>
      <c r="B11251" t="s">
        <v>44</v>
      </c>
      <c r="C11251" t="s">
        <v>44</v>
      </c>
      <c r="D11251" t="s">
        <v>6324</v>
      </c>
      <c r="F11251" s="21"/>
      <c r="G11251" s="16"/>
    </row>
    <row r="11252" spans="1:7" ht="15" x14ac:dyDescent="0.3">
      <c r="A11252">
        <v>44.984795713651799</v>
      </c>
      <c r="B11252">
        <v>-93.160688877194104</v>
      </c>
      <c r="C11252" t="s">
        <v>41</v>
      </c>
      <c r="D11252" t="s">
        <v>6325</v>
      </c>
      <c r="F11252" s="21"/>
      <c r="G11252" s="16" t="str">
        <f>HYPERLINK("http://maps.google.com/maps?f=q&amp;hl=en&amp;geocode=&amp;q=44.9847957136518,-93.1606888771941")</f>
        <v>http://maps.google.com/maps?f=q&amp;hl=en&amp;geocode=&amp;q=44.9847957136518,-93.1606888771941</v>
      </c>
    </row>
    <row r="11253" spans="1:7" ht="15" x14ac:dyDescent="0.3">
      <c r="A11253">
        <v>46.180630000000001</v>
      </c>
      <c r="B11253">
        <v>-123.85474000000001</v>
      </c>
      <c r="C11253" t="s">
        <v>42</v>
      </c>
      <c r="D11253" t="s">
        <v>6326</v>
      </c>
      <c r="F11253" s="21"/>
      <c r="G11253" s="16" t="str">
        <f>HYPERLINK("http://maps.google.com/maps?f=q&amp;hl=en&amp;geocode=&amp;q=46.18063,-123.85474")</f>
        <v>http://maps.google.com/maps?f=q&amp;hl=en&amp;geocode=&amp;q=46.18063,-123.85474</v>
      </c>
    </row>
    <row r="11254" spans="1:7" ht="15" x14ac:dyDescent="0.3">
      <c r="A11254">
        <v>50.723228454589801</v>
      </c>
      <c r="B11254">
        <v>4.6152939796447798</v>
      </c>
      <c r="C11254" t="s">
        <v>43</v>
      </c>
      <c r="D11254" t="s">
        <v>6327</v>
      </c>
      <c r="F11254" s="21"/>
      <c r="G11254" s="16" t="str">
        <f>HYPERLINK("http://maps.google.com/maps?f=q&amp;hl=en&amp;geocode=&amp;q=50.7232284545898,4.61529397964478")</f>
        <v>http://maps.google.com/maps?f=q&amp;hl=en&amp;geocode=&amp;q=50.7232284545898,4.61529397964478</v>
      </c>
    </row>
    <row r="11255" spans="1:7" ht="15" x14ac:dyDescent="0.3">
      <c r="A11255">
        <v>39.586313108584797</v>
      </c>
      <c r="B11255">
        <v>-87.462927106950005</v>
      </c>
      <c r="C11255" t="s">
        <v>41</v>
      </c>
      <c r="D11255" t="s">
        <v>6301</v>
      </c>
      <c r="F11255" s="21"/>
      <c r="G11255" s="16" t="str">
        <f>HYPERLINK("http://maps.google.com/maps?f=q&amp;hl=en&amp;geocode=&amp;q=39.5863131085848,-87.46292710695")</f>
        <v>http://maps.google.com/maps?f=q&amp;hl=en&amp;geocode=&amp;q=39.5863131085848,-87.46292710695</v>
      </c>
    </row>
    <row r="11256" spans="1:7" ht="15" x14ac:dyDescent="0.3">
      <c r="A11256" t="s">
        <v>44</v>
      </c>
      <c r="B11256" t="s">
        <v>44</v>
      </c>
      <c r="C11256" t="s">
        <v>44</v>
      </c>
      <c r="D11256" t="s">
        <v>6328</v>
      </c>
      <c r="F11256" s="21"/>
      <c r="G11256" s="16"/>
    </row>
    <row r="11257" spans="1:7" ht="15" x14ac:dyDescent="0.3">
      <c r="A11257" t="s">
        <v>44</v>
      </c>
      <c r="B11257" t="s">
        <v>44</v>
      </c>
      <c r="C11257" t="s">
        <v>44</v>
      </c>
      <c r="D11257" t="s">
        <v>6329</v>
      </c>
      <c r="F11257" s="21"/>
      <c r="G11257" s="16"/>
    </row>
    <row r="11258" spans="1:7" ht="15" x14ac:dyDescent="0.3">
      <c r="A11258">
        <v>34.621390362148098</v>
      </c>
      <c r="B11258">
        <v>-82.1260451203066</v>
      </c>
      <c r="C11258" t="s">
        <v>43</v>
      </c>
      <c r="D11258" t="s">
        <v>4259</v>
      </c>
      <c r="F11258" s="21"/>
      <c r="G11258" s="16" t="str">
        <f>HYPERLINK("http://maps.google.com/maps?f=q&amp;hl=en&amp;geocode=&amp;q=34.6213903621481,-82.1260451203066")</f>
        <v>http://maps.google.com/maps?f=q&amp;hl=en&amp;geocode=&amp;q=34.6213903621481,-82.1260451203066</v>
      </c>
    </row>
    <row r="11259" spans="1:7" ht="15" x14ac:dyDescent="0.3">
      <c r="A11259" t="s">
        <v>44</v>
      </c>
      <c r="B11259" t="s">
        <v>44</v>
      </c>
      <c r="C11259" t="s">
        <v>44</v>
      </c>
      <c r="D11259" t="s">
        <v>5657</v>
      </c>
      <c r="F11259" s="21"/>
      <c r="G11259" s="16"/>
    </row>
    <row r="11260" spans="1:7" ht="15" x14ac:dyDescent="0.3">
      <c r="A11260">
        <v>49.575931549072301</v>
      </c>
      <c r="B11260">
        <v>5.9288620948791504</v>
      </c>
      <c r="C11260" t="s">
        <v>41</v>
      </c>
      <c r="D11260" t="s">
        <v>6330</v>
      </c>
      <c r="F11260" s="21"/>
      <c r="G11260" s="16" t="str">
        <f>HYPERLINK("http://maps.google.com/maps?f=q&amp;hl=en&amp;geocode=&amp;q=49.5759315490723,5.92886209487915")</f>
        <v>http://maps.google.com/maps?f=q&amp;hl=en&amp;geocode=&amp;q=49.5759315490723,5.92886209487915</v>
      </c>
    </row>
    <row r="11261" spans="1:7" ht="15" x14ac:dyDescent="0.3">
      <c r="A11261">
        <v>39.931432553449</v>
      </c>
      <c r="B11261">
        <v>-75.157047806880101</v>
      </c>
      <c r="C11261" t="s">
        <v>41</v>
      </c>
      <c r="D11261" t="s">
        <v>3538</v>
      </c>
      <c r="F11261" s="21"/>
      <c r="G11261" s="16" t="str">
        <f>HYPERLINK("http://maps.google.com/maps?f=q&amp;hl=en&amp;geocode=&amp;q=39.931432553449,-75.1570478068801")</f>
        <v>http://maps.google.com/maps?f=q&amp;hl=en&amp;geocode=&amp;q=39.931432553449,-75.1570478068801</v>
      </c>
    </row>
    <row r="11262" spans="1:7" ht="15" x14ac:dyDescent="0.3">
      <c r="A11262">
        <v>39.931432553449</v>
      </c>
      <c r="B11262">
        <v>-75.157047806880101</v>
      </c>
      <c r="C11262" t="s">
        <v>41</v>
      </c>
      <c r="D11262" t="s">
        <v>6331</v>
      </c>
      <c r="F11262" s="21"/>
      <c r="G11262" s="16" t="str">
        <f>HYPERLINK("http://maps.google.com/maps?f=q&amp;hl=en&amp;geocode=&amp;q=39.931432553449,-75.1570478068801")</f>
        <v>http://maps.google.com/maps?f=q&amp;hl=en&amp;geocode=&amp;q=39.931432553449,-75.1570478068801</v>
      </c>
    </row>
    <row r="11263" spans="1:7" ht="15" x14ac:dyDescent="0.3">
      <c r="A11263">
        <v>39.915680000000002</v>
      </c>
      <c r="B11263">
        <v>-75.164050000000003</v>
      </c>
      <c r="C11263" t="s">
        <v>41</v>
      </c>
      <c r="D11263" t="s">
        <v>6332</v>
      </c>
      <c r="F11263" s="21"/>
      <c r="G11263" s="16" t="str">
        <f>HYPERLINK("http://maps.google.com/maps?f=q&amp;hl=en&amp;geocode=&amp;q=39.91568,-75.16405")</f>
        <v>http://maps.google.com/maps?f=q&amp;hl=en&amp;geocode=&amp;q=39.91568,-75.16405</v>
      </c>
    </row>
    <row r="11264" spans="1:7" ht="15" x14ac:dyDescent="0.3">
      <c r="A11264">
        <v>45.640425031802202</v>
      </c>
      <c r="B11264">
        <v>-85.008014489211305</v>
      </c>
      <c r="C11264" t="s">
        <v>41</v>
      </c>
      <c r="D11264" t="s">
        <v>6333</v>
      </c>
      <c r="F11264" s="21"/>
      <c r="G11264" s="16" t="str">
        <f>HYPERLINK("http://maps.google.com/maps?f=q&amp;hl=en&amp;geocode=&amp;q=45.6404250318022,-85.0080144892113")</f>
        <v>http://maps.google.com/maps?f=q&amp;hl=en&amp;geocode=&amp;q=45.6404250318022,-85.0080144892113</v>
      </c>
    </row>
    <row r="11265" spans="1:7" ht="15" x14ac:dyDescent="0.3">
      <c r="A11265">
        <v>50.780136108398402</v>
      </c>
      <c r="B11265">
        <v>4.2288222312927202</v>
      </c>
      <c r="C11265" t="s">
        <v>43</v>
      </c>
      <c r="D11265" t="s">
        <v>3425</v>
      </c>
      <c r="F11265" s="21"/>
      <c r="G11265" s="16" t="str">
        <f>HYPERLINK("http://maps.google.com/maps?f=q&amp;hl=en&amp;geocode=&amp;q=50.7801361083984,4.22882223129272")</f>
        <v>http://maps.google.com/maps?f=q&amp;hl=en&amp;geocode=&amp;q=50.7801361083984,4.22882223129272</v>
      </c>
    </row>
    <row r="11266" spans="1:7" ht="15" x14ac:dyDescent="0.3">
      <c r="A11266">
        <v>34.131218916673902</v>
      </c>
      <c r="B11266">
        <v>-116.337565288741</v>
      </c>
      <c r="C11266" t="s">
        <v>41</v>
      </c>
      <c r="D11266" t="s">
        <v>6334</v>
      </c>
      <c r="F11266" s="21"/>
      <c r="G11266" s="16" t="str">
        <f>HYPERLINK("http://maps.google.com/maps?f=q&amp;hl=en&amp;geocode=&amp;q=34.1312189166739,-116.337565288741")</f>
        <v>http://maps.google.com/maps?f=q&amp;hl=en&amp;geocode=&amp;q=34.1312189166739,-116.337565288741</v>
      </c>
    </row>
    <row r="11267" spans="1:7" ht="15" x14ac:dyDescent="0.3">
      <c r="A11267">
        <v>39.947670000000002</v>
      </c>
      <c r="B11267">
        <v>-75.167119999999997</v>
      </c>
      <c r="C11267" t="s">
        <v>41</v>
      </c>
      <c r="D11267" t="s">
        <v>6335</v>
      </c>
      <c r="F11267" s="21"/>
      <c r="G11267" s="16" t="str">
        <f>HYPERLINK("http://maps.google.com/maps?f=q&amp;hl=en&amp;geocode=&amp;q=39.94767,-75.16712")</f>
        <v>http://maps.google.com/maps?f=q&amp;hl=en&amp;geocode=&amp;q=39.94767,-75.16712</v>
      </c>
    </row>
    <row r="11268" spans="1:7" ht="15" x14ac:dyDescent="0.3">
      <c r="A11268">
        <v>60.300830841064503</v>
      </c>
      <c r="B11268">
        <v>19.131389617919901</v>
      </c>
      <c r="C11268" t="s">
        <v>43</v>
      </c>
      <c r="D11268" t="s">
        <v>6336</v>
      </c>
      <c r="F11268" s="21"/>
      <c r="G11268" s="16" t="str">
        <f>HYPERLINK("http://maps.google.com/maps?f=q&amp;hl=en&amp;geocode=&amp;q=60.3008308410645,19.1313896179199")</f>
        <v>http://maps.google.com/maps?f=q&amp;hl=en&amp;geocode=&amp;q=60.3008308410645,19.1313896179199</v>
      </c>
    </row>
    <row r="11269" spans="1:7" ht="15" x14ac:dyDescent="0.3">
      <c r="A11269">
        <v>30.299074998091601</v>
      </c>
      <c r="B11269">
        <v>-85.532838087110093</v>
      </c>
      <c r="C11269" t="s">
        <v>41</v>
      </c>
      <c r="D11269" t="s">
        <v>432</v>
      </c>
      <c r="F11269" s="21"/>
      <c r="G11269" s="16" t="str">
        <f>HYPERLINK("http://maps.google.com/maps?f=q&amp;hl=en&amp;geocode=&amp;q=30.2990749980916,-85.5328380871101")</f>
        <v>http://maps.google.com/maps?f=q&amp;hl=en&amp;geocode=&amp;q=30.2990749980916,-85.5328380871101</v>
      </c>
    </row>
    <row r="11270" spans="1:7" ht="15" x14ac:dyDescent="0.3">
      <c r="A11270">
        <v>40.655315077857701</v>
      </c>
      <c r="B11270">
        <v>-79.5355577367188</v>
      </c>
      <c r="C11270" t="s">
        <v>41</v>
      </c>
      <c r="D11270" t="s">
        <v>6337</v>
      </c>
      <c r="F11270" s="21"/>
      <c r="G11270" s="16" t="str">
        <f>HYPERLINK("http://maps.google.com/maps?f=q&amp;hl=en&amp;geocode=&amp;q=40.6553150778577,-79.5355577367188")</f>
        <v>http://maps.google.com/maps?f=q&amp;hl=en&amp;geocode=&amp;q=40.6553150778577,-79.5355577367188</v>
      </c>
    </row>
    <row r="11271" spans="1:7" ht="15" x14ac:dyDescent="0.3">
      <c r="A11271">
        <v>40.037979125976598</v>
      </c>
      <c r="B11271">
        <v>-75.223060607910199</v>
      </c>
      <c r="C11271" t="s">
        <v>41</v>
      </c>
      <c r="D11271" t="s">
        <v>100</v>
      </c>
      <c r="F11271" s="21"/>
      <c r="G11271" s="16" t="str">
        <f>HYPERLINK("http://maps.google.com/maps?f=q&amp;hl=en&amp;geocode=&amp;q=40.0379791259766,-75.2230606079102")</f>
        <v>http://maps.google.com/maps?f=q&amp;hl=en&amp;geocode=&amp;q=40.0379791259766,-75.2230606079102</v>
      </c>
    </row>
    <row r="11272" spans="1:7" ht="15" x14ac:dyDescent="0.3">
      <c r="A11272">
        <v>39.251334</v>
      </c>
      <c r="B11272">
        <v>-76.702408000000005</v>
      </c>
      <c r="C11272" t="s">
        <v>41</v>
      </c>
      <c r="D11272" t="s">
        <v>6338</v>
      </c>
      <c r="F11272" s="21"/>
      <c r="G11272" s="16" t="str">
        <f>HYPERLINK("http://maps.google.com/maps?f=q&amp;hl=en&amp;geocode=&amp;q=39.251334,-76.702408")</f>
        <v>http://maps.google.com/maps?f=q&amp;hl=en&amp;geocode=&amp;q=39.251334,-76.702408</v>
      </c>
    </row>
    <row r="11273" spans="1:7" ht="15" x14ac:dyDescent="0.3">
      <c r="A11273">
        <v>31.820820000000001</v>
      </c>
      <c r="B11273">
        <v>-93.826220000000006</v>
      </c>
      <c r="C11273" t="s">
        <v>43</v>
      </c>
      <c r="D11273" t="s">
        <v>6339</v>
      </c>
      <c r="F11273" s="21"/>
      <c r="G11273" s="16" t="str">
        <f>HYPERLINK("http://maps.google.com/maps?f=q&amp;hl=en&amp;geocode=&amp;q=31.82082,-93.82622")</f>
        <v>http://maps.google.com/maps?f=q&amp;hl=en&amp;geocode=&amp;q=31.82082,-93.82622</v>
      </c>
    </row>
    <row r="11274" spans="1:7" ht="15" x14ac:dyDescent="0.3">
      <c r="A11274">
        <v>40.655315077857701</v>
      </c>
      <c r="B11274">
        <v>-79.5355577367188</v>
      </c>
      <c r="C11274" t="s">
        <v>41</v>
      </c>
      <c r="D11274" t="s">
        <v>6337</v>
      </c>
      <c r="F11274" s="21"/>
      <c r="G11274" s="16" t="str">
        <f>HYPERLINK("http://maps.google.com/maps?f=q&amp;hl=en&amp;geocode=&amp;q=40.6553150778577,-79.5355577367188")</f>
        <v>http://maps.google.com/maps?f=q&amp;hl=en&amp;geocode=&amp;q=40.6553150778577,-79.5355577367188</v>
      </c>
    </row>
    <row r="11275" spans="1:7" ht="15" x14ac:dyDescent="0.3">
      <c r="A11275">
        <v>41.464694106769301</v>
      </c>
      <c r="B11275">
        <v>-91.598906518129894</v>
      </c>
      <c r="C11275" t="s">
        <v>41</v>
      </c>
      <c r="D11275" t="s">
        <v>6340</v>
      </c>
      <c r="F11275" s="21"/>
      <c r="G11275" s="16" t="str">
        <f>HYPERLINK("http://maps.google.com/maps?f=q&amp;hl=en&amp;geocode=&amp;q=41.4646941067693,-91.5989065181299")</f>
        <v>http://maps.google.com/maps?f=q&amp;hl=en&amp;geocode=&amp;q=41.4646941067693,-91.5989065181299</v>
      </c>
    </row>
    <row r="11276" spans="1:7" ht="15" x14ac:dyDescent="0.3">
      <c r="A11276">
        <v>26.8212897467515</v>
      </c>
      <c r="B11276">
        <v>-80.077091540507098</v>
      </c>
      <c r="C11276" t="s">
        <v>41</v>
      </c>
      <c r="D11276" t="s">
        <v>6341</v>
      </c>
      <c r="F11276" s="21"/>
      <c r="G11276" s="16" t="str">
        <f>HYPERLINK("http://maps.google.com/maps?f=q&amp;hl=en&amp;geocode=&amp;q=26.8212897467515,-80.0770915405071")</f>
        <v>http://maps.google.com/maps?f=q&amp;hl=en&amp;geocode=&amp;q=26.8212897467515,-80.0770915405071</v>
      </c>
    </row>
    <row r="11277" spans="1:7" ht="15" x14ac:dyDescent="0.3">
      <c r="A11277">
        <v>29.7082328796387</v>
      </c>
      <c r="B11277">
        <v>-90.006401062011705</v>
      </c>
      <c r="C11277" t="s">
        <v>43</v>
      </c>
      <c r="D11277" t="s">
        <v>98</v>
      </c>
      <c r="F11277" s="21"/>
      <c r="G11277" s="16" t="str">
        <f>HYPERLINK("http://maps.google.com/maps?f=q&amp;hl=en&amp;geocode=&amp;q=29.7082328796387,-90.0064010620117")</f>
        <v>http://maps.google.com/maps?f=q&amp;hl=en&amp;geocode=&amp;q=29.7082328796387,-90.0064010620117</v>
      </c>
    </row>
    <row r="11278" spans="1:7" ht="15" x14ac:dyDescent="0.3">
      <c r="A11278">
        <v>29.7082328796387</v>
      </c>
      <c r="B11278">
        <v>-90.006401062011705</v>
      </c>
      <c r="C11278" t="s">
        <v>43</v>
      </c>
      <c r="D11278" t="s">
        <v>98</v>
      </c>
      <c r="F11278" s="21"/>
      <c r="G11278" s="16" t="str">
        <f>HYPERLINK("http://maps.google.com/maps?f=q&amp;hl=en&amp;geocode=&amp;q=29.7082328796387,-90.0064010620117")</f>
        <v>http://maps.google.com/maps?f=q&amp;hl=en&amp;geocode=&amp;q=29.7082328796387,-90.0064010620117</v>
      </c>
    </row>
    <row r="11279" spans="1:7" ht="15" x14ac:dyDescent="0.3">
      <c r="A11279">
        <v>38.894422605396002</v>
      </c>
      <c r="B11279">
        <v>-84.234070390256505</v>
      </c>
      <c r="C11279" t="s">
        <v>41</v>
      </c>
      <c r="D11279" t="s">
        <v>6342</v>
      </c>
      <c r="F11279" s="21"/>
      <c r="G11279" s="16" t="str">
        <f>HYPERLINK("http://maps.google.com/maps?f=q&amp;hl=en&amp;geocode=&amp;q=38.894422605396,-84.2340703902565")</f>
        <v>http://maps.google.com/maps?f=q&amp;hl=en&amp;geocode=&amp;q=38.894422605396,-84.2340703902565</v>
      </c>
    </row>
    <row r="11280" spans="1:7" ht="15" x14ac:dyDescent="0.3">
      <c r="A11280">
        <v>29.7082328796387</v>
      </c>
      <c r="B11280">
        <v>-90.006401062011705</v>
      </c>
      <c r="C11280" t="s">
        <v>43</v>
      </c>
      <c r="D11280" t="s">
        <v>98</v>
      </c>
      <c r="F11280" s="21"/>
      <c r="G11280" s="16" t="str">
        <f>HYPERLINK("http://maps.google.com/maps?f=q&amp;hl=en&amp;geocode=&amp;q=29.7082328796387,-90.0064010620117")</f>
        <v>http://maps.google.com/maps?f=q&amp;hl=en&amp;geocode=&amp;q=29.7082328796387,-90.0064010620117</v>
      </c>
    </row>
    <row r="11281" spans="1:7" ht="15" x14ac:dyDescent="0.3">
      <c r="A11281">
        <v>31.820820000000001</v>
      </c>
      <c r="B11281">
        <v>-93.826220000000006</v>
      </c>
      <c r="C11281" t="s">
        <v>43</v>
      </c>
      <c r="D11281" t="s">
        <v>6343</v>
      </c>
      <c r="F11281" s="21"/>
      <c r="G11281" s="16" t="str">
        <f>HYPERLINK("http://maps.google.com/maps?f=q&amp;hl=en&amp;geocode=&amp;q=31.82082,-93.82622")</f>
        <v>http://maps.google.com/maps?f=q&amp;hl=en&amp;geocode=&amp;q=31.82082,-93.82622</v>
      </c>
    </row>
    <row r="11282" spans="1:7" ht="15" x14ac:dyDescent="0.3">
      <c r="A11282" t="s">
        <v>44</v>
      </c>
      <c r="B11282" t="s">
        <v>44</v>
      </c>
      <c r="C11282" t="s">
        <v>44</v>
      </c>
      <c r="D11282" t="s">
        <v>5903</v>
      </c>
      <c r="F11282" s="21"/>
      <c r="G11282" s="16"/>
    </row>
    <row r="11283" spans="1:7" ht="15" x14ac:dyDescent="0.3">
      <c r="A11283">
        <v>31.820820000000001</v>
      </c>
      <c r="B11283">
        <v>-93.826220000000006</v>
      </c>
      <c r="C11283" t="s">
        <v>43</v>
      </c>
      <c r="D11283" t="s">
        <v>6343</v>
      </c>
      <c r="F11283" s="21"/>
      <c r="G11283" s="16" t="str">
        <f>HYPERLINK("http://maps.google.com/maps?f=q&amp;hl=en&amp;geocode=&amp;q=31.82082,-93.82622")</f>
        <v>http://maps.google.com/maps?f=q&amp;hl=en&amp;geocode=&amp;q=31.82082,-93.82622</v>
      </c>
    </row>
    <row r="11284" spans="1:7" ht="15" x14ac:dyDescent="0.3">
      <c r="A11284">
        <v>40.046039999999998</v>
      </c>
      <c r="B11284">
        <v>-75.191360000000003</v>
      </c>
      <c r="C11284" t="s">
        <v>41</v>
      </c>
      <c r="D11284" t="s">
        <v>6344</v>
      </c>
      <c r="F11284" s="21"/>
      <c r="G11284" s="16" t="str">
        <f>HYPERLINK("http://maps.google.com/maps?f=q&amp;hl=en&amp;geocode=&amp;q=40.04604,-75.19136")</f>
        <v>http://maps.google.com/maps?f=q&amp;hl=en&amp;geocode=&amp;q=40.04604,-75.19136</v>
      </c>
    </row>
    <row r="11285" spans="1:7" ht="15" x14ac:dyDescent="0.3">
      <c r="A11285">
        <v>-4.9628200531005904</v>
      </c>
      <c r="B11285">
        <v>119.568771362305</v>
      </c>
      <c r="C11285" t="s">
        <v>43</v>
      </c>
      <c r="D11285" t="s">
        <v>6345</v>
      </c>
      <c r="F11285" s="21"/>
      <c r="G11285" s="16" t="str">
        <f>HYPERLINK("http://maps.google.com/maps?f=q&amp;hl=en&amp;geocode=&amp;q=-4.96282005310059,119.568771362305")</f>
        <v>http://maps.google.com/maps?f=q&amp;hl=en&amp;geocode=&amp;q=-4.96282005310059,119.568771362305</v>
      </c>
    </row>
    <row r="11286" spans="1:7" ht="15" x14ac:dyDescent="0.3">
      <c r="A11286">
        <v>-29.406856536865199</v>
      </c>
      <c r="B11286">
        <v>150.60203552246099</v>
      </c>
      <c r="C11286" t="s">
        <v>41</v>
      </c>
      <c r="D11286" t="s">
        <v>6346</v>
      </c>
      <c r="F11286" s="21"/>
      <c r="G11286" s="16" t="str">
        <f>HYPERLINK("http://maps.google.com/maps?f=q&amp;hl=en&amp;geocode=&amp;q=-29.4068565368652,150.602035522461")</f>
        <v>http://maps.google.com/maps?f=q&amp;hl=en&amp;geocode=&amp;q=-29.4068565368652,150.602035522461</v>
      </c>
    </row>
    <row r="11287" spans="1:7" ht="15" x14ac:dyDescent="0.3">
      <c r="A11287">
        <v>37.766833258530198</v>
      </c>
      <c r="B11287">
        <v>-90.387994380363693</v>
      </c>
      <c r="C11287" t="s">
        <v>43</v>
      </c>
      <c r="D11287" t="s">
        <v>6347</v>
      </c>
      <c r="F11287" s="21"/>
      <c r="G11287" s="16" t="str">
        <f>HYPERLINK("http://maps.google.com/maps?f=q&amp;hl=en&amp;geocode=&amp;q=37.7668332585302,-90.3879943803637")</f>
        <v>http://maps.google.com/maps?f=q&amp;hl=en&amp;geocode=&amp;q=37.7668332585302,-90.3879943803637</v>
      </c>
    </row>
    <row r="11288" spans="1:7" ht="15" x14ac:dyDescent="0.3">
      <c r="A11288">
        <v>41.464205732035701</v>
      </c>
      <c r="B11288">
        <v>-91.598788360346504</v>
      </c>
      <c r="C11288" t="s">
        <v>41</v>
      </c>
      <c r="D11288" t="s">
        <v>6348</v>
      </c>
      <c r="F11288" s="21"/>
      <c r="G11288" s="16" t="str">
        <f>HYPERLINK("http://maps.google.com/maps?f=q&amp;hl=en&amp;geocode=&amp;q=41.4642057320357,-91.5987883603465")</f>
        <v>http://maps.google.com/maps?f=q&amp;hl=en&amp;geocode=&amp;q=41.4642057320357,-91.5987883603465</v>
      </c>
    </row>
    <row r="11289" spans="1:7" ht="15" x14ac:dyDescent="0.3">
      <c r="A11289">
        <v>40.040842158211298</v>
      </c>
      <c r="B11289">
        <v>-75.077847190847606</v>
      </c>
      <c r="C11289" t="s">
        <v>41</v>
      </c>
      <c r="D11289" t="s">
        <v>6349</v>
      </c>
      <c r="F11289" s="21"/>
      <c r="G11289" s="16" t="str">
        <f>HYPERLINK("http://maps.google.com/maps?f=q&amp;hl=en&amp;geocode=&amp;q=40.0408421582113,-75.0778471908476")</f>
        <v>http://maps.google.com/maps?f=q&amp;hl=en&amp;geocode=&amp;q=40.0408421582113,-75.0778471908476</v>
      </c>
    </row>
    <row r="11290" spans="1:7" ht="15" x14ac:dyDescent="0.3">
      <c r="A11290">
        <v>-26.188575744628899</v>
      </c>
      <c r="B11290">
        <v>27.929327011108398</v>
      </c>
      <c r="C11290" t="s">
        <v>43</v>
      </c>
      <c r="D11290" t="s">
        <v>1115</v>
      </c>
      <c r="F11290" s="21"/>
      <c r="G11290" s="16" t="str">
        <f>HYPERLINK("http://maps.google.com/maps?f=q&amp;hl=en&amp;geocode=&amp;q=-26.1885757446289,27.9293270111084")</f>
        <v>http://maps.google.com/maps?f=q&amp;hl=en&amp;geocode=&amp;q=-26.1885757446289,27.9293270111084</v>
      </c>
    </row>
    <row r="11291" spans="1:7" ht="15" x14ac:dyDescent="0.3">
      <c r="A11291">
        <v>38.980808258056598</v>
      </c>
      <c r="B11291">
        <v>-88.318092346191406</v>
      </c>
      <c r="C11291" t="s">
        <v>43</v>
      </c>
      <c r="D11291" t="s">
        <v>3135</v>
      </c>
      <c r="F11291" s="21"/>
      <c r="G11291" s="16" t="str">
        <f>HYPERLINK("http://maps.google.com/maps?f=q&amp;hl=en&amp;geocode=&amp;q=38.9808082580566,-88.3180923461914")</f>
        <v>http://maps.google.com/maps?f=q&amp;hl=en&amp;geocode=&amp;q=38.9808082580566,-88.3180923461914</v>
      </c>
    </row>
    <row r="11292" spans="1:7" ht="15" x14ac:dyDescent="0.3">
      <c r="A11292">
        <v>39.935839999999999</v>
      </c>
      <c r="B11292">
        <v>-75.177009999999996</v>
      </c>
      <c r="C11292" t="s">
        <v>42</v>
      </c>
      <c r="D11292" t="s">
        <v>6350</v>
      </c>
      <c r="F11292" s="21"/>
      <c r="G11292" s="16" t="str">
        <f>HYPERLINK("http://maps.google.com/maps?f=q&amp;hl=en&amp;geocode=&amp;q=39.93584,-75.17701")</f>
        <v>http://maps.google.com/maps?f=q&amp;hl=en&amp;geocode=&amp;q=39.93584,-75.17701</v>
      </c>
    </row>
    <row r="11293" spans="1:7" ht="15" x14ac:dyDescent="0.3">
      <c r="A11293">
        <v>35.855143018948503</v>
      </c>
      <c r="B11293">
        <v>-84.6880374786343</v>
      </c>
      <c r="C11293" t="s">
        <v>41</v>
      </c>
      <c r="D11293" t="s">
        <v>6351</v>
      </c>
      <c r="F11293" s="21"/>
      <c r="G11293" s="16" t="str">
        <f>HYPERLINK("http://maps.google.com/maps?f=q&amp;hl=en&amp;geocode=&amp;q=35.8551430189485,-84.6880374786343")</f>
        <v>http://maps.google.com/maps?f=q&amp;hl=en&amp;geocode=&amp;q=35.8551430189485,-84.6880374786343</v>
      </c>
    </row>
    <row r="11294" spans="1:7" ht="15" x14ac:dyDescent="0.3">
      <c r="A11294">
        <v>51.486148834228501</v>
      </c>
      <c r="B11294">
        <v>-0.179127752780914</v>
      </c>
      <c r="C11294" t="s">
        <v>41</v>
      </c>
      <c r="D11294" t="s">
        <v>6352</v>
      </c>
      <c r="F11294" s="21"/>
      <c r="G11294" s="16" t="str">
        <f>HYPERLINK("http://maps.google.com/maps?f=q&amp;hl=en&amp;geocode=&amp;q=51.4861488342285,-0.179127752780914")</f>
        <v>http://maps.google.com/maps?f=q&amp;hl=en&amp;geocode=&amp;q=51.4861488342285,-0.179127752780914</v>
      </c>
    </row>
    <row r="11295" spans="1:7" ht="15" x14ac:dyDescent="0.3">
      <c r="A11295">
        <v>39.040599822997997</v>
      </c>
      <c r="B11295">
        <v>-120.63067626953099</v>
      </c>
      <c r="C11295" t="s">
        <v>43</v>
      </c>
      <c r="D11295" t="s">
        <v>2652</v>
      </c>
      <c r="F11295" s="21"/>
      <c r="G11295" s="16" t="str">
        <f>HYPERLINK("http://maps.google.com/maps?f=q&amp;hl=en&amp;geocode=&amp;q=39.040599822998,-120.630676269531")</f>
        <v>http://maps.google.com/maps?f=q&amp;hl=en&amp;geocode=&amp;q=39.040599822998,-120.630676269531</v>
      </c>
    </row>
    <row r="11296" spans="1:7" ht="15" x14ac:dyDescent="0.3">
      <c r="A11296">
        <v>39.98659</v>
      </c>
      <c r="B11296">
        <v>-75.162729999999996</v>
      </c>
      <c r="C11296" t="s">
        <v>42</v>
      </c>
      <c r="D11296" t="s">
        <v>6353</v>
      </c>
      <c r="F11296" s="21"/>
      <c r="G11296" s="16" t="str">
        <f>HYPERLINK("http://maps.google.com/maps?f=q&amp;hl=en&amp;geocode=&amp;q=39.98659,-75.16273")</f>
        <v>http://maps.google.com/maps?f=q&amp;hl=en&amp;geocode=&amp;q=39.98659,-75.16273</v>
      </c>
    </row>
    <row r="11297" spans="1:7" ht="15" x14ac:dyDescent="0.3">
      <c r="A11297">
        <v>40.894489288330099</v>
      </c>
      <c r="B11297">
        <v>-72.892898559570298</v>
      </c>
      <c r="C11297" t="s">
        <v>43</v>
      </c>
      <c r="D11297" t="s">
        <v>6354</v>
      </c>
      <c r="F11297" s="21"/>
      <c r="G11297" s="16" t="str">
        <f>HYPERLINK("http://maps.google.com/maps?f=q&amp;hl=en&amp;geocode=&amp;q=40.8944892883301,-72.8928985595703")</f>
        <v>http://maps.google.com/maps?f=q&amp;hl=en&amp;geocode=&amp;q=40.8944892883301,-72.8928985595703</v>
      </c>
    </row>
    <row r="11298" spans="1:7" ht="15" x14ac:dyDescent="0.3">
      <c r="A11298">
        <v>40.894489288330099</v>
      </c>
      <c r="B11298">
        <v>-72.892898559570298</v>
      </c>
      <c r="C11298" t="s">
        <v>43</v>
      </c>
      <c r="D11298" t="s">
        <v>6354</v>
      </c>
      <c r="F11298" s="21"/>
      <c r="G11298" s="16" t="str">
        <f>HYPERLINK("http://maps.google.com/maps?f=q&amp;hl=en&amp;geocode=&amp;q=40.8944892883301,-72.8928985595703")</f>
        <v>http://maps.google.com/maps?f=q&amp;hl=en&amp;geocode=&amp;q=40.8944892883301,-72.8928985595703</v>
      </c>
    </row>
    <row r="11299" spans="1:7" ht="15" x14ac:dyDescent="0.3">
      <c r="A11299">
        <v>39.954859999999996</v>
      </c>
      <c r="B11299">
        <v>-75.202439999999996</v>
      </c>
      <c r="C11299" t="s">
        <v>43</v>
      </c>
      <c r="D11299" t="s">
        <v>6355</v>
      </c>
      <c r="F11299" s="21"/>
      <c r="G11299" s="16" t="str">
        <f>HYPERLINK("http://maps.google.com/maps?f=q&amp;hl=en&amp;geocode=&amp;q=39.95486,-75.20244")</f>
        <v>http://maps.google.com/maps?f=q&amp;hl=en&amp;geocode=&amp;q=39.95486,-75.20244</v>
      </c>
    </row>
    <row r="11300" spans="1:7" ht="15" x14ac:dyDescent="0.3">
      <c r="A11300">
        <v>30.013470000000002</v>
      </c>
      <c r="B11300">
        <v>-90.176649999999995</v>
      </c>
      <c r="C11300" t="s">
        <v>41</v>
      </c>
      <c r="D11300" t="s">
        <v>390</v>
      </c>
      <c r="F11300" s="21"/>
      <c r="G11300" s="16" t="str">
        <f>HYPERLINK("http://maps.google.com/maps?f=q&amp;hl=en&amp;geocode=&amp;q=30.01347,-90.17665")</f>
        <v>http://maps.google.com/maps?f=q&amp;hl=en&amp;geocode=&amp;q=30.01347,-90.17665</v>
      </c>
    </row>
    <row r="11301" spans="1:7" ht="15" x14ac:dyDescent="0.3">
      <c r="A11301">
        <v>40.355039889829499</v>
      </c>
      <c r="B11301">
        <v>-75.935178023222505</v>
      </c>
      <c r="C11301" t="s">
        <v>41</v>
      </c>
      <c r="D11301" t="s">
        <v>6356</v>
      </c>
      <c r="F11301" s="21"/>
      <c r="G11301" s="16" t="str">
        <f>HYPERLINK("http://maps.google.com/maps?f=q&amp;hl=en&amp;geocode=&amp;q=40.3550398898295,-75.9351780232225")</f>
        <v>http://maps.google.com/maps?f=q&amp;hl=en&amp;geocode=&amp;q=40.3550398898295,-75.9351780232225</v>
      </c>
    </row>
    <row r="11302" spans="1:7" ht="15" x14ac:dyDescent="0.3">
      <c r="A11302">
        <v>42.999576568603501</v>
      </c>
      <c r="B11302">
        <v>-107.551513671875</v>
      </c>
      <c r="C11302" t="s">
        <v>41</v>
      </c>
      <c r="D11302" t="s">
        <v>6185</v>
      </c>
      <c r="F11302" s="21"/>
      <c r="G11302" s="16" t="str">
        <f>HYPERLINK("http://maps.google.com/maps?f=q&amp;hl=en&amp;geocode=&amp;q=42.9995765686035,-107.551513671875")</f>
        <v>http://maps.google.com/maps?f=q&amp;hl=en&amp;geocode=&amp;q=42.9995765686035,-107.551513671875</v>
      </c>
    </row>
    <row r="11303" spans="1:7" ht="15" x14ac:dyDescent="0.3">
      <c r="A11303">
        <v>42.470289999999999</v>
      </c>
      <c r="B11303">
        <v>-83.077780000000004</v>
      </c>
      <c r="C11303" t="s">
        <v>42</v>
      </c>
      <c r="D11303" t="s">
        <v>121</v>
      </c>
      <c r="F11303" s="21"/>
      <c r="G11303" s="16" t="str">
        <f>HYPERLINK("http://maps.google.com/maps?f=q&amp;hl=en&amp;geocode=&amp;q=42.47029,-83.07778")</f>
        <v>http://maps.google.com/maps?f=q&amp;hl=en&amp;geocode=&amp;q=42.47029,-83.07778</v>
      </c>
    </row>
    <row r="11304" spans="1:7" ht="15" x14ac:dyDescent="0.3">
      <c r="A11304" t="s">
        <v>44</v>
      </c>
      <c r="B11304" t="s">
        <v>44</v>
      </c>
      <c r="C11304" t="s">
        <v>44</v>
      </c>
      <c r="D11304" t="s">
        <v>2136</v>
      </c>
      <c r="F11304" s="21"/>
      <c r="G11304" s="16"/>
    </row>
    <row r="11305" spans="1:7" ht="15" x14ac:dyDescent="0.3">
      <c r="A11305">
        <v>-36.718856811523402</v>
      </c>
      <c r="B11305">
        <v>142.19622802734401</v>
      </c>
      <c r="C11305" t="s">
        <v>43</v>
      </c>
      <c r="D11305" t="s">
        <v>86</v>
      </c>
      <c r="F11305" s="21"/>
      <c r="G11305" s="16" t="str">
        <f>HYPERLINK("http://maps.google.com/maps?f=q&amp;hl=en&amp;geocode=&amp;q=-36.7188568115234,142.196228027344")</f>
        <v>http://maps.google.com/maps?f=q&amp;hl=en&amp;geocode=&amp;q=-36.7188568115234,142.196228027344</v>
      </c>
    </row>
    <row r="11306" spans="1:7" ht="15" x14ac:dyDescent="0.3">
      <c r="A11306">
        <v>41.255760000000002</v>
      </c>
      <c r="B11306">
        <v>-81.447999999999993</v>
      </c>
      <c r="C11306" t="s">
        <v>41</v>
      </c>
      <c r="D11306" t="s">
        <v>3338</v>
      </c>
      <c r="F11306" s="21"/>
      <c r="G11306" s="16" t="str">
        <f>HYPERLINK("http://maps.google.com/maps?f=q&amp;hl=en&amp;geocode=&amp;q=41.25576,-81.448")</f>
        <v>http://maps.google.com/maps?f=q&amp;hl=en&amp;geocode=&amp;q=41.25576,-81.448</v>
      </c>
    </row>
    <row r="11307" spans="1:7" ht="15" x14ac:dyDescent="0.3">
      <c r="A11307">
        <v>41.255760000000002</v>
      </c>
      <c r="B11307">
        <v>-81.447999999999993</v>
      </c>
      <c r="C11307" t="s">
        <v>41</v>
      </c>
      <c r="D11307" t="s">
        <v>3338</v>
      </c>
      <c r="F11307" s="21"/>
      <c r="G11307" s="16" t="str">
        <f>HYPERLINK("http://maps.google.com/maps?f=q&amp;hl=en&amp;geocode=&amp;q=41.25576,-81.448")</f>
        <v>http://maps.google.com/maps?f=q&amp;hl=en&amp;geocode=&amp;q=41.25576,-81.448</v>
      </c>
    </row>
    <row r="11308" spans="1:7" ht="15" x14ac:dyDescent="0.3">
      <c r="A11308">
        <v>41.255760000000002</v>
      </c>
      <c r="B11308">
        <v>-81.447999999999993</v>
      </c>
      <c r="C11308" t="s">
        <v>41</v>
      </c>
      <c r="D11308" t="s">
        <v>3338</v>
      </c>
      <c r="F11308" s="21"/>
      <c r="G11308" s="16" t="str">
        <f>HYPERLINK("http://maps.google.com/maps?f=q&amp;hl=en&amp;geocode=&amp;q=41.25576,-81.448")</f>
        <v>http://maps.google.com/maps?f=q&amp;hl=en&amp;geocode=&amp;q=41.25576,-81.448</v>
      </c>
    </row>
    <row r="11309" spans="1:7" ht="15" x14ac:dyDescent="0.3">
      <c r="A11309">
        <v>41.255760000000002</v>
      </c>
      <c r="B11309">
        <v>-81.447999999999993</v>
      </c>
      <c r="C11309" t="s">
        <v>41</v>
      </c>
      <c r="D11309" t="s">
        <v>3338</v>
      </c>
      <c r="F11309" s="21"/>
      <c r="G11309" s="16" t="str">
        <f>HYPERLINK("http://maps.google.com/maps?f=q&amp;hl=en&amp;geocode=&amp;q=41.25576,-81.448")</f>
        <v>http://maps.google.com/maps?f=q&amp;hl=en&amp;geocode=&amp;q=41.25576,-81.448</v>
      </c>
    </row>
    <row r="11310" spans="1:7" ht="15" x14ac:dyDescent="0.3">
      <c r="A11310">
        <v>41.255760000000002</v>
      </c>
      <c r="B11310">
        <v>-81.447999999999993</v>
      </c>
      <c r="C11310" t="s">
        <v>41</v>
      </c>
      <c r="D11310" t="s">
        <v>3338</v>
      </c>
      <c r="F11310" s="21"/>
      <c r="G11310" s="16" t="str">
        <f>HYPERLINK("http://maps.google.com/maps?f=q&amp;hl=en&amp;geocode=&amp;q=41.25576,-81.448")</f>
        <v>http://maps.google.com/maps?f=q&amp;hl=en&amp;geocode=&amp;q=41.25576,-81.448</v>
      </c>
    </row>
    <row r="11311" spans="1:7" ht="15" x14ac:dyDescent="0.3">
      <c r="A11311">
        <v>41.255760000000002</v>
      </c>
      <c r="B11311">
        <v>-81.447999999999993</v>
      </c>
      <c r="C11311" t="s">
        <v>41</v>
      </c>
      <c r="D11311" t="s">
        <v>3338</v>
      </c>
      <c r="F11311" s="21"/>
      <c r="G11311" s="16" t="str">
        <f>HYPERLINK("http://maps.google.com/maps?f=q&amp;hl=en&amp;geocode=&amp;q=41.25576,-81.448")</f>
        <v>http://maps.google.com/maps?f=q&amp;hl=en&amp;geocode=&amp;q=41.25576,-81.448</v>
      </c>
    </row>
    <row r="11312" spans="1:7" ht="15" x14ac:dyDescent="0.3">
      <c r="A11312">
        <v>43.031004796376003</v>
      </c>
      <c r="B11312">
        <v>-83.728288886031294</v>
      </c>
      <c r="C11312" t="s">
        <v>41</v>
      </c>
      <c r="D11312" t="s">
        <v>3268</v>
      </c>
      <c r="F11312" s="21"/>
      <c r="G11312" s="16" t="str">
        <f>HYPERLINK("http://maps.google.com/maps?f=q&amp;hl=en&amp;geocode=&amp;q=43.031004796376,-83.7282888860313")</f>
        <v>http://maps.google.com/maps?f=q&amp;hl=en&amp;geocode=&amp;q=43.031004796376,-83.7282888860313</v>
      </c>
    </row>
    <row r="11313" spans="1:7" ht="15" x14ac:dyDescent="0.3">
      <c r="A11313">
        <v>39.690682739179699</v>
      </c>
      <c r="B11313">
        <v>-105.039118435128</v>
      </c>
      <c r="C11313" t="s">
        <v>41</v>
      </c>
      <c r="D11313" t="s">
        <v>6357</v>
      </c>
      <c r="F11313" s="21"/>
      <c r="G11313" s="16" t="str">
        <f>HYPERLINK("http://maps.google.com/maps?f=q&amp;hl=en&amp;geocode=&amp;q=39.6906827391797,-105.039118435128")</f>
        <v>http://maps.google.com/maps?f=q&amp;hl=en&amp;geocode=&amp;q=39.6906827391797,-105.039118435128</v>
      </c>
    </row>
    <row r="11314" spans="1:7" ht="15" x14ac:dyDescent="0.3">
      <c r="A11314">
        <v>38.879070281982401</v>
      </c>
      <c r="B11314">
        <v>-97.505477905273395</v>
      </c>
      <c r="C11314" t="s">
        <v>41</v>
      </c>
      <c r="D11314" t="s">
        <v>6358</v>
      </c>
      <c r="F11314" s="21"/>
      <c r="G11314" s="16" t="str">
        <f>HYPERLINK("http://maps.google.com/maps?f=q&amp;hl=en&amp;geocode=&amp;q=38.8790702819824,-97.5054779052734")</f>
        <v>http://maps.google.com/maps?f=q&amp;hl=en&amp;geocode=&amp;q=38.8790702819824,-97.5054779052734</v>
      </c>
    </row>
    <row r="11315" spans="1:7" ht="15" x14ac:dyDescent="0.3">
      <c r="A11315">
        <v>47.438194274902301</v>
      </c>
      <c r="B11315">
        <v>7.0448460578918501</v>
      </c>
      <c r="C11315" t="s">
        <v>43</v>
      </c>
      <c r="D11315" t="s">
        <v>6359</v>
      </c>
      <c r="F11315" s="21"/>
      <c r="G11315" s="16" t="str">
        <f>HYPERLINK("http://maps.google.com/maps?f=q&amp;hl=en&amp;geocode=&amp;q=47.4381942749023,7.04484605789185")</f>
        <v>http://maps.google.com/maps?f=q&amp;hl=en&amp;geocode=&amp;q=47.4381942749023,7.04484605789185</v>
      </c>
    </row>
    <row r="11316" spans="1:7" ht="15" x14ac:dyDescent="0.3">
      <c r="A11316">
        <v>51.309604644775398</v>
      </c>
      <c r="B11316">
        <v>4.5141911506652797</v>
      </c>
      <c r="C11316" t="s">
        <v>43</v>
      </c>
      <c r="D11316" t="s">
        <v>4731</v>
      </c>
      <c r="F11316" s="21"/>
      <c r="G11316" s="16" t="str">
        <f>HYPERLINK("http://maps.google.com/maps?f=q&amp;hl=en&amp;geocode=&amp;q=51.3096046447754,4.51419115066528")</f>
        <v>http://maps.google.com/maps?f=q&amp;hl=en&amp;geocode=&amp;q=51.3096046447754,4.51419115066528</v>
      </c>
    </row>
    <row r="11317" spans="1:7" ht="15" x14ac:dyDescent="0.3">
      <c r="A11317">
        <v>31.4284234657318</v>
      </c>
      <c r="B11317">
        <v>-97.412006220610706</v>
      </c>
      <c r="C11317" t="s">
        <v>41</v>
      </c>
      <c r="D11317" t="s">
        <v>6360</v>
      </c>
      <c r="F11317" s="21"/>
      <c r="G11317" s="16" t="str">
        <f>HYPERLINK("http://maps.google.com/maps?f=q&amp;hl=en&amp;geocode=&amp;q=31.4284234657318,-97.4120062206107")</f>
        <v>http://maps.google.com/maps?f=q&amp;hl=en&amp;geocode=&amp;q=31.4284234657318,-97.4120062206107</v>
      </c>
    </row>
    <row r="11318" spans="1:7" ht="15" x14ac:dyDescent="0.3">
      <c r="A11318">
        <v>40.0680415728581</v>
      </c>
      <c r="B11318">
        <v>-75.060985521547195</v>
      </c>
      <c r="C11318" t="s">
        <v>43</v>
      </c>
      <c r="D11318" t="s">
        <v>6361</v>
      </c>
      <c r="F11318" s="21"/>
      <c r="G11318" s="16" t="str">
        <f>HYPERLINK("http://maps.google.com/maps?f=q&amp;hl=en&amp;geocode=&amp;q=40.0680415728581,-75.0609855215472")</f>
        <v>http://maps.google.com/maps?f=q&amp;hl=en&amp;geocode=&amp;q=40.0680415728581,-75.0609855215472</v>
      </c>
    </row>
    <row r="11319" spans="1:7" ht="15" x14ac:dyDescent="0.3">
      <c r="A11319">
        <v>39.996009999999998</v>
      </c>
      <c r="B11319">
        <v>-75.172529999999995</v>
      </c>
      <c r="C11319" t="s">
        <v>41</v>
      </c>
      <c r="D11319" t="s">
        <v>4331</v>
      </c>
      <c r="F11319" s="21"/>
      <c r="G11319" s="16" t="str">
        <f>HYPERLINK("http://maps.google.com/maps?f=q&amp;hl=en&amp;geocode=&amp;q=39.99601,-75.17253")</f>
        <v>http://maps.google.com/maps?f=q&amp;hl=en&amp;geocode=&amp;q=39.99601,-75.17253</v>
      </c>
    </row>
    <row r="11320" spans="1:7" ht="15" x14ac:dyDescent="0.3">
      <c r="A11320">
        <v>39.957875000000001</v>
      </c>
      <c r="B11320">
        <v>-75.201729999999998</v>
      </c>
      <c r="C11320" t="s">
        <v>43</v>
      </c>
      <c r="D11320" t="s">
        <v>6362</v>
      </c>
      <c r="F11320" s="21"/>
      <c r="G11320" s="16" t="str">
        <f>HYPERLINK("http://maps.google.com/maps?f=q&amp;hl=en&amp;geocode=&amp;q=39.957875,-75.20173")</f>
        <v>http://maps.google.com/maps?f=q&amp;hl=en&amp;geocode=&amp;q=39.957875,-75.20173</v>
      </c>
    </row>
    <row r="11321" spans="1:7" ht="15" x14ac:dyDescent="0.3">
      <c r="A11321">
        <v>-29.406856536865199</v>
      </c>
      <c r="B11321">
        <v>150.60203552246099</v>
      </c>
      <c r="C11321" t="s">
        <v>41</v>
      </c>
      <c r="D11321" t="s">
        <v>6346</v>
      </c>
      <c r="F11321" s="21"/>
      <c r="G11321" s="16" t="str">
        <f>HYPERLINK("http://maps.google.com/maps?f=q&amp;hl=en&amp;geocode=&amp;q=-29.4068565368652,150.602035522461")</f>
        <v>http://maps.google.com/maps?f=q&amp;hl=en&amp;geocode=&amp;q=-29.4068565368652,150.602035522461</v>
      </c>
    </row>
    <row r="11322" spans="1:7" ht="15" x14ac:dyDescent="0.3">
      <c r="A11322">
        <v>43.220348075419899</v>
      </c>
      <c r="B11322">
        <v>-77.353576266189805</v>
      </c>
      <c r="C11322" t="s">
        <v>43</v>
      </c>
      <c r="D11322" t="s">
        <v>6363</v>
      </c>
      <c r="F11322" s="21"/>
      <c r="G11322" s="16" t="str">
        <f>HYPERLINK("http://maps.google.com/maps?f=q&amp;hl=en&amp;geocode=&amp;q=43.2203480754199,-77.3535762661898")</f>
        <v>http://maps.google.com/maps?f=q&amp;hl=en&amp;geocode=&amp;q=43.2203480754199,-77.3535762661898</v>
      </c>
    </row>
    <row r="11323" spans="1:7" ht="15" x14ac:dyDescent="0.3">
      <c r="A11323">
        <v>42.988695347142198</v>
      </c>
      <c r="B11323">
        <v>-95.623881353046499</v>
      </c>
      <c r="C11323" t="s">
        <v>41</v>
      </c>
      <c r="D11323" t="s">
        <v>6364</v>
      </c>
      <c r="F11323" s="21"/>
      <c r="G11323" s="16" t="str">
        <f>HYPERLINK("http://maps.google.com/maps?f=q&amp;hl=en&amp;geocode=&amp;q=42.9886953471422,-95.6238813530465")</f>
        <v>http://maps.google.com/maps?f=q&amp;hl=en&amp;geocode=&amp;q=42.9886953471422,-95.6238813530465</v>
      </c>
    </row>
    <row r="11324" spans="1:7" ht="15" x14ac:dyDescent="0.3">
      <c r="A11324">
        <v>39.962139999999998</v>
      </c>
      <c r="B11324">
        <v>-75.140379999999993</v>
      </c>
      <c r="C11324" t="s">
        <v>41</v>
      </c>
      <c r="D11324" t="s">
        <v>6365</v>
      </c>
      <c r="F11324" s="21"/>
      <c r="G11324" s="16" t="str">
        <f>HYPERLINK("http://maps.google.com/maps?f=q&amp;hl=en&amp;geocode=&amp;q=39.96214,-75.14038")</f>
        <v>http://maps.google.com/maps?f=q&amp;hl=en&amp;geocode=&amp;q=39.96214,-75.14038</v>
      </c>
    </row>
    <row r="11325" spans="1:7" ht="15" x14ac:dyDescent="0.3">
      <c r="A11325">
        <v>28.858098405258001</v>
      </c>
      <c r="B11325">
        <v>-82.516453066858205</v>
      </c>
      <c r="C11325" t="s">
        <v>41</v>
      </c>
      <c r="D11325" t="s">
        <v>6366</v>
      </c>
      <c r="F11325" s="21"/>
      <c r="G11325" s="16" t="str">
        <f>HYPERLINK("http://maps.google.com/maps?f=q&amp;hl=en&amp;geocode=&amp;q=28.858098405258,-82.5164530668582")</f>
        <v>http://maps.google.com/maps?f=q&amp;hl=en&amp;geocode=&amp;q=28.858098405258,-82.5164530668582</v>
      </c>
    </row>
    <row r="11326" spans="1:7" ht="15" x14ac:dyDescent="0.3">
      <c r="A11326">
        <v>39.943689951656097</v>
      </c>
      <c r="B11326">
        <v>-75.177456428954301</v>
      </c>
      <c r="C11326" t="s">
        <v>41</v>
      </c>
      <c r="D11326" t="s">
        <v>6367</v>
      </c>
      <c r="F11326" s="21"/>
      <c r="G11326" s="16" t="str">
        <f>HYPERLINK("http://maps.google.com/maps?f=q&amp;hl=en&amp;geocode=&amp;q=39.9436899516561,-75.1774564289543")</f>
        <v>http://maps.google.com/maps?f=q&amp;hl=en&amp;geocode=&amp;q=39.9436899516561,-75.1774564289543</v>
      </c>
    </row>
    <row r="11327" spans="1:7" ht="15" x14ac:dyDescent="0.3">
      <c r="A11327" t="s">
        <v>44</v>
      </c>
      <c r="B11327" t="s">
        <v>44</v>
      </c>
      <c r="C11327" t="s">
        <v>44</v>
      </c>
      <c r="D11327" t="s">
        <v>6368</v>
      </c>
      <c r="F11327" s="21"/>
      <c r="G11327" s="16"/>
    </row>
    <row r="11328" spans="1:7" ht="15" x14ac:dyDescent="0.3">
      <c r="A11328">
        <v>47.9171142578125</v>
      </c>
      <c r="B11328">
        <v>19.238710403442401</v>
      </c>
      <c r="C11328" t="s">
        <v>43</v>
      </c>
      <c r="D11328" t="s">
        <v>6369</v>
      </c>
      <c r="F11328" s="21"/>
      <c r="G11328" s="16" t="str">
        <f>HYPERLINK("http://maps.google.com/maps?f=q&amp;hl=en&amp;geocode=&amp;q=47.9171142578125,19.2387104034424")</f>
        <v>http://maps.google.com/maps?f=q&amp;hl=en&amp;geocode=&amp;q=47.9171142578125,19.2387104034424</v>
      </c>
    </row>
    <row r="11329" spans="1:7" ht="15" x14ac:dyDescent="0.3">
      <c r="A11329">
        <v>37.452680000000001</v>
      </c>
      <c r="B11329">
        <v>-91.203500000000005</v>
      </c>
      <c r="C11329" t="s">
        <v>42</v>
      </c>
      <c r="D11329" t="s">
        <v>6370</v>
      </c>
      <c r="F11329" s="21"/>
      <c r="G11329" s="16" t="str">
        <f>HYPERLINK("http://maps.google.com/maps?f=q&amp;hl=en&amp;geocode=&amp;q=37.45268,-91.2035")</f>
        <v>http://maps.google.com/maps?f=q&amp;hl=en&amp;geocode=&amp;q=37.45268,-91.2035</v>
      </c>
    </row>
    <row r="11330" spans="1:7" ht="15" x14ac:dyDescent="0.3">
      <c r="A11330">
        <v>50.455070495605497</v>
      </c>
      <c r="B11330">
        <v>3.9648540019989</v>
      </c>
      <c r="C11330" t="s">
        <v>43</v>
      </c>
      <c r="D11330" t="s">
        <v>1616</v>
      </c>
      <c r="F11330" s="21"/>
      <c r="G11330" s="16" t="str">
        <f>HYPERLINK("http://maps.google.com/maps?f=q&amp;hl=en&amp;geocode=&amp;q=50.4550704956055,3.9648540019989")</f>
        <v>http://maps.google.com/maps?f=q&amp;hl=en&amp;geocode=&amp;q=50.4550704956055,3.9648540019989</v>
      </c>
    </row>
    <row r="11331" spans="1:7" ht="15" x14ac:dyDescent="0.3">
      <c r="A11331">
        <v>39.938139999999997</v>
      </c>
      <c r="B11331">
        <v>-75.178600000000003</v>
      </c>
      <c r="C11331" t="s">
        <v>41</v>
      </c>
      <c r="D11331" t="s">
        <v>6371</v>
      </c>
      <c r="F11331" s="21"/>
      <c r="G11331" s="16" t="str">
        <f>HYPERLINK("http://maps.google.com/maps?f=q&amp;hl=en&amp;geocode=&amp;q=39.93814,-75.1786")</f>
        <v>http://maps.google.com/maps?f=q&amp;hl=en&amp;geocode=&amp;q=39.93814,-75.1786</v>
      </c>
    </row>
    <row r="11332" spans="1:7" ht="15" x14ac:dyDescent="0.3">
      <c r="A11332">
        <v>49.588203430175803</v>
      </c>
      <c r="B11332">
        <v>6.1089200973510698</v>
      </c>
      <c r="C11332" t="s">
        <v>41</v>
      </c>
      <c r="D11332" t="s">
        <v>6372</v>
      </c>
      <c r="F11332" s="21"/>
      <c r="G11332" s="16" t="str">
        <f>HYPERLINK("http://maps.google.com/maps?f=q&amp;hl=en&amp;geocode=&amp;q=49.5882034301758,6.10892009735107")</f>
        <v>http://maps.google.com/maps?f=q&amp;hl=en&amp;geocode=&amp;q=49.5882034301758,6.10892009735107</v>
      </c>
    </row>
    <row r="11333" spans="1:7" ht="15" x14ac:dyDescent="0.3">
      <c r="A11333">
        <v>37.019889999999997</v>
      </c>
      <c r="B11333">
        <v>-88.679940000000002</v>
      </c>
      <c r="C11333" t="s">
        <v>42</v>
      </c>
      <c r="D11333" t="s">
        <v>3265</v>
      </c>
      <c r="F11333" s="21"/>
      <c r="G11333" s="16" t="str">
        <f>HYPERLINK("http://maps.google.com/maps?f=q&amp;hl=en&amp;geocode=&amp;q=37.01989,-88.67994")</f>
        <v>http://maps.google.com/maps?f=q&amp;hl=en&amp;geocode=&amp;q=37.01989,-88.67994</v>
      </c>
    </row>
    <row r="11334" spans="1:7" ht="15" x14ac:dyDescent="0.3">
      <c r="A11334">
        <v>36.762030000000003</v>
      </c>
      <c r="B11334">
        <v>-90.420479999999998</v>
      </c>
      <c r="C11334" t="s">
        <v>42</v>
      </c>
      <c r="D11334" t="s">
        <v>6373</v>
      </c>
      <c r="F11334" s="21"/>
      <c r="G11334" s="16" t="str">
        <f>HYPERLINK("http://maps.google.com/maps?f=q&amp;hl=en&amp;geocode=&amp;q=36.76203,-90.42048")</f>
        <v>http://maps.google.com/maps?f=q&amp;hl=en&amp;geocode=&amp;q=36.76203,-90.42048</v>
      </c>
    </row>
    <row r="11335" spans="1:7" ht="15" x14ac:dyDescent="0.3">
      <c r="A11335">
        <v>-26.034427642822301</v>
      </c>
      <c r="B11335">
        <v>28.5431098937988</v>
      </c>
      <c r="C11335" t="s">
        <v>43</v>
      </c>
      <c r="D11335" t="s">
        <v>2747</v>
      </c>
      <c r="F11335" s="21"/>
      <c r="G11335" s="16" t="str">
        <f>HYPERLINK("http://maps.google.com/maps?f=q&amp;hl=en&amp;geocode=&amp;q=-26.0344276428223,28.5431098937988")</f>
        <v>http://maps.google.com/maps?f=q&amp;hl=en&amp;geocode=&amp;q=-26.0344276428223,28.5431098937988</v>
      </c>
    </row>
    <row r="11336" spans="1:7" ht="15" x14ac:dyDescent="0.3">
      <c r="A11336">
        <v>41.092313487596797</v>
      </c>
      <c r="B11336">
        <v>-85.112541453908094</v>
      </c>
      <c r="C11336" t="s">
        <v>41</v>
      </c>
      <c r="D11336" t="s">
        <v>3457</v>
      </c>
      <c r="F11336" s="21"/>
      <c r="G11336" s="16" t="str">
        <f>HYPERLINK("http://maps.google.com/maps?f=q&amp;hl=en&amp;geocode=&amp;q=41.0923134875968,-85.1125414539081")</f>
        <v>http://maps.google.com/maps?f=q&amp;hl=en&amp;geocode=&amp;q=41.0923134875968,-85.1125414539081</v>
      </c>
    </row>
    <row r="11337" spans="1:7" ht="15" x14ac:dyDescent="0.3">
      <c r="A11337">
        <v>40.304482874286201</v>
      </c>
      <c r="B11337">
        <v>-88.019421116906202</v>
      </c>
      <c r="C11337" t="s">
        <v>41</v>
      </c>
      <c r="D11337" t="s">
        <v>6374</v>
      </c>
      <c r="F11337" s="21"/>
      <c r="G11337" s="16" t="str">
        <f>HYPERLINK("http://maps.google.com/maps?f=q&amp;hl=en&amp;geocode=&amp;q=40.3044828742862,-88.0194211169062")</f>
        <v>http://maps.google.com/maps?f=q&amp;hl=en&amp;geocode=&amp;q=40.3044828742862,-88.0194211169062</v>
      </c>
    </row>
    <row r="11338" spans="1:7" ht="15" x14ac:dyDescent="0.3">
      <c r="A11338">
        <v>41.448463592991203</v>
      </c>
      <c r="B11338">
        <v>-97.723946947654696</v>
      </c>
      <c r="C11338" t="s">
        <v>41</v>
      </c>
      <c r="D11338" t="s">
        <v>6375</v>
      </c>
      <c r="F11338" s="21"/>
      <c r="G11338" s="16" t="str">
        <f>HYPERLINK("http://maps.google.com/maps?f=q&amp;hl=en&amp;geocode=&amp;q=41.4484635929912,-97.7239469476547")</f>
        <v>http://maps.google.com/maps?f=q&amp;hl=en&amp;geocode=&amp;q=41.4484635929912,-97.7239469476547</v>
      </c>
    </row>
    <row r="11339" spans="1:7" ht="15" x14ac:dyDescent="0.3">
      <c r="A11339">
        <v>40.304482874286201</v>
      </c>
      <c r="B11339">
        <v>-88.019421116906202</v>
      </c>
      <c r="C11339" t="s">
        <v>41</v>
      </c>
      <c r="D11339" t="s">
        <v>6374</v>
      </c>
      <c r="F11339" s="21"/>
      <c r="G11339" s="16" t="str">
        <f>HYPERLINK("http://maps.google.com/maps?f=q&amp;hl=en&amp;geocode=&amp;q=40.3044828742862,-88.0194211169062")</f>
        <v>http://maps.google.com/maps?f=q&amp;hl=en&amp;geocode=&amp;q=40.3044828742862,-88.0194211169062</v>
      </c>
    </row>
    <row r="11340" spans="1:7" ht="15" x14ac:dyDescent="0.3">
      <c r="A11340">
        <v>49.585254669189503</v>
      </c>
      <c r="B11340">
        <v>6.1440172195434597</v>
      </c>
      <c r="C11340" t="s">
        <v>41</v>
      </c>
      <c r="D11340" t="s">
        <v>6376</v>
      </c>
      <c r="F11340" s="21"/>
      <c r="G11340" s="16" t="str">
        <f>HYPERLINK("http://maps.google.com/maps?f=q&amp;hl=en&amp;geocode=&amp;q=49.5852546691895,6.14401721954346")</f>
        <v>http://maps.google.com/maps?f=q&amp;hl=en&amp;geocode=&amp;q=49.5852546691895,6.14401721954346</v>
      </c>
    </row>
    <row r="11341" spans="1:7" ht="15" x14ac:dyDescent="0.3">
      <c r="A11341">
        <v>54.562068939208999</v>
      </c>
      <c r="B11341">
        <v>-125.10440063476599</v>
      </c>
      <c r="C11341" t="s">
        <v>41</v>
      </c>
      <c r="D11341" t="s">
        <v>4472</v>
      </c>
      <c r="F11341" s="21"/>
      <c r="G11341" s="16" t="str">
        <f>HYPERLINK("http://maps.google.com/maps?f=q&amp;hl=en&amp;geocode=&amp;q=54.562068939209,-125.104400634766")</f>
        <v>http://maps.google.com/maps?f=q&amp;hl=en&amp;geocode=&amp;q=54.562068939209,-125.104400634766</v>
      </c>
    </row>
    <row r="11342" spans="1:7" ht="15" x14ac:dyDescent="0.3">
      <c r="A11342">
        <v>39.951629433224802</v>
      </c>
      <c r="B11342">
        <v>-75.165676354481604</v>
      </c>
      <c r="C11342" t="s">
        <v>41</v>
      </c>
      <c r="D11342" t="s">
        <v>6377</v>
      </c>
      <c r="F11342" s="21"/>
      <c r="G11342" s="16" t="str">
        <f>HYPERLINK("http://maps.google.com/maps?f=q&amp;hl=en&amp;geocode=&amp;q=39.9516294332248,-75.1656763544816")</f>
        <v>http://maps.google.com/maps?f=q&amp;hl=en&amp;geocode=&amp;q=39.9516294332248,-75.1656763544816</v>
      </c>
    </row>
    <row r="11343" spans="1:7" ht="15" x14ac:dyDescent="0.3">
      <c r="A11343">
        <v>49.585254669189503</v>
      </c>
      <c r="B11343">
        <v>6.1440172195434597</v>
      </c>
      <c r="C11343" t="s">
        <v>41</v>
      </c>
      <c r="D11343" t="s">
        <v>6376</v>
      </c>
      <c r="F11343" s="21"/>
      <c r="G11343" s="16" t="str">
        <f>HYPERLINK("http://maps.google.com/maps?f=q&amp;hl=en&amp;geocode=&amp;q=49.5852546691895,6.14401721954346")</f>
        <v>http://maps.google.com/maps?f=q&amp;hl=en&amp;geocode=&amp;q=49.5852546691895,6.14401721954346</v>
      </c>
    </row>
    <row r="11344" spans="1:7" ht="15" x14ac:dyDescent="0.3">
      <c r="A11344">
        <v>49.590904235839801</v>
      </c>
      <c r="B11344">
        <v>6.1461138725280797</v>
      </c>
      <c r="C11344" t="s">
        <v>41</v>
      </c>
      <c r="D11344" t="s">
        <v>6378</v>
      </c>
      <c r="F11344" s="21"/>
      <c r="G11344" s="16" t="str">
        <f>HYPERLINK("http://maps.google.com/maps?f=q&amp;hl=en&amp;geocode=&amp;q=49.5909042358398,6.14611387252808")</f>
        <v>http://maps.google.com/maps?f=q&amp;hl=en&amp;geocode=&amp;q=49.5909042358398,6.14611387252808</v>
      </c>
    </row>
    <row r="11345" spans="1:7" ht="15" x14ac:dyDescent="0.3">
      <c r="A11345">
        <v>39.951629433224802</v>
      </c>
      <c r="B11345">
        <v>-75.165676354481604</v>
      </c>
      <c r="C11345" t="s">
        <v>41</v>
      </c>
      <c r="D11345" t="s">
        <v>6377</v>
      </c>
      <c r="F11345" s="21"/>
      <c r="G11345" s="16" t="str">
        <f>HYPERLINK("http://maps.google.com/maps?f=q&amp;hl=en&amp;geocode=&amp;q=39.9516294332248,-75.1656763544816")</f>
        <v>http://maps.google.com/maps?f=q&amp;hl=en&amp;geocode=&amp;q=39.9516294332248,-75.1656763544816</v>
      </c>
    </row>
    <row r="11346" spans="1:7" ht="15" x14ac:dyDescent="0.3">
      <c r="A11346">
        <v>39.948680000000003</v>
      </c>
      <c r="B11346">
        <v>-75.169929999999994</v>
      </c>
      <c r="C11346" t="s">
        <v>41</v>
      </c>
      <c r="D11346" t="s">
        <v>6379</v>
      </c>
      <c r="F11346" s="21"/>
      <c r="G11346" s="16" t="str">
        <f>HYPERLINK("http://maps.google.com/maps?f=q&amp;hl=en&amp;geocode=&amp;q=39.94868,-75.16993")</f>
        <v>http://maps.google.com/maps?f=q&amp;hl=en&amp;geocode=&amp;q=39.94868,-75.16993</v>
      </c>
    </row>
    <row r="11347" spans="1:7" ht="15" x14ac:dyDescent="0.3">
      <c r="A11347">
        <v>39.948689999999999</v>
      </c>
      <c r="B11347">
        <v>-75.169989999999999</v>
      </c>
      <c r="C11347" t="s">
        <v>41</v>
      </c>
      <c r="D11347" t="s">
        <v>6380</v>
      </c>
      <c r="F11347" s="21"/>
      <c r="G11347" s="16" t="str">
        <f>HYPERLINK("http://maps.google.com/maps?f=q&amp;hl=en&amp;geocode=&amp;q=39.94869,-75.16999")</f>
        <v>http://maps.google.com/maps?f=q&amp;hl=en&amp;geocode=&amp;q=39.94869,-75.16999</v>
      </c>
    </row>
    <row r="11348" spans="1:7" ht="15" x14ac:dyDescent="0.3">
      <c r="A11348">
        <v>29.254064131315101</v>
      </c>
      <c r="B11348">
        <v>-81.041334547955401</v>
      </c>
      <c r="C11348" t="s">
        <v>41</v>
      </c>
      <c r="D11348" t="s">
        <v>6381</v>
      </c>
      <c r="F11348" s="21"/>
      <c r="G11348" s="16" t="str">
        <f>HYPERLINK("http://maps.google.com/maps?f=q&amp;hl=en&amp;geocode=&amp;q=29.2540641313151,-81.0413345479554")</f>
        <v>http://maps.google.com/maps?f=q&amp;hl=en&amp;geocode=&amp;q=29.2540641313151,-81.0413345479554</v>
      </c>
    </row>
    <row r="11349" spans="1:7" ht="15" x14ac:dyDescent="0.3">
      <c r="A11349">
        <v>29.690692355141401</v>
      </c>
      <c r="B11349">
        <v>-95.353980535902906</v>
      </c>
      <c r="C11349" t="s">
        <v>41</v>
      </c>
      <c r="D11349" t="s">
        <v>6382</v>
      </c>
      <c r="F11349" s="21"/>
      <c r="G11349" s="16" t="str">
        <f>HYPERLINK("http://maps.google.com/maps?f=q&amp;hl=en&amp;geocode=&amp;q=29.6906923551414,-95.3539805359029")</f>
        <v>http://maps.google.com/maps?f=q&amp;hl=en&amp;geocode=&amp;q=29.6906923551414,-95.3539805359029</v>
      </c>
    </row>
    <row r="11350" spans="1:7" ht="15" x14ac:dyDescent="0.3">
      <c r="A11350">
        <v>44.716720000000002</v>
      </c>
      <c r="B11350">
        <v>-89.776380000000003</v>
      </c>
      <c r="C11350" t="s">
        <v>41</v>
      </c>
      <c r="D11350" t="s">
        <v>6383</v>
      </c>
      <c r="F11350" s="21"/>
      <c r="G11350" s="16" t="str">
        <f>HYPERLINK("http://maps.google.com/maps?f=q&amp;hl=en&amp;geocode=&amp;q=44.71672,-89.77638")</f>
        <v>http://maps.google.com/maps?f=q&amp;hl=en&amp;geocode=&amp;q=44.71672,-89.77638</v>
      </c>
    </row>
    <row r="11351" spans="1:7" ht="15" x14ac:dyDescent="0.3">
      <c r="A11351">
        <v>41.464694106769301</v>
      </c>
      <c r="B11351">
        <v>-91.598906518129894</v>
      </c>
      <c r="C11351" t="s">
        <v>41</v>
      </c>
      <c r="D11351" t="s">
        <v>6340</v>
      </c>
      <c r="F11351" s="21"/>
      <c r="G11351" s="16" t="str">
        <f>HYPERLINK("http://maps.google.com/maps?f=q&amp;hl=en&amp;geocode=&amp;q=41.4646941067693,-91.5989065181299")</f>
        <v>http://maps.google.com/maps?f=q&amp;hl=en&amp;geocode=&amp;q=41.4646941067693,-91.5989065181299</v>
      </c>
    </row>
    <row r="11352" spans="1:7" ht="15" x14ac:dyDescent="0.3">
      <c r="A11352">
        <v>55.688117980957003</v>
      </c>
      <c r="B11352">
        <v>12.578457832336399</v>
      </c>
      <c r="C11352" t="s">
        <v>43</v>
      </c>
      <c r="D11352" t="s">
        <v>6384</v>
      </c>
      <c r="F11352" s="21"/>
      <c r="G11352" s="16" t="str">
        <f>HYPERLINK("http://maps.google.com/maps?f=q&amp;hl=en&amp;geocode=&amp;q=55.688117980957,12.5784578323364")</f>
        <v>http://maps.google.com/maps?f=q&amp;hl=en&amp;geocode=&amp;q=55.688117980957,12.5784578323364</v>
      </c>
    </row>
    <row r="11353" spans="1:7" ht="15" x14ac:dyDescent="0.3">
      <c r="A11353" t="s">
        <v>44</v>
      </c>
      <c r="B11353" t="s">
        <v>44</v>
      </c>
      <c r="C11353" t="s">
        <v>44</v>
      </c>
      <c r="D11353" t="s">
        <v>6385</v>
      </c>
      <c r="F11353" s="21"/>
      <c r="G11353" s="16"/>
    </row>
    <row r="11354" spans="1:7" ht="15" x14ac:dyDescent="0.3">
      <c r="A11354" t="s">
        <v>44</v>
      </c>
      <c r="B11354" t="s">
        <v>44</v>
      </c>
      <c r="C11354" t="s">
        <v>44</v>
      </c>
      <c r="D11354" t="s">
        <v>3726</v>
      </c>
      <c r="F11354" s="21"/>
      <c r="G11354" s="16"/>
    </row>
    <row r="11355" spans="1:7" ht="15" x14ac:dyDescent="0.3">
      <c r="A11355">
        <v>32.955489999999998</v>
      </c>
      <c r="B11355">
        <v>-96.903649999999999</v>
      </c>
      <c r="C11355" t="s">
        <v>41</v>
      </c>
      <c r="D11355" t="s">
        <v>6386</v>
      </c>
      <c r="F11355" s="21"/>
      <c r="G11355" s="16" t="str">
        <f>HYPERLINK("http://maps.google.com/maps?f=q&amp;hl=en&amp;geocode=&amp;q=32.95549,-96.90365")</f>
        <v>http://maps.google.com/maps?f=q&amp;hl=en&amp;geocode=&amp;q=32.95549,-96.90365</v>
      </c>
    </row>
    <row r="11356" spans="1:7" ht="15" x14ac:dyDescent="0.3">
      <c r="A11356">
        <v>32.994759999999999</v>
      </c>
      <c r="B11356">
        <v>-115.53639</v>
      </c>
      <c r="C11356" t="s">
        <v>41</v>
      </c>
      <c r="D11356" t="s">
        <v>6387</v>
      </c>
      <c r="F11356" s="21"/>
      <c r="G11356" s="16" t="str">
        <f>HYPERLINK("http://maps.google.com/maps?f=q&amp;hl=en&amp;geocode=&amp;q=32.99476,-115.53639")</f>
        <v>http://maps.google.com/maps?f=q&amp;hl=en&amp;geocode=&amp;q=32.99476,-115.53639</v>
      </c>
    </row>
    <row r="11357" spans="1:7" ht="15" x14ac:dyDescent="0.3">
      <c r="A11357">
        <v>39.948659999999997</v>
      </c>
      <c r="B11357">
        <v>-75.169740000000004</v>
      </c>
      <c r="C11357" t="s">
        <v>41</v>
      </c>
      <c r="D11357" t="s">
        <v>6388</v>
      </c>
      <c r="F11357" s="21"/>
      <c r="G11357" s="16" t="str">
        <f>HYPERLINK("http://maps.google.com/maps?f=q&amp;hl=en&amp;geocode=&amp;q=39.94866,-75.16974")</f>
        <v>http://maps.google.com/maps?f=q&amp;hl=en&amp;geocode=&amp;q=39.94866,-75.16974</v>
      </c>
    </row>
    <row r="11358" spans="1:7" ht="15" x14ac:dyDescent="0.3">
      <c r="A11358">
        <v>39.950060000000001</v>
      </c>
      <c r="B11358">
        <v>-75.168139999999994</v>
      </c>
      <c r="C11358" t="s">
        <v>41</v>
      </c>
      <c r="D11358" t="s">
        <v>5999</v>
      </c>
      <c r="F11358" s="21"/>
      <c r="G11358" s="16" t="str">
        <f>HYPERLINK("http://maps.google.com/maps?f=q&amp;hl=en&amp;geocode=&amp;q=39.95006,-75.16814")</f>
        <v>http://maps.google.com/maps?f=q&amp;hl=en&amp;geocode=&amp;q=39.95006,-75.16814</v>
      </c>
    </row>
    <row r="11359" spans="1:7" ht="15" x14ac:dyDescent="0.3">
      <c r="A11359">
        <v>-26.143910000000002</v>
      </c>
      <c r="B11359">
        <v>28.331209999999999</v>
      </c>
      <c r="C11359" t="s">
        <v>41</v>
      </c>
      <c r="D11359" t="s">
        <v>6389</v>
      </c>
      <c r="F11359" s="21"/>
      <c r="G11359" s="16" t="str">
        <f>HYPERLINK("http://maps.google.com/maps?f=q&amp;hl=en&amp;geocode=&amp;q=-26.14391,28.33121")</f>
        <v>http://maps.google.com/maps?f=q&amp;hl=en&amp;geocode=&amp;q=-26.14391,28.33121</v>
      </c>
    </row>
    <row r="11360" spans="1:7" ht="15" x14ac:dyDescent="0.3">
      <c r="A11360">
        <v>42.725965393532199</v>
      </c>
      <c r="B11360">
        <v>-78.935402469979607</v>
      </c>
      <c r="C11360" t="s">
        <v>41</v>
      </c>
      <c r="D11360" t="s">
        <v>6390</v>
      </c>
      <c r="F11360" s="21"/>
      <c r="G11360" s="16" t="str">
        <f>HYPERLINK("http://maps.google.com/maps?f=q&amp;hl=en&amp;geocode=&amp;q=42.7259653935322,-78.9354024699796")</f>
        <v>http://maps.google.com/maps?f=q&amp;hl=en&amp;geocode=&amp;q=42.7259653935322,-78.9354024699796</v>
      </c>
    </row>
    <row r="11361" spans="1:7" ht="15" x14ac:dyDescent="0.3">
      <c r="A11361">
        <v>42.659824371337898</v>
      </c>
      <c r="B11361">
        <v>23.607048034668001</v>
      </c>
      <c r="C11361" t="s">
        <v>43</v>
      </c>
      <c r="D11361" t="s">
        <v>6391</v>
      </c>
      <c r="F11361" s="21"/>
      <c r="G11361" s="16" t="str">
        <f>HYPERLINK("http://maps.google.com/maps?f=q&amp;hl=en&amp;geocode=&amp;q=42.6598243713379,23.607048034668")</f>
        <v>http://maps.google.com/maps?f=q&amp;hl=en&amp;geocode=&amp;q=42.6598243713379,23.607048034668</v>
      </c>
    </row>
    <row r="11362" spans="1:7" ht="15" x14ac:dyDescent="0.3">
      <c r="A11362">
        <v>50.218185424804702</v>
      </c>
      <c r="B11362">
        <v>5.3206357955932599</v>
      </c>
      <c r="C11362" t="s">
        <v>41</v>
      </c>
      <c r="D11362" t="s">
        <v>6392</v>
      </c>
      <c r="F11362" s="21"/>
      <c r="G11362" s="16" t="str">
        <f>HYPERLINK("http://maps.google.com/maps?f=q&amp;hl=en&amp;geocode=&amp;q=50.2181854248047,5.32063579559326")</f>
        <v>http://maps.google.com/maps?f=q&amp;hl=en&amp;geocode=&amp;q=50.2181854248047,5.32063579559326</v>
      </c>
    </row>
    <row r="11363" spans="1:7" ht="15" x14ac:dyDescent="0.3">
      <c r="A11363">
        <v>-31.202274322509801</v>
      </c>
      <c r="B11363">
        <v>121.63599395752</v>
      </c>
      <c r="C11363" t="s">
        <v>41</v>
      </c>
      <c r="D11363" t="s">
        <v>6393</v>
      </c>
      <c r="F11363" s="21"/>
      <c r="G11363" s="16" t="str">
        <f>HYPERLINK("http://maps.google.com/maps?f=q&amp;hl=en&amp;geocode=&amp;q=-31.2022743225098,121.63599395752")</f>
        <v>http://maps.google.com/maps?f=q&amp;hl=en&amp;geocode=&amp;q=-31.2022743225098,121.63599395752</v>
      </c>
    </row>
    <row r="11364" spans="1:7" ht="15" x14ac:dyDescent="0.3">
      <c r="A11364">
        <v>40.020427036841397</v>
      </c>
      <c r="B11364">
        <v>-75.114040848973801</v>
      </c>
      <c r="C11364" t="s">
        <v>41</v>
      </c>
      <c r="D11364" t="s">
        <v>5906</v>
      </c>
      <c r="F11364" s="21"/>
      <c r="G11364" s="16" t="str">
        <f>HYPERLINK("http://maps.google.com/maps?f=q&amp;hl=en&amp;geocode=&amp;q=40.0204270368414,-75.1140408489738")</f>
        <v>http://maps.google.com/maps?f=q&amp;hl=en&amp;geocode=&amp;q=40.0204270368414,-75.1140408489738</v>
      </c>
    </row>
    <row r="11365" spans="1:7" ht="15" x14ac:dyDescent="0.3">
      <c r="A11365">
        <v>39.791793485901898</v>
      </c>
      <c r="B11365">
        <v>-75.586330265026803</v>
      </c>
      <c r="C11365" t="s">
        <v>41</v>
      </c>
      <c r="D11365" t="s">
        <v>6394</v>
      </c>
      <c r="F11365" s="21"/>
      <c r="G11365" s="16" t="str">
        <f>HYPERLINK("http://maps.google.com/maps?f=q&amp;hl=en&amp;geocode=&amp;q=39.7917934859019,-75.5863302650268")</f>
        <v>http://maps.google.com/maps?f=q&amp;hl=en&amp;geocode=&amp;q=39.7917934859019,-75.5863302650268</v>
      </c>
    </row>
    <row r="11366" spans="1:7" ht="15" x14ac:dyDescent="0.3">
      <c r="A11366">
        <v>40.894489288330099</v>
      </c>
      <c r="B11366">
        <v>-72.892898559570298</v>
      </c>
      <c r="C11366" t="s">
        <v>43</v>
      </c>
      <c r="D11366" t="s">
        <v>2118</v>
      </c>
      <c r="F11366" s="21"/>
      <c r="G11366" s="16" t="str">
        <f>HYPERLINK("http://maps.google.com/maps?f=q&amp;hl=en&amp;geocode=&amp;q=40.8944892883301,-72.8928985595703")</f>
        <v>http://maps.google.com/maps?f=q&amp;hl=en&amp;geocode=&amp;q=40.8944892883301,-72.8928985595703</v>
      </c>
    </row>
    <row r="11367" spans="1:7" ht="15" x14ac:dyDescent="0.3">
      <c r="A11367">
        <v>35.924251556396499</v>
      </c>
      <c r="B11367">
        <v>-86.870933532714801</v>
      </c>
      <c r="C11367" t="s">
        <v>43</v>
      </c>
      <c r="D11367" t="s">
        <v>6395</v>
      </c>
      <c r="F11367" s="21"/>
      <c r="G11367" s="16" t="str">
        <f>HYPERLINK("http://maps.google.com/maps?f=q&amp;hl=en&amp;geocode=&amp;q=35.9242515563965,-86.8709335327148")</f>
        <v>http://maps.google.com/maps?f=q&amp;hl=en&amp;geocode=&amp;q=35.9242515563965,-86.8709335327148</v>
      </c>
    </row>
    <row r="11368" spans="1:7" ht="15" x14ac:dyDescent="0.3">
      <c r="A11368">
        <v>44.217358430606197</v>
      </c>
      <c r="B11368">
        <v>-86.276034897384804</v>
      </c>
      <c r="C11368" t="s">
        <v>41</v>
      </c>
      <c r="D11368" t="s">
        <v>6396</v>
      </c>
      <c r="F11368" s="21"/>
      <c r="G11368" s="16" t="str">
        <f>HYPERLINK("http://maps.google.com/maps?f=q&amp;hl=en&amp;geocode=&amp;q=44.2173584306062,-86.2760348973848")</f>
        <v>http://maps.google.com/maps?f=q&amp;hl=en&amp;geocode=&amp;q=44.2173584306062,-86.2760348973848</v>
      </c>
    </row>
    <row r="11369" spans="1:7" ht="15" x14ac:dyDescent="0.3">
      <c r="A11369">
        <v>44.217358430606197</v>
      </c>
      <c r="B11369">
        <v>-86.276034897384804</v>
      </c>
      <c r="C11369" t="s">
        <v>41</v>
      </c>
      <c r="D11369" t="s">
        <v>6396</v>
      </c>
      <c r="F11369" s="21"/>
      <c r="G11369" s="16" t="str">
        <f>HYPERLINK("http://maps.google.com/maps?f=q&amp;hl=en&amp;geocode=&amp;q=44.2173584306062,-86.2760348973848")</f>
        <v>http://maps.google.com/maps?f=q&amp;hl=en&amp;geocode=&amp;q=44.2173584306062,-86.2760348973848</v>
      </c>
    </row>
    <row r="11370" spans="1:7" ht="15" x14ac:dyDescent="0.3">
      <c r="A11370">
        <v>36.127940000000002</v>
      </c>
      <c r="B11370">
        <v>-115.24014</v>
      </c>
      <c r="C11370" t="s">
        <v>42</v>
      </c>
      <c r="D11370" t="s">
        <v>6397</v>
      </c>
      <c r="F11370" s="21"/>
      <c r="G11370" s="16" t="str">
        <f>HYPERLINK("http://maps.google.com/maps?f=q&amp;hl=en&amp;geocode=&amp;q=36.12794,-115.24014")</f>
        <v>http://maps.google.com/maps?f=q&amp;hl=en&amp;geocode=&amp;q=36.12794,-115.24014</v>
      </c>
    </row>
    <row r="11371" spans="1:7" ht="15" x14ac:dyDescent="0.3">
      <c r="A11371">
        <v>39.182571411132798</v>
      </c>
      <c r="B11371">
        <v>-77.270347595214801</v>
      </c>
      <c r="C11371" t="s">
        <v>41</v>
      </c>
      <c r="D11371" t="s">
        <v>3450</v>
      </c>
      <c r="F11371" s="21"/>
      <c r="G11371" s="16" t="str">
        <f>HYPERLINK("http://maps.google.com/maps?f=q&amp;hl=en&amp;geocode=&amp;q=39.1825714111328,-77.2703475952148")</f>
        <v>http://maps.google.com/maps?f=q&amp;hl=en&amp;geocode=&amp;q=39.1825714111328,-77.2703475952148</v>
      </c>
    </row>
    <row r="11372" spans="1:7" ht="15" x14ac:dyDescent="0.3">
      <c r="A11372">
        <v>-26.242429733276399</v>
      </c>
      <c r="B11372">
        <v>27.8873386383057</v>
      </c>
      <c r="C11372" t="s">
        <v>43</v>
      </c>
      <c r="D11372">
        <v>1801</v>
      </c>
      <c r="F11372" s="21"/>
      <c r="G11372" s="16" t="str">
        <f>HYPERLINK("http://maps.google.com/maps?f=q&amp;hl=en&amp;geocode=&amp;q=-26.2424297332764,27.8873386383057")</f>
        <v>http://maps.google.com/maps?f=q&amp;hl=en&amp;geocode=&amp;q=-26.2424297332764,27.8873386383057</v>
      </c>
    </row>
    <row r="11373" spans="1:7" ht="15" x14ac:dyDescent="0.3">
      <c r="A11373" t="s">
        <v>44</v>
      </c>
      <c r="B11373" t="s">
        <v>44</v>
      </c>
      <c r="C11373" t="s">
        <v>44</v>
      </c>
      <c r="D11373" t="s">
        <v>3866</v>
      </c>
      <c r="F11373" s="21"/>
      <c r="G11373" s="16"/>
    </row>
    <row r="11374" spans="1:7" ht="15" x14ac:dyDescent="0.3">
      <c r="A11374">
        <v>39.182571411132798</v>
      </c>
      <c r="B11374">
        <v>-77.270347595214801</v>
      </c>
      <c r="C11374" t="s">
        <v>41</v>
      </c>
      <c r="D11374" t="s">
        <v>3450</v>
      </c>
      <c r="F11374" s="21"/>
      <c r="G11374" s="16" t="str">
        <f>HYPERLINK("http://maps.google.com/maps?f=q&amp;hl=en&amp;geocode=&amp;q=39.1825714111328,-77.2703475952148")</f>
        <v>http://maps.google.com/maps?f=q&amp;hl=en&amp;geocode=&amp;q=39.1825714111328,-77.2703475952148</v>
      </c>
    </row>
    <row r="11375" spans="1:7" ht="15" x14ac:dyDescent="0.3">
      <c r="A11375">
        <v>39.182571411132798</v>
      </c>
      <c r="B11375">
        <v>-77.270347595214801</v>
      </c>
      <c r="C11375" t="s">
        <v>41</v>
      </c>
      <c r="D11375" t="s">
        <v>3450</v>
      </c>
      <c r="F11375" s="21"/>
      <c r="G11375" s="16" t="str">
        <f>HYPERLINK("http://maps.google.com/maps?f=q&amp;hl=en&amp;geocode=&amp;q=39.1825714111328,-77.2703475952148")</f>
        <v>http://maps.google.com/maps?f=q&amp;hl=en&amp;geocode=&amp;q=39.1825714111328,-77.2703475952148</v>
      </c>
    </row>
    <row r="11376" spans="1:7" ht="15" x14ac:dyDescent="0.3">
      <c r="A11376">
        <v>39.182571411132798</v>
      </c>
      <c r="B11376">
        <v>-77.270347595214801</v>
      </c>
      <c r="C11376" t="s">
        <v>41</v>
      </c>
      <c r="D11376" t="s">
        <v>3450</v>
      </c>
      <c r="F11376" s="21"/>
      <c r="G11376" s="16" t="str">
        <f>HYPERLINK("http://maps.google.com/maps?f=q&amp;hl=en&amp;geocode=&amp;q=39.1825714111328,-77.2703475952148")</f>
        <v>http://maps.google.com/maps?f=q&amp;hl=en&amp;geocode=&amp;q=39.1825714111328,-77.2703475952148</v>
      </c>
    </row>
    <row r="11377" spans="1:7" ht="15" x14ac:dyDescent="0.3">
      <c r="A11377">
        <v>41.38729</v>
      </c>
      <c r="B11377">
        <v>-89.450550000000007</v>
      </c>
      <c r="C11377" t="s">
        <v>42</v>
      </c>
      <c r="D11377" t="s">
        <v>4392</v>
      </c>
      <c r="F11377" s="21"/>
      <c r="G11377" s="16" t="str">
        <f>HYPERLINK("http://maps.google.com/maps?f=q&amp;hl=en&amp;geocode=&amp;q=41.38729,-89.45055")</f>
        <v>http://maps.google.com/maps?f=q&amp;hl=en&amp;geocode=&amp;q=41.38729,-89.45055</v>
      </c>
    </row>
    <row r="11378" spans="1:7" ht="15" x14ac:dyDescent="0.3">
      <c r="A11378">
        <v>35.6816074196432</v>
      </c>
      <c r="B11378">
        <v>-85.773458267373897</v>
      </c>
      <c r="C11378" t="s">
        <v>41</v>
      </c>
      <c r="D11378" t="s">
        <v>2735</v>
      </c>
      <c r="F11378" s="21"/>
      <c r="G11378" s="16" t="str">
        <f>HYPERLINK("http://maps.google.com/maps?f=q&amp;hl=en&amp;geocode=&amp;q=35.6816074196432,-85.7734582673739")</f>
        <v>http://maps.google.com/maps?f=q&amp;hl=en&amp;geocode=&amp;q=35.6816074196432,-85.7734582673739</v>
      </c>
    </row>
    <row r="11379" spans="1:7" ht="15" x14ac:dyDescent="0.3">
      <c r="A11379">
        <v>40.038453769809102</v>
      </c>
      <c r="B11379">
        <v>-75.067328237851498</v>
      </c>
      <c r="C11379" t="s">
        <v>41</v>
      </c>
      <c r="D11379" t="s">
        <v>1763</v>
      </c>
      <c r="F11379" s="21"/>
      <c r="G11379" s="16" t="str">
        <f>HYPERLINK("http://maps.google.com/maps?f=q&amp;hl=en&amp;geocode=&amp;q=40.0384537698091,-75.0673282378515")</f>
        <v>http://maps.google.com/maps?f=q&amp;hl=en&amp;geocode=&amp;q=40.0384537698091,-75.0673282378515</v>
      </c>
    </row>
    <row r="11380" spans="1:7" ht="15" x14ac:dyDescent="0.3">
      <c r="A11380">
        <v>30.282221731171301</v>
      </c>
      <c r="B11380">
        <v>-82.122290080974096</v>
      </c>
      <c r="C11380" t="s">
        <v>41</v>
      </c>
      <c r="D11380" t="s">
        <v>6398</v>
      </c>
      <c r="F11380" s="21"/>
      <c r="G11380" s="16" t="str">
        <f>HYPERLINK("http://maps.google.com/maps?f=q&amp;hl=en&amp;geocode=&amp;q=30.2822217311713,-82.1222900809741")</f>
        <v>http://maps.google.com/maps?f=q&amp;hl=en&amp;geocode=&amp;q=30.2822217311713,-82.1222900809741</v>
      </c>
    </row>
    <row r="11381" spans="1:7" ht="15" x14ac:dyDescent="0.3">
      <c r="A11381">
        <v>39.982529999999997</v>
      </c>
      <c r="B11381">
        <v>-75.163600000000002</v>
      </c>
      <c r="C11381" t="s">
        <v>43</v>
      </c>
      <c r="D11381" t="s">
        <v>6399</v>
      </c>
      <c r="F11381" s="21"/>
      <c r="G11381" s="16" t="str">
        <f>HYPERLINK("http://maps.google.com/maps?f=q&amp;hl=en&amp;geocode=&amp;q=39.98253,-75.1636")</f>
        <v>http://maps.google.com/maps?f=q&amp;hl=en&amp;geocode=&amp;q=39.98253,-75.1636</v>
      </c>
    </row>
    <row r="11382" spans="1:7" ht="15" x14ac:dyDescent="0.3">
      <c r="A11382">
        <v>36.178058624267599</v>
      </c>
      <c r="B11382">
        <v>51.865829467773402</v>
      </c>
      <c r="C11382" t="s">
        <v>41</v>
      </c>
      <c r="D11382" t="s">
        <v>6400</v>
      </c>
      <c r="F11382" s="21"/>
      <c r="G11382" s="16" t="str">
        <f>HYPERLINK("http://maps.google.com/maps?f=q&amp;hl=en&amp;geocode=&amp;q=36.1780586242676,51.8658294677734")</f>
        <v>http://maps.google.com/maps?f=q&amp;hl=en&amp;geocode=&amp;q=36.1780586242676,51.8658294677734</v>
      </c>
    </row>
    <row r="11383" spans="1:7" ht="15" x14ac:dyDescent="0.3">
      <c r="A11383">
        <v>42.6628663625402</v>
      </c>
      <c r="B11383">
        <v>-84.645083423527097</v>
      </c>
      <c r="C11383" t="s">
        <v>41</v>
      </c>
      <c r="D11383" t="s">
        <v>6401</v>
      </c>
      <c r="F11383" s="21"/>
      <c r="G11383" s="16" t="str">
        <f>HYPERLINK("http://maps.google.com/maps?f=q&amp;hl=en&amp;geocode=&amp;q=42.6628663625402,-84.6450834235271")</f>
        <v>http://maps.google.com/maps?f=q&amp;hl=en&amp;geocode=&amp;q=42.6628663625402,-84.6450834235271</v>
      </c>
    </row>
    <row r="11384" spans="1:7" ht="15" x14ac:dyDescent="0.3">
      <c r="A11384">
        <v>42.662842581288501</v>
      </c>
      <c r="B11384">
        <v>-84.645111401189695</v>
      </c>
      <c r="C11384" t="s">
        <v>41</v>
      </c>
      <c r="D11384" t="s">
        <v>3319</v>
      </c>
      <c r="F11384" s="21"/>
      <c r="G11384" s="16" t="str">
        <f>HYPERLINK("http://maps.google.com/maps?f=q&amp;hl=en&amp;geocode=&amp;q=42.6628425812885,-84.6451114011897")</f>
        <v>http://maps.google.com/maps?f=q&amp;hl=en&amp;geocode=&amp;q=42.6628425812885,-84.6451114011897</v>
      </c>
    </row>
    <row r="11385" spans="1:7" ht="15" x14ac:dyDescent="0.3">
      <c r="A11385">
        <v>29.7082328796387</v>
      </c>
      <c r="B11385">
        <v>-90.006401062011705</v>
      </c>
      <c r="C11385" t="s">
        <v>43</v>
      </c>
      <c r="D11385" t="s">
        <v>98</v>
      </c>
      <c r="F11385" s="21"/>
      <c r="G11385" s="16" t="str">
        <f>HYPERLINK("http://maps.google.com/maps?f=q&amp;hl=en&amp;geocode=&amp;q=29.7082328796387,-90.0064010620117")</f>
        <v>http://maps.google.com/maps?f=q&amp;hl=en&amp;geocode=&amp;q=29.7082328796387,-90.0064010620117</v>
      </c>
    </row>
    <row r="11386" spans="1:7" ht="15" x14ac:dyDescent="0.3">
      <c r="A11386">
        <v>37.023646268662802</v>
      </c>
      <c r="B11386">
        <v>-95.936023678908896</v>
      </c>
      <c r="C11386" t="s">
        <v>41</v>
      </c>
      <c r="D11386" t="s">
        <v>6402</v>
      </c>
      <c r="F11386" s="21"/>
      <c r="G11386" s="16" t="str">
        <f>HYPERLINK("http://maps.google.com/maps?f=q&amp;hl=en&amp;geocode=&amp;q=37.0236462686628,-95.9360236789089")</f>
        <v>http://maps.google.com/maps?f=q&amp;hl=en&amp;geocode=&amp;q=37.0236462686628,-95.9360236789089</v>
      </c>
    </row>
    <row r="11387" spans="1:7" ht="15" x14ac:dyDescent="0.3">
      <c r="A11387">
        <v>42.468657403937499</v>
      </c>
      <c r="B11387">
        <v>-95.420260958755804</v>
      </c>
      <c r="C11387" t="s">
        <v>41</v>
      </c>
      <c r="D11387" t="s">
        <v>6403</v>
      </c>
      <c r="F11387" s="21"/>
      <c r="G11387" s="16" t="str">
        <f>HYPERLINK("http://maps.google.com/maps?f=q&amp;hl=en&amp;geocode=&amp;q=42.4686574039375,-95.4202609587558")</f>
        <v>http://maps.google.com/maps?f=q&amp;hl=en&amp;geocode=&amp;q=42.4686574039375,-95.4202609587558</v>
      </c>
    </row>
    <row r="11388" spans="1:7" ht="15" x14ac:dyDescent="0.3">
      <c r="A11388">
        <v>26.652572631835898</v>
      </c>
      <c r="B11388">
        <v>-80.587966918945298</v>
      </c>
      <c r="C11388" t="s">
        <v>43</v>
      </c>
      <c r="D11388" t="s">
        <v>6404</v>
      </c>
      <c r="F11388" s="21"/>
      <c r="G11388" s="16" t="str">
        <f>HYPERLINK("http://maps.google.com/maps?f=q&amp;hl=en&amp;geocode=&amp;q=26.6525726318359,-80.5879669189453")</f>
        <v>http://maps.google.com/maps?f=q&amp;hl=en&amp;geocode=&amp;q=26.6525726318359,-80.5879669189453</v>
      </c>
    </row>
    <row r="11389" spans="1:7" ht="15" x14ac:dyDescent="0.3">
      <c r="A11389">
        <v>43.005667926438498</v>
      </c>
      <c r="B11389">
        <v>-83.512611865192</v>
      </c>
      <c r="C11389" t="s">
        <v>41</v>
      </c>
      <c r="D11389" t="s">
        <v>6405</v>
      </c>
      <c r="F11389" s="21"/>
      <c r="G11389" s="16" t="str">
        <f>HYPERLINK("http://maps.google.com/maps?f=q&amp;hl=en&amp;geocode=&amp;q=43.0056679264385,-83.512611865192")</f>
        <v>http://maps.google.com/maps?f=q&amp;hl=en&amp;geocode=&amp;q=43.0056679264385,-83.512611865192</v>
      </c>
    </row>
    <row r="11390" spans="1:7" ht="15" x14ac:dyDescent="0.3">
      <c r="A11390">
        <v>37.668047146380601</v>
      </c>
      <c r="B11390">
        <v>-120.963583193468</v>
      </c>
      <c r="C11390" t="s">
        <v>43</v>
      </c>
      <c r="D11390" t="s">
        <v>6406</v>
      </c>
      <c r="F11390" s="21"/>
      <c r="G11390" s="16" t="str">
        <f>HYPERLINK("http://maps.google.com/maps?f=q&amp;hl=en&amp;geocode=&amp;q=37.6680471463806,-120.963583193468")</f>
        <v>http://maps.google.com/maps?f=q&amp;hl=en&amp;geocode=&amp;q=37.6680471463806,-120.963583193468</v>
      </c>
    </row>
    <row r="11391" spans="1:7" ht="15" x14ac:dyDescent="0.3">
      <c r="A11391" t="s">
        <v>44</v>
      </c>
      <c r="B11391" t="s">
        <v>44</v>
      </c>
      <c r="C11391" t="s">
        <v>44</v>
      </c>
      <c r="D11391" t="s">
        <v>6407</v>
      </c>
      <c r="F11391" s="21"/>
      <c r="G11391" s="16"/>
    </row>
    <row r="11392" spans="1:7" ht="15" x14ac:dyDescent="0.3">
      <c r="A11392">
        <v>34.542929999999998</v>
      </c>
      <c r="B11392">
        <v>-93.182190000000006</v>
      </c>
      <c r="C11392" t="s">
        <v>43</v>
      </c>
      <c r="D11392" t="s">
        <v>6408</v>
      </c>
      <c r="F11392" s="21"/>
      <c r="G11392" s="16" t="str">
        <f>HYPERLINK("http://maps.google.com/maps?f=q&amp;hl=en&amp;geocode=&amp;q=34.54293,-93.18219")</f>
        <v>http://maps.google.com/maps?f=q&amp;hl=en&amp;geocode=&amp;q=34.54293,-93.18219</v>
      </c>
    </row>
    <row r="11393" spans="1:7" ht="15" x14ac:dyDescent="0.3">
      <c r="A11393">
        <v>39.947240000000001</v>
      </c>
      <c r="B11393">
        <v>-75.174689999999998</v>
      </c>
      <c r="C11393" t="s">
        <v>43</v>
      </c>
      <c r="D11393" t="s">
        <v>6228</v>
      </c>
      <c r="F11393" s="21"/>
      <c r="G11393" s="16" t="str">
        <f>HYPERLINK("http://maps.google.com/maps?f=q&amp;hl=en&amp;geocode=&amp;q=39.94724,-75.17469")</f>
        <v>http://maps.google.com/maps?f=q&amp;hl=en&amp;geocode=&amp;q=39.94724,-75.17469</v>
      </c>
    </row>
    <row r="11394" spans="1:7" ht="15" x14ac:dyDescent="0.3">
      <c r="A11394">
        <v>34.118857687520602</v>
      </c>
      <c r="B11394">
        <v>-117.67677772075101</v>
      </c>
      <c r="C11394" t="s">
        <v>41</v>
      </c>
      <c r="D11394" t="s">
        <v>6409</v>
      </c>
      <c r="F11394" s="21"/>
      <c r="G11394" s="16" t="str">
        <f>HYPERLINK("http://maps.google.com/maps?f=q&amp;hl=en&amp;geocode=&amp;q=34.1188576875206,-117.676777720751")</f>
        <v>http://maps.google.com/maps?f=q&amp;hl=en&amp;geocode=&amp;q=34.1188576875206,-117.676777720751</v>
      </c>
    </row>
    <row r="11395" spans="1:7" ht="15" x14ac:dyDescent="0.3">
      <c r="A11395">
        <v>50.456359900000002</v>
      </c>
      <c r="B11395">
        <v>-104.5989146</v>
      </c>
      <c r="C11395" t="s">
        <v>41</v>
      </c>
      <c r="D11395" t="s">
        <v>6410</v>
      </c>
      <c r="F11395" s="21"/>
      <c r="G11395" s="16" t="str">
        <f>HYPERLINK("http://maps.google.com/maps?f=q&amp;hl=en&amp;geocode=&amp;q=50.4563599,-104.5989146")</f>
        <v>http://maps.google.com/maps?f=q&amp;hl=en&amp;geocode=&amp;q=50.4563599,-104.5989146</v>
      </c>
    </row>
    <row r="11396" spans="1:7" ht="15" x14ac:dyDescent="0.3">
      <c r="A11396">
        <v>43.096769999999999</v>
      </c>
      <c r="B11396">
        <v>-78.873959999999997</v>
      </c>
      <c r="C11396" t="s">
        <v>43</v>
      </c>
      <c r="D11396" t="s">
        <v>6411</v>
      </c>
      <c r="F11396" s="21"/>
      <c r="G11396" s="16" t="str">
        <f>HYPERLINK("http://maps.google.com/maps?f=q&amp;hl=en&amp;geocode=&amp;q=43.09677,-78.87396")</f>
        <v>http://maps.google.com/maps?f=q&amp;hl=en&amp;geocode=&amp;q=43.09677,-78.87396</v>
      </c>
    </row>
    <row r="11397" spans="1:7" ht="15" x14ac:dyDescent="0.3">
      <c r="A11397">
        <v>43.096769999999999</v>
      </c>
      <c r="B11397">
        <v>-78.873959999999997</v>
      </c>
      <c r="C11397" t="s">
        <v>43</v>
      </c>
      <c r="D11397" t="s">
        <v>6411</v>
      </c>
      <c r="F11397" s="21"/>
      <c r="G11397" s="16" t="str">
        <f>HYPERLINK("http://maps.google.com/maps?f=q&amp;hl=en&amp;geocode=&amp;q=43.09677,-78.87396")</f>
        <v>http://maps.google.com/maps?f=q&amp;hl=en&amp;geocode=&amp;q=43.09677,-78.87396</v>
      </c>
    </row>
    <row r="11398" spans="1:7" ht="15" x14ac:dyDescent="0.3">
      <c r="A11398">
        <v>43.096769999999999</v>
      </c>
      <c r="B11398">
        <v>-78.873959999999997</v>
      </c>
      <c r="C11398" t="s">
        <v>43</v>
      </c>
      <c r="D11398" t="s">
        <v>6411</v>
      </c>
      <c r="F11398" s="21"/>
      <c r="G11398" s="16" t="str">
        <f>HYPERLINK("http://maps.google.com/maps?f=q&amp;hl=en&amp;geocode=&amp;q=43.09677,-78.87396")</f>
        <v>http://maps.google.com/maps?f=q&amp;hl=en&amp;geocode=&amp;q=43.09677,-78.87396</v>
      </c>
    </row>
    <row r="11399" spans="1:7" ht="15" x14ac:dyDescent="0.3">
      <c r="A11399">
        <v>39.999308692998298</v>
      </c>
      <c r="B11399">
        <v>-75.153576342868305</v>
      </c>
      <c r="C11399" t="s">
        <v>41</v>
      </c>
      <c r="D11399" t="s">
        <v>6412</v>
      </c>
      <c r="F11399" s="21"/>
      <c r="G11399" s="16" t="str">
        <f>HYPERLINK("http://maps.google.com/maps?f=q&amp;hl=en&amp;geocode=&amp;q=39.9993086929983,-75.1535763428683")</f>
        <v>http://maps.google.com/maps?f=q&amp;hl=en&amp;geocode=&amp;q=39.9993086929983,-75.1535763428683</v>
      </c>
    </row>
    <row r="11400" spans="1:7" ht="15" x14ac:dyDescent="0.3">
      <c r="A11400">
        <v>41.584819392605503</v>
      </c>
      <c r="B11400">
        <v>-93.639605874057693</v>
      </c>
      <c r="C11400" t="s">
        <v>43</v>
      </c>
      <c r="D11400" t="s">
        <v>6413</v>
      </c>
      <c r="F11400" s="21"/>
      <c r="G11400" s="16" t="str">
        <f>HYPERLINK("http://maps.google.com/maps?f=q&amp;hl=en&amp;geocode=&amp;q=41.5848193926055,-93.6396058740577")</f>
        <v>http://maps.google.com/maps?f=q&amp;hl=en&amp;geocode=&amp;q=41.5848193926055,-93.6396058740577</v>
      </c>
    </row>
    <row r="11401" spans="1:7" ht="15" x14ac:dyDescent="0.3">
      <c r="A11401" t="s">
        <v>44</v>
      </c>
      <c r="B11401" t="s">
        <v>44</v>
      </c>
      <c r="C11401" t="s">
        <v>44</v>
      </c>
      <c r="D11401" t="s">
        <v>3866</v>
      </c>
      <c r="F11401" s="21"/>
      <c r="G11401" s="16"/>
    </row>
    <row r="11402" spans="1:7" ht="15" x14ac:dyDescent="0.3">
      <c r="A11402">
        <v>39.952701568603501</v>
      </c>
      <c r="B11402">
        <v>-75.169097900390597</v>
      </c>
      <c r="C11402" t="s">
        <v>41</v>
      </c>
      <c r="D11402" t="s">
        <v>6414</v>
      </c>
      <c r="F11402" s="21"/>
      <c r="G11402" s="16" t="str">
        <f>HYPERLINK("http://maps.google.com/maps?f=q&amp;hl=en&amp;geocode=&amp;q=39.9527015686035,-75.1690979003906")</f>
        <v>http://maps.google.com/maps?f=q&amp;hl=en&amp;geocode=&amp;q=39.9527015686035,-75.1690979003906</v>
      </c>
    </row>
    <row r="11403" spans="1:7" ht="15" x14ac:dyDescent="0.3">
      <c r="A11403">
        <v>36.952379231472101</v>
      </c>
      <c r="B11403">
        <v>-81.076568473122606</v>
      </c>
      <c r="C11403" t="s">
        <v>41</v>
      </c>
      <c r="D11403" t="s">
        <v>6415</v>
      </c>
      <c r="F11403" s="21"/>
      <c r="G11403" s="16" t="str">
        <f>HYPERLINK("http://maps.google.com/maps?f=q&amp;hl=en&amp;geocode=&amp;q=36.9523792314721,-81.0765684731226")</f>
        <v>http://maps.google.com/maps?f=q&amp;hl=en&amp;geocode=&amp;q=36.9523792314721,-81.0765684731226</v>
      </c>
    </row>
    <row r="11404" spans="1:7" ht="15" x14ac:dyDescent="0.3">
      <c r="A11404">
        <v>39.947240000000001</v>
      </c>
      <c r="B11404">
        <v>-75.174689999999998</v>
      </c>
      <c r="C11404" t="s">
        <v>43</v>
      </c>
      <c r="D11404" t="s">
        <v>6228</v>
      </c>
      <c r="F11404" s="21"/>
      <c r="G11404" s="16" t="str">
        <f>HYPERLINK("http://maps.google.com/maps?f=q&amp;hl=en&amp;geocode=&amp;q=39.94724,-75.17469")</f>
        <v>http://maps.google.com/maps?f=q&amp;hl=en&amp;geocode=&amp;q=39.94724,-75.17469</v>
      </c>
    </row>
    <row r="11405" spans="1:7" ht="15" x14ac:dyDescent="0.3">
      <c r="A11405">
        <v>39.947240000000001</v>
      </c>
      <c r="B11405">
        <v>-75.174689999999998</v>
      </c>
      <c r="C11405" t="s">
        <v>43</v>
      </c>
      <c r="D11405" t="s">
        <v>6228</v>
      </c>
      <c r="F11405" s="21"/>
      <c r="G11405" s="16" t="str">
        <f>HYPERLINK("http://maps.google.com/maps?f=q&amp;hl=en&amp;geocode=&amp;q=39.94724,-75.17469")</f>
        <v>http://maps.google.com/maps?f=q&amp;hl=en&amp;geocode=&amp;q=39.94724,-75.17469</v>
      </c>
    </row>
    <row r="11406" spans="1:7" ht="15" x14ac:dyDescent="0.3">
      <c r="A11406">
        <v>40.576259999999998</v>
      </c>
      <c r="B11406">
        <v>-75.348519999999994</v>
      </c>
      <c r="C11406" t="s">
        <v>43</v>
      </c>
      <c r="D11406" t="s">
        <v>6223</v>
      </c>
      <c r="F11406" s="21"/>
      <c r="G11406" s="16" t="str">
        <f>HYPERLINK("http://maps.google.com/maps?f=q&amp;hl=en&amp;geocode=&amp;q=40.57626,-75.34852")</f>
        <v>http://maps.google.com/maps?f=q&amp;hl=en&amp;geocode=&amp;q=40.57626,-75.34852</v>
      </c>
    </row>
    <row r="11407" spans="1:7" ht="15" x14ac:dyDescent="0.3">
      <c r="A11407">
        <v>34.118857687520602</v>
      </c>
      <c r="B11407">
        <v>-117.67677772075101</v>
      </c>
      <c r="C11407" t="s">
        <v>41</v>
      </c>
      <c r="D11407" t="s">
        <v>6409</v>
      </c>
      <c r="F11407" s="21"/>
      <c r="G11407" s="16" t="str">
        <f>HYPERLINK("http://maps.google.com/maps?f=q&amp;hl=en&amp;geocode=&amp;q=34.1188576875206,-117.676777720751")</f>
        <v>http://maps.google.com/maps?f=q&amp;hl=en&amp;geocode=&amp;q=34.1188576875206,-117.676777720751</v>
      </c>
    </row>
    <row r="11408" spans="1:7" ht="15" x14ac:dyDescent="0.3">
      <c r="A11408">
        <v>39.931432553449</v>
      </c>
      <c r="B11408">
        <v>-75.157047806880101</v>
      </c>
      <c r="C11408" t="s">
        <v>41</v>
      </c>
      <c r="D11408" t="s">
        <v>3538</v>
      </c>
      <c r="F11408" s="21"/>
      <c r="G11408" s="16" t="str">
        <f>HYPERLINK("http://maps.google.com/maps?f=q&amp;hl=en&amp;geocode=&amp;q=39.931432553449,-75.1570478068801")</f>
        <v>http://maps.google.com/maps?f=q&amp;hl=en&amp;geocode=&amp;q=39.931432553449,-75.1570478068801</v>
      </c>
    </row>
    <row r="11409" spans="1:7" ht="15" x14ac:dyDescent="0.3">
      <c r="A11409">
        <v>39.930938838251201</v>
      </c>
      <c r="B11409">
        <v>-75.1570339165999</v>
      </c>
      <c r="C11409" t="s">
        <v>41</v>
      </c>
      <c r="D11409" t="s">
        <v>6416</v>
      </c>
      <c r="F11409" s="21"/>
      <c r="G11409" s="16" t="str">
        <f>HYPERLINK("http://maps.google.com/maps?f=q&amp;hl=en&amp;geocode=&amp;q=39.9309388382512,-75.1570339165999")</f>
        <v>http://maps.google.com/maps?f=q&amp;hl=en&amp;geocode=&amp;q=39.9309388382512,-75.1570339165999</v>
      </c>
    </row>
    <row r="11410" spans="1:7" ht="15" x14ac:dyDescent="0.3">
      <c r="A11410">
        <v>42.470289999999999</v>
      </c>
      <c r="B11410">
        <v>-83.077780000000004</v>
      </c>
      <c r="C11410" t="s">
        <v>42</v>
      </c>
      <c r="D11410" t="s">
        <v>3887</v>
      </c>
      <c r="F11410" s="21"/>
      <c r="G11410" s="16" t="str">
        <f>HYPERLINK("http://maps.google.com/maps?f=q&amp;hl=en&amp;geocode=&amp;q=42.47029,-83.07778")</f>
        <v>http://maps.google.com/maps?f=q&amp;hl=en&amp;geocode=&amp;q=42.47029,-83.07778</v>
      </c>
    </row>
    <row r="11411" spans="1:7" ht="15" x14ac:dyDescent="0.3">
      <c r="A11411">
        <v>38.788719999999998</v>
      </c>
      <c r="B11411">
        <v>-77.191400000000002</v>
      </c>
      <c r="C11411" t="s">
        <v>42</v>
      </c>
      <c r="D11411" t="s">
        <v>6417</v>
      </c>
      <c r="F11411" s="21"/>
      <c r="G11411" s="16" t="str">
        <f>HYPERLINK("http://maps.google.com/maps?f=q&amp;hl=en&amp;geocode=&amp;q=38.78872,-77.1914")</f>
        <v>http://maps.google.com/maps?f=q&amp;hl=en&amp;geocode=&amp;q=38.78872,-77.1914</v>
      </c>
    </row>
    <row r="11412" spans="1:7" ht="15" x14ac:dyDescent="0.3">
      <c r="A11412">
        <v>30.803760384860102</v>
      </c>
      <c r="B11412">
        <v>-85.034606991660198</v>
      </c>
      <c r="C11412" t="s">
        <v>41</v>
      </c>
      <c r="D11412" t="s">
        <v>6418</v>
      </c>
      <c r="F11412" s="21"/>
      <c r="G11412" s="16" t="str">
        <f>HYPERLINK("http://maps.google.com/maps?f=q&amp;hl=en&amp;geocode=&amp;q=30.8037603848601,-85.0346069916602")</f>
        <v>http://maps.google.com/maps?f=q&amp;hl=en&amp;geocode=&amp;q=30.8037603848601,-85.0346069916602</v>
      </c>
    </row>
    <row r="11413" spans="1:7" ht="15" x14ac:dyDescent="0.3">
      <c r="A11413">
        <v>39.937289999999997</v>
      </c>
      <c r="B11413">
        <v>-75.192049999999995</v>
      </c>
      <c r="C11413" t="s">
        <v>43</v>
      </c>
      <c r="D11413" t="s">
        <v>6419</v>
      </c>
      <c r="F11413" s="21"/>
      <c r="G11413" s="16" t="str">
        <f>HYPERLINK("http://maps.google.com/maps?f=q&amp;hl=en&amp;geocode=&amp;q=39.93729,-75.19205")</f>
        <v>http://maps.google.com/maps?f=q&amp;hl=en&amp;geocode=&amp;q=39.93729,-75.19205</v>
      </c>
    </row>
    <row r="11414" spans="1:7" ht="15" x14ac:dyDescent="0.3">
      <c r="A11414">
        <v>39.930970000000002</v>
      </c>
      <c r="B11414">
        <v>-75.191800000000001</v>
      </c>
      <c r="C11414" t="s">
        <v>43</v>
      </c>
      <c r="D11414" t="s">
        <v>6420</v>
      </c>
      <c r="F11414" s="21"/>
      <c r="G11414" s="16" t="str">
        <f>HYPERLINK("http://maps.google.com/maps?f=q&amp;hl=en&amp;geocode=&amp;q=39.93097,-75.1918")</f>
        <v>http://maps.google.com/maps?f=q&amp;hl=en&amp;geocode=&amp;q=39.93097,-75.1918</v>
      </c>
    </row>
    <row r="11415" spans="1:7" ht="15" x14ac:dyDescent="0.3">
      <c r="A11415">
        <v>40.040999999999997</v>
      </c>
      <c r="B11415">
        <v>-75.128389999999996</v>
      </c>
      <c r="C11415" t="s">
        <v>41</v>
      </c>
      <c r="D11415" t="s">
        <v>3178</v>
      </c>
      <c r="F11415" s="21"/>
      <c r="G11415" s="16" t="str">
        <f>HYPERLINK("http://maps.google.com/maps?f=q&amp;hl=en&amp;geocode=&amp;q=40.041,-75.12839")</f>
        <v>http://maps.google.com/maps?f=q&amp;hl=en&amp;geocode=&amp;q=40.041,-75.12839</v>
      </c>
    </row>
    <row r="11416" spans="1:7" ht="15" x14ac:dyDescent="0.3">
      <c r="A11416">
        <v>-31.950477600097699</v>
      </c>
      <c r="B11416">
        <v>115.86053466796901</v>
      </c>
      <c r="C11416" t="s">
        <v>43</v>
      </c>
      <c r="D11416" t="s">
        <v>6421</v>
      </c>
      <c r="F11416" s="21"/>
      <c r="G11416" s="16" t="str">
        <f>HYPERLINK("http://maps.google.com/maps?f=q&amp;hl=en&amp;geocode=&amp;q=-31.9504776000977,115.860534667969")</f>
        <v>http://maps.google.com/maps?f=q&amp;hl=en&amp;geocode=&amp;q=-31.9504776000977,115.860534667969</v>
      </c>
    </row>
    <row r="11417" spans="1:7" ht="15" x14ac:dyDescent="0.3">
      <c r="A11417" t="s">
        <v>44</v>
      </c>
      <c r="B11417" t="s">
        <v>44</v>
      </c>
      <c r="C11417" t="s">
        <v>44</v>
      </c>
      <c r="D11417" t="s">
        <v>6422</v>
      </c>
      <c r="F11417" s="21"/>
      <c r="G11417" s="16"/>
    </row>
    <row r="11418" spans="1:7" ht="15" x14ac:dyDescent="0.3">
      <c r="A11418">
        <v>39.930970000000002</v>
      </c>
      <c r="B11418">
        <v>-75.191800000000001</v>
      </c>
      <c r="C11418" t="s">
        <v>43</v>
      </c>
      <c r="D11418" t="s">
        <v>6420</v>
      </c>
      <c r="F11418" s="21"/>
      <c r="G11418" s="16" t="str">
        <f>HYPERLINK("http://maps.google.com/maps?f=q&amp;hl=en&amp;geocode=&amp;q=39.93097,-75.1918")</f>
        <v>http://maps.google.com/maps?f=q&amp;hl=en&amp;geocode=&amp;q=39.93097,-75.1918</v>
      </c>
    </row>
    <row r="11419" spans="1:7" ht="15" x14ac:dyDescent="0.3">
      <c r="A11419">
        <v>39.930970000000002</v>
      </c>
      <c r="B11419">
        <v>-75.191800000000001</v>
      </c>
      <c r="C11419" t="s">
        <v>43</v>
      </c>
      <c r="D11419" t="s">
        <v>6420</v>
      </c>
      <c r="F11419" s="21"/>
      <c r="G11419" s="16" t="str">
        <f>HYPERLINK("http://maps.google.com/maps?f=q&amp;hl=en&amp;geocode=&amp;q=39.93097,-75.1918")</f>
        <v>http://maps.google.com/maps?f=q&amp;hl=en&amp;geocode=&amp;q=39.93097,-75.1918</v>
      </c>
    </row>
    <row r="11420" spans="1:7" ht="15" x14ac:dyDescent="0.3">
      <c r="A11420">
        <v>39.937289999999997</v>
      </c>
      <c r="B11420">
        <v>-75.192049999999995</v>
      </c>
      <c r="C11420" t="s">
        <v>43</v>
      </c>
      <c r="D11420" t="s">
        <v>6419</v>
      </c>
      <c r="F11420" s="21"/>
      <c r="G11420" s="16" t="str">
        <f>HYPERLINK("http://maps.google.com/maps?f=q&amp;hl=en&amp;geocode=&amp;q=39.93729,-75.19205")</f>
        <v>http://maps.google.com/maps?f=q&amp;hl=en&amp;geocode=&amp;q=39.93729,-75.19205</v>
      </c>
    </row>
    <row r="11421" spans="1:7" ht="15" x14ac:dyDescent="0.3">
      <c r="A11421" t="s">
        <v>44</v>
      </c>
      <c r="B11421" t="s">
        <v>44</v>
      </c>
      <c r="C11421" t="s">
        <v>44</v>
      </c>
      <c r="D11421" t="s">
        <v>4438</v>
      </c>
      <c r="F11421" s="21"/>
      <c r="G11421" s="16"/>
    </row>
    <row r="11422" spans="1:7" ht="15" x14ac:dyDescent="0.3">
      <c r="A11422">
        <v>39.305960143236497</v>
      </c>
      <c r="B11422">
        <v>-76.594435092052805</v>
      </c>
      <c r="C11422" t="s">
        <v>41</v>
      </c>
      <c r="D11422" t="s">
        <v>4029</v>
      </c>
      <c r="F11422" s="21"/>
      <c r="G11422" s="16" t="str">
        <f>HYPERLINK("http://maps.google.com/maps?f=q&amp;hl=en&amp;geocode=&amp;q=39.3059601432365,-76.5944350920528")</f>
        <v>http://maps.google.com/maps?f=q&amp;hl=en&amp;geocode=&amp;q=39.3059601432365,-76.5944350920528</v>
      </c>
    </row>
    <row r="11423" spans="1:7" ht="15" x14ac:dyDescent="0.3">
      <c r="A11423" t="s">
        <v>44</v>
      </c>
      <c r="B11423" t="s">
        <v>44</v>
      </c>
      <c r="C11423" t="s">
        <v>44</v>
      </c>
      <c r="D11423" t="s">
        <v>4438</v>
      </c>
      <c r="F11423" s="21"/>
      <c r="G11423" s="16"/>
    </row>
    <row r="11424" spans="1:7" ht="15" x14ac:dyDescent="0.3">
      <c r="A11424">
        <v>42.157688909717997</v>
      </c>
      <c r="B11424">
        <v>-79.948462386443893</v>
      </c>
      <c r="C11424" t="s">
        <v>41</v>
      </c>
      <c r="D11424" t="s">
        <v>3321</v>
      </c>
      <c r="F11424" s="21"/>
      <c r="G11424" s="16" t="str">
        <f>HYPERLINK("http://maps.google.com/maps?f=q&amp;hl=en&amp;geocode=&amp;q=42.157688909718,-79.9484623864439")</f>
        <v>http://maps.google.com/maps?f=q&amp;hl=en&amp;geocode=&amp;q=42.157688909718,-79.9484623864439</v>
      </c>
    </row>
    <row r="11425" spans="1:7" ht="15" x14ac:dyDescent="0.3">
      <c r="A11425">
        <v>42.738239999999998</v>
      </c>
      <c r="B11425">
        <v>-97.498040000000003</v>
      </c>
      <c r="C11425" t="s">
        <v>42</v>
      </c>
      <c r="D11425" t="s">
        <v>6016</v>
      </c>
      <c r="F11425" s="21"/>
      <c r="G11425" s="16" t="str">
        <f>HYPERLINK("http://maps.google.com/maps?f=q&amp;hl=en&amp;geocode=&amp;q=42.73824,-97.49804")</f>
        <v>http://maps.google.com/maps?f=q&amp;hl=en&amp;geocode=&amp;q=42.73824,-97.49804</v>
      </c>
    </row>
    <row r="11426" spans="1:7" ht="15" x14ac:dyDescent="0.3">
      <c r="A11426">
        <v>-26.246181488037099</v>
      </c>
      <c r="B11426">
        <v>28.2737922668457</v>
      </c>
      <c r="C11426" t="s">
        <v>43</v>
      </c>
      <c r="D11426" t="s">
        <v>6423</v>
      </c>
      <c r="F11426" s="21"/>
      <c r="G11426" s="16" t="str">
        <f>HYPERLINK("http://maps.google.com/maps?f=q&amp;hl=en&amp;geocode=&amp;q=-26.2461814880371,28.2737922668457")</f>
        <v>http://maps.google.com/maps?f=q&amp;hl=en&amp;geocode=&amp;q=-26.2461814880371,28.2737922668457</v>
      </c>
    </row>
    <row r="11427" spans="1:7" ht="15" x14ac:dyDescent="0.3">
      <c r="A11427">
        <v>40.779430389404297</v>
      </c>
      <c r="B11427">
        <v>-7.1032009124755904</v>
      </c>
      <c r="C11427" t="s">
        <v>43</v>
      </c>
      <c r="D11427" t="s">
        <v>6424</v>
      </c>
      <c r="F11427" s="21"/>
      <c r="G11427" s="16" t="str">
        <f>HYPERLINK("http://maps.google.com/maps?f=q&amp;hl=en&amp;geocode=&amp;q=40.7794303894043,-7.10320091247559")</f>
        <v>http://maps.google.com/maps?f=q&amp;hl=en&amp;geocode=&amp;q=40.7794303894043,-7.10320091247559</v>
      </c>
    </row>
    <row r="11428" spans="1:7" ht="15" x14ac:dyDescent="0.3">
      <c r="A11428">
        <v>39.97336</v>
      </c>
      <c r="B11428">
        <v>-75.18074</v>
      </c>
      <c r="C11428" t="s">
        <v>41</v>
      </c>
      <c r="D11428" t="s">
        <v>5163</v>
      </c>
      <c r="F11428" s="21"/>
      <c r="G11428" s="16" t="str">
        <f>HYPERLINK("http://maps.google.com/maps?f=q&amp;hl=en&amp;geocode=&amp;q=39.97336,-75.18074")</f>
        <v>http://maps.google.com/maps?f=q&amp;hl=en&amp;geocode=&amp;q=39.97336,-75.18074</v>
      </c>
    </row>
    <row r="11429" spans="1:7" ht="15" x14ac:dyDescent="0.3">
      <c r="A11429">
        <v>28.743450164794901</v>
      </c>
      <c r="B11429">
        <v>82.429336547851605</v>
      </c>
      <c r="C11429" t="s">
        <v>43</v>
      </c>
      <c r="D11429" t="s">
        <v>6425</v>
      </c>
      <c r="F11429" s="21"/>
      <c r="G11429" s="16" t="str">
        <f>HYPERLINK("http://maps.google.com/maps?f=q&amp;hl=en&amp;geocode=&amp;q=28.7434501647949,82.4293365478516")</f>
        <v>http://maps.google.com/maps?f=q&amp;hl=en&amp;geocode=&amp;q=28.7434501647949,82.4293365478516</v>
      </c>
    </row>
    <row r="11430" spans="1:7" ht="15" x14ac:dyDescent="0.3">
      <c r="A11430">
        <v>38.588470000000001</v>
      </c>
      <c r="B11430">
        <v>-122.58041</v>
      </c>
      <c r="C11430" t="s">
        <v>42</v>
      </c>
      <c r="D11430" t="s">
        <v>6426</v>
      </c>
      <c r="F11430" s="21"/>
      <c r="G11430" s="16" t="str">
        <f>HYPERLINK("http://maps.google.com/maps?f=q&amp;hl=en&amp;geocode=&amp;q=38.58847,-122.58041")</f>
        <v>http://maps.google.com/maps?f=q&amp;hl=en&amp;geocode=&amp;q=38.58847,-122.58041</v>
      </c>
    </row>
    <row r="11431" spans="1:7" ht="15" x14ac:dyDescent="0.3">
      <c r="A11431">
        <v>38.588470000000001</v>
      </c>
      <c r="B11431">
        <v>-122.58041</v>
      </c>
      <c r="C11431" t="s">
        <v>42</v>
      </c>
      <c r="D11431" t="s">
        <v>6427</v>
      </c>
      <c r="F11431" s="21"/>
      <c r="G11431" s="16" t="str">
        <f>HYPERLINK("http://maps.google.com/maps?f=q&amp;hl=en&amp;geocode=&amp;q=38.58847,-122.58041")</f>
        <v>http://maps.google.com/maps?f=q&amp;hl=en&amp;geocode=&amp;q=38.58847,-122.58041</v>
      </c>
    </row>
    <row r="11432" spans="1:7" ht="15" x14ac:dyDescent="0.3">
      <c r="A11432">
        <v>38.588470000000001</v>
      </c>
      <c r="B11432">
        <v>-122.58041</v>
      </c>
      <c r="C11432" t="s">
        <v>42</v>
      </c>
      <c r="D11432" t="s">
        <v>6428</v>
      </c>
      <c r="F11432" s="21"/>
      <c r="G11432" s="16" t="str">
        <f>HYPERLINK("http://maps.google.com/maps?f=q&amp;hl=en&amp;geocode=&amp;q=38.58847,-122.58041")</f>
        <v>http://maps.google.com/maps?f=q&amp;hl=en&amp;geocode=&amp;q=38.58847,-122.58041</v>
      </c>
    </row>
    <row r="11433" spans="1:7" ht="15" x14ac:dyDescent="0.3">
      <c r="A11433">
        <v>50.780136108398402</v>
      </c>
      <c r="B11433">
        <v>4.2288222312927202</v>
      </c>
      <c r="C11433" t="s">
        <v>43</v>
      </c>
      <c r="D11433" t="s">
        <v>2776</v>
      </c>
      <c r="F11433" s="21"/>
      <c r="G11433" s="16" t="str">
        <f>HYPERLINK("http://maps.google.com/maps?f=q&amp;hl=en&amp;geocode=&amp;q=50.7801361083984,4.22882223129272")</f>
        <v>http://maps.google.com/maps?f=q&amp;hl=en&amp;geocode=&amp;q=50.7801361083984,4.22882223129272</v>
      </c>
    </row>
    <row r="11434" spans="1:7" ht="15" x14ac:dyDescent="0.3">
      <c r="A11434">
        <v>38.644458707449601</v>
      </c>
      <c r="B11434">
        <v>-90.249351100368202</v>
      </c>
      <c r="C11434" t="s">
        <v>41</v>
      </c>
      <c r="D11434" t="s">
        <v>6429</v>
      </c>
      <c r="F11434" s="21"/>
      <c r="G11434" s="16" t="str">
        <f>HYPERLINK("http://maps.google.com/maps?f=q&amp;hl=en&amp;geocode=&amp;q=38.6444587074496,-90.2493511003682")</f>
        <v>http://maps.google.com/maps?f=q&amp;hl=en&amp;geocode=&amp;q=38.6444587074496,-90.2493511003682</v>
      </c>
    </row>
    <row r="11435" spans="1:7" ht="15" x14ac:dyDescent="0.3">
      <c r="A11435">
        <v>42.156901348346402</v>
      </c>
      <c r="B11435">
        <v>-79.364354325296006</v>
      </c>
      <c r="C11435" t="s">
        <v>41</v>
      </c>
      <c r="D11435" t="s">
        <v>6430</v>
      </c>
      <c r="F11435" s="21"/>
      <c r="G11435" s="16" t="str">
        <f>HYPERLINK("http://maps.google.com/maps?f=q&amp;hl=en&amp;geocode=&amp;q=42.1569013483464,-79.364354325296")</f>
        <v>http://maps.google.com/maps?f=q&amp;hl=en&amp;geocode=&amp;q=42.1569013483464,-79.364354325296</v>
      </c>
    </row>
    <row r="11436" spans="1:7" ht="15" x14ac:dyDescent="0.3">
      <c r="A11436">
        <v>39.9518766952758</v>
      </c>
      <c r="B11436">
        <v>-75.168855805924906</v>
      </c>
      <c r="C11436" t="s">
        <v>41</v>
      </c>
      <c r="D11436" t="s">
        <v>6431</v>
      </c>
      <c r="F11436" s="21"/>
      <c r="G11436" s="16" t="str">
        <f>HYPERLINK("http://maps.google.com/maps?f=q&amp;hl=en&amp;geocode=&amp;q=39.9518766952758,-75.1688558059249")</f>
        <v>http://maps.google.com/maps?f=q&amp;hl=en&amp;geocode=&amp;q=39.9518766952758,-75.1688558059249</v>
      </c>
    </row>
    <row r="11437" spans="1:7" ht="15" x14ac:dyDescent="0.3">
      <c r="A11437">
        <v>37.183880000000002</v>
      </c>
      <c r="B11437">
        <v>-89.481269999999995</v>
      </c>
      <c r="C11437" t="s">
        <v>43</v>
      </c>
      <c r="D11437" t="s">
        <v>6432</v>
      </c>
      <c r="F11437" s="21"/>
      <c r="G11437" s="16" t="str">
        <f>HYPERLINK("http://maps.google.com/maps?f=q&amp;hl=en&amp;geocode=&amp;q=37.18388,-89.48127")</f>
        <v>http://maps.google.com/maps?f=q&amp;hl=en&amp;geocode=&amp;q=37.18388,-89.48127</v>
      </c>
    </row>
    <row r="11438" spans="1:7" ht="15" x14ac:dyDescent="0.3">
      <c r="A11438" t="s">
        <v>44</v>
      </c>
      <c r="B11438" t="s">
        <v>44</v>
      </c>
      <c r="C11438" t="s">
        <v>44</v>
      </c>
      <c r="D11438" t="s">
        <v>4438</v>
      </c>
      <c r="F11438" s="21"/>
      <c r="G11438" s="16"/>
    </row>
    <row r="11439" spans="1:7" ht="15" x14ac:dyDescent="0.3">
      <c r="A11439" t="s">
        <v>44</v>
      </c>
      <c r="B11439" t="s">
        <v>44</v>
      </c>
      <c r="C11439" t="s">
        <v>44</v>
      </c>
      <c r="D11439" t="s">
        <v>6433</v>
      </c>
      <c r="F11439" s="21"/>
      <c r="G11439" s="16"/>
    </row>
    <row r="11440" spans="1:7" ht="15" x14ac:dyDescent="0.3">
      <c r="A11440">
        <v>40.655315077857701</v>
      </c>
      <c r="B11440">
        <v>-79.5355577367188</v>
      </c>
      <c r="C11440" t="s">
        <v>41</v>
      </c>
      <c r="D11440" t="s">
        <v>6434</v>
      </c>
      <c r="F11440" s="21"/>
      <c r="G11440" s="16" t="str">
        <f>HYPERLINK("http://maps.google.com/maps?f=q&amp;hl=en&amp;geocode=&amp;q=40.6553150778577,-79.5355577367188")</f>
        <v>http://maps.google.com/maps?f=q&amp;hl=en&amp;geocode=&amp;q=40.6553150778577,-79.5355577367188</v>
      </c>
    </row>
    <row r="11441" spans="1:7" ht="15" x14ac:dyDescent="0.3">
      <c r="A11441">
        <v>48.999027243874799</v>
      </c>
      <c r="B11441">
        <v>-122.736571461727</v>
      </c>
      <c r="C11441" t="s">
        <v>43</v>
      </c>
      <c r="D11441" t="s">
        <v>6435</v>
      </c>
      <c r="F11441" s="21"/>
      <c r="G11441" s="16" t="str">
        <f>HYPERLINK("http://maps.google.com/maps?f=q&amp;hl=en&amp;geocode=&amp;q=48.9990272438748,-122.736571461727")</f>
        <v>http://maps.google.com/maps?f=q&amp;hl=en&amp;geocode=&amp;q=48.9990272438748,-122.736571461727</v>
      </c>
    </row>
    <row r="11442" spans="1:7" ht="15" x14ac:dyDescent="0.3">
      <c r="A11442">
        <v>39.947240000000001</v>
      </c>
      <c r="B11442">
        <v>-75.174689999999998</v>
      </c>
      <c r="C11442" t="s">
        <v>43</v>
      </c>
      <c r="D11442" t="s">
        <v>6228</v>
      </c>
      <c r="F11442" s="21"/>
      <c r="G11442" s="16" t="str">
        <f>HYPERLINK("http://maps.google.com/maps?f=q&amp;hl=en&amp;geocode=&amp;q=39.94724,-75.17469")</f>
        <v>http://maps.google.com/maps?f=q&amp;hl=en&amp;geocode=&amp;q=39.94724,-75.17469</v>
      </c>
    </row>
    <row r="11443" spans="1:7" ht="15" x14ac:dyDescent="0.3">
      <c r="A11443">
        <v>39.947240000000001</v>
      </c>
      <c r="B11443">
        <v>-75.174689999999998</v>
      </c>
      <c r="C11443" t="s">
        <v>43</v>
      </c>
      <c r="D11443" t="s">
        <v>6228</v>
      </c>
      <c r="F11443" s="21"/>
      <c r="G11443" s="16" t="str">
        <f>HYPERLINK("http://maps.google.com/maps?f=q&amp;hl=en&amp;geocode=&amp;q=39.94724,-75.17469")</f>
        <v>http://maps.google.com/maps?f=q&amp;hl=en&amp;geocode=&amp;q=39.94724,-75.17469</v>
      </c>
    </row>
    <row r="11444" spans="1:7" ht="15" x14ac:dyDescent="0.3">
      <c r="A11444">
        <v>34.542929999999998</v>
      </c>
      <c r="B11444">
        <v>-93.182190000000006</v>
      </c>
      <c r="C11444" t="s">
        <v>43</v>
      </c>
      <c r="D11444" t="s">
        <v>6436</v>
      </c>
      <c r="F11444" s="21"/>
      <c r="G11444" s="16" t="str">
        <f>HYPERLINK("http://maps.google.com/maps?f=q&amp;hl=en&amp;geocode=&amp;q=34.54293,-93.18219")</f>
        <v>http://maps.google.com/maps?f=q&amp;hl=en&amp;geocode=&amp;q=34.54293,-93.18219</v>
      </c>
    </row>
    <row r="11445" spans="1:7" ht="15" x14ac:dyDescent="0.3">
      <c r="A11445">
        <v>39.935760000000002</v>
      </c>
      <c r="B11445">
        <v>-75.170550000000006</v>
      </c>
      <c r="C11445" t="s">
        <v>43</v>
      </c>
      <c r="D11445" t="s">
        <v>4290</v>
      </c>
      <c r="F11445" s="21"/>
      <c r="G11445" s="16" t="str">
        <f>HYPERLINK("http://maps.google.com/maps?f=q&amp;hl=en&amp;geocode=&amp;q=39.93576,-75.17055")</f>
        <v>http://maps.google.com/maps?f=q&amp;hl=en&amp;geocode=&amp;q=39.93576,-75.17055</v>
      </c>
    </row>
    <row r="11446" spans="1:7" ht="15" x14ac:dyDescent="0.3">
      <c r="A11446" t="s">
        <v>44</v>
      </c>
      <c r="B11446" t="s">
        <v>44</v>
      </c>
      <c r="C11446" t="s">
        <v>44</v>
      </c>
      <c r="D11446" t="s">
        <v>3866</v>
      </c>
      <c r="F11446" s="21"/>
      <c r="G11446" s="16"/>
    </row>
    <row r="11447" spans="1:7" ht="15" x14ac:dyDescent="0.3">
      <c r="A11447" t="s">
        <v>44</v>
      </c>
      <c r="B11447" t="s">
        <v>44</v>
      </c>
      <c r="C11447" t="s">
        <v>44</v>
      </c>
      <c r="D11447" t="s">
        <v>3866</v>
      </c>
      <c r="F11447" s="21"/>
      <c r="G11447" s="16"/>
    </row>
    <row r="11448" spans="1:7" ht="15" x14ac:dyDescent="0.3">
      <c r="A11448">
        <v>39.284210000000002</v>
      </c>
      <c r="B11448">
        <v>-76.585239999999999</v>
      </c>
      <c r="C11448" t="s">
        <v>41</v>
      </c>
      <c r="D11448" t="s">
        <v>6437</v>
      </c>
      <c r="F11448" s="21"/>
      <c r="G11448" s="16" t="str">
        <f>HYPERLINK("http://maps.google.com/maps?f=q&amp;hl=en&amp;geocode=&amp;q=39.28421,-76.58524")</f>
        <v>http://maps.google.com/maps?f=q&amp;hl=en&amp;geocode=&amp;q=39.28421,-76.58524</v>
      </c>
    </row>
    <row r="11449" spans="1:7" ht="15" x14ac:dyDescent="0.3">
      <c r="A11449">
        <v>-26.790746688842798</v>
      </c>
      <c r="B11449">
        <v>28.263383865356399</v>
      </c>
      <c r="C11449" t="s">
        <v>43</v>
      </c>
      <c r="D11449" t="s">
        <v>6438</v>
      </c>
      <c r="F11449" s="21"/>
      <c r="G11449" s="16" t="str">
        <f>HYPERLINK("http://maps.google.com/maps?f=q&amp;hl=en&amp;geocode=&amp;q=-26.7907466888428,28.2633838653564")</f>
        <v>http://maps.google.com/maps?f=q&amp;hl=en&amp;geocode=&amp;q=-26.7907466888428,28.2633838653564</v>
      </c>
    </row>
    <row r="11450" spans="1:7" ht="15" x14ac:dyDescent="0.3">
      <c r="A11450">
        <v>39.94782</v>
      </c>
      <c r="B11450">
        <v>-75.178169999999994</v>
      </c>
      <c r="C11450" t="s">
        <v>43</v>
      </c>
      <c r="D11450" t="s">
        <v>6255</v>
      </c>
      <c r="F11450" s="21"/>
      <c r="G11450" s="16" t="str">
        <f>HYPERLINK("http://maps.google.com/maps?f=q&amp;hl=en&amp;geocode=&amp;q=39.94782,-75.17817")</f>
        <v>http://maps.google.com/maps?f=q&amp;hl=en&amp;geocode=&amp;q=39.94782,-75.17817</v>
      </c>
    </row>
    <row r="11451" spans="1:7" ht="15" x14ac:dyDescent="0.3">
      <c r="A11451">
        <v>37.3283729195402</v>
      </c>
      <c r="B11451">
        <v>-121.825132541638</v>
      </c>
      <c r="C11451" t="s">
        <v>41</v>
      </c>
      <c r="D11451" t="s">
        <v>6439</v>
      </c>
      <c r="F11451" s="21"/>
      <c r="G11451" s="16" t="str">
        <f>HYPERLINK("http://maps.google.com/maps?f=q&amp;hl=en&amp;geocode=&amp;q=37.3283729195402,-121.825132541638")</f>
        <v>http://maps.google.com/maps?f=q&amp;hl=en&amp;geocode=&amp;q=37.3283729195402,-121.825132541638</v>
      </c>
    </row>
    <row r="11452" spans="1:7" ht="15" x14ac:dyDescent="0.3">
      <c r="A11452" t="s">
        <v>44</v>
      </c>
      <c r="B11452" t="s">
        <v>44</v>
      </c>
      <c r="C11452" t="s">
        <v>44</v>
      </c>
      <c r="D11452" t="s">
        <v>5657</v>
      </c>
      <c r="F11452" s="21"/>
      <c r="G11452" s="16"/>
    </row>
    <row r="11453" spans="1:7" ht="15" x14ac:dyDescent="0.3">
      <c r="A11453">
        <v>38.947154998779297</v>
      </c>
      <c r="B11453">
        <v>-8.9184045791625994</v>
      </c>
      <c r="C11453" t="s">
        <v>41</v>
      </c>
      <c r="D11453" t="s">
        <v>6440</v>
      </c>
      <c r="F11453" s="21"/>
      <c r="G11453" s="16" t="str">
        <f>HYPERLINK("http://maps.google.com/maps?f=q&amp;hl=en&amp;geocode=&amp;q=38.9471549987793,-8.9184045791626")</f>
        <v>http://maps.google.com/maps?f=q&amp;hl=en&amp;geocode=&amp;q=38.9471549987793,-8.9184045791626</v>
      </c>
    </row>
    <row r="11454" spans="1:7" ht="15" x14ac:dyDescent="0.3">
      <c r="A11454">
        <v>28.6184010945659</v>
      </c>
      <c r="B11454">
        <v>-81.408916311495503</v>
      </c>
      <c r="C11454" t="s">
        <v>41</v>
      </c>
      <c r="D11454" t="s">
        <v>6441</v>
      </c>
      <c r="F11454" s="21"/>
      <c r="G11454" s="16" t="str">
        <f>HYPERLINK("http://maps.google.com/maps?f=q&amp;hl=en&amp;geocode=&amp;q=28.6184010945659,-81.4089163114955")</f>
        <v>http://maps.google.com/maps?f=q&amp;hl=en&amp;geocode=&amp;q=28.6184010945659,-81.4089163114955</v>
      </c>
    </row>
    <row r="11455" spans="1:7" ht="15" x14ac:dyDescent="0.3">
      <c r="A11455">
        <v>40.045161906571401</v>
      </c>
      <c r="B11455">
        <v>-75.124341923718504</v>
      </c>
      <c r="C11455" t="s">
        <v>41</v>
      </c>
      <c r="D11455" t="s">
        <v>6442</v>
      </c>
      <c r="F11455" s="21"/>
      <c r="G11455" s="16" t="str">
        <f>HYPERLINK("http://maps.google.com/maps?f=q&amp;hl=en&amp;geocode=&amp;q=40.0451619065714,-75.1243419237185")</f>
        <v>http://maps.google.com/maps?f=q&amp;hl=en&amp;geocode=&amp;q=40.0451619065714,-75.1243419237185</v>
      </c>
    </row>
    <row r="11456" spans="1:7" ht="15" x14ac:dyDescent="0.3">
      <c r="A11456">
        <v>39.955444981286497</v>
      </c>
      <c r="B11456">
        <v>-75.246355435936294</v>
      </c>
      <c r="C11456" t="s">
        <v>42</v>
      </c>
      <c r="D11456" t="s">
        <v>6443</v>
      </c>
      <c r="F11456" s="21"/>
      <c r="G11456" s="16" t="str">
        <f>HYPERLINK("http://maps.google.com/maps?f=q&amp;hl=en&amp;geocode=&amp;q=39.9554449812865,-75.2463554359363")</f>
        <v>http://maps.google.com/maps?f=q&amp;hl=en&amp;geocode=&amp;q=39.9554449812865,-75.2463554359363</v>
      </c>
    </row>
    <row r="11457" spans="1:7" ht="15" x14ac:dyDescent="0.3">
      <c r="A11457" t="s">
        <v>44</v>
      </c>
      <c r="B11457" t="s">
        <v>44</v>
      </c>
      <c r="C11457" t="s">
        <v>44</v>
      </c>
      <c r="D11457" t="s">
        <v>6444</v>
      </c>
      <c r="F11457" s="21"/>
      <c r="G11457" s="16"/>
    </row>
    <row r="11458" spans="1:7" ht="15" x14ac:dyDescent="0.3">
      <c r="A11458">
        <v>43.072948455810497</v>
      </c>
      <c r="B11458">
        <v>-89.386688232421903</v>
      </c>
      <c r="C11458" t="s">
        <v>41</v>
      </c>
      <c r="D11458" t="s">
        <v>6445</v>
      </c>
      <c r="F11458" s="21"/>
      <c r="G11458" s="16" t="str">
        <f>HYPERLINK("http://maps.google.com/maps?f=q&amp;hl=en&amp;geocode=&amp;q=43.0729484558105,-89.3866882324219")</f>
        <v>http://maps.google.com/maps?f=q&amp;hl=en&amp;geocode=&amp;q=43.0729484558105,-89.3866882324219</v>
      </c>
    </row>
    <row r="11459" spans="1:7" ht="15" x14ac:dyDescent="0.3">
      <c r="A11459">
        <v>39.943190000000001</v>
      </c>
      <c r="B11459">
        <v>-75.168980000000005</v>
      </c>
      <c r="C11459" t="s">
        <v>43</v>
      </c>
      <c r="D11459" t="s">
        <v>6446</v>
      </c>
      <c r="F11459" s="21"/>
      <c r="G11459" s="16" t="str">
        <f>HYPERLINK("http://maps.google.com/maps?f=q&amp;hl=en&amp;geocode=&amp;q=39.94319,-75.16898")</f>
        <v>http://maps.google.com/maps?f=q&amp;hl=en&amp;geocode=&amp;q=39.94319,-75.16898</v>
      </c>
    </row>
    <row r="11460" spans="1:7" ht="15" x14ac:dyDescent="0.3">
      <c r="A11460">
        <v>43.938812255859403</v>
      </c>
      <c r="B11460">
        <v>-120.558586120605</v>
      </c>
      <c r="C11460" t="s">
        <v>41</v>
      </c>
      <c r="D11460" t="s">
        <v>6447</v>
      </c>
      <c r="F11460" s="21"/>
      <c r="G11460" s="16" t="str">
        <f>HYPERLINK("http://maps.google.com/maps?f=q&amp;hl=en&amp;geocode=&amp;q=43.9388122558594,-120.558586120605")</f>
        <v>http://maps.google.com/maps?f=q&amp;hl=en&amp;geocode=&amp;q=43.9388122558594,-120.558586120605</v>
      </c>
    </row>
    <row r="11461" spans="1:7" ht="15" x14ac:dyDescent="0.3">
      <c r="A11461">
        <v>41.556584339927198</v>
      </c>
      <c r="B11461">
        <v>-80.419804782402906</v>
      </c>
      <c r="C11461" t="s">
        <v>41</v>
      </c>
      <c r="D11461" t="s">
        <v>6448</v>
      </c>
      <c r="F11461" s="21"/>
      <c r="G11461" s="16" t="str">
        <f>HYPERLINK("http://maps.google.com/maps?f=q&amp;hl=en&amp;geocode=&amp;q=41.5565843399272,-80.4198047824029")</f>
        <v>http://maps.google.com/maps?f=q&amp;hl=en&amp;geocode=&amp;q=41.5565843399272,-80.4198047824029</v>
      </c>
    </row>
    <row r="11462" spans="1:7" ht="15" x14ac:dyDescent="0.3">
      <c r="A11462">
        <v>40.499920000000003</v>
      </c>
      <c r="B11462">
        <v>-78.017510000000001</v>
      </c>
      <c r="C11462" t="s">
        <v>43</v>
      </c>
      <c r="D11462" t="s">
        <v>4874</v>
      </c>
      <c r="F11462" s="21"/>
      <c r="G11462" s="16" t="str">
        <f>HYPERLINK("http://maps.google.com/maps?f=q&amp;hl=en&amp;geocode=&amp;q=40.49992,-78.01751")</f>
        <v>http://maps.google.com/maps?f=q&amp;hl=en&amp;geocode=&amp;q=40.49992,-78.01751</v>
      </c>
    </row>
    <row r="11463" spans="1:7" ht="15" x14ac:dyDescent="0.3">
      <c r="A11463">
        <v>40.499920000000003</v>
      </c>
      <c r="B11463">
        <v>-78.017510000000001</v>
      </c>
      <c r="C11463" t="s">
        <v>43</v>
      </c>
      <c r="D11463" t="s">
        <v>4874</v>
      </c>
      <c r="F11463" s="21"/>
      <c r="G11463" s="16" t="str">
        <f>HYPERLINK("http://maps.google.com/maps?f=q&amp;hl=en&amp;geocode=&amp;q=40.49992,-78.01751")</f>
        <v>http://maps.google.com/maps?f=q&amp;hl=en&amp;geocode=&amp;q=40.49992,-78.01751</v>
      </c>
    </row>
    <row r="11464" spans="1:7" ht="15" x14ac:dyDescent="0.3">
      <c r="A11464">
        <v>40.177489999999999</v>
      </c>
      <c r="B11464">
        <v>-74.066130000000001</v>
      </c>
      <c r="C11464" t="s">
        <v>41</v>
      </c>
      <c r="D11464" t="s">
        <v>6449</v>
      </c>
      <c r="F11464" s="21"/>
      <c r="G11464" s="16" t="str">
        <f>HYPERLINK("http://maps.google.com/maps?f=q&amp;hl=en&amp;geocode=&amp;q=40.17749,-74.06613")</f>
        <v>http://maps.google.com/maps?f=q&amp;hl=en&amp;geocode=&amp;q=40.17749,-74.06613</v>
      </c>
    </row>
    <row r="11465" spans="1:7" ht="15" x14ac:dyDescent="0.3">
      <c r="A11465">
        <v>33.670310000000001</v>
      </c>
      <c r="B11465">
        <v>-85.833389999999994</v>
      </c>
      <c r="C11465" t="s">
        <v>43</v>
      </c>
      <c r="D11465" t="s">
        <v>6450</v>
      </c>
      <c r="F11465" s="21"/>
      <c r="G11465" s="16" t="str">
        <f>HYPERLINK("http://maps.google.com/maps?f=q&amp;hl=en&amp;geocode=&amp;q=33.67031,-85.83339")</f>
        <v>http://maps.google.com/maps?f=q&amp;hl=en&amp;geocode=&amp;q=33.67031,-85.83339</v>
      </c>
    </row>
    <row r="11466" spans="1:7" ht="15" x14ac:dyDescent="0.3">
      <c r="A11466" t="s">
        <v>44</v>
      </c>
      <c r="B11466" t="s">
        <v>44</v>
      </c>
      <c r="C11466" t="s">
        <v>44</v>
      </c>
      <c r="D11466" t="s">
        <v>6451</v>
      </c>
      <c r="F11466" s="21"/>
      <c r="G11466" s="16"/>
    </row>
    <row r="11467" spans="1:7" ht="15" x14ac:dyDescent="0.3">
      <c r="A11467" t="s">
        <v>44</v>
      </c>
      <c r="B11467" t="s">
        <v>44</v>
      </c>
      <c r="C11467" t="s">
        <v>44</v>
      </c>
      <c r="D11467" t="s">
        <v>120</v>
      </c>
      <c r="F11467" s="21"/>
      <c r="G11467" s="16"/>
    </row>
    <row r="11468" spans="1:7" ht="15" x14ac:dyDescent="0.3">
      <c r="A11468" t="s">
        <v>44</v>
      </c>
      <c r="B11468" t="s">
        <v>44</v>
      </c>
      <c r="C11468" t="s">
        <v>44</v>
      </c>
      <c r="D11468" t="s">
        <v>120</v>
      </c>
      <c r="F11468" s="21"/>
      <c r="G11468" s="16"/>
    </row>
    <row r="11469" spans="1:7" ht="15" x14ac:dyDescent="0.3">
      <c r="A11469">
        <v>27.784369999999999</v>
      </c>
      <c r="B11469">
        <v>-97.410229999999999</v>
      </c>
      <c r="C11469" t="s">
        <v>43</v>
      </c>
      <c r="D11469" t="s">
        <v>6452</v>
      </c>
      <c r="F11469" s="21"/>
      <c r="G11469" s="16" t="str">
        <f>HYPERLINK("http://maps.google.com/maps?f=q&amp;hl=en&amp;geocode=&amp;q=27.78437,-97.41023")</f>
        <v>http://maps.google.com/maps?f=q&amp;hl=en&amp;geocode=&amp;q=27.78437,-97.41023</v>
      </c>
    </row>
    <row r="11470" spans="1:7" ht="15" x14ac:dyDescent="0.3">
      <c r="A11470">
        <v>33.864253445490903</v>
      </c>
      <c r="B11470">
        <v>-79.813919916269199</v>
      </c>
      <c r="C11470" t="s">
        <v>41</v>
      </c>
      <c r="D11470" t="s">
        <v>6453</v>
      </c>
      <c r="F11470" s="21"/>
      <c r="G11470" s="16" t="str">
        <f>HYPERLINK("http://maps.google.com/maps?f=q&amp;hl=en&amp;geocode=&amp;q=33.8642534454909,-79.8139199162692")</f>
        <v>http://maps.google.com/maps?f=q&amp;hl=en&amp;geocode=&amp;q=33.8642534454909,-79.8139199162692</v>
      </c>
    </row>
    <row r="11471" spans="1:7" ht="15" x14ac:dyDescent="0.3">
      <c r="A11471">
        <v>33.001736422719702</v>
      </c>
      <c r="B11471">
        <v>-96.801505934742394</v>
      </c>
      <c r="C11471" t="s">
        <v>41</v>
      </c>
      <c r="D11471" t="s">
        <v>5358</v>
      </c>
      <c r="F11471" s="21"/>
      <c r="G11471" s="16" t="str">
        <f>HYPERLINK("http://maps.google.com/maps?f=q&amp;hl=en&amp;geocode=&amp;q=33.0017364227197,-96.8015059347424")</f>
        <v>http://maps.google.com/maps?f=q&amp;hl=en&amp;geocode=&amp;q=33.0017364227197,-96.8015059347424</v>
      </c>
    </row>
    <row r="11472" spans="1:7" ht="15" x14ac:dyDescent="0.3">
      <c r="A11472">
        <v>38.695169</v>
      </c>
      <c r="B11472">
        <v>-90.243279000000001</v>
      </c>
      <c r="C11472" t="s">
        <v>41</v>
      </c>
      <c r="D11472" t="s">
        <v>6454</v>
      </c>
      <c r="F11472" s="21"/>
      <c r="G11472" s="16" t="str">
        <f>HYPERLINK("http://maps.google.com/maps?f=q&amp;hl=en&amp;geocode=&amp;q=38.695169,-90.243279")</f>
        <v>http://maps.google.com/maps?f=q&amp;hl=en&amp;geocode=&amp;q=38.695169,-90.243279</v>
      </c>
    </row>
    <row r="11473" spans="1:7" ht="15" x14ac:dyDescent="0.3">
      <c r="A11473">
        <v>47.419471740722699</v>
      </c>
      <c r="B11473">
        <v>6.9597640037536603</v>
      </c>
      <c r="C11473" t="s">
        <v>43</v>
      </c>
      <c r="D11473" t="s">
        <v>6455</v>
      </c>
      <c r="F11473" s="21"/>
      <c r="G11473" s="16" t="str">
        <f>HYPERLINK("http://maps.google.com/maps?f=q&amp;hl=en&amp;geocode=&amp;q=47.4194717407227,6.95976400375366")</f>
        <v>http://maps.google.com/maps?f=q&amp;hl=en&amp;geocode=&amp;q=47.4194717407227,6.95976400375366</v>
      </c>
    </row>
    <row r="11474" spans="1:7" ht="15" x14ac:dyDescent="0.3">
      <c r="A11474">
        <v>47.438194274902301</v>
      </c>
      <c r="B11474">
        <v>7.0448460578918501</v>
      </c>
      <c r="C11474" t="s">
        <v>43</v>
      </c>
      <c r="D11474" t="s">
        <v>6359</v>
      </c>
      <c r="F11474" s="21"/>
      <c r="G11474" s="16" t="str">
        <f>HYPERLINK("http://maps.google.com/maps?f=q&amp;hl=en&amp;geocode=&amp;q=47.4381942749023,7.04484605789185")</f>
        <v>http://maps.google.com/maps?f=q&amp;hl=en&amp;geocode=&amp;q=47.4381942749023,7.04484605789185</v>
      </c>
    </row>
    <row r="11475" spans="1:7" ht="15" x14ac:dyDescent="0.3">
      <c r="A11475">
        <v>33.864836682946702</v>
      </c>
      <c r="B11475">
        <v>-79.808186198131395</v>
      </c>
      <c r="C11475" t="s">
        <v>41</v>
      </c>
      <c r="D11475" t="s">
        <v>6456</v>
      </c>
      <c r="F11475" s="21"/>
      <c r="G11475" s="16" t="str">
        <f>HYPERLINK("http://maps.google.com/maps?f=q&amp;hl=en&amp;geocode=&amp;q=33.8648366829467,-79.8081861981314")</f>
        <v>http://maps.google.com/maps?f=q&amp;hl=en&amp;geocode=&amp;q=33.8648366829467,-79.8081861981314</v>
      </c>
    </row>
    <row r="11476" spans="1:7" ht="15" x14ac:dyDescent="0.3">
      <c r="A11476">
        <v>33.864836682946702</v>
      </c>
      <c r="B11476">
        <v>-79.808186198131395</v>
      </c>
      <c r="C11476" t="s">
        <v>41</v>
      </c>
      <c r="D11476" t="s">
        <v>6456</v>
      </c>
      <c r="F11476" s="21"/>
      <c r="G11476" s="16" t="str">
        <f>HYPERLINK("http://maps.google.com/maps?f=q&amp;hl=en&amp;geocode=&amp;q=33.8648366829467,-79.8081861981314")</f>
        <v>http://maps.google.com/maps?f=q&amp;hl=en&amp;geocode=&amp;q=33.8648366829467,-79.8081861981314</v>
      </c>
    </row>
    <row r="11477" spans="1:7" ht="15" x14ac:dyDescent="0.3">
      <c r="A11477">
        <v>52.209800720214801</v>
      </c>
      <c r="B11477">
        <v>0.111469998955727</v>
      </c>
      <c r="C11477" t="s">
        <v>41</v>
      </c>
      <c r="D11477" t="s">
        <v>6457</v>
      </c>
      <c r="F11477" s="21"/>
      <c r="G11477" s="16" t="str">
        <f>HYPERLINK("http://maps.google.com/maps?f=q&amp;hl=en&amp;geocode=&amp;q=52.2098007202148,0.111469998955727")</f>
        <v>http://maps.google.com/maps?f=q&amp;hl=en&amp;geocode=&amp;q=52.2098007202148,0.111469998955727</v>
      </c>
    </row>
    <row r="11478" spans="1:7" ht="15" x14ac:dyDescent="0.3">
      <c r="A11478" t="s">
        <v>44</v>
      </c>
      <c r="B11478" t="s">
        <v>44</v>
      </c>
      <c r="C11478" t="s">
        <v>44</v>
      </c>
      <c r="D11478" t="s">
        <v>6458</v>
      </c>
      <c r="F11478" s="21"/>
      <c r="G11478" s="16"/>
    </row>
    <row r="11479" spans="1:7" ht="15" x14ac:dyDescent="0.3">
      <c r="A11479">
        <v>39.931069999999998</v>
      </c>
      <c r="B11479">
        <v>-75.173169999999999</v>
      </c>
      <c r="C11479" t="s">
        <v>43</v>
      </c>
      <c r="D11479" t="s">
        <v>6459</v>
      </c>
      <c r="F11479" s="21"/>
      <c r="G11479" s="16" t="str">
        <f>HYPERLINK("http://maps.google.com/maps?f=q&amp;hl=en&amp;geocode=&amp;q=39.93107,-75.17317")</f>
        <v>http://maps.google.com/maps?f=q&amp;hl=en&amp;geocode=&amp;q=39.93107,-75.17317</v>
      </c>
    </row>
    <row r="11480" spans="1:7" ht="15" x14ac:dyDescent="0.3">
      <c r="A11480">
        <v>33.438839999999999</v>
      </c>
      <c r="B11480">
        <v>-101.65725999999999</v>
      </c>
      <c r="C11480" t="s">
        <v>42</v>
      </c>
      <c r="D11480" t="s">
        <v>6460</v>
      </c>
      <c r="F11480" s="21"/>
      <c r="G11480" s="16" t="str">
        <f>HYPERLINK("http://maps.google.com/maps?f=q&amp;hl=en&amp;geocode=&amp;q=33.43884,-101.65726")</f>
        <v>http://maps.google.com/maps?f=q&amp;hl=en&amp;geocode=&amp;q=33.43884,-101.65726</v>
      </c>
    </row>
    <row r="11481" spans="1:7" ht="15" x14ac:dyDescent="0.3">
      <c r="A11481">
        <v>32.8131353758627</v>
      </c>
      <c r="B11481">
        <v>-80.0003995453946</v>
      </c>
      <c r="C11481" t="s">
        <v>41</v>
      </c>
      <c r="D11481" t="s">
        <v>4902</v>
      </c>
      <c r="F11481" s="21"/>
      <c r="G11481" s="16" t="str">
        <f>HYPERLINK("http://maps.google.com/maps?f=q&amp;hl=en&amp;geocode=&amp;q=32.8131353758627,-80.0003995453946")</f>
        <v>http://maps.google.com/maps?f=q&amp;hl=en&amp;geocode=&amp;q=32.8131353758627,-80.0003995453946</v>
      </c>
    </row>
    <row r="11482" spans="1:7" ht="15" x14ac:dyDescent="0.3">
      <c r="A11482" t="s">
        <v>44</v>
      </c>
      <c r="B11482" t="s">
        <v>44</v>
      </c>
      <c r="C11482" t="s">
        <v>44</v>
      </c>
      <c r="D11482" t="s">
        <v>6451</v>
      </c>
      <c r="F11482" s="21"/>
      <c r="G11482" s="16"/>
    </row>
    <row r="11483" spans="1:7" ht="15" x14ac:dyDescent="0.3">
      <c r="A11483">
        <v>39.934874999999998</v>
      </c>
      <c r="B11483">
        <v>-75.172364999999999</v>
      </c>
      <c r="C11483" t="s">
        <v>42</v>
      </c>
      <c r="D11483" t="s">
        <v>6461</v>
      </c>
      <c r="F11483" s="21"/>
      <c r="G11483" s="16" t="str">
        <f>HYPERLINK("http://maps.google.com/maps?f=q&amp;hl=en&amp;geocode=&amp;q=39.934875,-75.172365")</f>
        <v>http://maps.google.com/maps?f=q&amp;hl=en&amp;geocode=&amp;q=39.934875,-75.172365</v>
      </c>
    </row>
    <row r="11484" spans="1:7" ht="15" x14ac:dyDescent="0.3">
      <c r="A11484">
        <v>-37.068550109863303</v>
      </c>
      <c r="B11484">
        <v>142.741134643555</v>
      </c>
      <c r="C11484" t="s">
        <v>41</v>
      </c>
      <c r="D11484" t="s">
        <v>6462</v>
      </c>
      <c r="F11484" s="21"/>
      <c r="G11484" s="16" t="str">
        <f>HYPERLINK("http://maps.google.com/maps?f=q&amp;hl=en&amp;geocode=&amp;q=-37.0685501098633,142.741134643555")</f>
        <v>http://maps.google.com/maps?f=q&amp;hl=en&amp;geocode=&amp;q=-37.0685501098633,142.741134643555</v>
      </c>
    </row>
    <row r="11485" spans="1:7" ht="15" x14ac:dyDescent="0.3">
      <c r="A11485">
        <v>26.100349999999999</v>
      </c>
      <c r="B11485">
        <v>-80.136709999999994</v>
      </c>
      <c r="C11485" t="s">
        <v>42</v>
      </c>
      <c r="D11485" t="s">
        <v>6463</v>
      </c>
      <c r="F11485" s="21"/>
      <c r="G11485" s="16" t="str">
        <f>HYPERLINK("http://maps.google.com/maps?f=q&amp;hl=en&amp;geocode=&amp;q=26.10035,-80.13671")</f>
        <v>http://maps.google.com/maps?f=q&amp;hl=en&amp;geocode=&amp;q=26.10035,-80.13671</v>
      </c>
    </row>
    <row r="11486" spans="1:7" ht="15" x14ac:dyDescent="0.3">
      <c r="A11486">
        <v>40.016758861309803</v>
      </c>
      <c r="B11486">
        <v>-75.210418099833007</v>
      </c>
      <c r="C11486" t="s">
        <v>41</v>
      </c>
      <c r="D11486" t="s">
        <v>831</v>
      </c>
      <c r="F11486" s="21"/>
      <c r="G11486" s="16" t="str">
        <f>HYPERLINK("http://maps.google.com/maps?f=q&amp;hl=en&amp;geocode=&amp;q=40.0167588613098,-75.210418099833")</f>
        <v>http://maps.google.com/maps?f=q&amp;hl=en&amp;geocode=&amp;q=40.0167588613098,-75.210418099833</v>
      </c>
    </row>
    <row r="11487" spans="1:7" ht="15" x14ac:dyDescent="0.3">
      <c r="A11487">
        <v>40.016758861309803</v>
      </c>
      <c r="B11487">
        <v>-75.210418099833007</v>
      </c>
      <c r="C11487" t="s">
        <v>41</v>
      </c>
      <c r="D11487" t="s">
        <v>831</v>
      </c>
      <c r="F11487" s="21"/>
      <c r="G11487" s="16" t="str">
        <f>HYPERLINK("http://maps.google.com/maps?f=q&amp;hl=en&amp;geocode=&amp;q=40.0167588613098,-75.210418099833")</f>
        <v>http://maps.google.com/maps?f=q&amp;hl=en&amp;geocode=&amp;q=40.0167588613098,-75.210418099833</v>
      </c>
    </row>
    <row r="11488" spans="1:7" ht="15" x14ac:dyDescent="0.3">
      <c r="A11488">
        <v>40.056911838667503</v>
      </c>
      <c r="B11488">
        <v>-75.156284852289005</v>
      </c>
      <c r="C11488" t="s">
        <v>41</v>
      </c>
      <c r="D11488" t="s">
        <v>6464</v>
      </c>
      <c r="F11488" s="21"/>
      <c r="G11488" s="16" t="str">
        <f>HYPERLINK("http://maps.google.com/maps?f=q&amp;hl=en&amp;geocode=&amp;q=40.0569118386675,-75.156284852289")</f>
        <v>http://maps.google.com/maps?f=q&amp;hl=en&amp;geocode=&amp;q=40.0569118386675,-75.156284852289</v>
      </c>
    </row>
    <row r="11489" spans="1:7" ht="15" x14ac:dyDescent="0.3">
      <c r="A11489">
        <v>38.491455035432701</v>
      </c>
      <c r="B11489">
        <v>-89.817895222618702</v>
      </c>
      <c r="C11489" t="s">
        <v>41</v>
      </c>
      <c r="D11489" t="s">
        <v>2570</v>
      </c>
      <c r="F11489" s="21"/>
      <c r="G11489" s="16" t="str">
        <f>HYPERLINK("http://maps.google.com/maps?f=q&amp;hl=en&amp;geocode=&amp;q=38.4914550354327,-89.8178952226187")</f>
        <v>http://maps.google.com/maps?f=q&amp;hl=en&amp;geocode=&amp;q=38.4914550354327,-89.8178952226187</v>
      </c>
    </row>
    <row r="11490" spans="1:7" ht="15" x14ac:dyDescent="0.3">
      <c r="A11490">
        <v>40.496250000000003</v>
      </c>
      <c r="B11490">
        <v>-78.016540000000006</v>
      </c>
      <c r="C11490" t="s">
        <v>43</v>
      </c>
      <c r="D11490" t="s">
        <v>6465</v>
      </c>
      <c r="F11490" s="21"/>
      <c r="G11490" s="16" t="str">
        <f>HYPERLINK("http://maps.google.com/maps?f=q&amp;hl=en&amp;geocode=&amp;q=40.49625,-78.01654")</f>
        <v>http://maps.google.com/maps?f=q&amp;hl=en&amp;geocode=&amp;q=40.49625,-78.01654</v>
      </c>
    </row>
    <row r="11491" spans="1:7" ht="15" x14ac:dyDescent="0.3">
      <c r="A11491">
        <v>39.948359748369803</v>
      </c>
      <c r="B11491">
        <v>-75.2397064042935</v>
      </c>
      <c r="C11491" t="s">
        <v>41</v>
      </c>
      <c r="D11491" t="s">
        <v>319</v>
      </c>
      <c r="F11491" s="21"/>
      <c r="G11491" s="16" t="str">
        <f>HYPERLINK("http://maps.google.com/maps?f=q&amp;hl=en&amp;geocode=&amp;q=39.9483597483698,-75.2397064042935")</f>
        <v>http://maps.google.com/maps?f=q&amp;hl=en&amp;geocode=&amp;q=39.9483597483698,-75.2397064042935</v>
      </c>
    </row>
    <row r="11492" spans="1:7" ht="15" x14ac:dyDescent="0.3">
      <c r="A11492" t="s">
        <v>44</v>
      </c>
      <c r="B11492" t="s">
        <v>44</v>
      </c>
      <c r="C11492" t="s">
        <v>44</v>
      </c>
      <c r="D11492" t="s">
        <v>4438</v>
      </c>
      <c r="F11492" s="21"/>
      <c r="G11492" s="16"/>
    </row>
    <row r="11493" spans="1:7" ht="15" x14ac:dyDescent="0.3">
      <c r="A11493">
        <v>39.971780929061197</v>
      </c>
      <c r="B11493">
        <v>-75.167776680000799</v>
      </c>
      <c r="C11493" t="s">
        <v>41</v>
      </c>
      <c r="D11493" t="s">
        <v>6466</v>
      </c>
      <c r="F11493" s="21"/>
      <c r="G11493" s="16" t="str">
        <f>HYPERLINK("http://maps.google.com/maps?f=q&amp;hl=en&amp;geocode=&amp;q=39.9717809290612,-75.1677766800008")</f>
        <v>http://maps.google.com/maps?f=q&amp;hl=en&amp;geocode=&amp;q=39.9717809290612,-75.1677766800008</v>
      </c>
    </row>
    <row r="11494" spans="1:7" ht="15" x14ac:dyDescent="0.3">
      <c r="A11494" t="s">
        <v>44</v>
      </c>
      <c r="B11494" t="s">
        <v>44</v>
      </c>
      <c r="C11494" t="s">
        <v>44</v>
      </c>
      <c r="D11494" t="s">
        <v>4438</v>
      </c>
      <c r="F11494" s="21"/>
      <c r="G11494" s="16"/>
    </row>
    <row r="11495" spans="1:7" ht="15" x14ac:dyDescent="0.3">
      <c r="A11495" t="s">
        <v>44</v>
      </c>
      <c r="B11495" t="s">
        <v>44</v>
      </c>
      <c r="C11495" t="s">
        <v>44</v>
      </c>
      <c r="D11495" t="s">
        <v>3225</v>
      </c>
      <c r="F11495" s="21"/>
      <c r="G11495" s="16"/>
    </row>
    <row r="11496" spans="1:7" ht="15" x14ac:dyDescent="0.3">
      <c r="A11496" t="s">
        <v>44</v>
      </c>
      <c r="B11496" t="s">
        <v>44</v>
      </c>
      <c r="C11496" t="s">
        <v>44</v>
      </c>
      <c r="D11496" t="s">
        <v>4438</v>
      </c>
      <c r="F11496" s="21"/>
      <c r="G11496" s="16"/>
    </row>
    <row r="11497" spans="1:7" ht="15" x14ac:dyDescent="0.3">
      <c r="A11497">
        <v>31.009934501394198</v>
      </c>
      <c r="B11497">
        <v>-86.337775793885399</v>
      </c>
      <c r="C11497" t="s">
        <v>41</v>
      </c>
      <c r="D11497" t="s">
        <v>4216</v>
      </c>
      <c r="F11497" s="21"/>
      <c r="G11497" s="16" t="str">
        <f>HYPERLINK("http://maps.google.com/maps?f=q&amp;hl=en&amp;geocode=&amp;q=31.0099345013942,-86.3377757938854")</f>
        <v>http://maps.google.com/maps?f=q&amp;hl=en&amp;geocode=&amp;q=31.0099345013942,-86.3377757938854</v>
      </c>
    </row>
    <row r="11498" spans="1:7" ht="15" x14ac:dyDescent="0.3">
      <c r="A11498">
        <v>39.8590302934562</v>
      </c>
      <c r="B11498">
        <v>-88.983739233666</v>
      </c>
      <c r="C11498" t="s">
        <v>41</v>
      </c>
      <c r="D11498" t="s">
        <v>6467</v>
      </c>
      <c r="F11498" s="21"/>
      <c r="G11498" s="16" t="str">
        <f>HYPERLINK("http://maps.google.com/maps?f=q&amp;hl=en&amp;geocode=&amp;q=39.8590302934562,-88.983739233666")</f>
        <v>http://maps.google.com/maps?f=q&amp;hl=en&amp;geocode=&amp;q=39.8590302934562,-88.983739233666</v>
      </c>
    </row>
    <row r="11499" spans="1:7" ht="15" x14ac:dyDescent="0.3">
      <c r="A11499">
        <v>49.508270263671903</v>
      </c>
      <c r="B11499">
        <v>5.9829940795898402</v>
      </c>
      <c r="C11499" t="s">
        <v>41</v>
      </c>
      <c r="D11499" t="s">
        <v>6468</v>
      </c>
      <c r="F11499" s="21"/>
      <c r="G11499" s="16" t="str">
        <f>HYPERLINK("http://maps.google.com/maps?f=q&amp;hl=en&amp;geocode=&amp;q=49.5082702636719,5.98299407958984")</f>
        <v>http://maps.google.com/maps?f=q&amp;hl=en&amp;geocode=&amp;q=49.5082702636719,5.98299407958984</v>
      </c>
    </row>
    <row r="11500" spans="1:7" ht="15" x14ac:dyDescent="0.3">
      <c r="A11500" t="s">
        <v>44</v>
      </c>
      <c r="B11500" t="s">
        <v>44</v>
      </c>
      <c r="C11500" t="s">
        <v>44</v>
      </c>
      <c r="D11500" t="s">
        <v>4438</v>
      </c>
      <c r="F11500" s="21"/>
      <c r="G11500" s="16"/>
    </row>
    <row r="11501" spans="1:7" ht="15" x14ac:dyDescent="0.3">
      <c r="A11501" t="s">
        <v>44</v>
      </c>
      <c r="B11501" t="s">
        <v>44</v>
      </c>
      <c r="C11501" t="s">
        <v>44</v>
      </c>
      <c r="D11501" t="s">
        <v>6469</v>
      </c>
      <c r="F11501" s="21"/>
      <c r="G11501" s="16"/>
    </row>
    <row r="11502" spans="1:7" ht="15" x14ac:dyDescent="0.3">
      <c r="A11502" t="s">
        <v>44</v>
      </c>
      <c r="B11502" t="s">
        <v>44</v>
      </c>
      <c r="C11502" t="s">
        <v>44</v>
      </c>
      <c r="D11502" t="s">
        <v>1243</v>
      </c>
      <c r="F11502" s="21"/>
      <c r="G11502" s="16"/>
    </row>
    <row r="11503" spans="1:7" ht="15" x14ac:dyDescent="0.3">
      <c r="A11503">
        <v>39.15099</v>
      </c>
      <c r="B11503">
        <v>-76.725099999999998</v>
      </c>
      <c r="C11503" t="s">
        <v>41</v>
      </c>
      <c r="D11503" t="s">
        <v>6470</v>
      </c>
      <c r="F11503" s="21"/>
      <c r="G11503" s="16" t="str">
        <f>HYPERLINK("http://maps.google.com/maps?f=q&amp;hl=en&amp;geocode=&amp;q=39.15099,-76.7251")</f>
        <v>http://maps.google.com/maps?f=q&amp;hl=en&amp;geocode=&amp;q=39.15099,-76.7251</v>
      </c>
    </row>
    <row r="11504" spans="1:7" ht="15" x14ac:dyDescent="0.3">
      <c r="A11504" t="s">
        <v>44</v>
      </c>
      <c r="B11504" t="s">
        <v>44</v>
      </c>
      <c r="C11504" t="s">
        <v>44</v>
      </c>
      <c r="D11504" t="s">
        <v>6471</v>
      </c>
      <c r="F11504" s="21"/>
      <c r="G11504" s="16"/>
    </row>
    <row r="11505" spans="1:7" ht="15" x14ac:dyDescent="0.3">
      <c r="A11505">
        <v>38.588470000000001</v>
      </c>
      <c r="B11505">
        <v>-122.58041</v>
      </c>
      <c r="C11505" t="s">
        <v>42</v>
      </c>
      <c r="D11505" t="s">
        <v>6428</v>
      </c>
      <c r="F11505" s="21"/>
      <c r="G11505" s="16" t="str">
        <f>HYPERLINK("http://maps.google.com/maps?f=q&amp;hl=en&amp;geocode=&amp;q=38.58847,-122.58041")</f>
        <v>http://maps.google.com/maps?f=q&amp;hl=en&amp;geocode=&amp;q=38.58847,-122.58041</v>
      </c>
    </row>
    <row r="11506" spans="1:7" ht="15" x14ac:dyDescent="0.3">
      <c r="A11506" t="s">
        <v>44</v>
      </c>
      <c r="B11506" t="s">
        <v>44</v>
      </c>
      <c r="C11506" t="s">
        <v>44</v>
      </c>
      <c r="D11506" t="s">
        <v>5418</v>
      </c>
      <c r="F11506" s="21"/>
      <c r="G11506" s="16"/>
    </row>
    <row r="11507" spans="1:7" ht="15" x14ac:dyDescent="0.3">
      <c r="A11507">
        <v>47.575959753228197</v>
      </c>
      <c r="B11507">
        <v>-122.65297291205999</v>
      </c>
      <c r="C11507" t="s">
        <v>41</v>
      </c>
      <c r="D11507" t="s">
        <v>6472</v>
      </c>
      <c r="F11507" s="21"/>
      <c r="G11507" s="16" t="str">
        <f>HYPERLINK("http://maps.google.com/maps?f=q&amp;hl=en&amp;geocode=&amp;q=47.5759597532282,-122.65297291206")</f>
        <v>http://maps.google.com/maps?f=q&amp;hl=en&amp;geocode=&amp;q=47.5759597532282,-122.65297291206</v>
      </c>
    </row>
    <row r="11508" spans="1:7" ht="15" x14ac:dyDescent="0.3">
      <c r="A11508" t="s">
        <v>44</v>
      </c>
      <c r="B11508" t="s">
        <v>44</v>
      </c>
      <c r="C11508" t="s">
        <v>44</v>
      </c>
      <c r="D11508" t="s">
        <v>6473</v>
      </c>
      <c r="F11508" s="21"/>
      <c r="G11508" s="16"/>
    </row>
    <row r="11509" spans="1:7" ht="15" x14ac:dyDescent="0.3">
      <c r="A11509">
        <v>46.609786987304702</v>
      </c>
      <c r="B11509">
        <v>7.0067167282104501</v>
      </c>
      <c r="C11509" t="s">
        <v>41</v>
      </c>
      <c r="D11509" t="s">
        <v>6474</v>
      </c>
      <c r="F11509" s="21"/>
      <c r="G11509" s="16" t="str">
        <f>HYPERLINK("http://maps.google.com/maps?f=q&amp;hl=en&amp;geocode=&amp;q=46.6097869873047,7.00671672821045")</f>
        <v>http://maps.google.com/maps?f=q&amp;hl=en&amp;geocode=&amp;q=46.6097869873047,7.00671672821045</v>
      </c>
    </row>
    <row r="11510" spans="1:7" ht="15" x14ac:dyDescent="0.3">
      <c r="A11510">
        <v>-33.904598236083999</v>
      </c>
      <c r="B11510">
        <v>151.085037231445</v>
      </c>
      <c r="C11510" t="s">
        <v>41</v>
      </c>
      <c r="D11510" t="s">
        <v>6475</v>
      </c>
      <c r="F11510" s="21"/>
      <c r="G11510" s="16" t="str">
        <f>HYPERLINK("http://maps.google.com/maps?f=q&amp;hl=en&amp;geocode=&amp;q=-33.904598236084,151.085037231445")</f>
        <v>http://maps.google.com/maps?f=q&amp;hl=en&amp;geocode=&amp;q=-33.904598236084,151.085037231445</v>
      </c>
    </row>
    <row r="11511" spans="1:7" ht="15" x14ac:dyDescent="0.3">
      <c r="A11511">
        <v>37.326799770214102</v>
      </c>
      <c r="B11511">
        <v>-121.833699122665</v>
      </c>
      <c r="C11511" t="s">
        <v>41</v>
      </c>
      <c r="D11511" t="s">
        <v>6476</v>
      </c>
      <c r="F11511" s="21"/>
      <c r="G11511" s="16" t="str">
        <f>HYPERLINK("http://maps.google.com/maps?f=q&amp;hl=en&amp;geocode=&amp;q=37.3267997702141,-121.833699122665")</f>
        <v>http://maps.google.com/maps?f=q&amp;hl=en&amp;geocode=&amp;q=37.3267997702141,-121.833699122665</v>
      </c>
    </row>
    <row r="11512" spans="1:7" ht="15" x14ac:dyDescent="0.3">
      <c r="A11512" t="s">
        <v>44</v>
      </c>
      <c r="B11512" t="s">
        <v>44</v>
      </c>
      <c r="C11512" t="s">
        <v>44</v>
      </c>
      <c r="D11512" t="s">
        <v>6477</v>
      </c>
      <c r="F11512" s="21"/>
      <c r="G11512" s="16"/>
    </row>
    <row r="11513" spans="1:7" ht="15" x14ac:dyDescent="0.3">
      <c r="A11513">
        <v>41.510819484024303</v>
      </c>
      <c r="B11513">
        <v>-78.227598509256197</v>
      </c>
      <c r="C11513" t="s">
        <v>41</v>
      </c>
      <c r="D11513" t="s">
        <v>4157</v>
      </c>
      <c r="F11513" s="21"/>
      <c r="G11513" s="16" t="str">
        <f>HYPERLINK("http://maps.google.com/maps?f=q&amp;hl=en&amp;geocode=&amp;q=41.5108194840243,-78.2275985092562")</f>
        <v>http://maps.google.com/maps?f=q&amp;hl=en&amp;geocode=&amp;q=41.5108194840243,-78.2275985092562</v>
      </c>
    </row>
    <row r="11514" spans="1:7" ht="15" x14ac:dyDescent="0.3">
      <c r="A11514">
        <v>35.105589999999999</v>
      </c>
      <c r="B11514">
        <v>-90.019360000000006</v>
      </c>
      <c r="C11514" t="s">
        <v>41</v>
      </c>
      <c r="D11514" t="s">
        <v>4343</v>
      </c>
      <c r="F11514" s="21"/>
      <c r="G11514" s="16" t="str">
        <f>HYPERLINK("http://maps.google.com/maps?f=q&amp;hl=en&amp;geocode=&amp;q=35.10559,-90.01936")</f>
        <v>http://maps.google.com/maps?f=q&amp;hl=en&amp;geocode=&amp;q=35.10559,-90.01936</v>
      </c>
    </row>
    <row r="11515" spans="1:7" ht="15" x14ac:dyDescent="0.3">
      <c r="A11515" t="s">
        <v>44</v>
      </c>
      <c r="B11515" t="s">
        <v>44</v>
      </c>
      <c r="C11515" t="s">
        <v>44</v>
      </c>
      <c r="D11515" t="s">
        <v>4532</v>
      </c>
      <c r="F11515" s="21"/>
      <c r="G11515" s="16"/>
    </row>
    <row r="11516" spans="1:7" ht="15" x14ac:dyDescent="0.3">
      <c r="A11516" t="s">
        <v>44</v>
      </c>
      <c r="B11516" t="s">
        <v>44</v>
      </c>
      <c r="C11516" t="s">
        <v>44</v>
      </c>
      <c r="D11516" t="s">
        <v>4532</v>
      </c>
      <c r="F11516" s="21"/>
      <c r="G11516" s="16"/>
    </row>
    <row r="11517" spans="1:7" ht="15" x14ac:dyDescent="0.3">
      <c r="A11517">
        <v>48.267347063651897</v>
      </c>
      <c r="B11517">
        <v>-97.470142070667507</v>
      </c>
      <c r="C11517" t="s">
        <v>41</v>
      </c>
      <c r="D11517" t="s">
        <v>693</v>
      </c>
      <c r="F11517" s="21"/>
      <c r="G11517" s="16" t="str">
        <f>HYPERLINK("http://maps.google.com/maps?f=q&amp;hl=en&amp;geocode=&amp;q=48.2673470636519,-97.4701420706675")</f>
        <v>http://maps.google.com/maps?f=q&amp;hl=en&amp;geocode=&amp;q=48.2673470636519,-97.4701420706675</v>
      </c>
    </row>
    <row r="11518" spans="1:7" ht="15" x14ac:dyDescent="0.3">
      <c r="A11518">
        <v>40.065422599820202</v>
      </c>
      <c r="B11518">
        <v>-76.275415341847193</v>
      </c>
      <c r="C11518" t="s">
        <v>41</v>
      </c>
      <c r="D11518" t="s">
        <v>2515</v>
      </c>
      <c r="F11518" s="21"/>
      <c r="G11518" s="16" t="str">
        <f>HYPERLINK("http://maps.google.com/maps?f=q&amp;hl=en&amp;geocode=&amp;q=40.0654225998202,-76.2754153418472")</f>
        <v>http://maps.google.com/maps?f=q&amp;hl=en&amp;geocode=&amp;q=40.0654225998202,-76.2754153418472</v>
      </c>
    </row>
    <row r="11519" spans="1:7" ht="15" x14ac:dyDescent="0.3">
      <c r="A11519">
        <v>40.026373002701298</v>
      </c>
      <c r="B11519">
        <v>-75.225474499451195</v>
      </c>
      <c r="C11519" t="s">
        <v>43</v>
      </c>
      <c r="D11519" t="s">
        <v>6478</v>
      </c>
      <c r="F11519" s="21"/>
      <c r="G11519" s="16" t="str">
        <f>HYPERLINK("http://maps.google.com/maps?f=q&amp;hl=en&amp;geocode=&amp;q=40.0263730027013,-75.2254744994512")</f>
        <v>http://maps.google.com/maps?f=q&amp;hl=en&amp;geocode=&amp;q=40.0263730027013,-75.2254744994512</v>
      </c>
    </row>
    <row r="11520" spans="1:7" ht="15" x14ac:dyDescent="0.3">
      <c r="A11520">
        <v>46.955168205340698</v>
      </c>
      <c r="B11520">
        <v>-114.011374755454</v>
      </c>
      <c r="C11520" t="s">
        <v>41</v>
      </c>
      <c r="D11520" t="s">
        <v>4602</v>
      </c>
      <c r="F11520" s="21"/>
      <c r="G11520" s="16" t="str">
        <f>HYPERLINK("http://maps.google.com/maps?f=q&amp;hl=en&amp;geocode=&amp;q=46.9551682053407,-114.011374755454")</f>
        <v>http://maps.google.com/maps?f=q&amp;hl=en&amp;geocode=&amp;q=46.9551682053407,-114.011374755454</v>
      </c>
    </row>
    <row r="11521" spans="1:7" ht="15" x14ac:dyDescent="0.3">
      <c r="A11521">
        <v>41.092313487596797</v>
      </c>
      <c r="B11521">
        <v>-85.112541453908094</v>
      </c>
      <c r="C11521" t="s">
        <v>41</v>
      </c>
      <c r="D11521" t="s">
        <v>3457</v>
      </c>
      <c r="F11521" s="21"/>
      <c r="G11521" s="16" t="str">
        <f>HYPERLINK("http://maps.google.com/maps?f=q&amp;hl=en&amp;geocode=&amp;q=41.0923134875968,-85.1125414539081")</f>
        <v>http://maps.google.com/maps?f=q&amp;hl=en&amp;geocode=&amp;q=41.0923134875968,-85.1125414539081</v>
      </c>
    </row>
    <row r="11522" spans="1:7" ht="15" x14ac:dyDescent="0.3">
      <c r="A11522" t="s">
        <v>44</v>
      </c>
      <c r="B11522" t="s">
        <v>44</v>
      </c>
      <c r="C11522" t="s">
        <v>44</v>
      </c>
      <c r="D11522" t="s">
        <v>6479</v>
      </c>
      <c r="F11522" s="21"/>
      <c r="G11522" s="16"/>
    </row>
    <row r="11523" spans="1:7" ht="15" x14ac:dyDescent="0.3">
      <c r="A11523">
        <v>39.403060000000004</v>
      </c>
      <c r="B11523">
        <v>-83.982119999999995</v>
      </c>
      <c r="C11523" t="s">
        <v>43</v>
      </c>
      <c r="D11523" t="s">
        <v>3129</v>
      </c>
      <c r="F11523" s="21"/>
      <c r="G11523" s="16" t="str">
        <f>HYPERLINK("http://maps.google.com/maps?f=q&amp;hl=en&amp;geocode=&amp;q=39.40306,-83.98212")</f>
        <v>http://maps.google.com/maps?f=q&amp;hl=en&amp;geocode=&amp;q=39.40306,-83.98212</v>
      </c>
    </row>
    <row r="11524" spans="1:7" ht="15" x14ac:dyDescent="0.3">
      <c r="A11524" t="s">
        <v>44</v>
      </c>
      <c r="B11524" t="s">
        <v>44</v>
      </c>
      <c r="C11524" t="s">
        <v>44</v>
      </c>
      <c r="D11524" t="s">
        <v>6480</v>
      </c>
      <c r="F11524" s="21"/>
      <c r="G11524" s="16"/>
    </row>
    <row r="11525" spans="1:7" ht="15" x14ac:dyDescent="0.3">
      <c r="A11525">
        <v>40.572113037109403</v>
      </c>
      <c r="B11525">
        <v>-4.9450531005859402</v>
      </c>
      <c r="C11525" t="s">
        <v>43</v>
      </c>
      <c r="D11525" t="s">
        <v>6481</v>
      </c>
      <c r="F11525" s="21"/>
      <c r="G11525" s="16" t="str">
        <f>HYPERLINK("http://maps.google.com/maps?f=q&amp;hl=en&amp;geocode=&amp;q=40.5721130371094,-4.94505310058594")</f>
        <v>http://maps.google.com/maps?f=q&amp;hl=en&amp;geocode=&amp;q=40.5721130371094,-4.94505310058594</v>
      </c>
    </row>
    <row r="11526" spans="1:7" ht="15" x14ac:dyDescent="0.3">
      <c r="A11526">
        <v>44.551789999999997</v>
      </c>
      <c r="B11526">
        <v>-69.609859999999998</v>
      </c>
      <c r="C11526" t="s">
        <v>42</v>
      </c>
      <c r="D11526" t="s">
        <v>2852</v>
      </c>
      <c r="F11526" s="21"/>
      <c r="G11526" s="16" t="str">
        <f>HYPERLINK("http://maps.google.com/maps?f=q&amp;hl=en&amp;geocode=&amp;q=44.55179,-69.60986")</f>
        <v>http://maps.google.com/maps?f=q&amp;hl=en&amp;geocode=&amp;q=44.55179,-69.60986</v>
      </c>
    </row>
    <row r="11527" spans="1:7" ht="15" x14ac:dyDescent="0.3">
      <c r="A11527">
        <v>49.672069549560497</v>
      </c>
      <c r="B11527">
        <v>5.76058101654053</v>
      </c>
      <c r="C11527" t="s">
        <v>43</v>
      </c>
      <c r="D11527" t="s">
        <v>6482</v>
      </c>
      <c r="F11527" s="21"/>
      <c r="G11527" s="16" t="str">
        <f>HYPERLINK("http://maps.google.com/maps?f=q&amp;hl=en&amp;geocode=&amp;q=49.6720695495605,5.76058101654053")</f>
        <v>http://maps.google.com/maps?f=q&amp;hl=en&amp;geocode=&amp;q=49.6720695495605,5.76058101654053</v>
      </c>
    </row>
    <row r="11528" spans="1:7" ht="15" x14ac:dyDescent="0.3">
      <c r="A11528">
        <v>36.502029418945298</v>
      </c>
      <c r="B11528">
        <v>-88.325889587402301</v>
      </c>
      <c r="C11528" t="s">
        <v>43</v>
      </c>
      <c r="D11528" t="s">
        <v>6483</v>
      </c>
      <c r="F11528" s="21"/>
      <c r="G11528" s="16" t="str">
        <f>HYPERLINK("http://maps.google.com/maps?f=q&amp;hl=en&amp;geocode=&amp;q=36.5020294189453,-88.3258895874023")</f>
        <v>http://maps.google.com/maps?f=q&amp;hl=en&amp;geocode=&amp;q=36.5020294189453,-88.3258895874023</v>
      </c>
    </row>
    <row r="11529" spans="1:7" ht="15" x14ac:dyDescent="0.3">
      <c r="A11529">
        <v>33.485517675832703</v>
      </c>
      <c r="B11529">
        <v>-83.215088669555101</v>
      </c>
      <c r="C11529" t="s">
        <v>41</v>
      </c>
      <c r="D11529" t="s">
        <v>6484</v>
      </c>
      <c r="F11529" s="21"/>
      <c r="G11529" s="16" t="str">
        <f>HYPERLINK("http://maps.google.com/maps?f=q&amp;hl=en&amp;geocode=&amp;q=33.4855176758327,-83.2150886695551")</f>
        <v>http://maps.google.com/maps?f=q&amp;hl=en&amp;geocode=&amp;q=33.4855176758327,-83.2150886695551</v>
      </c>
    </row>
    <row r="11530" spans="1:7" ht="15" x14ac:dyDescent="0.3">
      <c r="A11530">
        <v>40.448230000000002</v>
      </c>
      <c r="B11530">
        <v>-79.986879999999999</v>
      </c>
      <c r="C11530" t="s">
        <v>43</v>
      </c>
      <c r="D11530" t="s">
        <v>6485</v>
      </c>
      <c r="F11530" s="21"/>
      <c r="G11530" s="16" t="str">
        <f>HYPERLINK("http://maps.google.com/maps?f=q&amp;hl=en&amp;geocode=&amp;q=40.44823,-79.98688")</f>
        <v>http://maps.google.com/maps?f=q&amp;hl=en&amp;geocode=&amp;q=40.44823,-79.98688</v>
      </c>
    </row>
    <row r="11531" spans="1:7" ht="15" x14ac:dyDescent="0.3">
      <c r="A11531">
        <v>-26.165460586547901</v>
      </c>
      <c r="B11531">
        <v>27.966609954833999</v>
      </c>
      <c r="C11531" t="s">
        <v>41</v>
      </c>
      <c r="D11531" t="s">
        <v>6486</v>
      </c>
      <c r="F11531" s="21"/>
      <c r="G11531" s="16" t="str">
        <f>HYPERLINK("http://maps.google.com/maps?f=q&amp;hl=en&amp;geocode=&amp;q=-26.1654605865479,27.966609954834")</f>
        <v>http://maps.google.com/maps?f=q&amp;hl=en&amp;geocode=&amp;q=-26.1654605865479,27.966609954834</v>
      </c>
    </row>
    <row r="11532" spans="1:7" ht="15" x14ac:dyDescent="0.3">
      <c r="A11532">
        <v>39.937849999999997</v>
      </c>
      <c r="B11532">
        <v>-75.174949999999995</v>
      </c>
      <c r="C11532" t="s">
        <v>42</v>
      </c>
      <c r="D11532" t="s">
        <v>6487</v>
      </c>
      <c r="F11532" s="21"/>
      <c r="G11532" s="16" t="str">
        <f>HYPERLINK("http://maps.google.com/maps?f=q&amp;hl=en&amp;geocode=&amp;q=39.93785,-75.17495")</f>
        <v>http://maps.google.com/maps?f=q&amp;hl=en&amp;geocode=&amp;q=39.93785,-75.17495</v>
      </c>
    </row>
    <row r="11533" spans="1:7" ht="15" x14ac:dyDescent="0.3">
      <c r="A11533">
        <v>38.85521</v>
      </c>
      <c r="B11533">
        <v>-77.194609999999997</v>
      </c>
      <c r="C11533" t="s">
        <v>43</v>
      </c>
      <c r="D11533" t="s">
        <v>6488</v>
      </c>
      <c r="F11533" s="21"/>
      <c r="G11533" s="16" t="str">
        <f>HYPERLINK("http://maps.google.com/maps?f=q&amp;hl=en&amp;geocode=&amp;q=38.85521,-77.19461")</f>
        <v>http://maps.google.com/maps?f=q&amp;hl=en&amp;geocode=&amp;q=38.85521,-77.19461</v>
      </c>
    </row>
    <row r="11534" spans="1:7" ht="15" x14ac:dyDescent="0.3">
      <c r="A11534">
        <v>40.04365</v>
      </c>
      <c r="B11534">
        <v>-75.078599999999994</v>
      </c>
      <c r="C11534" t="s">
        <v>41</v>
      </c>
      <c r="D11534" t="s">
        <v>6489</v>
      </c>
      <c r="F11534" s="21"/>
      <c r="G11534" s="16" t="str">
        <f>HYPERLINK("http://maps.google.com/maps?f=q&amp;hl=en&amp;geocode=&amp;q=40.04365,-75.0786")</f>
        <v>http://maps.google.com/maps?f=q&amp;hl=en&amp;geocode=&amp;q=40.04365,-75.0786</v>
      </c>
    </row>
    <row r="11535" spans="1:7" ht="15" x14ac:dyDescent="0.3">
      <c r="A11535">
        <v>29.549240011578501</v>
      </c>
      <c r="B11535">
        <v>-82.671499707809701</v>
      </c>
      <c r="C11535" t="s">
        <v>41</v>
      </c>
      <c r="D11535" t="s">
        <v>5256</v>
      </c>
      <c r="F11535" s="21"/>
      <c r="G11535" s="16" t="str">
        <f>HYPERLINK("http://maps.google.com/maps?f=q&amp;hl=en&amp;geocode=&amp;q=29.5492400115785,-82.6714997078097")</f>
        <v>http://maps.google.com/maps?f=q&amp;hl=en&amp;geocode=&amp;q=29.5492400115785,-82.6714997078097</v>
      </c>
    </row>
    <row r="11536" spans="1:7" ht="15" x14ac:dyDescent="0.3">
      <c r="A11536">
        <v>32.642203514985603</v>
      </c>
      <c r="B11536">
        <v>-97.030505738964806</v>
      </c>
      <c r="C11536" t="s">
        <v>41</v>
      </c>
      <c r="D11536" t="s">
        <v>6040</v>
      </c>
      <c r="F11536" s="21"/>
      <c r="G11536" s="16" t="str">
        <f>HYPERLINK("http://maps.google.com/maps?f=q&amp;hl=en&amp;geocode=&amp;q=32.6422035149856,-97.0305057389648")</f>
        <v>http://maps.google.com/maps?f=q&amp;hl=en&amp;geocode=&amp;q=32.6422035149856,-97.0305057389648</v>
      </c>
    </row>
    <row r="11537" spans="1:7" ht="15" x14ac:dyDescent="0.3">
      <c r="A11537">
        <v>40.065422599820202</v>
      </c>
      <c r="B11537">
        <v>-76.275415341847193</v>
      </c>
      <c r="C11537" t="s">
        <v>41</v>
      </c>
      <c r="D11537" t="s">
        <v>2515</v>
      </c>
      <c r="F11537" s="21"/>
      <c r="G11537" s="16" t="str">
        <f>HYPERLINK("http://maps.google.com/maps?f=q&amp;hl=en&amp;geocode=&amp;q=40.0654225998202,-76.2754153418472")</f>
        <v>http://maps.google.com/maps?f=q&amp;hl=en&amp;geocode=&amp;q=40.0654225998202,-76.2754153418472</v>
      </c>
    </row>
    <row r="11538" spans="1:7" ht="15" x14ac:dyDescent="0.3">
      <c r="A11538" t="s">
        <v>44</v>
      </c>
      <c r="B11538" t="s">
        <v>44</v>
      </c>
      <c r="C11538" t="s">
        <v>44</v>
      </c>
      <c r="D11538" t="s">
        <v>5418</v>
      </c>
      <c r="F11538" s="21"/>
      <c r="G11538" s="16"/>
    </row>
    <row r="11539" spans="1:7" ht="15" x14ac:dyDescent="0.3">
      <c r="A11539">
        <v>42.156901348346402</v>
      </c>
      <c r="B11539">
        <v>-79.364354325296006</v>
      </c>
      <c r="C11539" t="s">
        <v>41</v>
      </c>
      <c r="D11539" t="s">
        <v>6430</v>
      </c>
      <c r="F11539" s="21"/>
      <c r="G11539" s="16" t="str">
        <f>HYPERLINK("http://maps.google.com/maps?f=q&amp;hl=en&amp;geocode=&amp;q=42.1569013483464,-79.364354325296")</f>
        <v>http://maps.google.com/maps?f=q&amp;hl=en&amp;geocode=&amp;q=42.1569013483464,-79.364354325296</v>
      </c>
    </row>
    <row r="11540" spans="1:7" ht="15" x14ac:dyDescent="0.3">
      <c r="A11540">
        <v>38.644458707449601</v>
      </c>
      <c r="B11540">
        <v>-90.249351100368202</v>
      </c>
      <c r="C11540" t="s">
        <v>41</v>
      </c>
      <c r="D11540" t="s">
        <v>6429</v>
      </c>
      <c r="F11540" s="21"/>
      <c r="G11540" s="16" t="str">
        <f>HYPERLINK("http://maps.google.com/maps?f=q&amp;hl=en&amp;geocode=&amp;q=38.6444587074496,-90.2493511003682")</f>
        <v>http://maps.google.com/maps?f=q&amp;hl=en&amp;geocode=&amp;q=38.6444587074496,-90.2493511003682</v>
      </c>
    </row>
    <row r="11541" spans="1:7" ht="15" x14ac:dyDescent="0.3">
      <c r="A11541">
        <v>40.8119308896379</v>
      </c>
      <c r="B11541">
        <v>-96.696824179555705</v>
      </c>
      <c r="C11541" t="s">
        <v>41</v>
      </c>
      <c r="D11541" t="s">
        <v>6490</v>
      </c>
      <c r="F11541" s="21"/>
      <c r="G11541" s="16" t="str">
        <f>HYPERLINK("http://maps.google.com/maps?f=q&amp;hl=en&amp;geocode=&amp;q=40.8119308896379,-96.6968241795557")</f>
        <v>http://maps.google.com/maps?f=q&amp;hl=en&amp;geocode=&amp;q=40.8119308896379,-96.6968241795557</v>
      </c>
    </row>
    <row r="11542" spans="1:7" ht="15" x14ac:dyDescent="0.3">
      <c r="A11542">
        <v>37.219373979797901</v>
      </c>
      <c r="B11542">
        <v>-93.334881784426202</v>
      </c>
      <c r="C11542" t="s">
        <v>41</v>
      </c>
      <c r="D11542" t="s">
        <v>6491</v>
      </c>
      <c r="F11542" s="21"/>
      <c r="G11542" s="16" t="str">
        <f>HYPERLINK("http://maps.google.com/maps?f=q&amp;hl=en&amp;geocode=&amp;q=37.2193739797979,-93.3348817844262")</f>
        <v>http://maps.google.com/maps?f=q&amp;hl=en&amp;geocode=&amp;q=37.2193739797979,-93.3348817844262</v>
      </c>
    </row>
    <row r="11543" spans="1:7" ht="15" x14ac:dyDescent="0.3">
      <c r="A11543">
        <v>40.36739</v>
      </c>
      <c r="B11543">
        <v>-80.022639999999996</v>
      </c>
      <c r="C11543" t="s">
        <v>41</v>
      </c>
      <c r="D11543" t="s">
        <v>6492</v>
      </c>
      <c r="F11543" s="21"/>
      <c r="G11543" s="16" t="str">
        <f>HYPERLINK("http://maps.google.com/maps?f=q&amp;hl=en&amp;geocode=&amp;q=40.36739,-80.02264")</f>
        <v>http://maps.google.com/maps?f=q&amp;hl=en&amp;geocode=&amp;q=40.36739,-80.02264</v>
      </c>
    </row>
    <row r="11544" spans="1:7" ht="15" x14ac:dyDescent="0.3">
      <c r="A11544">
        <v>45.535417580590497</v>
      </c>
      <c r="B11544">
        <v>-122.92206051487599</v>
      </c>
      <c r="C11544" t="s">
        <v>41</v>
      </c>
      <c r="D11544" t="s">
        <v>2689</v>
      </c>
      <c r="F11544" s="21"/>
      <c r="G11544" s="16" t="str">
        <f>HYPERLINK("http://maps.google.com/maps?f=q&amp;hl=en&amp;geocode=&amp;q=45.5354175805905,-122.922060514876")</f>
        <v>http://maps.google.com/maps?f=q&amp;hl=en&amp;geocode=&amp;q=45.5354175805905,-122.922060514876</v>
      </c>
    </row>
    <row r="11545" spans="1:7" ht="15" x14ac:dyDescent="0.3">
      <c r="A11545">
        <v>36.170515501552003</v>
      </c>
      <c r="B11545">
        <v>-86.802620158386205</v>
      </c>
      <c r="C11545" t="s">
        <v>41</v>
      </c>
      <c r="D11545" t="s">
        <v>5872</v>
      </c>
      <c r="F11545" s="21"/>
      <c r="G11545" s="16" t="str">
        <f>HYPERLINK("http://maps.google.com/maps?f=q&amp;hl=en&amp;geocode=&amp;q=36.170515501552,-86.8026201583862")</f>
        <v>http://maps.google.com/maps?f=q&amp;hl=en&amp;geocode=&amp;q=36.170515501552,-86.8026201583862</v>
      </c>
    </row>
    <row r="11546" spans="1:7" ht="15" x14ac:dyDescent="0.3">
      <c r="A11546">
        <v>36.170515501552003</v>
      </c>
      <c r="B11546">
        <v>-86.802620158386205</v>
      </c>
      <c r="C11546" t="s">
        <v>41</v>
      </c>
      <c r="D11546" t="s">
        <v>5872</v>
      </c>
      <c r="F11546" s="21"/>
      <c r="G11546" s="16" t="str">
        <f>HYPERLINK("http://maps.google.com/maps?f=q&amp;hl=en&amp;geocode=&amp;q=36.170515501552,-86.8026201583862")</f>
        <v>http://maps.google.com/maps?f=q&amp;hl=en&amp;geocode=&amp;q=36.170515501552,-86.8026201583862</v>
      </c>
    </row>
    <row r="11547" spans="1:7" ht="15" x14ac:dyDescent="0.3">
      <c r="A11547">
        <v>39.311301057232001</v>
      </c>
      <c r="B11547">
        <v>-74.527706190361101</v>
      </c>
      <c r="C11547" t="s">
        <v>41</v>
      </c>
      <c r="D11547" t="s">
        <v>6493</v>
      </c>
      <c r="F11547" s="21"/>
      <c r="G11547" s="16" t="str">
        <f>HYPERLINK("http://maps.google.com/maps?f=q&amp;hl=en&amp;geocode=&amp;q=39.311301057232,-74.5277061903611")</f>
        <v>http://maps.google.com/maps?f=q&amp;hl=en&amp;geocode=&amp;q=39.311301057232,-74.5277061903611</v>
      </c>
    </row>
    <row r="11548" spans="1:7" ht="15" x14ac:dyDescent="0.3">
      <c r="A11548">
        <v>30.349515264833101</v>
      </c>
      <c r="B11548">
        <v>-94.183280165117694</v>
      </c>
      <c r="C11548" t="s">
        <v>41</v>
      </c>
      <c r="D11548" t="s">
        <v>6494</v>
      </c>
      <c r="F11548" s="21"/>
      <c r="G11548" s="16" t="str">
        <f>HYPERLINK("http://maps.google.com/maps?f=q&amp;hl=en&amp;geocode=&amp;q=30.3495152648331,-94.1832801651177")</f>
        <v>http://maps.google.com/maps?f=q&amp;hl=en&amp;geocode=&amp;q=30.3495152648331,-94.1832801651177</v>
      </c>
    </row>
    <row r="11549" spans="1:7" ht="15" x14ac:dyDescent="0.3">
      <c r="A11549">
        <v>40.576259999999998</v>
      </c>
      <c r="B11549">
        <v>-75.348519999999994</v>
      </c>
      <c r="C11549" t="s">
        <v>43</v>
      </c>
      <c r="D11549" t="s">
        <v>6223</v>
      </c>
      <c r="F11549" s="21"/>
      <c r="G11549" s="16" t="str">
        <f>HYPERLINK("http://maps.google.com/maps?f=q&amp;hl=en&amp;geocode=&amp;q=40.57626,-75.34852")</f>
        <v>http://maps.google.com/maps?f=q&amp;hl=en&amp;geocode=&amp;q=40.57626,-75.34852</v>
      </c>
    </row>
    <row r="11550" spans="1:7" ht="15" x14ac:dyDescent="0.3">
      <c r="A11550">
        <v>33.998788758138403</v>
      </c>
      <c r="B11550">
        <v>-84.143152544486995</v>
      </c>
      <c r="C11550" t="s">
        <v>41</v>
      </c>
      <c r="D11550" t="s">
        <v>6495</v>
      </c>
      <c r="F11550" s="21"/>
      <c r="G11550" s="16" t="str">
        <f>HYPERLINK("http://maps.google.com/maps?f=q&amp;hl=en&amp;geocode=&amp;q=33.9987887581384,-84.143152544487")</f>
        <v>http://maps.google.com/maps?f=q&amp;hl=en&amp;geocode=&amp;q=33.9987887581384,-84.143152544487</v>
      </c>
    </row>
    <row r="11551" spans="1:7" ht="15" x14ac:dyDescent="0.3">
      <c r="A11551">
        <v>40.04804</v>
      </c>
      <c r="B11551">
        <v>-75.182220000000001</v>
      </c>
      <c r="C11551" t="s">
        <v>41</v>
      </c>
      <c r="D11551" t="s">
        <v>6496</v>
      </c>
      <c r="F11551" s="21"/>
      <c r="G11551" s="16" t="str">
        <f>HYPERLINK("http://maps.google.com/maps?f=q&amp;hl=en&amp;geocode=&amp;q=40.04804,-75.18222")</f>
        <v>http://maps.google.com/maps?f=q&amp;hl=en&amp;geocode=&amp;q=40.04804,-75.18222</v>
      </c>
    </row>
    <row r="11552" spans="1:7" ht="15" x14ac:dyDescent="0.3">
      <c r="A11552">
        <v>27.820302795903299</v>
      </c>
      <c r="B11552">
        <v>-81.382550643249701</v>
      </c>
      <c r="C11552" t="s">
        <v>41</v>
      </c>
      <c r="D11552" t="s">
        <v>3115</v>
      </c>
      <c r="F11552" s="21"/>
      <c r="G11552" s="16" t="str">
        <f>HYPERLINK("http://maps.google.com/maps?f=q&amp;hl=en&amp;geocode=&amp;q=27.8203027959033,-81.3825506432497")</f>
        <v>http://maps.google.com/maps?f=q&amp;hl=en&amp;geocode=&amp;q=27.8203027959033,-81.3825506432497</v>
      </c>
    </row>
    <row r="11553" spans="1:7" ht="15" x14ac:dyDescent="0.3">
      <c r="A11553">
        <v>33.998788758138403</v>
      </c>
      <c r="B11553">
        <v>-84.143152544486995</v>
      </c>
      <c r="C11553" t="s">
        <v>41</v>
      </c>
      <c r="D11553" t="s">
        <v>6495</v>
      </c>
      <c r="F11553" s="21"/>
      <c r="G11553" s="16" t="str">
        <f>HYPERLINK("http://maps.google.com/maps?f=q&amp;hl=en&amp;geocode=&amp;q=33.9987887581384,-84.143152544487")</f>
        <v>http://maps.google.com/maps?f=q&amp;hl=en&amp;geocode=&amp;q=33.9987887581384,-84.143152544487</v>
      </c>
    </row>
    <row r="11554" spans="1:7" ht="15" x14ac:dyDescent="0.3">
      <c r="A11554">
        <v>-26.142440000000001</v>
      </c>
      <c r="B11554">
        <v>27.91825</v>
      </c>
      <c r="C11554" t="s">
        <v>41</v>
      </c>
      <c r="D11554" t="s">
        <v>2558</v>
      </c>
      <c r="F11554" s="21"/>
      <c r="G11554" s="16" t="str">
        <f>HYPERLINK("http://maps.google.com/maps?f=q&amp;hl=en&amp;geocode=&amp;q=-26.14244,27.91825")</f>
        <v>http://maps.google.com/maps?f=q&amp;hl=en&amp;geocode=&amp;q=-26.14244,27.91825</v>
      </c>
    </row>
    <row r="11555" spans="1:7" ht="15" x14ac:dyDescent="0.3">
      <c r="A11555">
        <v>45.781402723110901</v>
      </c>
      <c r="B11555">
        <v>-89.101368688207401</v>
      </c>
      <c r="C11555" t="s">
        <v>41</v>
      </c>
      <c r="D11555" t="s">
        <v>1318</v>
      </c>
      <c r="F11555" s="21"/>
      <c r="G11555" s="16" t="str">
        <f>HYPERLINK("http://maps.google.com/maps?f=q&amp;hl=en&amp;geocode=&amp;q=45.7814027231109,-89.1013686882074")</f>
        <v>http://maps.google.com/maps?f=q&amp;hl=en&amp;geocode=&amp;q=45.7814027231109,-89.1013686882074</v>
      </c>
    </row>
    <row r="11556" spans="1:7" ht="15" x14ac:dyDescent="0.3">
      <c r="A11556">
        <v>40.046130298062899</v>
      </c>
      <c r="B11556">
        <v>-75.134816356595493</v>
      </c>
      <c r="C11556" t="s">
        <v>41</v>
      </c>
      <c r="D11556" t="s">
        <v>5753</v>
      </c>
      <c r="F11556" s="21"/>
      <c r="G11556" s="16" t="str">
        <f>HYPERLINK("http://maps.google.com/maps?f=q&amp;hl=en&amp;geocode=&amp;q=40.0461302980629,-75.1348163565955")</f>
        <v>http://maps.google.com/maps?f=q&amp;hl=en&amp;geocode=&amp;q=40.0461302980629,-75.1348163565955</v>
      </c>
    </row>
    <row r="11557" spans="1:7" ht="15" x14ac:dyDescent="0.3">
      <c r="A11557" t="s">
        <v>44</v>
      </c>
      <c r="B11557" t="s">
        <v>44</v>
      </c>
      <c r="C11557" t="s">
        <v>44</v>
      </c>
      <c r="D11557" t="s">
        <v>6497</v>
      </c>
      <c r="F11557" s="21"/>
      <c r="G11557" s="16"/>
    </row>
    <row r="11558" spans="1:7" ht="15" x14ac:dyDescent="0.3">
      <c r="A11558">
        <v>40.655315077857701</v>
      </c>
      <c r="B11558">
        <v>-79.5355577367188</v>
      </c>
      <c r="C11558" t="s">
        <v>41</v>
      </c>
      <c r="D11558" t="s">
        <v>6337</v>
      </c>
      <c r="F11558" s="21"/>
      <c r="G11558" s="16" t="str">
        <f>HYPERLINK("http://maps.google.com/maps?f=q&amp;hl=en&amp;geocode=&amp;q=40.6553150778577,-79.5355577367188")</f>
        <v>http://maps.google.com/maps?f=q&amp;hl=en&amp;geocode=&amp;q=40.6553150778577,-79.5355577367188</v>
      </c>
    </row>
    <row r="11559" spans="1:7" ht="15" x14ac:dyDescent="0.3">
      <c r="A11559">
        <v>37.05489</v>
      </c>
      <c r="B11559">
        <v>-78.945719999999994</v>
      </c>
      <c r="C11559" t="s">
        <v>42</v>
      </c>
      <c r="D11559" t="s">
        <v>6498</v>
      </c>
      <c r="F11559" s="21"/>
      <c r="G11559" s="16" t="str">
        <f>HYPERLINK("http://maps.google.com/maps?f=q&amp;hl=en&amp;geocode=&amp;q=37.05489,-78.94572")</f>
        <v>http://maps.google.com/maps?f=q&amp;hl=en&amp;geocode=&amp;q=37.05489,-78.94572</v>
      </c>
    </row>
    <row r="11560" spans="1:7" ht="15" x14ac:dyDescent="0.3">
      <c r="A11560">
        <v>26.821050431332001</v>
      </c>
      <c r="B11560">
        <v>-80.077450246924101</v>
      </c>
      <c r="C11560" t="s">
        <v>41</v>
      </c>
      <c r="D11560" t="s">
        <v>6499</v>
      </c>
      <c r="F11560" s="21"/>
      <c r="G11560" s="16" t="str">
        <f>HYPERLINK("http://maps.google.com/maps?f=q&amp;hl=en&amp;geocode=&amp;q=26.821050431332,-80.0774502469241")</f>
        <v>http://maps.google.com/maps?f=q&amp;hl=en&amp;geocode=&amp;q=26.821050431332,-80.0774502469241</v>
      </c>
    </row>
    <row r="11561" spans="1:7" ht="15" x14ac:dyDescent="0.3">
      <c r="A11561">
        <v>33.072493869823397</v>
      </c>
      <c r="B11561">
        <v>-96.223328295527594</v>
      </c>
      <c r="C11561" t="s">
        <v>41</v>
      </c>
      <c r="D11561" t="s">
        <v>6500</v>
      </c>
      <c r="F11561" s="21"/>
      <c r="G11561" s="16" t="str">
        <f>HYPERLINK("http://maps.google.com/maps?f=q&amp;hl=en&amp;geocode=&amp;q=33.0724938698234,-96.2233282955276")</f>
        <v>http://maps.google.com/maps?f=q&amp;hl=en&amp;geocode=&amp;q=33.0724938698234,-96.2233282955276</v>
      </c>
    </row>
    <row r="11562" spans="1:7" ht="15" x14ac:dyDescent="0.3">
      <c r="A11562">
        <v>38.744916114276201</v>
      </c>
      <c r="B11562">
        <v>-78.6452014066315</v>
      </c>
      <c r="C11562" t="s">
        <v>41</v>
      </c>
      <c r="D11562" t="s">
        <v>6501</v>
      </c>
      <c r="F11562" s="21"/>
      <c r="G11562" s="16" t="str">
        <f>HYPERLINK("http://maps.google.com/maps?f=q&amp;hl=en&amp;geocode=&amp;q=38.7449161142762,-78.6452014066315")</f>
        <v>http://maps.google.com/maps?f=q&amp;hl=en&amp;geocode=&amp;q=38.7449161142762,-78.6452014066315</v>
      </c>
    </row>
    <row r="11563" spans="1:7" ht="15" x14ac:dyDescent="0.3">
      <c r="A11563" t="s">
        <v>44</v>
      </c>
      <c r="B11563" t="s">
        <v>44</v>
      </c>
      <c r="C11563" t="s">
        <v>44</v>
      </c>
      <c r="D11563" t="s">
        <v>5418</v>
      </c>
      <c r="F11563" s="21"/>
      <c r="G11563" s="16"/>
    </row>
    <row r="11564" spans="1:7" ht="15" x14ac:dyDescent="0.3">
      <c r="A11564">
        <v>40.573500000000003</v>
      </c>
      <c r="B11564">
        <v>-94.801500000000004</v>
      </c>
      <c r="C11564" t="s">
        <v>42</v>
      </c>
      <c r="D11564" t="s">
        <v>6502</v>
      </c>
      <c r="F11564" s="21"/>
      <c r="G11564" s="16" t="str">
        <f>HYPERLINK("http://maps.google.com/maps?f=q&amp;hl=en&amp;geocode=&amp;q=40.5735,-94.8015")</f>
        <v>http://maps.google.com/maps?f=q&amp;hl=en&amp;geocode=&amp;q=40.5735,-94.8015</v>
      </c>
    </row>
    <row r="11565" spans="1:7" ht="15" x14ac:dyDescent="0.3">
      <c r="A11565">
        <v>39.953130000000002</v>
      </c>
      <c r="B11565">
        <v>-75.161114999999995</v>
      </c>
      <c r="C11565" t="s">
        <v>41</v>
      </c>
      <c r="D11565" t="s">
        <v>6503</v>
      </c>
      <c r="F11565" s="21"/>
      <c r="G11565" s="16" t="str">
        <f>HYPERLINK("http://maps.google.com/maps?f=q&amp;hl=en&amp;geocode=&amp;q=39.95313,-75.161115")</f>
        <v>http://maps.google.com/maps?f=q&amp;hl=en&amp;geocode=&amp;q=39.95313,-75.161115</v>
      </c>
    </row>
    <row r="11566" spans="1:7" ht="15" x14ac:dyDescent="0.3">
      <c r="A11566">
        <v>40.655315077857701</v>
      </c>
      <c r="B11566">
        <v>-79.5355577367188</v>
      </c>
      <c r="C11566" t="s">
        <v>41</v>
      </c>
      <c r="D11566" t="s">
        <v>6337</v>
      </c>
      <c r="F11566" s="21"/>
      <c r="G11566" s="16" t="str">
        <f>HYPERLINK("http://maps.google.com/maps?f=q&amp;hl=en&amp;geocode=&amp;q=40.6553150778577,-79.5355577367188")</f>
        <v>http://maps.google.com/maps?f=q&amp;hl=en&amp;geocode=&amp;q=40.6553150778577,-79.5355577367188</v>
      </c>
    </row>
    <row r="11567" spans="1:7" ht="15" x14ac:dyDescent="0.3">
      <c r="A11567">
        <v>31.19886</v>
      </c>
      <c r="B11567">
        <v>-89.213300000000004</v>
      </c>
      <c r="C11567" t="s">
        <v>43</v>
      </c>
      <c r="D11567" t="s">
        <v>6504</v>
      </c>
      <c r="F11567" s="21"/>
      <c r="G11567" s="16" t="str">
        <f>HYPERLINK("http://maps.google.com/maps?f=q&amp;hl=en&amp;geocode=&amp;q=31.19886,-89.2133")</f>
        <v>http://maps.google.com/maps?f=q&amp;hl=en&amp;geocode=&amp;q=31.19886,-89.2133</v>
      </c>
    </row>
    <row r="11568" spans="1:7" ht="15" x14ac:dyDescent="0.3">
      <c r="A11568">
        <v>40.655315077857701</v>
      </c>
      <c r="B11568">
        <v>-79.5355577367188</v>
      </c>
      <c r="C11568" t="s">
        <v>41</v>
      </c>
      <c r="D11568" t="s">
        <v>6337</v>
      </c>
      <c r="F11568" s="21"/>
      <c r="G11568" s="16" t="str">
        <f>HYPERLINK("http://maps.google.com/maps?f=q&amp;hl=en&amp;geocode=&amp;q=40.6553150778577,-79.5355577367188")</f>
        <v>http://maps.google.com/maps?f=q&amp;hl=en&amp;geocode=&amp;q=40.6553150778577,-79.5355577367188</v>
      </c>
    </row>
    <row r="11569" spans="1:7" ht="15" x14ac:dyDescent="0.3">
      <c r="A11569">
        <v>39.219180000000001</v>
      </c>
      <c r="B11569">
        <v>-76.703720000000004</v>
      </c>
      <c r="C11569" t="s">
        <v>42</v>
      </c>
      <c r="D11569" t="s">
        <v>6505</v>
      </c>
      <c r="F11569" s="21"/>
      <c r="G11569" s="16" t="str">
        <f>HYPERLINK("http://maps.google.com/maps?f=q&amp;hl=en&amp;geocode=&amp;q=39.21918,-76.70372")</f>
        <v>http://maps.google.com/maps?f=q&amp;hl=en&amp;geocode=&amp;q=39.21918,-76.70372</v>
      </c>
    </row>
    <row r="11570" spans="1:7" ht="15" x14ac:dyDescent="0.3">
      <c r="A11570">
        <v>32.790412911091401</v>
      </c>
      <c r="B11570">
        <v>-88.393443576744602</v>
      </c>
      <c r="C11570" t="s">
        <v>41</v>
      </c>
      <c r="D11570" t="s">
        <v>6506</v>
      </c>
      <c r="F11570" s="21"/>
      <c r="G11570" s="16" t="str">
        <f>HYPERLINK("http://maps.google.com/maps?f=q&amp;hl=en&amp;geocode=&amp;q=32.7904129110914,-88.3934435767446")</f>
        <v>http://maps.google.com/maps?f=q&amp;hl=en&amp;geocode=&amp;q=32.7904129110914,-88.3934435767446</v>
      </c>
    </row>
    <row r="11571" spans="1:7" ht="15" x14ac:dyDescent="0.3">
      <c r="A11571">
        <v>39.941692986551097</v>
      </c>
      <c r="B11571">
        <v>-75.150490202768793</v>
      </c>
      <c r="C11571" t="s">
        <v>43</v>
      </c>
      <c r="D11571" t="s">
        <v>6507</v>
      </c>
      <c r="F11571" s="21"/>
      <c r="G11571" s="16" t="str">
        <f>HYPERLINK("http://maps.google.com/maps?f=q&amp;hl=en&amp;geocode=&amp;q=39.9416929865511,-75.1504902027688")</f>
        <v>http://maps.google.com/maps?f=q&amp;hl=en&amp;geocode=&amp;q=39.9416929865511,-75.1504902027688</v>
      </c>
    </row>
    <row r="11572" spans="1:7" ht="15" x14ac:dyDescent="0.3">
      <c r="A11572">
        <v>47.033481597900398</v>
      </c>
      <c r="B11572">
        <v>-109.64508056640599</v>
      </c>
      <c r="C11572" t="s">
        <v>41</v>
      </c>
      <c r="D11572" t="s">
        <v>4745</v>
      </c>
      <c r="F11572" s="21"/>
      <c r="G11572" s="16" t="str">
        <f>HYPERLINK("http://maps.google.com/maps?f=q&amp;hl=en&amp;geocode=&amp;q=47.0334815979004,-109.645080566406")</f>
        <v>http://maps.google.com/maps?f=q&amp;hl=en&amp;geocode=&amp;q=47.0334815979004,-109.645080566406</v>
      </c>
    </row>
    <row r="11573" spans="1:7" ht="15" x14ac:dyDescent="0.3">
      <c r="A11573">
        <v>32.993589999999998</v>
      </c>
      <c r="B11573">
        <v>-82.813860000000005</v>
      </c>
      <c r="C11573" t="s">
        <v>42</v>
      </c>
      <c r="D11573" t="s">
        <v>1601</v>
      </c>
      <c r="F11573" s="21"/>
      <c r="G11573" s="16" t="str">
        <f>HYPERLINK("http://maps.google.com/maps?f=q&amp;hl=en&amp;geocode=&amp;q=32.99359,-82.81386")</f>
        <v>http://maps.google.com/maps?f=q&amp;hl=en&amp;geocode=&amp;q=32.99359,-82.81386</v>
      </c>
    </row>
    <row r="11574" spans="1:7" ht="15" x14ac:dyDescent="0.3">
      <c r="A11574">
        <v>38.678428649902301</v>
      </c>
      <c r="B11574">
        <v>-121.77311706543</v>
      </c>
      <c r="C11574" t="s">
        <v>43</v>
      </c>
      <c r="D11574" t="s">
        <v>2926</v>
      </c>
      <c r="F11574" s="21"/>
      <c r="G11574" s="16" t="str">
        <f>HYPERLINK("http://maps.google.com/maps?f=q&amp;hl=en&amp;geocode=&amp;q=38.6784286499023,-121.77311706543")</f>
        <v>http://maps.google.com/maps?f=q&amp;hl=en&amp;geocode=&amp;q=38.6784286499023,-121.77311706543</v>
      </c>
    </row>
    <row r="11575" spans="1:7" ht="15" x14ac:dyDescent="0.3">
      <c r="A11575">
        <v>49.605319976806598</v>
      </c>
      <c r="B11575">
        <v>6.1069579124450701</v>
      </c>
      <c r="C11575" t="s">
        <v>41</v>
      </c>
      <c r="D11575" t="s">
        <v>6508</v>
      </c>
      <c r="F11575" s="21"/>
      <c r="G11575" s="16" t="str">
        <f>HYPERLINK("http://maps.google.com/maps?f=q&amp;hl=en&amp;geocode=&amp;q=49.6053199768066,6.10695791244507")</f>
        <v>http://maps.google.com/maps?f=q&amp;hl=en&amp;geocode=&amp;q=49.6053199768066,6.10695791244507</v>
      </c>
    </row>
    <row r="11576" spans="1:7" ht="15" x14ac:dyDescent="0.3">
      <c r="A11576" t="s">
        <v>44</v>
      </c>
      <c r="B11576" t="s">
        <v>44</v>
      </c>
      <c r="C11576" t="s">
        <v>44</v>
      </c>
      <c r="D11576" t="s">
        <v>6509</v>
      </c>
      <c r="F11576" s="21"/>
      <c r="G11576" s="16"/>
    </row>
    <row r="11577" spans="1:7" ht="15" x14ac:dyDescent="0.3">
      <c r="A11577">
        <v>37.624438034029602</v>
      </c>
      <c r="B11577">
        <v>-77.577033389565202</v>
      </c>
      <c r="C11577" t="s">
        <v>41</v>
      </c>
      <c r="D11577" t="s">
        <v>6510</v>
      </c>
      <c r="F11577" s="21"/>
      <c r="G11577" s="16" t="str">
        <f>HYPERLINK("http://maps.google.com/maps?f=q&amp;hl=en&amp;geocode=&amp;q=37.6244380340296,-77.5770333895652")</f>
        <v>http://maps.google.com/maps?f=q&amp;hl=en&amp;geocode=&amp;q=37.6244380340296,-77.5770333895652</v>
      </c>
    </row>
    <row r="11578" spans="1:7" ht="15" x14ac:dyDescent="0.3">
      <c r="A11578" t="s">
        <v>44</v>
      </c>
      <c r="B11578" t="s">
        <v>44</v>
      </c>
      <c r="C11578" t="s">
        <v>44</v>
      </c>
      <c r="D11578" t="s">
        <v>6473</v>
      </c>
      <c r="F11578" s="21"/>
      <c r="G11578" s="16"/>
    </row>
    <row r="11579" spans="1:7" ht="15" x14ac:dyDescent="0.3">
      <c r="A11579">
        <v>34.548851886078403</v>
      </c>
      <c r="B11579">
        <v>-83.281203910547106</v>
      </c>
      <c r="C11579" t="s">
        <v>43</v>
      </c>
      <c r="D11579" t="s">
        <v>6511</v>
      </c>
      <c r="F11579" s="21"/>
      <c r="G11579" s="16" t="str">
        <f>HYPERLINK("http://maps.google.com/maps?f=q&amp;hl=en&amp;geocode=&amp;q=34.5488518860784,-83.2812039105471")</f>
        <v>http://maps.google.com/maps?f=q&amp;hl=en&amp;geocode=&amp;q=34.5488518860784,-83.2812039105471</v>
      </c>
    </row>
    <row r="11580" spans="1:7" ht="15" x14ac:dyDescent="0.3">
      <c r="A11580">
        <v>40.222034858405401</v>
      </c>
      <c r="B11580">
        <v>-75.083974464549698</v>
      </c>
      <c r="C11580" t="s">
        <v>41</v>
      </c>
      <c r="D11580" t="s">
        <v>6512</v>
      </c>
      <c r="F11580" s="21"/>
      <c r="G11580" s="16" t="str">
        <f>HYPERLINK("http://maps.google.com/maps?f=q&amp;hl=en&amp;geocode=&amp;q=40.2220348584054,-75.0839744645497")</f>
        <v>http://maps.google.com/maps?f=q&amp;hl=en&amp;geocode=&amp;q=40.2220348584054,-75.0839744645497</v>
      </c>
    </row>
    <row r="11581" spans="1:7" ht="15" x14ac:dyDescent="0.3">
      <c r="A11581" t="s">
        <v>44</v>
      </c>
      <c r="B11581" t="s">
        <v>44</v>
      </c>
      <c r="C11581" t="s">
        <v>44</v>
      </c>
      <c r="D11581" t="s">
        <v>6513</v>
      </c>
      <c r="F11581" s="21"/>
      <c r="G11581" s="16"/>
    </row>
    <row r="11582" spans="1:7" ht="15" x14ac:dyDescent="0.3">
      <c r="A11582">
        <v>40.049819999999997</v>
      </c>
      <c r="B11582">
        <v>-75.095699999999994</v>
      </c>
      <c r="C11582" t="s">
        <v>43</v>
      </c>
      <c r="D11582" t="s">
        <v>2496</v>
      </c>
      <c r="F11582" s="21"/>
      <c r="G11582" s="16" t="str">
        <f>HYPERLINK("http://maps.google.com/maps?f=q&amp;hl=en&amp;geocode=&amp;q=40.04982,-75.0957")</f>
        <v>http://maps.google.com/maps?f=q&amp;hl=en&amp;geocode=&amp;q=40.04982,-75.0957</v>
      </c>
    </row>
    <row r="11583" spans="1:7" ht="15" x14ac:dyDescent="0.3">
      <c r="A11583">
        <v>-33.299518585205099</v>
      </c>
      <c r="B11583">
        <v>149.01606750488301</v>
      </c>
      <c r="C11583" t="s">
        <v>43</v>
      </c>
      <c r="D11583" t="s">
        <v>6514</v>
      </c>
      <c r="F11583" s="21"/>
      <c r="G11583" s="16" t="str">
        <f>HYPERLINK("http://maps.google.com/maps?f=q&amp;hl=en&amp;geocode=&amp;q=-33.2995185852051,149.016067504883")</f>
        <v>http://maps.google.com/maps?f=q&amp;hl=en&amp;geocode=&amp;q=-33.2995185852051,149.016067504883</v>
      </c>
    </row>
    <row r="11584" spans="1:7" ht="15" x14ac:dyDescent="0.3">
      <c r="A11584">
        <v>40.037447686007198</v>
      </c>
      <c r="B11584">
        <v>-75.173012577083597</v>
      </c>
      <c r="C11584" t="s">
        <v>41</v>
      </c>
      <c r="D11584" t="s">
        <v>4496</v>
      </c>
      <c r="F11584" s="21"/>
      <c r="G11584" s="16" t="str">
        <f>HYPERLINK("http://maps.google.com/maps?f=q&amp;hl=en&amp;geocode=&amp;q=40.0374476860072,-75.1730125770836")</f>
        <v>http://maps.google.com/maps?f=q&amp;hl=en&amp;geocode=&amp;q=40.0374476860072,-75.1730125770836</v>
      </c>
    </row>
    <row r="11585" spans="1:7" ht="15" x14ac:dyDescent="0.3">
      <c r="A11585">
        <v>40.037447686007198</v>
      </c>
      <c r="B11585">
        <v>-75.173012577083597</v>
      </c>
      <c r="C11585" t="s">
        <v>41</v>
      </c>
      <c r="D11585" t="s">
        <v>4496</v>
      </c>
      <c r="F11585" s="21"/>
      <c r="G11585" s="16" t="str">
        <f>HYPERLINK("http://maps.google.com/maps?f=q&amp;hl=en&amp;geocode=&amp;q=40.0374476860072,-75.1730125770836")</f>
        <v>http://maps.google.com/maps?f=q&amp;hl=en&amp;geocode=&amp;q=40.0374476860072,-75.1730125770836</v>
      </c>
    </row>
    <row r="11586" spans="1:7" ht="15" x14ac:dyDescent="0.3">
      <c r="A11586">
        <v>40.037447686007198</v>
      </c>
      <c r="B11586">
        <v>-75.173012577083597</v>
      </c>
      <c r="C11586" t="s">
        <v>41</v>
      </c>
      <c r="D11586" t="s">
        <v>4496</v>
      </c>
      <c r="F11586" s="21"/>
      <c r="G11586" s="16" t="str">
        <f>HYPERLINK("http://maps.google.com/maps?f=q&amp;hl=en&amp;geocode=&amp;q=40.0374476860072,-75.1730125770836")</f>
        <v>http://maps.google.com/maps?f=q&amp;hl=en&amp;geocode=&amp;q=40.0374476860072,-75.1730125770836</v>
      </c>
    </row>
    <row r="11587" spans="1:7" ht="15" x14ac:dyDescent="0.3">
      <c r="A11587">
        <v>43.26088</v>
      </c>
      <c r="B11587">
        <v>-112.14492</v>
      </c>
      <c r="C11587" t="s">
        <v>42</v>
      </c>
      <c r="D11587" t="s">
        <v>305</v>
      </c>
      <c r="F11587" s="21"/>
      <c r="G11587" s="16" t="str">
        <f>HYPERLINK("http://maps.google.com/maps?f=q&amp;hl=en&amp;geocode=&amp;q=43.26088,-112.14492")</f>
        <v>http://maps.google.com/maps?f=q&amp;hl=en&amp;geocode=&amp;q=43.26088,-112.14492</v>
      </c>
    </row>
    <row r="11588" spans="1:7" ht="15" x14ac:dyDescent="0.3">
      <c r="A11588">
        <v>39.163229999999999</v>
      </c>
      <c r="B11588">
        <v>-75.503820000000005</v>
      </c>
      <c r="C11588" t="s">
        <v>43</v>
      </c>
      <c r="D11588" t="s">
        <v>6515</v>
      </c>
      <c r="F11588" s="21"/>
      <c r="G11588" s="16" t="str">
        <f>HYPERLINK("http://maps.google.com/maps?f=q&amp;hl=en&amp;geocode=&amp;q=39.16323,-75.50382")</f>
        <v>http://maps.google.com/maps?f=q&amp;hl=en&amp;geocode=&amp;q=39.16323,-75.50382</v>
      </c>
    </row>
    <row r="11589" spans="1:7" ht="15" x14ac:dyDescent="0.3">
      <c r="A11589">
        <v>40.460018157958999</v>
      </c>
      <c r="B11589">
        <v>-78.591552734375</v>
      </c>
      <c r="C11589" t="s">
        <v>43</v>
      </c>
      <c r="D11589" t="s">
        <v>6516</v>
      </c>
      <c r="F11589" s="21"/>
      <c r="G11589" s="16" t="str">
        <f>HYPERLINK("http://maps.google.com/maps?f=q&amp;hl=en&amp;geocode=&amp;q=40.460018157959,-78.591552734375")</f>
        <v>http://maps.google.com/maps?f=q&amp;hl=en&amp;geocode=&amp;q=40.460018157959,-78.591552734375</v>
      </c>
    </row>
    <row r="11590" spans="1:7" ht="15" x14ac:dyDescent="0.3">
      <c r="A11590">
        <v>43.216305402261703</v>
      </c>
      <c r="B11590">
        <v>-75.461898939187407</v>
      </c>
      <c r="C11590" t="s">
        <v>41</v>
      </c>
      <c r="D11590" t="s">
        <v>6517</v>
      </c>
      <c r="F11590" s="21"/>
      <c r="G11590" s="16" t="str">
        <f>HYPERLINK("http://maps.google.com/maps?f=q&amp;hl=en&amp;geocode=&amp;q=43.2163054022617,-75.4618989391874")</f>
        <v>http://maps.google.com/maps?f=q&amp;hl=en&amp;geocode=&amp;q=43.2163054022617,-75.4618989391874</v>
      </c>
    </row>
    <row r="11591" spans="1:7" ht="15" x14ac:dyDescent="0.3">
      <c r="A11591">
        <v>-33.299518585205099</v>
      </c>
      <c r="B11591">
        <v>149.01606750488301</v>
      </c>
      <c r="C11591" t="s">
        <v>43</v>
      </c>
      <c r="D11591" t="s">
        <v>6518</v>
      </c>
      <c r="F11591" s="21"/>
      <c r="G11591" s="16" t="str">
        <f>HYPERLINK("http://maps.google.com/maps?f=q&amp;hl=en&amp;geocode=&amp;q=-33.2995185852051,149.016067504883")</f>
        <v>http://maps.google.com/maps?f=q&amp;hl=en&amp;geocode=&amp;q=-33.2995185852051,149.016067504883</v>
      </c>
    </row>
    <row r="11592" spans="1:7" ht="15" x14ac:dyDescent="0.3">
      <c r="A11592">
        <v>40.071249999999999</v>
      </c>
      <c r="B11592">
        <v>-75.053129999999996</v>
      </c>
      <c r="C11592" t="s">
        <v>41</v>
      </c>
      <c r="D11592" t="s">
        <v>2395</v>
      </c>
      <c r="F11592" s="21"/>
      <c r="G11592" s="16" t="str">
        <f>HYPERLINK("http://maps.google.com/maps?f=q&amp;hl=en&amp;geocode=&amp;q=40.07125,-75.05313")</f>
        <v>http://maps.google.com/maps?f=q&amp;hl=en&amp;geocode=&amp;q=40.07125,-75.05313</v>
      </c>
    </row>
    <row r="11593" spans="1:7" ht="15" x14ac:dyDescent="0.3">
      <c r="A11593">
        <v>40.4155082702637</v>
      </c>
      <c r="B11593">
        <v>-76.779289245605497</v>
      </c>
      <c r="C11593" t="s">
        <v>43</v>
      </c>
      <c r="D11593" t="s">
        <v>6519</v>
      </c>
      <c r="F11593" s="21"/>
      <c r="G11593" s="16" t="str">
        <f>HYPERLINK("http://maps.google.com/maps?f=q&amp;hl=en&amp;geocode=&amp;q=40.4155082702637,-76.7792892456055")</f>
        <v>http://maps.google.com/maps?f=q&amp;hl=en&amp;geocode=&amp;q=40.4155082702637,-76.7792892456055</v>
      </c>
    </row>
    <row r="11594" spans="1:7" ht="15" x14ac:dyDescent="0.3">
      <c r="A11594">
        <v>-37.818040000000003</v>
      </c>
      <c r="B11594">
        <v>144.96095</v>
      </c>
      <c r="C11594" t="s">
        <v>41</v>
      </c>
      <c r="D11594" t="s">
        <v>4582</v>
      </c>
      <c r="F11594" s="21"/>
      <c r="G11594" s="16" t="str">
        <f>HYPERLINK("http://maps.google.com/maps?f=q&amp;hl=en&amp;geocode=&amp;q=-37.81804,144.96095")</f>
        <v>http://maps.google.com/maps?f=q&amp;hl=en&amp;geocode=&amp;q=-37.81804,144.96095</v>
      </c>
    </row>
    <row r="11595" spans="1:7" ht="15" x14ac:dyDescent="0.3">
      <c r="A11595">
        <v>37.614197703045697</v>
      </c>
      <c r="B11595">
        <v>-77.577980974276898</v>
      </c>
      <c r="C11595" t="s">
        <v>41</v>
      </c>
      <c r="D11595" t="s">
        <v>6520</v>
      </c>
      <c r="F11595" s="21"/>
      <c r="G11595" s="16" t="str">
        <f>HYPERLINK("http://maps.google.com/maps?f=q&amp;hl=en&amp;geocode=&amp;q=37.6141977030457,-77.5779809742769")</f>
        <v>http://maps.google.com/maps?f=q&amp;hl=en&amp;geocode=&amp;q=37.6141977030457,-77.5779809742769</v>
      </c>
    </row>
    <row r="11596" spans="1:7" ht="15" x14ac:dyDescent="0.3">
      <c r="A11596">
        <v>31.008949999999999</v>
      </c>
      <c r="B11596">
        <v>-86.337400000000002</v>
      </c>
      <c r="C11596" t="s">
        <v>42</v>
      </c>
      <c r="D11596" t="s">
        <v>6521</v>
      </c>
      <c r="F11596" s="21"/>
      <c r="G11596" s="16" t="str">
        <f>HYPERLINK("http://maps.google.com/maps?f=q&amp;hl=en&amp;geocode=&amp;q=31.00895,-86.3374")</f>
        <v>http://maps.google.com/maps?f=q&amp;hl=en&amp;geocode=&amp;q=31.00895,-86.3374</v>
      </c>
    </row>
    <row r="11597" spans="1:7" ht="15" x14ac:dyDescent="0.3">
      <c r="A11597">
        <v>34.205730000000003</v>
      </c>
      <c r="B11597">
        <v>-118.22539</v>
      </c>
      <c r="C11597" t="s">
        <v>41</v>
      </c>
      <c r="D11597" t="s">
        <v>6522</v>
      </c>
      <c r="F11597" s="21"/>
      <c r="G11597" s="16" t="str">
        <f>HYPERLINK("http://maps.google.com/maps?f=q&amp;hl=en&amp;geocode=&amp;q=34.20573,-118.22539")</f>
        <v>http://maps.google.com/maps?f=q&amp;hl=en&amp;geocode=&amp;q=34.20573,-118.22539</v>
      </c>
    </row>
    <row r="11598" spans="1:7" ht="15" x14ac:dyDescent="0.3">
      <c r="A11598">
        <v>31.010231628586599</v>
      </c>
      <c r="B11598">
        <v>-86.338017701683796</v>
      </c>
      <c r="C11598" t="s">
        <v>41</v>
      </c>
      <c r="D11598" t="s">
        <v>4698</v>
      </c>
      <c r="F11598" s="21"/>
      <c r="G11598" s="16" t="str">
        <f>HYPERLINK("http://maps.google.com/maps?f=q&amp;hl=en&amp;geocode=&amp;q=31.0102316285866,-86.3380177016838")</f>
        <v>http://maps.google.com/maps?f=q&amp;hl=en&amp;geocode=&amp;q=31.0102316285866,-86.3380177016838</v>
      </c>
    </row>
    <row r="11599" spans="1:7" ht="15" x14ac:dyDescent="0.3">
      <c r="A11599">
        <v>41.536598361321403</v>
      </c>
      <c r="B11599">
        <v>-88.160565124926705</v>
      </c>
      <c r="C11599" t="s">
        <v>41</v>
      </c>
      <c r="D11599" t="s">
        <v>6523</v>
      </c>
      <c r="F11599" s="21"/>
      <c r="G11599" s="16" t="str">
        <f>HYPERLINK("http://maps.google.com/maps?f=q&amp;hl=en&amp;geocode=&amp;q=41.5365983613214,-88.1605651249267")</f>
        <v>http://maps.google.com/maps?f=q&amp;hl=en&amp;geocode=&amp;q=41.5365983613214,-88.1605651249267</v>
      </c>
    </row>
    <row r="11600" spans="1:7" ht="15" x14ac:dyDescent="0.3">
      <c r="A11600">
        <v>39.996980000000001</v>
      </c>
      <c r="B11600">
        <v>-75.176500000000004</v>
      </c>
      <c r="C11600" t="s">
        <v>41</v>
      </c>
      <c r="D11600" t="s">
        <v>2479</v>
      </c>
      <c r="F11600" s="21"/>
      <c r="G11600" s="16" t="str">
        <f>HYPERLINK("http://maps.google.com/maps?f=q&amp;hl=en&amp;geocode=&amp;q=39.99698,-75.1765")</f>
        <v>http://maps.google.com/maps?f=q&amp;hl=en&amp;geocode=&amp;q=39.99698,-75.1765</v>
      </c>
    </row>
    <row r="11601" spans="1:7" ht="15" x14ac:dyDescent="0.3">
      <c r="A11601">
        <v>31.250372600886699</v>
      </c>
      <c r="B11601">
        <v>-102.291805787115</v>
      </c>
      <c r="C11601" t="s">
        <v>41</v>
      </c>
      <c r="D11601" t="s">
        <v>6524</v>
      </c>
      <c r="F11601" s="21"/>
      <c r="G11601" s="16" t="str">
        <f>HYPERLINK("http://maps.google.com/maps?f=q&amp;hl=en&amp;geocode=&amp;q=31.2503726008867,-102.291805787115")</f>
        <v>http://maps.google.com/maps?f=q&amp;hl=en&amp;geocode=&amp;q=31.2503726008867,-102.291805787115</v>
      </c>
    </row>
    <row r="11602" spans="1:7" ht="15" x14ac:dyDescent="0.3">
      <c r="A11602">
        <v>40.632853368629497</v>
      </c>
      <c r="B11602">
        <v>-81.4669758527927</v>
      </c>
      <c r="C11602" t="s">
        <v>43</v>
      </c>
      <c r="D11602" t="s">
        <v>6525</v>
      </c>
      <c r="F11602" s="21"/>
      <c r="G11602" s="16" t="str">
        <f>HYPERLINK("http://maps.google.com/maps?f=q&amp;hl=en&amp;geocode=&amp;q=40.6328533686295,-81.4669758527927")</f>
        <v>http://maps.google.com/maps?f=q&amp;hl=en&amp;geocode=&amp;q=40.6328533686295,-81.4669758527927</v>
      </c>
    </row>
    <row r="11603" spans="1:7" ht="15" x14ac:dyDescent="0.3">
      <c r="A11603" t="s">
        <v>44</v>
      </c>
      <c r="B11603" t="s">
        <v>44</v>
      </c>
      <c r="C11603" t="s">
        <v>44</v>
      </c>
      <c r="D11603" t="s">
        <v>6526</v>
      </c>
      <c r="F11603" s="21"/>
      <c r="G11603" s="16"/>
    </row>
    <row r="11604" spans="1:7" ht="15" x14ac:dyDescent="0.3">
      <c r="A11604">
        <v>32.6420559780818</v>
      </c>
      <c r="B11604">
        <v>-97.030401449350705</v>
      </c>
      <c r="C11604" t="s">
        <v>41</v>
      </c>
      <c r="D11604" t="s">
        <v>6527</v>
      </c>
      <c r="F11604" s="21"/>
      <c r="G11604" s="16" t="str">
        <f>HYPERLINK("http://maps.google.com/maps?f=q&amp;hl=en&amp;geocode=&amp;q=32.6420559780818,-97.0304014493507")</f>
        <v>http://maps.google.com/maps?f=q&amp;hl=en&amp;geocode=&amp;q=32.6420559780818,-97.0304014493507</v>
      </c>
    </row>
    <row r="11605" spans="1:7" ht="15" x14ac:dyDescent="0.3">
      <c r="A11605">
        <v>51.925918579101598</v>
      </c>
      <c r="B11605">
        <v>0.98378002643585205</v>
      </c>
      <c r="C11605" t="s">
        <v>41</v>
      </c>
      <c r="D11605" t="s">
        <v>6528</v>
      </c>
      <c r="F11605" s="21"/>
      <c r="G11605" s="16" t="str">
        <f>HYPERLINK("http://maps.google.com/maps?f=q&amp;hl=en&amp;geocode=&amp;q=51.9259185791016,0.983780026435852")</f>
        <v>http://maps.google.com/maps?f=q&amp;hl=en&amp;geocode=&amp;q=51.9259185791016,0.983780026435852</v>
      </c>
    </row>
    <row r="11606" spans="1:7" ht="15" x14ac:dyDescent="0.3">
      <c r="A11606">
        <v>30.267068717527799</v>
      </c>
      <c r="B11606">
        <v>-81.757353767843696</v>
      </c>
      <c r="C11606" t="s">
        <v>41</v>
      </c>
      <c r="D11606" t="s">
        <v>6529</v>
      </c>
      <c r="F11606" s="21"/>
      <c r="G11606" s="16" t="str">
        <f>HYPERLINK("http://maps.google.com/maps?f=q&amp;hl=en&amp;geocode=&amp;q=30.2670687175278,-81.7573537678437")</f>
        <v>http://maps.google.com/maps?f=q&amp;hl=en&amp;geocode=&amp;q=30.2670687175278,-81.7573537678437</v>
      </c>
    </row>
    <row r="11607" spans="1:7" ht="15" x14ac:dyDescent="0.3">
      <c r="A11607">
        <v>41.092289282046401</v>
      </c>
      <c r="B11607">
        <v>-85.112539796044999</v>
      </c>
      <c r="C11607" t="s">
        <v>41</v>
      </c>
      <c r="D11607" t="s">
        <v>3634</v>
      </c>
      <c r="F11607" s="21"/>
      <c r="G11607" s="16" t="str">
        <f>HYPERLINK("http://maps.google.com/maps?f=q&amp;hl=en&amp;geocode=&amp;q=41.0922892820464,-85.112539796045")</f>
        <v>http://maps.google.com/maps?f=q&amp;hl=en&amp;geocode=&amp;q=41.0922892820464,-85.112539796045</v>
      </c>
    </row>
    <row r="11608" spans="1:7" ht="15" x14ac:dyDescent="0.3">
      <c r="A11608">
        <v>40.847292798512697</v>
      </c>
      <c r="B11608">
        <v>-73.9212038686846</v>
      </c>
      <c r="C11608" t="s">
        <v>41</v>
      </c>
      <c r="D11608" t="s">
        <v>3650</v>
      </c>
      <c r="F11608" s="21"/>
      <c r="G11608" s="16" t="str">
        <f>HYPERLINK("http://maps.google.com/maps?f=q&amp;hl=en&amp;geocode=&amp;q=40.8472927985127,-73.9212038686846")</f>
        <v>http://maps.google.com/maps?f=q&amp;hl=en&amp;geocode=&amp;q=40.8472927985127,-73.9212038686846</v>
      </c>
    </row>
    <row r="11609" spans="1:7" ht="15" x14ac:dyDescent="0.3">
      <c r="A11609">
        <v>40.233353402554599</v>
      </c>
      <c r="B11609">
        <v>-75.276627353951298</v>
      </c>
      <c r="C11609" t="s">
        <v>41</v>
      </c>
      <c r="D11609" t="s">
        <v>6530</v>
      </c>
      <c r="F11609" s="21"/>
      <c r="G11609" s="16" t="str">
        <f>HYPERLINK("http://maps.google.com/maps?f=q&amp;hl=en&amp;geocode=&amp;q=40.2333534025546,-75.2766273539513")</f>
        <v>http://maps.google.com/maps?f=q&amp;hl=en&amp;geocode=&amp;q=40.2333534025546,-75.2766273539513</v>
      </c>
    </row>
    <row r="11610" spans="1:7" ht="15" x14ac:dyDescent="0.3">
      <c r="A11610">
        <v>40.233353402554599</v>
      </c>
      <c r="B11610">
        <v>-75.276627353951298</v>
      </c>
      <c r="C11610" t="s">
        <v>41</v>
      </c>
      <c r="D11610" t="s">
        <v>6530</v>
      </c>
      <c r="F11610" s="21"/>
      <c r="G11610" s="16" t="str">
        <f>HYPERLINK("http://maps.google.com/maps?f=q&amp;hl=en&amp;geocode=&amp;q=40.2333534025546,-75.2766273539513")</f>
        <v>http://maps.google.com/maps?f=q&amp;hl=en&amp;geocode=&amp;q=40.2333534025546,-75.2766273539513</v>
      </c>
    </row>
    <row r="11611" spans="1:7" ht="15" x14ac:dyDescent="0.3">
      <c r="A11611">
        <v>33.807067695878999</v>
      </c>
      <c r="B11611">
        <v>-84.039616532646306</v>
      </c>
      <c r="C11611" t="s">
        <v>41</v>
      </c>
      <c r="D11611" t="s">
        <v>6531</v>
      </c>
      <c r="F11611" s="21"/>
      <c r="G11611" s="16" t="str">
        <f>HYPERLINK("http://maps.google.com/maps?f=q&amp;hl=en&amp;geocode=&amp;q=33.807067695879,-84.0396165326463")</f>
        <v>http://maps.google.com/maps?f=q&amp;hl=en&amp;geocode=&amp;q=33.807067695879,-84.0396165326463</v>
      </c>
    </row>
    <row r="11612" spans="1:7" ht="15" x14ac:dyDescent="0.3">
      <c r="A11612">
        <v>46.9554380693829</v>
      </c>
      <c r="B11612">
        <v>-114.011269223752</v>
      </c>
      <c r="C11612" t="s">
        <v>41</v>
      </c>
      <c r="D11612" t="s">
        <v>6532</v>
      </c>
      <c r="F11612" s="21"/>
      <c r="G11612" s="16" t="str">
        <f>HYPERLINK("http://maps.google.com/maps?f=q&amp;hl=en&amp;geocode=&amp;q=46.9554380693829,-114.011269223752")</f>
        <v>http://maps.google.com/maps?f=q&amp;hl=en&amp;geocode=&amp;q=46.9554380693829,-114.011269223752</v>
      </c>
    </row>
    <row r="11613" spans="1:7" ht="15" x14ac:dyDescent="0.3">
      <c r="A11613">
        <v>55.832908630371101</v>
      </c>
      <c r="B11613">
        <v>47.489322662353501</v>
      </c>
      <c r="C11613" t="s">
        <v>41</v>
      </c>
      <c r="D11613" t="s">
        <v>6533</v>
      </c>
      <c r="F11613" s="21"/>
      <c r="G11613" s="16" t="str">
        <f>HYPERLINK("http://maps.google.com/maps?f=q&amp;hl=en&amp;geocode=&amp;q=55.8329086303711,47.4893226623535")</f>
        <v>http://maps.google.com/maps?f=q&amp;hl=en&amp;geocode=&amp;q=55.8329086303711,47.4893226623535</v>
      </c>
    </row>
    <row r="11614" spans="1:7" ht="15" x14ac:dyDescent="0.3">
      <c r="A11614">
        <v>32.2201718469342</v>
      </c>
      <c r="B11614">
        <v>-95.7526290313955</v>
      </c>
      <c r="C11614" t="s">
        <v>41</v>
      </c>
      <c r="D11614" t="s">
        <v>6534</v>
      </c>
      <c r="F11614" s="21"/>
      <c r="G11614" s="16" t="str">
        <f>HYPERLINK("http://maps.google.com/maps?f=q&amp;hl=en&amp;geocode=&amp;q=32.2201718469342,-95.7526290313955")</f>
        <v>http://maps.google.com/maps?f=q&amp;hl=en&amp;geocode=&amp;q=32.2201718469342,-95.7526290313955</v>
      </c>
    </row>
    <row r="11615" spans="1:7" ht="15" x14ac:dyDescent="0.3">
      <c r="A11615">
        <v>41.882610321044901</v>
      </c>
      <c r="B11615">
        <v>-72.267852783203097</v>
      </c>
      <c r="C11615" t="s">
        <v>43</v>
      </c>
      <c r="D11615" t="s">
        <v>6535</v>
      </c>
      <c r="F11615" s="21"/>
      <c r="G11615" s="16" t="str">
        <f>HYPERLINK("http://maps.google.com/maps?f=q&amp;hl=en&amp;geocode=&amp;q=41.8826103210449,-72.2678527832031")</f>
        <v>http://maps.google.com/maps?f=q&amp;hl=en&amp;geocode=&amp;q=41.8826103210449,-72.2678527832031</v>
      </c>
    </row>
    <row r="11616" spans="1:7" ht="15" x14ac:dyDescent="0.3">
      <c r="A11616">
        <v>39.527049832594997</v>
      </c>
      <c r="B11616">
        <v>-84.065139017200494</v>
      </c>
      <c r="C11616" t="s">
        <v>43</v>
      </c>
      <c r="D11616" t="s">
        <v>6536</v>
      </c>
      <c r="F11616" s="21"/>
      <c r="G11616" s="16" t="str">
        <f>HYPERLINK("http://maps.google.com/maps?f=q&amp;hl=en&amp;geocode=&amp;q=39.527049832595,-84.0651390172005")</f>
        <v>http://maps.google.com/maps?f=q&amp;hl=en&amp;geocode=&amp;q=39.527049832595,-84.0651390172005</v>
      </c>
    </row>
    <row r="11617" spans="1:7" ht="15" x14ac:dyDescent="0.3">
      <c r="A11617">
        <v>40.021380000000001</v>
      </c>
      <c r="B11617">
        <v>-75.210539999999995</v>
      </c>
      <c r="C11617" t="s">
        <v>41</v>
      </c>
      <c r="D11617" t="s">
        <v>6537</v>
      </c>
      <c r="F11617" s="21"/>
      <c r="G11617" s="16" t="str">
        <f>HYPERLINK("http://maps.google.com/maps?f=q&amp;hl=en&amp;geocode=&amp;q=40.02138,-75.21054")</f>
        <v>http://maps.google.com/maps?f=q&amp;hl=en&amp;geocode=&amp;q=40.02138,-75.21054</v>
      </c>
    </row>
    <row r="11618" spans="1:7" ht="15" x14ac:dyDescent="0.3">
      <c r="A11618">
        <v>43.4533081054688</v>
      </c>
      <c r="B11618">
        <v>-96.429718017578097</v>
      </c>
      <c r="C11618" t="s">
        <v>43</v>
      </c>
      <c r="D11618" t="s">
        <v>6538</v>
      </c>
      <c r="F11618" s="21"/>
      <c r="G11618" s="16" t="str">
        <f>HYPERLINK("http://maps.google.com/maps?f=q&amp;hl=en&amp;geocode=&amp;q=43.4533081054688,-96.4297180175781")</f>
        <v>http://maps.google.com/maps?f=q&amp;hl=en&amp;geocode=&amp;q=43.4533081054688,-96.4297180175781</v>
      </c>
    </row>
    <row r="11619" spans="1:7" ht="15" x14ac:dyDescent="0.3">
      <c r="A11619">
        <v>-5.0306301116943404</v>
      </c>
      <c r="B11619">
        <v>32.819759368896499</v>
      </c>
      <c r="C11619" t="s">
        <v>41</v>
      </c>
      <c r="D11619" t="s">
        <v>3418</v>
      </c>
      <c r="F11619" s="21"/>
      <c r="G11619" s="16" t="str">
        <f>HYPERLINK("http://maps.google.com/maps?f=q&amp;hl=en&amp;geocode=&amp;q=-5.03063011169434,32.8197593688965")</f>
        <v>http://maps.google.com/maps?f=q&amp;hl=en&amp;geocode=&amp;q=-5.03063011169434,32.8197593688965</v>
      </c>
    </row>
    <row r="11620" spans="1:7" ht="15" x14ac:dyDescent="0.3">
      <c r="A11620">
        <v>-5.0306301116943404</v>
      </c>
      <c r="B11620">
        <v>32.819759368896499</v>
      </c>
      <c r="C11620" t="s">
        <v>41</v>
      </c>
      <c r="D11620" t="s">
        <v>3418</v>
      </c>
      <c r="F11620" s="21"/>
      <c r="G11620" s="16" t="str">
        <f>HYPERLINK("http://maps.google.com/maps?f=q&amp;hl=en&amp;geocode=&amp;q=-5.03063011169434,32.8197593688965")</f>
        <v>http://maps.google.com/maps?f=q&amp;hl=en&amp;geocode=&amp;q=-5.03063011169434,32.8197593688965</v>
      </c>
    </row>
    <row r="11621" spans="1:7" ht="15" x14ac:dyDescent="0.3">
      <c r="A11621">
        <v>31.028404141084099</v>
      </c>
      <c r="B11621">
        <v>-87.5244504042914</v>
      </c>
      <c r="C11621" t="s">
        <v>41</v>
      </c>
      <c r="D11621" t="s">
        <v>3690</v>
      </c>
      <c r="F11621" s="21"/>
      <c r="G11621" s="16" t="str">
        <f>HYPERLINK("http://maps.google.com/maps?f=q&amp;hl=en&amp;geocode=&amp;q=31.0284041410841,-87.5244504042914")</f>
        <v>http://maps.google.com/maps?f=q&amp;hl=en&amp;geocode=&amp;q=31.0284041410841,-87.5244504042914</v>
      </c>
    </row>
    <row r="11622" spans="1:7" ht="15" x14ac:dyDescent="0.3">
      <c r="A11622">
        <v>46.487715799999997</v>
      </c>
      <c r="B11622">
        <v>-80.921067300000004</v>
      </c>
      <c r="C11622" t="s">
        <v>41</v>
      </c>
      <c r="D11622" t="s">
        <v>5408</v>
      </c>
      <c r="F11622" s="21"/>
      <c r="G11622" s="16" t="str">
        <f>HYPERLINK("http://maps.google.com/maps?f=q&amp;hl=en&amp;geocode=&amp;q=46.4877158,-80.9210673")</f>
        <v>http://maps.google.com/maps?f=q&amp;hl=en&amp;geocode=&amp;q=46.4877158,-80.9210673</v>
      </c>
    </row>
    <row r="11623" spans="1:7" ht="15" x14ac:dyDescent="0.3">
      <c r="A11623" t="s">
        <v>44</v>
      </c>
      <c r="B11623" t="s">
        <v>44</v>
      </c>
      <c r="C11623" t="s">
        <v>44</v>
      </c>
      <c r="D11623" t="s">
        <v>4438</v>
      </c>
      <c r="F11623" s="21"/>
      <c r="G11623" s="16"/>
    </row>
    <row r="11624" spans="1:7" ht="15" x14ac:dyDescent="0.3">
      <c r="A11624">
        <v>39.012816000000001</v>
      </c>
      <c r="B11624">
        <v>-76.676608999999999</v>
      </c>
      <c r="C11624" t="s">
        <v>43</v>
      </c>
      <c r="D11624" t="s">
        <v>6539</v>
      </c>
      <c r="F11624" s="21"/>
      <c r="G11624" s="16" t="str">
        <f>HYPERLINK("http://maps.google.com/maps?f=q&amp;hl=en&amp;geocode=&amp;q=39.012816,-76.676609")</f>
        <v>http://maps.google.com/maps?f=q&amp;hl=en&amp;geocode=&amp;q=39.012816,-76.676609</v>
      </c>
    </row>
    <row r="11625" spans="1:7" ht="15" x14ac:dyDescent="0.3">
      <c r="A11625">
        <v>39.950119999999998</v>
      </c>
      <c r="B11625">
        <v>-75.168589999999995</v>
      </c>
      <c r="C11625" t="s">
        <v>41</v>
      </c>
      <c r="D11625" t="s">
        <v>6200</v>
      </c>
      <c r="F11625" s="21"/>
      <c r="G11625" s="16" t="str">
        <f>HYPERLINK("http://maps.google.com/maps?f=q&amp;hl=en&amp;geocode=&amp;q=39.95012,-75.16859")</f>
        <v>http://maps.google.com/maps?f=q&amp;hl=en&amp;geocode=&amp;q=39.95012,-75.16859</v>
      </c>
    </row>
    <row r="11626" spans="1:7" ht="15" x14ac:dyDescent="0.3">
      <c r="A11626">
        <v>39.9518766952758</v>
      </c>
      <c r="B11626">
        <v>-75.168855805924906</v>
      </c>
      <c r="C11626" t="s">
        <v>41</v>
      </c>
      <c r="D11626" t="s">
        <v>6431</v>
      </c>
      <c r="F11626" s="21"/>
      <c r="G11626" s="16" t="str">
        <f>HYPERLINK("http://maps.google.com/maps?f=q&amp;hl=en&amp;geocode=&amp;q=39.9518766952758,-75.1688558059249")</f>
        <v>http://maps.google.com/maps?f=q&amp;hl=en&amp;geocode=&amp;q=39.9518766952758,-75.1688558059249</v>
      </c>
    </row>
    <row r="11627" spans="1:7" ht="15" x14ac:dyDescent="0.3">
      <c r="A11627">
        <v>-26.034427642822301</v>
      </c>
      <c r="B11627">
        <v>28.5431098937988</v>
      </c>
      <c r="C11627" t="s">
        <v>43</v>
      </c>
      <c r="D11627" t="s">
        <v>6148</v>
      </c>
      <c r="F11627" s="21"/>
      <c r="G11627" s="16" t="str">
        <f>HYPERLINK("http://maps.google.com/maps?f=q&amp;hl=en&amp;geocode=&amp;q=-26.0344276428223,28.5431098937988")</f>
        <v>http://maps.google.com/maps?f=q&amp;hl=en&amp;geocode=&amp;q=-26.0344276428223,28.5431098937988</v>
      </c>
    </row>
    <row r="11628" spans="1:7" ht="15" x14ac:dyDescent="0.3">
      <c r="A11628" t="s">
        <v>44</v>
      </c>
      <c r="B11628" t="s">
        <v>44</v>
      </c>
      <c r="C11628" t="s">
        <v>44</v>
      </c>
      <c r="D11628" t="s">
        <v>4438</v>
      </c>
      <c r="F11628" s="21"/>
      <c r="G11628" s="16"/>
    </row>
    <row r="11629" spans="1:7" ht="15" x14ac:dyDescent="0.3">
      <c r="A11629" t="s">
        <v>44</v>
      </c>
      <c r="B11629" t="s">
        <v>44</v>
      </c>
      <c r="C11629" t="s">
        <v>44</v>
      </c>
      <c r="D11629" t="s">
        <v>4438</v>
      </c>
      <c r="F11629" s="21"/>
      <c r="G11629" s="16"/>
    </row>
    <row r="11630" spans="1:7" ht="15" x14ac:dyDescent="0.3">
      <c r="A11630">
        <v>34.542929999999998</v>
      </c>
      <c r="B11630">
        <v>-93.182190000000006</v>
      </c>
      <c r="C11630" t="s">
        <v>43</v>
      </c>
      <c r="D11630" t="s">
        <v>6540</v>
      </c>
      <c r="F11630" s="21"/>
      <c r="G11630" s="16" t="str">
        <f>HYPERLINK("http://maps.google.com/maps?f=q&amp;hl=en&amp;geocode=&amp;q=34.54293,-93.18219")</f>
        <v>http://maps.google.com/maps?f=q&amp;hl=en&amp;geocode=&amp;q=34.54293,-93.18219</v>
      </c>
    </row>
    <row r="11631" spans="1:7" ht="15" x14ac:dyDescent="0.3">
      <c r="A11631" t="s">
        <v>44</v>
      </c>
      <c r="B11631" t="s">
        <v>44</v>
      </c>
      <c r="C11631" t="s">
        <v>44</v>
      </c>
      <c r="D11631" t="s">
        <v>4438</v>
      </c>
      <c r="F11631" s="21"/>
      <c r="G11631" s="16"/>
    </row>
    <row r="11632" spans="1:7" ht="15" x14ac:dyDescent="0.3">
      <c r="A11632">
        <v>49.612476348877003</v>
      </c>
      <c r="B11632">
        <v>6.1724100112915004</v>
      </c>
      <c r="C11632" t="s">
        <v>41</v>
      </c>
      <c r="D11632" t="s">
        <v>6541</v>
      </c>
      <c r="F11632" s="21"/>
      <c r="G11632" s="16" t="str">
        <f>HYPERLINK("http://maps.google.com/maps?f=q&amp;hl=en&amp;geocode=&amp;q=49.612476348877,6.1724100112915")</f>
        <v>http://maps.google.com/maps?f=q&amp;hl=en&amp;geocode=&amp;q=49.612476348877,6.1724100112915</v>
      </c>
    </row>
    <row r="11633" spans="1:7" ht="15" x14ac:dyDescent="0.3">
      <c r="A11633">
        <v>38.588470000000001</v>
      </c>
      <c r="B11633">
        <v>-122.58041</v>
      </c>
      <c r="C11633" t="s">
        <v>42</v>
      </c>
      <c r="D11633" t="s">
        <v>4507</v>
      </c>
      <c r="F11633" s="21"/>
      <c r="G11633" s="16" t="str">
        <f>HYPERLINK("http://maps.google.com/maps?f=q&amp;hl=en&amp;geocode=&amp;q=38.58847,-122.58041")</f>
        <v>http://maps.google.com/maps?f=q&amp;hl=en&amp;geocode=&amp;q=38.58847,-122.58041</v>
      </c>
    </row>
    <row r="11634" spans="1:7" ht="15" x14ac:dyDescent="0.3">
      <c r="A11634">
        <v>39.950060000000001</v>
      </c>
      <c r="B11634">
        <v>-75.168139999999994</v>
      </c>
      <c r="C11634" t="s">
        <v>41</v>
      </c>
      <c r="D11634" t="s">
        <v>5999</v>
      </c>
      <c r="F11634" s="21"/>
      <c r="G11634" s="16" t="str">
        <f>HYPERLINK("http://maps.google.com/maps?f=q&amp;hl=en&amp;geocode=&amp;q=39.95006,-75.16814")</f>
        <v>http://maps.google.com/maps?f=q&amp;hl=en&amp;geocode=&amp;q=39.95006,-75.16814</v>
      </c>
    </row>
    <row r="11635" spans="1:7" ht="15" x14ac:dyDescent="0.3">
      <c r="A11635">
        <v>40.132370000000002</v>
      </c>
      <c r="B11635">
        <v>-75.007909999999995</v>
      </c>
      <c r="C11635" t="s">
        <v>41</v>
      </c>
      <c r="D11635" t="s">
        <v>55</v>
      </c>
      <c r="F11635" s="21"/>
      <c r="G11635" s="16" t="str">
        <f>HYPERLINK("http://maps.google.com/maps?f=q&amp;hl=en&amp;geocode=&amp;q=40.13237,-75.00791")</f>
        <v>http://maps.google.com/maps?f=q&amp;hl=en&amp;geocode=&amp;q=40.13237,-75.00791</v>
      </c>
    </row>
    <row r="11636" spans="1:7" ht="15" x14ac:dyDescent="0.3">
      <c r="A11636">
        <v>40.530859999999997</v>
      </c>
      <c r="B11636">
        <v>-76.395259999999993</v>
      </c>
      <c r="C11636" t="s">
        <v>42</v>
      </c>
      <c r="D11636" t="s">
        <v>6542</v>
      </c>
      <c r="F11636" s="21"/>
      <c r="G11636" s="16" t="str">
        <f>HYPERLINK("http://maps.google.com/maps?f=q&amp;hl=en&amp;geocode=&amp;q=40.53086,-76.39526")</f>
        <v>http://maps.google.com/maps?f=q&amp;hl=en&amp;geocode=&amp;q=40.53086,-76.39526</v>
      </c>
    </row>
    <row r="11637" spans="1:7" ht="15" x14ac:dyDescent="0.3">
      <c r="A11637">
        <v>40.055344959282202</v>
      </c>
      <c r="B11637">
        <v>-75.185214356015194</v>
      </c>
      <c r="C11637" t="s">
        <v>41</v>
      </c>
      <c r="D11637" t="s">
        <v>5788</v>
      </c>
      <c r="F11637" s="21"/>
      <c r="G11637" s="16" t="str">
        <f>HYPERLINK("http://maps.google.com/maps?f=q&amp;hl=en&amp;geocode=&amp;q=40.0553449592822,-75.1852143560152")</f>
        <v>http://maps.google.com/maps?f=q&amp;hl=en&amp;geocode=&amp;q=40.0553449592822,-75.1852143560152</v>
      </c>
    </row>
    <row r="11638" spans="1:7" ht="15" x14ac:dyDescent="0.3">
      <c r="A11638">
        <v>38.533939116379003</v>
      </c>
      <c r="B11638">
        <v>-89.779321641021596</v>
      </c>
      <c r="C11638" t="s">
        <v>43</v>
      </c>
      <c r="D11638" t="s">
        <v>6543</v>
      </c>
      <c r="F11638" s="21"/>
      <c r="G11638" s="16" t="str">
        <f>HYPERLINK("http://maps.google.com/maps?f=q&amp;hl=en&amp;geocode=&amp;q=38.533939116379,-89.7793216410216")</f>
        <v>http://maps.google.com/maps?f=q&amp;hl=en&amp;geocode=&amp;q=38.533939116379,-89.7793216410216</v>
      </c>
    </row>
    <row r="11639" spans="1:7" ht="15" x14ac:dyDescent="0.3">
      <c r="A11639">
        <v>40.129190000000001</v>
      </c>
      <c r="B11639">
        <v>-75.013990000000007</v>
      </c>
      <c r="C11639" t="s">
        <v>41</v>
      </c>
      <c r="D11639" t="s">
        <v>6544</v>
      </c>
      <c r="F11639" s="21"/>
      <c r="G11639" s="16" t="str">
        <f>HYPERLINK("http://maps.google.com/maps?f=q&amp;hl=en&amp;geocode=&amp;q=40.12919,-75.01399")</f>
        <v>http://maps.google.com/maps?f=q&amp;hl=en&amp;geocode=&amp;q=40.12919,-75.01399</v>
      </c>
    </row>
    <row r="11640" spans="1:7" ht="15" x14ac:dyDescent="0.3">
      <c r="A11640">
        <v>46.284141540527301</v>
      </c>
      <c r="B11640">
        <v>7.5034499168395996</v>
      </c>
      <c r="C11640" t="s">
        <v>43</v>
      </c>
      <c r="D11640" t="s">
        <v>6545</v>
      </c>
      <c r="F11640" s="21"/>
      <c r="G11640" s="16" t="str">
        <f>HYPERLINK("http://maps.google.com/maps?f=q&amp;hl=en&amp;geocode=&amp;q=46.2841415405273,7.5034499168396")</f>
        <v>http://maps.google.com/maps?f=q&amp;hl=en&amp;geocode=&amp;q=46.2841415405273,7.5034499168396</v>
      </c>
    </row>
    <row r="11641" spans="1:7" ht="15" x14ac:dyDescent="0.3">
      <c r="A11641">
        <v>39.918750000000003</v>
      </c>
      <c r="B11641">
        <v>-75.175880000000006</v>
      </c>
      <c r="C11641" t="s">
        <v>43</v>
      </c>
      <c r="D11641" t="s">
        <v>6546</v>
      </c>
      <c r="F11641" s="21"/>
      <c r="G11641" s="16" t="str">
        <f>HYPERLINK("http://maps.google.com/maps?f=q&amp;hl=en&amp;geocode=&amp;q=39.91875,-75.17588")</f>
        <v>http://maps.google.com/maps?f=q&amp;hl=en&amp;geocode=&amp;q=39.91875,-75.17588</v>
      </c>
    </row>
    <row r="11642" spans="1:7" ht="15" x14ac:dyDescent="0.3">
      <c r="A11642" t="s">
        <v>44</v>
      </c>
      <c r="B11642" t="s">
        <v>44</v>
      </c>
      <c r="C11642" t="s">
        <v>44</v>
      </c>
      <c r="D11642" t="s">
        <v>4584</v>
      </c>
      <c r="F11642" s="21"/>
      <c r="G11642" s="16"/>
    </row>
    <row r="11643" spans="1:7" ht="15" x14ac:dyDescent="0.3">
      <c r="A11643" t="s">
        <v>44</v>
      </c>
      <c r="B11643" t="s">
        <v>44</v>
      </c>
      <c r="C11643" t="s">
        <v>44</v>
      </c>
      <c r="D11643" t="s">
        <v>6547</v>
      </c>
      <c r="F11643" s="21"/>
      <c r="G11643" s="16"/>
    </row>
    <row r="11644" spans="1:7" ht="15" x14ac:dyDescent="0.3">
      <c r="A11644">
        <v>39.684371948242202</v>
      </c>
      <c r="B11644">
        <v>21.8974094390869</v>
      </c>
      <c r="C11644" t="s">
        <v>41</v>
      </c>
      <c r="D11644" t="s">
        <v>6548</v>
      </c>
      <c r="F11644" s="21"/>
      <c r="G11644" s="16" t="str">
        <f>HYPERLINK("http://maps.google.com/maps?f=q&amp;hl=en&amp;geocode=&amp;q=39.6843719482422,21.8974094390869")</f>
        <v>http://maps.google.com/maps?f=q&amp;hl=en&amp;geocode=&amp;q=39.6843719482422,21.8974094390869</v>
      </c>
    </row>
    <row r="11645" spans="1:7" ht="15" x14ac:dyDescent="0.3">
      <c r="A11645">
        <v>40.696170000000002</v>
      </c>
      <c r="B11645">
        <v>-111.93174</v>
      </c>
      <c r="C11645" t="s">
        <v>43</v>
      </c>
      <c r="D11645" t="s">
        <v>6549</v>
      </c>
      <c r="F11645" s="21"/>
      <c r="G11645" s="16" t="str">
        <f>HYPERLINK("http://maps.google.com/maps?f=q&amp;hl=en&amp;geocode=&amp;q=40.69617,-111.93174")</f>
        <v>http://maps.google.com/maps?f=q&amp;hl=en&amp;geocode=&amp;q=40.69617,-111.93174</v>
      </c>
    </row>
    <row r="11646" spans="1:7" ht="15" x14ac:dyDescent="0.3">
      <c r="A11646">
        <v>39.920810000000003</v>
      </c>
      <c r="B11646">
        <v>-75.173169999999999</v>
      </c>
      <c r="C11646" t="s">
        <v>41</v>
      </c>
      <c r="D11646" t="s">
        <v>6550</v>
      </c>
      <c r="F11646" s="21"/>
      <c r="G11646" s="16" t="str">
        <f>HYPERLINK("http://maps.google.com/maps?f=q&amp;hl=en&amp;geocode=&amp;q=39.92081,-75.17317")</f>
        <v>http://maps.google.com/maps?f=q&amp;hl=en&amp;geocode=&amp;q=39.92081,-75.17317</v>
      </c>
    </row>
    <row r="11647" spans="1:7" ht="15" x14ac:dyDescent="0.3">
      <c r="A11647" t="s">
        <v>44</v>
      </c>
      <c r="B11647" t="s">
        <v>44</v>
      </c>
      <c r="C11647" t="s">
        <v>44</v>
      </c>
      <c r="D11647" t="s">
        <v>4726</v>
      </c>
      <c r="F11647" s="21"/>
      <c r="G11647" s="16"/>
    </row>
    <row r="11648" spans="1:7" ht="15" x14ac:dyDescent="0.3">
      <c r="A11648">
        <v>40.596612128870703</v>
      </c>
      <c r="B11648">
        <v>-111.523709680439</v>
      </c>
      <c r="C11648" t="s">
        <v>41</v>
      </c>
      <c r="D11648" t="s">
        <v>6551</v>
      </c>
      <c r="F11648" s="21"/>
      <c r="G11648" s="16" t="str">
        <f>HYPERLINK("http://maps.google.com/maps?f=q&amp;hl=en&amp;geocode=&amp;q=40.5966121288707,-111.523709680439")</f>
        <v>http://maps.google.com/maps?f=q&amp;hl=en&amp;geocode=&amp;q=40.5966121288707,-111.523709680439</v>
      </c>
    </row>
    <row r="11649" spans="1:7" ht="15" x14ac:dyDescent="0.3">
      <c r="A11649">
        <v>39.926990000000004</v>
      </c>
      <c r="B11649">
        <v>-75.226159999999993</v>
      </c>
      <c r="C11649" t="s">
        <v>41</v>
      </c>
      <c r="D11649" t="s">
        <v>462</v>
      </c>
      <c r="F11649" s="21"/>
      <c r="G11649" s="16" t="str">
        <f>HYPERLINK("http://maps.google.com/maps?f=q&amp;hl=en&amp;geocode=&amp;q=39.92699,-75.22616")</f>
        <v>http://maps.google.com/maps?f=q&amp;hl=en&amp;geocode=&amp;q=39.92699,-75.22616</v>
      </c>
    </row>
    <row r="11650" spans="1:7" ht="15" x14ac:dyDescent="0.3">
      <c r="A11650">
        <v>39.926990000000004</v>
      </c>
      <c r="B11650">
        <v>-75.226159999999993</v>
      </c>
      <c r="C11650" t="s">
        <v>41</v>
      </c>
      <c r="D11650" t="s">
        <v>462</v>
      </c>
      <c r="F11650" s="21"/>
      <c r="G11650" s="16" t="str">
        <f>HYPERLINK("http://maps.google.com/maps?f=q&amp;hl=en&amp;geocode=&amp;q=39.92699,-75.22616")</f>
        <v>http://maps.google.com/maps?f=q&amp;hl=en&amp;geocode=&amp;q=39.92699,-75.22616</v>
      </c>
    </row>
    <row r="11651" spans="1:7" ht="15" x14ac:dyDescent="0.3">
      <c r="A11651">
        <v>40.020427036841397</v>
      </c>
      <c r="B11651">
        <v>-75.114040848973801</v>
      </c>
      <c r="C11651" t="s">
        <v>41</v>
      </c>
      <c r="D11651" t="s">
        <v>5906</v>
      </c>
      <c r="F11651" s="21"/>
      <c r="G11651" s="16" t="str">
        <f>HYPERLINK("http://maps.google.com/maps?f=q&amp;hl=en&amp;geocode=&amp;q=40.0204270368414,-75.1140408489738")</f>
        <v>http://maps.google.com/maps?f=q&amp;hl=en&amp;geocode=&amp;q=40.0204270368414,-75.1140408489738</v>
      </c>
    </row>
    <row r="11652" spans="1:7" ht="15" x14ac:dyDescent="0.3">
      <c r="A11652">
        <v>27.334779999999999</v>
      </c>
      <c r="B11652">
        <v>-81.359449999999995</v>
      </c>
      <c r="C11652" t="s">
        <v>42</v>
      </c>
      <c r="D11652" t="s">
        <v>6552</v>
      </c>
      <c r="F11652" s="21"/>
      <c r="G11652" s="16" t="str">
        <f>HYPERLINK("http://maps.google.com/maps?f=q&amp;hl=en&amp;geocode=&amp;q=27.33478,-81.35945")</f>
        <v>http://maps.google.com/maps?f=q&amp;hl=en&amp;geocode=&amp;q=27.33478,-81.35945</v>
      </c>
    </row>
    <row r="11653" spans="1:7" ht="15" x14ac:dyDescent="0.3">
      <c r="A11653">
        <v>55.887496948242202</v>
      </c>
      <c r="B11653">
        <v>11.6570587158203</v>
      </c>
      <c r="C11653" t="s">
        <v>41</v>
      </c>
      <c r="D11653" t="s">
        <v>2833</v>
      </c>
      <c r="F11653" s="21"/>
      <c r="G11653" s="16" t="str">
        <f>HYPERLINK("http://maps.google.com/maps?f=q&amp;hl=en&amp;geocode=&amp;q=55.8874969482422,11.6570587158203")</f>
        <v>http://maps.google.com/maps?f=q&amp;hl=en&amp;geocode=&amp;q=55.8874969482422,11.6570587158203</v>
      </c>
    </row>
    <row r="11654" spans="1:7" ht="15" x14ac:dyDescent="0.3">
      <c r="A11654">
        <v>38.973060607910199</v>
      </c>
      <c r="B11654">
        <v>-95.236526489257798</v>
      </c>
      <c r="C11654" t="s">
        <v>43</v>
      </c>
      <c r="D11654" t="s">
        <v>1271</v>
      </c>
      <c r="F11654" s="21"/>
      <c r="G11654" s="16" t="str">
        <f>HYPERLINK("http://maps.google.com/maps?f=q&amp;hl=en&amp;geocode=&amp;q=38.9730606079102,-95.2365264892578")</f>
        <v>http://maps.google.com/maps?f=q&amp;hl=en&amp;geocode=&amp;q=38.9730606079102,-95.2365264892578</v>
      </c>
    </row>
    <row r="11655" spans="1:7" ht="15" x14ac:dyDescent="0.3">
      <c r="A11655">
        <v>39.963140000000003</v>
      </c>
      <c r="B11655">
        <v>-75.159040000000005</v>
      </c>
      <c r="C11655" t="s">
        <v>43</v>
      </c>
      <c r="D11655" t="s">
        <v>6553</v>
      </c>
      <c r="F11655" s="21"/>
      <c r="G11655" s="16" t="str">
        <f>HYPERLINK("http://maps.google.com/maps?f=q&amp;hl=en&amp;geocode=&amp;q=39.96314,-75.15904")</f>
        <v>http://maps.google.com/maps?f=q&amp;hl=en&amp;geocode=&amp;q=39.96314,-75.15904</v>
      </c>
    </row>
    <row r="11656" spans="1:7" ht="15" x14ac:dyDescent="0.3">
      <c r="A11656">
        <v>39.963140000000003</v>
      </c>
      <c r="B11656">
        <v>-75.159040000000005</v>
      </c>
      <c r="C11656" t="s">
        <v>43</v>
      </c>
      <c r="D11656" t="s">
        <v>6553</v>
      </c>
      <c r="F11656" s="21"/>
      <c r="G11656" s="16" t="str">
        <f>HYPERLINK("http://maps.google.com/maps?f=q&amp;hl=en&amp;geocode=&amp;q=39.96314,-75.15904")</f>
        <v>http://maps.google.com/maps?f=q&amp;hl=en&amp;geocode=&amp;q=39.96314,-75.15904</v>
      </c>
    </row>
    <row r="11657" spans="1:7" ht="15" x14ac:dyDescent="0.3">
      <c r="A11657">
        <v>40.097897968491303</v>
      </c>
      <c r="B11657">
        <v>-89.083102045688506</v>
      </c>
      <c r="C11657" t="s">
        <v>41</v>
      </c>
      <c r="D11657" t="s">
        <v>4002</v>
      </c>
      <c r="F11657" s="21"/>
      <c r="G11657" s="16" t="str">
        <f>HYPERLINK("http://maps.google.com/maps?f=q&amp;hl=en&amp;geocode=&amp;q=40.0978979684913,-89.0831020456885")</f>
        <v>http://maps.google.com/maps?f=q&amp;hl=en&amp;geocode=&amp;q=40.0978979684913,-89.0831020456885</v>
      </c>
    </row>
    <row r="11658" spans="1:7" ht="15" x14ac:dyDescent="0.3">
      <c r="A11658">
        <v>42.7791938781738</v>
      </c>
      <c r="B11658">
        <v>-73.691421508789105</v>
      </c>
      <c r="C11658" t="s">
        <v>43</v>
      </c>
      <c r="D11658" t="s">
        <v>6554</v>
      </c>
      <c r="F11658" s="21"/>
      <c r="G11658" s="16" t="str">
        <f>HYPERLINK("http://maps.google.com/maps?f=q&amp;hl=en&amp;geocode=&amp;q=42.7791938781738,-73.6914215087891")</f>
        <v>http://maps.google.com/maps?f=q&amp;hl=en&amp;geocode=&amp;q=42.7791938781738,-73.6914215087891</v>
      </c>
    </row>
    <row r="11659" spans="1:7" ht="15" x14ac:dyDescent="0.3">
      <c r="A11659">
        <v>40.040602202038002</v>
      </c>
      <c r="B11659">
        <v>-75.078391070732593</v>
      </c>
      <c r="C11659" t="s">
        <v>41</v>
      </c>
      <c r="D11659" t="s">
        <v>4295</v>
      </c>
      <c r="F11659" s="21"/>
      <c r="G11659" s="16" t="str">
        <f>HYPERLINK("http://maps.google.com/maps?f=q&amp;hl=en&amp;geocode=&amp;q=40.040602202038,-75.0783910707326")</f>
        <v>http://maps.google.com/maps?f=q&amp;hl=en&amp;geocode=&amp;q=40.040602202038,-75.0783910707326</v>
      </c>
    </row>
    <row r="11660" spans="1:7" ht="15" x14ac:dyDescent="0.3">
      <c r="A11660">
        <v>42.020302788317899</v>
      </c>
      <c r="B11660">
        <v>-71.427000726695695</v>
      </c>
      <c r="C11660" t="s">
        <v>41</v>
      </c>
      <c r="D11660" t="s">
        <v>6555</v>
      </c>
      <c r="F11660" s="21"/>
      <c r="G11660" s="16" t="str">
        <f>HYPERLINK("http://maps.google.com/maps?f=q&amp;hl=en&amp;geocode=&amp;q=42.0203027883179,-71.4270007266957")</f>
        <v>http://maps.google.com/maps?f=q&amp;hl=en&amp;geocode=&amp;q=42.0203027883179,-71.4270007266957</v>
      </c>
    </row>
    <row r="11661" spans="1:7" ht="15" x14ac:dyDescent="0.3">
      <c r="A11661" t="s">
        <v>44</v>
      </c>
      <c r="B11661" t="s">
        <v>44</v>
      </c>
      <c r="C11661" t="s">
        <v>44</v>
      </c>
      <c r="D11661" t="s">
        <v>5767</v>
      </c>
      <c r="F11661" s="21"/>
      <c r="G11661" s="16"/>
    </row>
    <row r="11662" spans="1:7" ht="15" x14ac:dyDescent="0.3">
      <c r="A11662">
        <v>48.008468627929702</v>
      </c>
      <c r="B11662">
        <v>12.169349670410201</v>
      </c>
      <c r="C11662" t="s">
        <v>43</v>
      </c>
      <c r="D11662" t="s">
        <v>6556</v>
      </c>
      <c r="F11662" s="21"/>
      <c r="G11662" s="16" t="str">
        <f>HYPERLINK("http://maps.google.com/maps?f=q&amp;hl=en&amp;geocode=&amp;q=48.0084686279297,12.1693496704102")</f>
        <v>http://maps.google.com/maps?f=q&amp;hl=en&amp;geocode=&amp;q=48.0084686279297,12.1693496704102</v>
      </c>
    </row>
    <row r="11663" spans="1:7" ht="15" x14ac:dyDescent="0.3">
      <c r="A11663">
        <v>42.66046</v>
      </c>
      <c r="B11663">
        <v>-73.769710000000003</v>
      </c>
      <c r="C11663" t="s">
        <v>42</v>
      </c>
      <c r="D11663" t="s">
        <v>3428</v>
      </c>
      <c r="F11663" s="21"/>
      <c r="G11663" s="16" t="str">
        <f>HYPERLINK("http://maps.google.com/maps?f=q&amp;hl=en&amp;geocode=&amp;q=42.66046,-73.76971")</f>
        <v>http://maps.google.com/maps?f=q&amp;hl=en&amp;geocode=&amp;q=42.66046,-73.76971</v>
      </c>
    </row>
    <row r="11664" spans="1:7" ht="15" x14ac:dyDescent="0.3">
      <c r="A11664">
        <v>40.0553453062156</v>
      </c>
      <c r="B11664">
        <v>-75.195847743387304</v>
      </c>
      <c r="C11664" t="s">
        <v>41</v>
      </c>
      <c r="D11664" t="s">
        <v>6557</v>
      </c>
      <c r="F11664" s="21"/>
      <c r="G11664" s="16" t="str">
        <f>HYPERLINK("http://maps.google.com/maps?f=q&amp;hl=en&amp;geocode=&amp;q=40.0553453062156,-75.1958477433873")</f>
        <v>http://maps.google.com/maps?f=q&amp;hl=en&amp;geocode=&amp;q=40.0553453062156,-75.1958477433873</v>
      </c>
    </row>
    <row r="11665" spans="1:7" ht="15" x14ac:dyDescent="0.3">
      <c r="A11665">
        <v>41.073360562887501</v>
      </c>
      <c r="B11665">
        <v>-111.96744032199901</v>
      </c>
      <c r="C11665" t="s">
        <v>41</v>
      </c>
      <c r="D11665" t="s">
        <v>3432</v>
      </c>
      <c r="F11665" s="21"/>
      <c r="G11665" s="16" t="str">
        <f>HYPERLINK("http://maps.google.com/maps?f=q&amp;hl=en&amp;geocode=&amp;q=41.0733605628875,-111.967440321999")</f>
        <v>http://maps.google.com/maps?f=q&amp;hl=en&amp;geocode=&amp;q=41.0733605628875,-111.967440321999</v>
      </c>
    </row>
    <row r="11666" spans="1:7" ht="15" x14ac:dyDescent="0.3">
      <c r="A11666">
        <v>39.305960143236497</v>
      </c>
      <c r="B11666">
        <v>-76.594435092052805</v>
      </c>
      <c r="C11666" t="s">
        <v>41</v>
      </c>
      <c r="D11666" t="s">
        <v>4029</v>
      </c>
      <c r="F11666" s="21"/>
      <c r="G11666" s="16" t="str">
        <f>HYPERLINK("http://maps.google.com/maps?f=q&amp;hl=en&amp;geocode=&amp;q=39.3059601432365,-76.5944350920528")</f>
        <v>http://maps.google.com/maps?f=q&amp;hl=en&amp;geocode=&amp;q=39.3059601432365,-76.5944350920528</v>
      </c>
    </row>
    <row r="11667" spans="1:7" ht="15" x14ac:dyDescent="0.3">
      <c r="A11667">
        <v>47.068611145019503</v>
      </c>
      <c r="B11667">
        <v>15.4432697296143</v>
      </c>
      <c r="C11667" t="s">
        <v>41</v>
      </c>
      <c r="D11667" t="s">
        <v>6558</v>
      </c>
      <c r="F11667" s="21"/>
      <c r="G11667" s="16" t="str">
        <f>HYPERLINK("http://maps.google.com/maps?f=q&amp;hl=en&amp;geocode=&amp;q=47.0686111450195,15.4432697296143")</f>
        <v>http://maps.google.com/maps?f=q&amp;hl=en&amp;geocode=&amp;q=47.0686111450195,15.4432697296143</v>
      </c>
    </row>
    <row r="11668" spans="1:7" ht="15" x14ac:dyDescent="0.3">
      <c r="A11668">
        <v>33.100879999999997</v>
      </c>
      <c r="B11668">
        <v>-86.753169999999997</v>
      </c>
      <c r="C11668" t="s">
        <v>43</v>
      </c>
      <c r="D11668" t="s">
        <v>6559</v>
      </c>
      <c r="F11668" s="21"/>
      <c r="G11668" s="16" t="str">
        <f>HYPERLINK("http://maps.google.com/maps?f=q&amp;hl=en&amp;geocode=&amp;q=33.10088,-86.75317")</f>
        <v>http://maps.google.com/maps?f=q&amp;hl=en&amp;geocode=&amp;q=33.10088,-86.75317</v>
      </c>
    </row>
    <row r="11669" spans="1:7" ht="15" x14ac:dyDescent="0.3">
      <c r="A11669">
        <v>33.100879999999997</v>
      </c>
      <c r="B11669">
        <v>-86.753169999999997</v>
      </c>
      <c r="C11669" t="s">
        <v>43</v>
      </c>
      <c r="D11669" t="s">
        <v>6559</v>
      </c>
      <c r="F11669" s="21"/>
      <c r="G11669" s="16" t="str">
        <f>HYPERLINK("http://maps.google.com/maps?f=q&amp;hl=en&amp;geocode=&amp;q=33.10088,-86.75317")</f>
        <v>http://maps.google.com/maps?f=q&amp;hl=en&amp;geocode=&amp;q=33.10088,-86.75317</v>
      </c>
    </row>
    <row r="11670" spans="1:7" ht="15" x14ac:dyDescent="0.3">
      <c r="A11670">
        <v>40.06427</v>
      </c>
      <c r="B11670">
        <v>-75.147760000000005</v>
      </c>
      <c r="C11670" t="s">
        <v>41</v>
      </c>
      <c r="D11670" t="s">
        <v>6560</v>
      </c>
      <c r="F11670" s="21"/>
      <c r="G11670" s="16" t="str">
        <f>HYPERLINK("http://maps.google.com/maps?f=q&amp;hl=en&amp;geocode=&amp;q=40.06427,-75.14776")</f>
        <v>http://maps.google.com/maps?f=q&amp;hl=en&amp;geocode=&amp;q=40.06427,-75.14776</v>
      </c>
    </row>
    <row r="11671" spans="1:7" ht="15" x14ac:dyDescent="0.3">
      <c r="A11671">
        <v>35.027957086890602</v>
      </c>
      <c r="B11671">
        <v>-114.565984629977</v>
      </c>
      <c r="C11671" t="s">
        <v>41</v>
      </c>
      <c r="D11671" t="s">
        <v>6212</v>
      </c>
      <c r="F11671" s="21"/>
      <c r="G11671" s="16" t="str">
        <f>HYPERLINK("http://maps.google.com/maps?f=q&amp;hl=en&amp;geocode=&amp;q=35.0279570868906,-114.565984629977")</f>
        <v>http://maps.google.com/maps?f=q&amp;hl=en&amp;geocode=&amp;q=35.0279570868906,-114.565984629977</v>
      </c>
    </row>
    <row r="11672" spans="1:7" ht="15" x14ac:dyDescent="0.3">
      <c r="A11672">
        <v>35.260640000000002</v>
      </c>
      <c r="B11672">
        <v>-114.02511</v>
      </c>
      <c r="C11672" t="s">
        <v>41</v>
      </c>
      <c r="D11672" t="s">
        <v>6561</v>
      </c>
      <c r="F11672" s="21"/>
      <c r="G11672" s="16" t="str">
        <f>HYPERLINK("http://maps.google.com/maps?f=q&amp;hl=en&amp;geocode=&amp;q=35.26064,-114.02511")</f>
        <v>http://maps.google.com/maps?f=q&amp;hl=en&amp;geocode=&amp;q=35.26064,-114.02511</v>
      </c>
    </row>
    <row r="11673" spans="1:7" ht="15" x14ac:dyDescent="0.3">
      <c r="A11673">
        <v>44.983679151932598</v>
      </c>
      <c r="B11673">
        <v>-124.009972465008</v>
      </c>
      <c r="C11673" t="s">
        <v>42</v>
      </c>
      <c r="D11673" t="s">
        <v>6562</v>
      </c>
      <c r="F11673" s="21"/>
      <c r="G11673" s="16" t="str">
        <f>HYPERLINK("http://maps.google.com/maps?f=q&amp;hl=en&amp;geocode=&amp;q=44.9836791519326,-124.009972465008")</f>
        <v>http://maps.google.com/maps?f=q&amp;hl=en&amp;geocode=&amp;q=44.9836791519326,-124.009972465008</v>
      </c>
    </row>
    <row r="11674" spans="1:7" ht="15" x14ac:dyDescent="0.3">
      <c r="A11674">
        <v>50.807346343994098</v>
      </c>
      <c r="B11674">
        <v>5.7348451614379901</v>
      </c>
      <c r="C11674" t="s">
        <v>43</v>
      </c>
      <c r="D11674" t="s">
        <v>2174</v>
      </c>
      <c r="F11674" s="21"/>
      <c r="G11674" s="16" t="str">
        <f>HYPERLINK("http://maps.google.com/maps?f=q&amp;hl=en&amp;geocode=&amp;q=50.8073463439941,5.73484516143799")</f>
        <v>http://maps.google.com/maps?f=q&amp;hl=en&amp;geocode=&amp;q=50.8073463439941,5.73484516143799</v>
      </c>
    </row>
    <row r="11675" spans="1:7" ht="15" x14ac:dyDescent="0.3">
      <c r="A11675">
        <v>39.974580000000003</v>
      </c>
      <c r="B11675">
        <v>-75.183440000000004</v>
      </c>
      <c r="C11675" t="s">
        <v>42</v>
      </c>
      <c r="D11675" t="s">
        <v>6563</v>
      </c>
      <c r="F11675" s="21"/>
      <c r="G11675" s="16" t="str">
        <f>HYPERLINK("http://maps.google.com/maps?f=q&amp;hl=en&amp;geocode=&amp;q=39.97458,-75.18344")</f>
        <v>http://maps.google.com/maps?f=q&amp;hl=en&amp;geocode=&amp;q=39.97458,-75.18344</v>
      </c>
    </row>
    <row r="11676" spans="1:7" ht="15" x14ac:dyDescent="0.3">
      <c r="A11676">
        <v>42.000375699220598</v>
      </c>
      <c r="B11676">
        <v>-88.040774497040104</v>
      </c>
      <c r="C11676" t="s">
        <v>41</v>
      </c>
      <c r="D11676" t="s">
        <v>6564</v>
      </c>
      <c r="F11676" s="21"/>
      <c r="G11676" s="16" t="str">
        <f>HYPERLINK("http://maps.google.com/maps?f=q&amp;hl=en&amp;geocode=&amp;q=42.0003756992206,-88.0407744970401")</f>
        <v>http://maps.google.com/maps?f=q&amp;hl=en&amp;geocode=&amp;q=42.0003756992206,-88.0407744970401</v>
      </c>
    </row>
    <row r="11677" spans="1:7" ht="15" x14ac:dyDescent="0.3">
      <c r="A11677">
        <v>46.941207885742202</v>
      </c>
      <c r="B11677">
        <v>7.2209849357604998</v>
      </c>
      <c r="C11677" t="s">
        <v>41</v>
      </c>
      <c r="D11677" t="s">
        <v>6565</v>
      </c>
      <c r="F11677" s="21"/>
      <c r="G11677" s="16" t="str">
        <f>HYPERLINK("http://maps.google.com/maps?f=q&amp;hl=en&amp;geocode=&amp;q=46.9412078857422,7.2209849357605")</f>
        <v>http://maps.google.com/maps?f=q&amp;hl=en&amp;geocode=&amp;q=46.9412078857422,7.2209849357605</v>
      </c>
    </row>
    <row r="11678" spans="1:7" ht="15" x14ac:dyDescent="0.3">
      <c r="A11678">
        <v>46.487650000000002</v>
      </c>
      <c r="B11678">
        <v>-80.915580000000006</v>
      </c>
      <c r="C11678" t="s">
        <v>41</v>
      </c>
      <c r="D11678" t="s">
        <v>6566</v>
      </c>
      <c r="F11678" s="21"/>
      <c r="G11678" s="16" t="str">
        <f>HYPERLINK("http://maps.google.com/maps?f=q&amp;hl=en&amp;geocode=&amp;q=46.48765,-80.91558")</f>
        <v>http://maps.google.com/maps?f=q&amp;hl=en&amp;geocode=&amp;q=46.48765,-80.91558</v>
      </c>
    </row>
    <row r="11679" spans="1:7" ht="15" x14ac:dyDescent="0.3">
      <c r="A11679">
        <v>32.851245034264899</v>
      </c>
      <c r="B11679">
        <v>-104.415521419599</v>
      </c>
      <c r="C11679" t="s">
        <v>43</v>
      </c>
      <c r="D11679" t="s">
        <v>6567</v>
      </c>
      <c r="F11679" s="21"/>
      <c r="G11679" s="16" t="str">
        <f>HYPERLINK("http://maps.google.com/maps?f=q&amp;hl=en&amp;geocode=&amp;q=32.8512450342649,-104.415521419599")</f>
        <v>http://maps.google.com/maps?f=q&amp;hl=en&amp;geocode=&amp;q=32.8512450342649,-104.415521419599</v>
      </c>
    </row>
    <row r="11680" spans="1:7" ht="15" x14ac:dyDescent="0.3">
      <c r="A11680">
        <v>47.575959753228197</v>
      </c>
      <c r="B11680">
        <v>-122.65297291205999</v>
      </c>
      <c r="C11680" t="s">
        <v>41</v>
      </c>
      <c r="D11680" t="s">
        <v>6568</v>
      </c>
      <c r="F11680" s="21"/>
      <c r="G11680" s="16" t="str">
        <f>HYPERLINK("http://maps.google.com/maps?f=q&amp;hl=en&amp;geocode=&amp;q=47.5759597532282,-122.65297291206")</f>
        <v>http://maps.google.com/maps?f=q&amp;hl=en&amp;geocode=&amp;q=47.5759597532282,-122.65297291206</v>
      </c>
    </row>
    <row r="11681" spans="1:7" ht="15" x14ac:dyDescent="0.3">
      <c r="A11681">
        <v>39.963140000000003</v>
      </c>
      <c r="B11681">
        <v>-75.159040000000005</v>
      </c>
      <c r="C11681" t="s">
        <v>43</v>
      </c>
      <c r="D11681" t="s">
        <v>6553</v>
      </c>
      <c r="F11681" s="21"/>
      <c r="G11681" s="16" t="str">
        <f>HYPERLINK("http://maps.google.com/maps?f=q&amp;hl=en&amp;geocode=&amp;q=39.96314,-75.15904")</f>
        <v>http://maps.google.com/maps?f=q&amp;hl=en&amp;geocode=&amp;q=39.96314,-75.15904</v>
      </c>
    </row>
    <row r="11682" spans="1:7" ht="15" x14ac:dyDescent="0.3">
      <c r="A11682">
        <v>39.963140000000003</v>
      </c>
      <c r="B11682">
        <v>-75.159040000000005</v>
      </c>
      <c r="C11682" t="s">
        <v>43</v>
      </c>
      <c r="D11682" t="s">
        <v>6553</v>
      </c>
      <c r="F11682" s="21"/>
      <c r="G11682" s="16" t="str">
        <f>HYPERLINK("http://maps.google.com/maps?f=q&amp;hl=en&amp;geocode=&amp;q=39.96314,-75.15904")</f>
        <v>http://maps.google.com/maps?f=q&amp;hl=en&amp;geocode=&amp;q=39.96314,-75.15904</v>
      </c>
    </row>
    <row r="11683" spans="1:7" ht="15" x14ac:dyDescent="0.3">
      <c r="A11683">
        <v>39.963949999999997</v>
      </c>
      <c r="B11683">
        <v>-75.162819999999996</v>
      </c>
      <c r="C11683" t="s">
        <v>43</v>
      </c>
      <c r="D11683" t="s">
        <v>6569</v>
      </c>
      <c r="F11683" s="21"/>
      <c r="G11683" s="16" t="str">
        <f>HYPERLINK("http://maps.google.com/maps?f=q&amp;hl=en&amp;geocode=&amp;q=39.96395,-75.16282")</f>
        <v>http://maps.google.com/maps?f=q&amp;hl=en&amp;geocode=&amp;q=39.96395,-75.16282</v>
      </c>
    </row>
    <row r="11684" spans="1:7" ht="15" x14ac:dyDescent="0.3">
      <c r="A11684">
        <v>39.963140000000003</v>
      </c>
      <c r="B11684">
        <v>-75.159040000000005</v>
      </c>
      <c r="C11684" t="s">
        <v>43</v>
      </c>
      <c r="D11684" t="s">
        <v>6553</v>
      </c>
      <c r="F11684" s="21"/>
      <c r="G11684" s="16" t="str">
        <f>HYPERLINK("http://maps.google.com/maps?f=q&amp;hl=en&amp;geocode=&amp;q=39.96314,-75.15904")</f>
        <v>http://maps.google.com/maps?f=q&amp;hl=en&amp;geocode=&amp;q=39.96314,-75.15904</v>
      </c>
    </row>
    <row r="11685" spans="1:7" ht="15" x14ac:dyDescent="0.3">
      <c r="A11685">
        <v>39.15099</v>
      </c>
      <c r="B11685">
        <v>-76.725099999999998</v>
      </c>
      <c r="C11685" t="s">
        <v>41</v>
      </c>
      <c r="D11685" t="s">
        <v>6470</v>
      </c>
      <c r="F11685" s="21"/>
      <c r="G11685" s="16" t="str">
        <f>HYPERLINK("http://maps.google.com/maps?f=q&amp;hl=en&amp;geocode=&amp;q=39.15099,-76.7251")</f>
        <v>http://maps.google.com/maps?f=q&amp;hl=en&amp;geocode=&amp;q=39.15099,-76.7251</v>
      </c>
    </row>
    <row r="11686" spans="1:7" ht="15" x14ac:dyDescent="0.3">
      <c r="A11686">
        <v>-37.42812</v>
      </c>
      <c r="B11686">
        <v>144.57317</v>
      </c>
      <c r="C11686" t="s">
        <v>41</v>
      </c>
      <c r="D11686" t="s">
        <v>6570</v>
      </c>
      <c r="F11686" s="21"/>
      <c r="G11686" s="16" t="str">
        <f>HYPERLINK("http://maps.google.com/maps?f=q&amp;hl=en&amp;geocode=&amp;q=-37.42812,144.57317")</f>
        <v>http://maps.google.com/maps?f=q&amp;hl=en&amp;geocode=&amp;q=-37.42812,144.57317</v>
      </c>
    </row>
    <row r="11687" spans="1:7" ht="15" x14ac:dyDescent="0.3">
      <c r="A11687">
        <v>37.771937470711897</v>
      </c>
      <c r="B11687">
        <v>-122.250437618026</v>
      </c>
      <c r="C11687" t="s">
        <v>41</v>
      </c>
      <c r="D11687" t="s">
        <v>6571</v>
      </c>
      <c r="F11687" s="21"/>
      <c r="G11687" s="16" t="str">
        <f>HYPERLINK("http://maps.google.com/maps?f=q&amp;hl=en&amp;geocode=&amp;q=37.7719374707119,-122.250437618026")</f>
        <v>http://maps.google.com/maps?f=q&amp;hl=en&amp;geocode=&amp;q=37.7719374707119,-122.250437618026</v>
      </c>
    </row>
    <row r="11688" spans="1:7" ht="15" x14ac:dyDescent="0.3">
      <c r="A11688">
        <v>37.3283729195402</v>
      </c>
      <c r="B11688">
        <v>-121.825132541638</v>
      </c>
      <c r="C11688" t="s">
        <v>41</v>
      </c>
      <c r="D11688" t="s">
        <v>6572</v>
      </c>
      <c r="F11688" s="21"/>
      <c r="G11688" s="16" t="str">
        <f>HYPERLINK("http://maps.google.com/maps?f=q&amp;hl=en&amp;geocode=&amp;q=37.3283729195402,-121.825132541638")</f>
        <v>http://maps.google.com/maps?f=q&amp;hl=en&amp;geocode=&amp;q=37.3283729195402,-121.825132541638</v>
      </c>
    </row>
    <row r="11689" spans="1:7" ht="15" x14ac:dyDescent="0.3">
      <c r="A11689">
        <v>39.15099</v>
      </c>
      <c r="B11689">
        <v>-76.725099999999998</v>
      </c>
      <c r="C11689" t="s">
        <v>41</v>
      </c>
      <c r="D11689" t="s">
        <v>6470</v>
      </c>
      <c r="F11689" s="21"/>
      <c r="G11689" s="16" t="str">
        <f>HYPERLINK("http://maps.google.com/maps?f=q&amp;hl=en&amp;geocode=&amp;q=39.15099,-76.7251")</f>
        <v>http://maps.google.com/maps?f=q&amp;hl=en&amp;geocode=&amp;q=39.15099,-76.7251</v>
      </c>
    </row>
    <row r="11690" spans="1:7" ht="15" x14ac:dyDescent="0.3">
      <c r="A11690">
        <v>35.243940000000002</v>
      </c>
      <c r="B11690">
        <v>-97.423190000000005</v>
      </c>
      <c r="C11690" t="s">
        <v>41</v>
      </c>
      <c r="D11690" t="s">
        <v>6313</v>
      </c>
      <c r="F11690" s="21"/>
      <c r="G11690" s="16" t="str">
        <f>HYPERLINK("http://maps.google.com/maps?f=q&amp;hl=en&amp;geocode=&amp;q=35.24394,-97.42319")</f>
        <v>http://maps.google.com/maps?f=q&amp;hl=en&amp;geocode=&amp;q=35.24394,-97.42319</v>
      </c>
    </row>
    <row r="11691" spans="1:7" ht="15" x14ac:dyDescent="0.3">
      <c r="A11691">
        <v>35.243940000000002</v>
      </c>
      <c r="B11691">
        <v>-97.423190000000005</v>
      </c>
      <c r="C11691" t="s">
        <v>41</v>
      </c>
      <c r="D11691" t="s">
        <v>6313</v>
      </c>
      <c r="F11691" s="21"/>
      <c r="G11691" s="16" t="str">
        <f>HYPERLINK("http://maps.google.com/maps?f=q&amp;hl=en&amp;geocode=&amp;q=35.24394,-97.42319")</f>
        <v>http://maps.google.com/maps?f=q&amp;hl=en&amp;geocode=&amp;q=35.24394,-97.42319</v>
      </c>
    </row>
    <row r="11692" spans="1:7" ht="15" x14ac:dyDescent="0.3">
      <c r="A11692">
        <v>35.243940000000002</v>
      </c>
      <c r="B11692">
        <v>-97.423190000000005</v>
      </c>
      <c r="C11692" t="s">
        <v>41</v>
      </c>
      <c r="D11692" t="s">
        <v>6313</v>
      </c>
      <c r="F11692" s="21"/>
      <c r="G11692" s="16" t="str">
        <f>HYPERLINK("http://maps.google.com/maps?f=q&amp;hl=en&amp;geocode=&amp;q=35.24394,-97.42319")</f>
        <v>http://maps.google.com/maps?f=q&amp;hl=en&amp;geocode=&amp;q=35.24394,-97.42319</v>
      </c>
    </row>
    <row r="11693" spans="1:7" ht="15" x14ac:dyDescent="0.3">
      <c r="A11693">
        <v>40.683799999999998</v>
      </c>
      <c r="B11693">
        <v>-89.615930000000006</v>
      </c>
      <c r="C11693" t="s">
        <v>41</v>
      </c>
      <c r="D11693" t="s">
        <v>6573</v>
      </c>
      <c r="F11693" s="21"/>
      <c r="G11693" s="16" t="str">
        <f>HYPERLINK("http://maps.google.com/maps?f=q&amp;hl=en&amp;geocode=&amp;q=40.6838,-89.61593")</f>
        <v>http://maps.google.com/maps?f=q&amp;hl=en&amp;geocode=&amp;q=40.6838,-89.61593</v>
      </c>
    </row>
    <row r="11694" spans="1:7" ht="15" x14ac:dyDescent="0.3">
      <c r="A11694">
        <v>40.576259999999998</v>
      </c>
      <c r="B11694">
        <v>-75.348519999999994</v>
      </c>
      <c r="C11694" t="s">
        <v>43</v>
      </c>
      <c r="D11694" t="s">
        <v>6223</v>
      </c>
      <c r="F11694" s="21"/>
      <c r="G11694" s="16" t="str">
        <f>HYPERLINK("http://maps.google.com/maps?f=q&amp;hl=en&amp;geocode=&amp;q=40.57626,-75.34852")</f>
        <v>http://maps.google.com/maps?f=q&amp;hl=en&amp;geocode=&amp;q=40.57626,-75.34852</v>
      </c>
    </row>
    <row r="11695" spans="1:7" ht="15" x14ac:dyDescent="0.3">
      <c r="A11695">
        <v>39.947240000000001</v>
      </c>
      <c r="B11695">
        <v>-75.174689999999998</v>
      </c>
      <c r="C11695" t="s">
        <v>43</v>
      </c>
      <c r="D11695" t="s">
        <v>6228</v>
      </c>
      <c r="F11695" s="21"/>
      <c r="G11695" s="16" t="str">
        <f>HYPERLINK("http://maps.google.com/maps?f=q&amp;hl=en&amp;geocode=&amp;q=39.94724,-75.17469")</f>
        <v>http://maps.google.com/maps?f=q&amp;hl=en&amp;geocode=&amp;q=39.94724,-75.17469</v>
      </c>
    </row>
    <row r="11696" spans="1:7" ht="15" x14ac:dyDescent="0.3">
      <c r="A11696">
        <v>39.947240000000001</v>
      </c>
      <c r="B11696">
        <v>-75.174689999999998</v>
      </c>
      <c r="C11696" t="s">
        <v>43</v>
      </c>
      <c r="D11696" t="s">
        <v>6228</v>
      </c>
      <c r="F11696" s="21"/>
      <c r="G11696" s="16" t="str">
        <f>HYPERLINK("http://maps.google.com/maps?f=q&amp;hl=en&amp;geocode=&amp;q=39.94724,-75.17469")</f>
        <v>http://maps.google.com/maps?f=q&amp;hl=en&amp;geocode=&amp;q=39.94724,-75.17469</v>
      </c>
    </row>
    <row r="11697" spans="1:7" ht="15" x14ac:dyDescent="0.3">
      <c r="A11697">
        <v>11.7104902267456</v>
      </c>
      <c r="B11697">
        <v>-6.8503999710082999</v>
      </c>
      <c r="C11697" t="s">
        <v>41</v>
      </c>
      <c r="D11697" t="s">
        <v>6574</v>
      </c>
      <c r="F11697" s="21"/>
      <c r="G11697" s="16" t="str">
        <f>HYPERLINK("http://maps.google.com/maps?f=q&amp;hl=en&amp;geocode=&amp;q=11.7104902267456,-6.8503999710083")</f>
        <v>http://maps.google.com/maps?f=q&amp;hl=en&amp;geocode=&amp;q=11.7104902267456,-6.8503999710083</v>
      </c>
    </row>
    <row r="11698" spans="1:7" ht="15" x14ac:dyDescent="0.3">
      <c r="A11698">
        <v>31.914202954544201</v>
      </c>
      <c r="B11698">
        <v>-102.429479342683</v>
      </c>
      <c r="C11698" t="s">
        <v>41</v>
      </c>
      <c r="D11698" t="s">
        <v>6575</v>
      </c>
      <c r="F11698" s="21"/>
      <c r="G11698" s="16" t="str">
        <f>HYPERLINK("http://maps.google.com/maps?f=q&amp;hl=en&amp;geocode=&amp;q=31.9142029545442,-102.429479342683")</f>
        <v>http://maps.google.com/maps?f=q&amp;hl=en&amp;geocode=&amp;q=31.9142029545442,-102.429479342683</v>
      </c>
    </row>
    <row r="11699" spans="1:7" ht="15" x14ac:dyDescent="0.3">
      <c r="A11699">
        <v>41.488712310791001</v>
      </c>
      <c r="B11699">
        <v>-71.454322814941406</v>
      </c>
      <c r="C11699" t="s">
        <v>41</v>
      </c>
      <c r="D11699" t="s">
        <v>6576</v>
      </c>
      <c r="F11699" s="21"/>
      <c r="G11699" s="16" t="str">
        <f>HYPERLINK("http://maps.google.com/maps?f=q&amp;hl=en&amp;geocode=&amp;q=41.488712310791,-71.4543228149414")</f>
        <v>http://maps.google.com/maps?f=q&amp;hl=en&amp;geocode=&amp;q=41.488712310791,-71.4543228149414</v>
      </c>
    </row>
    <row r="11700" spans="1:7" ht="15" x14ac:dyDescent="0.3">
      <c r="A11700">
        <v>50.780136108398402</v>
      </c>
      <c r="B11700">
        <v>4.2288222312927202</v>
      </c>
      <c r="C11700" t="s">
        <v>43</v>
      </c>
      <c r="D11700" t="s">
        <v>6577</v>
      </c>
      <c r="F11700" s="21"/>
      <c r="G11700" s="16" t="str">
        <f>HYPERLINK("http://maps.google.com/maps?f=q&amp;hl=en&amp;geocode=&amp;q=50.7801361083984,4.22882223129272")</f>
        <v>http://maps.google.com/maps?f=q&amp;hl=en&amp;geocode=&amp;q=50.7801361083984,4.22882223129272</v>
      </c>
    </row>
    <row r="11701" spans="1:7" ht="15" x14ac:dyDescent="0.3">
      <c r="A11701">
        <v>41.511369999999999</v>
      </c>
      <c r="B11701">
        <v>-78.228059999999999</v>
      </c>
      <c r="C11701" t="s">
        <v>41</v>
      </c>
      <c r="D11701" t="s">
        <v>765</v>
      </c>
      <c r="F11701" s="21"/>
      <c r="G11701" s="16" t="str">
        <f>HYPERLINK("http://maps.google.com/maps?f=q&amp;hl=en&amp;geocode=&amp;q=41.51137,-78.22806")</f>
        <v>http://maps.google.com/maps?f=q&amp;hl=en&amp;geocode=&amp;q=41.51137,-78.22806</v>
      </c>
    </row>
    <row r="11702" spans="1:7" ht="15" x14ac:dyDescent="0.3">
      <c r="A11702">
        <v>43.623632196895798</v>
      </c>
      <c r="B11702">
        <v>-82.909818373719901</v>
      </c>
      <c r="C11702" t="s">
        <v>41</v>
      </c>
      <c r="D11702" t="s">
        <v>6578</v>
      </c>
      <c r="F11702" s="21"/>
      <c r="G11702" s="16" t="str">
        <f>HYPERLINK("http://maps.google.com/maps?f=q&amp;hl=en&amp;geocode=&amp;q=43.6236321968958,-82.9098183737199")</f>
        <v>http://maps.google.com/maps?f=q&amp;hl=en&amp;geocode=&amp;q=43.6236321968958,-82.9098183737199</v>
      </c>
    </row>
    <row r="11703" spans="1:7" ht="15" x14ac:dyDescent="0.3">
      <c r="A11703">
        <v>52.370571136474602</v>
      </c>
      <c r="B11703">
        <v>-2.7190001010894802</v>
      </c>
      <c r="C11703" t="s">
        <v>41</v>
      </c>
      <c r="D11703" t="s">
        <v>6579</v>
      </c>
      <c r="F11703" s="21"/>
      <c r="G11703" s="16" t="str">
        <f>HYPERLINK("http://maps.google.com/maps?f=q&amp;hl=en&amp;geocode=&amp;q=52.3705711364746,-2.71900010108948")</f>
        <v>http://maps.google.com/maps?f=q&amp;hl=en&amp;geocode=&amp;q=52.3705711364746,-2.71900010108948</v>
      </c>
    </row>
    <row r="11704" spans="1:7" ht="15" x14ac:dyDescent="0.3">
      <c r="A11704" t="s">
        <v>44</v>
      </c>
      <c r="B11704" t="s">
        <v>44</v>
      </c>
      <c r="C11704" t="s">
        <v>44</v>
      </c>
      <c r="D11704" t="s">
        <v>6580</v>
      </c>
      <c r="F11704" s="21"/>
      <c r="G11704" s="16"/>
    </row>
    <row r="11705" spans="1:7" ht="15" x14ac:dyDescent="0.3">
      <c r="A11705">
        <v>11.1126661300659</v>
      </c>
      <c r="B11705">
        <v>122.509475708008</v>
      </c>
      <c r="C11705" t="s">
        <v>41</v>
      </c>
      <c r="D11705" t="s">
        <v>6581</v>
      </c>
      <c r="F11705" s="21"/>
      <c r="G11705" s="16" t="str">
        <f>HYPERLINK("http://maps.google.com/maps?f=q&amp;hl=en&amp;geocode=&amp;q=11.1126661300659,122.509475708008")</f>
        <v>http://maps.google.com/maps?f=q&amp;hl=en&amp;geocode=&amp;q=11.1126661300659,122.509475708008</v>
      </c>
    </row>
    <row r="11706" spans="1:7" ht="15" x14ac:dyDescent="0.3">
      <c r="A11706">
        <v>39.974580000000003</v>
      </c>
      <c r="B11706">
        <v>-75.183440000000004</v>
      </c>
      <c r="C11706" t="s">
        <v>42</v>
      </c>
      <c r="D11706" t="s">
        <v>6563</v>
      </c>
      <c r="F11706" s="21"/>
      <c r="G11706" s="16" t="str">
        <f>HYPERLINK("http://maps.google.com/maps?f=q&amp;hl=en&amp;geocode=&amp;q=39.97458,-75.18344")</f>
        <v>http://maps.google.com/maps?f=q&amp;hl=en&amp;geocode=&amp;q=39.97458,-75.18344</v>
      </c>
    </row>
    <row r="11707" spans="1:7" ht="15" x14ac:dyDescent="0.3">
      <c r="A11707">
        <v>39.938519999999997</v>
      </c>
      <c r="B11707">
        <v>-75.179029999999997</v>
      </c>
      <c r="C11707" t="s">
        <v>41</v>
      </c>
      <c r="D11707" t="s">
        <v>6582</v>
      </c>
      <c r="F11707" s="21"/>
      <c r="G11707" s="16" t="str">
        <f>HYPERLINK("http://maps.google.com/maps?f=q&amp;hl=en&amp;geocode=&amp;q=39.93852,-75.17903")</f>
        <v>http://maps.google.com/maps?f=q&amp;hl=en&amp;geocode=&amp;q=39.93852,-75.17903</v>
      </c>
    </row>
    <row r="11708" spans="1:7" ht="15" x14ac:dyDescent="0.3">
      <c r="A11708">
        <v>39.974920528710598</v>
      </c>
      <c r="B11708">
        <v>-75.185669725391904</v>
      </c>
      <c r="C11708" t="s">
        <v>41</v>
      </c>
      <c r="D11708" t="s">
        <v>6583</v>
      </c>
      <c r="F11708" s="21"/>
      <c r="G11708" s="16" t="str">
        <f>HYPERLINK("http://maps.google.com/maps?f=q&amp;hl=en&amp;geocode=&amp;q=39.9749205287106,-75.1856697253919")</f>
        <v>http://maps.google.com/maps?f=q&amp;hl=en&amp;geocode=&amp;q=39.9749205287106,-75.1856697253919</v>
      </c>
    </row>
    <row r="11709" spans="1:7" ht="15" x14ac:dyDescent="0.3">
      <c r="A11709">
        <v>42.083179473877003</v>
      </c>
      <c r="B11709">
        <v>-71.017242431640597</v>
      </c>
      <c r="C11709" t="s">
        <v>41</v>
      </c>
      <c r="D11709" t="s">
        <v>6584</v>
      </c>
      <c r="F11709" s="21"/>
      <c r="G11709" s="16" t="str">
        <f>HYPERLINK("http://maps.google.com/maps?f=q&amp;hl=en&amp;geocode=&amp;q=42.083179473877,-71.0172424316406")</f>
        <v>http://maps.google.com/maps?f=q&amp;hl=en&amp;geocode=&amp;q=42.083179473877,-71.0172424316406</v>
      </c>
    </row>
    <row r="11710" spans="1:7" ht="15" x14ac:dyDescent="0.3">
      <c r="A11710">
        <v>42.083179473877003</v>
      </c>
      <c r="B11710">
        <v>-71.017242431640597</v>
      </c>
      <c r="C11710" t="s">
        <v>41</v>
      </c>
      <c r="D11710" t="s">
        <v>2932</v>
      </c>
      <c r="F11710" s="21"/>
      <c r="G11710" s="16" t="str">
        <f>HYPERLINK("http://maps.google.com/maps?f=q&amp;hl=en&amp;geocode=&amp;q=42.083179473877,-71.0172424316406")</f>
        <v>http://maps.google.com/maps?f=q&amp;hl=en&amp;geocode=&amp;q=42.083179473877,-71.0172424316406</v>
      </c>
    </row>
    <row r="11711" spans="1:7" ht="15" x14ac:dyDescent="0.3">
      <c r="A11711">
        <v>40.534829999999999</v>
      </c>
      <c r="B11711">
        <v>-122.38979999999999</v>
      </c>
      <c r="C11711" t="s">
        <v>41</v>
      </c>
      <c r="D11711" t="s">
        <v>5354</v>
      </c>
      <c r="F11711" s="21"/>
      <c r="G11711" s="16" t="str">
        <f>HYPERLINK("http://maps.google.com/maps?f=q&amp;hl=en&amp;geocode=&amp;q=40.53483,-122.3898")</f>
        <v>http://maps.google.com/maps?f=q&amp;hl=en&amp;geocode=&amp;q=40.53483,-122.3898</v>
      </c>
    </row>
    <row r="11712" spans="1:7" ht="15" x14ac:dyDescent="0.3">
      <c r="A11712">
        <v>37.607898712158203</v>
      </c>
      <c r="B11712">
        <v>-87.656089782714801</v>
      </c>
      <c r="C11712" t="s">
        <v>43</v>
      </c>
      <c r="D11712" t="s">
        <v>6585</v>
      </c>
      <c r="F11712" s="21"/>
      <c r="G11712" s="16" t="str">
        <f>HYPERLINK("http://maps.google.com/maps?f=q&amp;hl=en&amp;geocode=&amp;q=37.6078987121582,-87.6560897827148")</f>
        <v>http://maps.google.com/maps?f=q&amp;hl=en&amp;geocode=&amp;q=37.6078987121582,-87.6560897827148</v>
      </c>
    </row>
    <row r="11713" spans="1:7" ht="15" x14ac:dyDescent="0.3">
      <c r="A11713">
        <v>49.4110107421875</v>
      </c>
      <c r="B11713">
        <v>14.675889968872101</v>
      </c>
      <c r="C11713" t="s">
        <v>41</v>
      </c>
      <c r="D11713" t="s">
        <v>6586</v>
      </c>
      <c r="F11713" s="21"/>
      <c r="G11713" s="16" t="str">
        <f>HYPERLINK("http://maps.google.com/maps?f=q&amp;hl=en&amp;geocode=&amp;q=49.4110107421875,14.6758899688721")</f>
        <v>http://maps.google.com/maps?f=q&amp;hl=en&amp;geocode=&amp;q=49.4110107421875,14.6758899688721</v>
      </c>
    </row>
    <row r="11714" spans="1:7" ht="15" x14ac:dyDescent="0.3">
      <c r="A11714">
        <v>39.932290000000002</v>
      </c>
      <c r="B11714">
        <v>-75.171189999999996</v>
      </c>
      <c r="C11714" t="s">
        <v>41</v>
      </c>
      <c r="D11714" t="s">
        <v>6587</v>
      </c>
      <c r="F11714" s="21"/>
      <c r="G11714" s="16" t="str">
        <f>HYPERLINK("http://maps.google.com/maps?f=q&amp;hl=en&amp;geocode=&amp;q=39.93229,-75.17119")</f>
        <v>http://maps.google.com/maps?f=q&amp;hl=en&amp;geocode=&amp;q=39.93229,-75.17119</v>
      </c>
    </row>
    <row r="11715" spans="1:7" ht="15" x14ac:dyDescent="0.3">
      <c r="A11715">
        <v>40.849288940429702</v>
      </c>
      <c r="B11715">
        <v>-79.679458618164105</v>
      </c>
      <c r="C11715" t="s">
        <v>43</v>
      </c>
      <c r="D11715" t="s">
        <v>6588</v>
      </c>
      <c r="F11715" s="21"/>
      <c r="G11715" s="16" t="str">
        <f>HYPERLINK("http://maps.google.com/maps?f=q&amp;hl=en&amp;geocode=&amp;q=40.8492889404297,-79.6794586181641")</f>
        <v>http://maps.google.com/maps?f=q&amp;hl=en&amp;geocode=&amp;q=40.8492889404297,-79.6794586181641</v>
      </c>
    </row>
    <row r="11716" spans="1:7" ht="15" x14ac:dyDescent="0.3">
      <c r="A11716">
        <v>40.041731789762302</v>
      </c>
      <c r="B11716">
        <v>-75.192249216796995</v>
      </c>
      <c r="C11716" t="s">
        <v>41</v>
      </c>
      <c r="D11716" t="s">
        <v>5145</v>
      </c>
      <c r="F11716" s="21"/>
      <c r="G11716" s="16" t="str">
        <f>HYPERLINK("http://maps.google.com/maps?f=q&amp;hl=en&amp;geocode=&amp;q=40.0417317897623,-75.192249216797")</f>
        <v>http://maps.google.com/maps?f=q&amp;hl=en&amp;geocode=&amp;q=40.0417317897623,-75.192249216797</v>
      </c>
    </row>
    <row r="11717" spans="1:7" ht="15" x14ac:dyDescent="0.3">
      <c r="A11717">
        <v>40.543950000000002</v>
      </c>
      <c r="B11717">
        <v>-112.29679</v>
      </c>
      <c r="C11717" t="s">
        <v>43</v>
      </c>
      <c r="D11717" t="s">
        <v>2688</v>
      </c>
      <c r="F11717" s="21"/>
      <c r="G11717" s="16" t="str">
        <f>HYPERLINK("http://maps.google.com/maps?f=q&amp;hl=en&amp;geocode=&amp;q=40.54395,-112.29679")</f>
        <v>http://maps.google.com/maps?f=q&amp;hl=en&amp;geocode=&amp;q=40.54395,-112.29679</v>
      </c>
    </row>
    <row r="11718" spans="1:7" ht="15" x14ac:dyDescent="0.3">
      <c r="A11718">
        <v>11.1126661300659</v>
      </c>
      <c r="B11718">
        <v>122.509475708008</v>
      </c>
      <c r="C11718" t="s">
        <v>41</v>
      </c>
      <c r="D11718" t="s">
        <v>6589</v>
      </c>
      <c r="F11718" s="21"/>
      <c r="G11718" s="16" t="str">
        <f>HYPERLINK("http://maps.google.com/maps?f=q&amp;hl=en&amp;geocode=&amp;q=11.1126661300659,122.509475708008")</f>
        <v>http://maps.google.com/maps?f=q&amp;hl=en&amp;geocode=&amp;q=11.1126661300659,122.509475708008</v>
      </c>
    </row>
    <row r="11719" spans="1:7" ht="15" x14ac:dyDescent="0.3">
      <c r="A11719">
        <v>40.020350000000001</v>
      </c>
      <c r="B11719">
        <v>-75.114630000000005</v>
      </c>
      <c r="C11719" t="s">
        <v>43</v>
      </c>
      <c r="D11719" t="s">
        <v>6590</v>
      </c>
      <c r="F11719" s="21"/>
      <c r="G11719" s="16" t="str">
        <f>HYPERLINK("http://maps.google.com/maps?f=q&amp;hl=en&amp;geocode=&amp;q=40.02035,-75.11463")</f>
        <v>http://maps.google.com/maps?f=q&amp;hl=en&amp;geocode=&amp;q=40.02035,-75.11463</v>
      </c>
    </row>
    <row r="11720" spans="1:7" ht="15" x14ac:dyDescent="0.3">
      <c r="A11720">
        <v>40.020350000000001</v>
      </c>
      <c r="B11720">
        <v>-75.114630000000005</v>
      </c>
      <c r="C11720" t="s">
        <v>43</v>
      </c>
      <c r="D11720" t="s">
        <v>6591</v>
      </c>
      <c r="F11720" s="21"/>
      <c r="G11720" s="16" t="str">
        <f>HYPERLINK("http://maps.google.com/maps?f=q&amp;hl=en&amp;geocode=&amp;q=40.02035,-75.11463")</f>
        <v>http://maps.google.com/maps?f=q&amp;hl=en&amp;geocode=&amp;q=40.02035,-75.11463</v>
      </c>
    </row>
    <row r="11721" spans="1:7" ht="15" x14ac:dyDescent="0.3">
      <c r="A11721">
        <v>31.720570224178701</v>
      </c>
      <c r="B11721">
        <v>-96.945485699495094</v>
      </c>
      <c r="C11721" t="s">
        <v>41</v>
      </c>
      <c r="D11721" t="s">
        <v>6592</v>
      </c>
      <c r="F11721" s="21"/>
      <c r="G11721" s="16" t="str">
        <f>HYPERLINK("http://maps.google.com/maps?f=q&amp;hl=en&amp;geocode=&amp;q=31.7205702241787,-96.9454856994951")</f>
        <v>http://maps.google.com/maps?f=q&amp;hl=en&amp;geocode=&amp;q=31.7205702241787,-96.9454856994951</v>
      </c>
    </row>
    <row r="11722" spans="1:7" ht="15" x14ac:dyDescent="0.3">
      <c r="A11722">
        <v>39.15099</v>
      </c>
      <c r="B11722">
        <v>-76.725099999999998</v>
      </c>
      <c r="C11722" t="s">
        <v>41</v>
      </c>
      <c r="D11722" t="s">
        <v>6470</v>
      </c>
      <c r="F11722" s="21"/>
      <c r="G11722" s="16" t="str">
        <f>HYPERLINK("http://maps.google.com/maps?f=q&amp;hl=en&amp;geocode=&amp;q=39.15099,-76.7251")</f>
        <v>http://maps.google.com/maps?f=q&amp;hl=en&amp;geocode=&amp;q=39.15099,-76.7251</v>
      </c>
    </row>
    <row r="11723" spans="1:7" ht="15" x14ac:dyDescent="0.3">
      <c r="A11723">
        <v>35.844652953244399</v>
      </c>
      <c r="B11723">
        <v>-87.477994445217703</v>
      </c>
      <c r="C11723" t="s">
        <v>42</v>
      </c>
      <c r="D11723" t="s">
        <v>6593</v>
      </c>
      <c r="F11723" s="21"/>
      <c r="G11723" s="16" t="str">
        <f>HYPERLINK("http://maps.google.com/maps?f=q&amp;hl=en&amp;geocode=&amp;q=35.8446529532444,-87.4779944452177")</f>
        <v>http://maps.google.com/maps?f=q&amp;hl=en&amp;geocode=&amp;q=35.8446529532444,-87.4779944452177</v>
      </c>
    </row>
    <row r="11724" spans="1:7" ht="15" x14ac:dyDescent="0.3">
      <c r="A11724">
        <v>35.243940000000002</v>
      </c>
      <c r="B11724">
        <v>-97.423190000000005</v>
      </c>
      <c r="C11724" t="s">
        <v>41</v>
      </c>
      <c r="D11724" t="s">
        <v>6313</v>
      </c>
      <c r="F11724" s="21"/>
      <c r="G11724" s="16" t="str">
        <f>HYPERLINK("http://maps.google.com/maps?f=q&amp;hl=en&amp;geocode=&amp;q=35.24394,-97.42319")</f>
        <v>http://maps.google.com/maps?f=q&amp;hl=en&amp;geocode=&amp;q=35.24394,-97.42319</v>
      </c>
    </row>
    <row r="11725" spans="1:7" ht="15" x14ac:dyDescent="0.3">
      <c r="A11725">
        <v>39.9518766952758</v>
      </c>
      <c r="B11725">
        <v>-75.168855805924906</v>
      </c>
      <c r="C11725" t="s">
        <v>41</v>
      </c>
      <c r="D11725" t="s">
        <v>6431</v>
      </c>
      <c r="F11725" s="21"/>
      <c r="G11725" s="16" t="str">
        <f>HYPERLINK("http://maps.google.com/maps?f=q&amp;hl=en&amp;geocode=&amp;q=39.9518766952758,-75.1688558059249")</f>
        <v>http://maps.google.com/maps?f=q&amp;hl=en&amp;geocode=&amp;q=39.9518766952758,-75.1688558059249</v>
      </c>
    </row>
    <row r="11726" spans="1:7" ht="15" x14ac:dyDescent="0.3">
      <c r="A11726">
        <v>39.040599822997997</v>
      </c>
      <c r="B11726">
        <v>-120.63067626953099</v>
      </c>
      <c r="C11726" t="s">
        <v>43</v>
      </c>
      <c r="D11726" t="s">
        <v>2809</v>
      </c>
      <c r="F11726" s="21"/>
      <c r="G11726" s="16" t="str">
        <f>HYPERLINK("http://maps.google.com/maps?f=q&amp;hl=en&amp;geocode=&amp;q=39.040599822998,-120.630676269531")</f>
        <v>http://maps.google.com/maps?f=q&amp;hl=en&amp;geocode=&amp;q=39.040599822998,-120.630676269531</v>
      </c>
    </row>
    <row r="11727" spans="1:7" ht="15" x14ac:dyDescent="0.3">
      <c r="A11727">
        <v>43.031004796376003</v>
      </c>
      <c r="B11727">
        <v>-83.728288886031294</v>
      </c>
      <c r="C11727" t="s">
        <v>41</v>
      </c>
      <c r="D11727" t="s">
        <v>3268</v>
      </c>
      <c r="F11727" s="21"/>
      <c r="G11727" s="16" t="str">
        <f>HYPERLINK("http://maps.google.com/maps?f=q&amp;hl=en&amp;geocode=&amp;q=43.031004796376,-83.7282888860313")</f>
        <v>http://maps.google.com/maps?f=q&amp;hl=en&amp;geocode=&amp;q=43.031004796376,-83.7282888860313</v>
      </c>
    </row>
    <row r="11728" spans="1:7" ht="15" x14ac:dyDescent="0.3">
      <c r="A11728">
        <v>30.381496378331601</v>
      </c>
      <c r="B11728">
        <v>-87.053954744134998</v>
      </c>
      <c r="C11728" t="s">
        <v>43</v>
      </c>
      <c r="D11728" t="s">
        <v>6594</v>
      </c>
      <c r="F11728" s="21"/>
      <c r="G11728" s="16" t="str">
        <f>HYPERLINK("http://maps.google.com/maps?f=q&amp;hl=en&amp;geocode=&amp;q=30.3814963783316,-87.053954744135")</f>
        <v>http://maps.google.com/maps?f=q&amp;hl=en&amp;geocode=&amp;q=30.3814963783316,-87.053954744135</v>
      </c>
    </row>
    <row r="11729" spans="1:7" ht="15" x14ac:dyDescent="0.3">
      <c r="A11729">
        <v>40.784779999999998</v>
      </c>
      <c r="B11729">
        <v>-96.639510000000001</v>
      </c>
      <c r="C11729" t="s">
        <v>42</v>
      </c>
      <c r="D11729" t="s">
        <v>6595</v>
      </c>
      <c r="F11729" s="21"/>
      <c r="G11729" s="16" t="str">
        <f>HYPERLINK("http://maps.google.com/maps?f=q&amp;hl=en&amp;geocode=&amp;q=40.78478,-96.63951")</f>
        <v>http://maps.google.com/maps?f=q&amp;hl=en&amp;geocode=&amp;q=40.78478,-96.63951</v>
      </c>
    </row>
    <row r="11730" spans="1:7" ht="15" x14ac:dyDescent="0.3">
      <c r="A11730">
        <v>39.998069999999998</v>
      </c>
      <c r="B11730">
        <v>-75.11703</v>
      </c>
      <c r="C11730" t="s">
        <v>41</v>
      </c>
      <c r="D11730" t="s">
        <v>6596</v>
      </c>
      <c r="F11730" s="21"/>
      <c r="G11730" s="16" t="str">
        <f>HYPERLINK("http://maps.google.com/maps?f=q&amp;hl=en&amp;geocode=&amp;q=39.99807,-75.11703")</f>
        <v>http://maps.google.com/maps?f=q&amp;hl=en&amp;geocode=&amp;q=39.99807,-75.11703</v>
      </c>
    </row>
    <row r="11731" spans="1:7" ht="15" x14ac:dyDescent="0.3">
      <c r="A11731">
        <v>32.813510894775398</v>
      </c>
      <c r="B11731">
        <v>-96.955497741699205</v>
      </c>
      <c r="C11731" t="s">
        <v>41</v>
      </c>
      <c r="D11731" t="s">
        <v>6597</v>
      </c>
      <c r="F11731" s="21"/>
      <c r="G11731" s="16" t="str">
        <f>HYPERLINK("http://maps.google.com/maps?f=q&amp;hl=en&amp;geocode=&amp;q=32.8135108947754,-96.9554977416992")</f>
        <v>http://maps.google.com/maps?f=q&amp;hl=en&amp;geocode=&amp;q=32.8135108947754,-96.9554977416992</v>
      </c>
    </row>
    <row r="11732" spans="1:7" ht="15" x14ac:dyDescent="0.3">
      <c r="A11732">
        <v>54.901432037353501</v>
      </c>
      <c r="B11732">
        <v>10.7508296966553</v>
      </c>
      <c r="C11732" t="s">
        <v>43</v>
      </c>
      <c r="D11732" t="s">
        <v>6598</v>
      </c>
      <c r="F11732" s="21"/>
      <c r="G11732" s="16" t="str">
        <f>HYPERLINK("http://maps.google.com/maps?f=q&amp;hl=en&amp;geocode=&amp;q=54.9014320373535,10.7508296966553")</f>
        <v>http://maps.google.com/maps?f=q&amp;hl=en&amp;geocode=&amp;q=54.9014320373535,10.7508296966553</v>
      </c>
    </row>
    <row r="11733" spans="1:7" ht="15" x14ac:dyDescent="0.3">
      <c r="A11733">
        <v>-27.605599999999999</v>
      </c>
      <c r="B11733">
        <v>152.82425000000001</v>
      </c>
      <c r="C11733" t="s">
        <v>43</v>
      </c>
      <c r="D11733" t="s">
        <v>6599</v>
      </c>
      <c r="F11733" s="21"/>
      <c r="G11733" s="16" t="str">
        <f>HYPERLINK("http://maps.google.com/maps?f=q&amp;hl=en&amp;geocode=&amp;q=-27.6056,152.82425")</f>
        <v>http://maps.google.com/maps?f=q&amp;hl=en&amp;geocode=&amp;q=-27.6056,152.82425</v>
      </c>
    </row>
    <row r="11734" spans="1:7" ht="15" x14ac:dyDescent="0.3">
      <c r="A11734">
        <v>32.806098656847297</v>
      </c>
      <c r="B11734">
        <v>-117.21100833515101</v>
      </c>
      <c r="C11734" t="s">
        <v>41</v>
      </c>
      <c r="D11734" t="s">
        <v>5598</v>
      </c>
      <c r="F11734" s="21"/>
      <c r="G11734" s="16" t="str">
        <f>HYPERLINK("http://maps.google.com/maps?f=q&amp;hl=en&amp;geocode=&amp;q=32.8060986568473,-117.211008335151")</f>
        <v>http://maps.google.com/maps?f=q&amp;hl=en&amp;geocode=&amp;q=32.8060986568473,-117.211008335151</v>
      </c>
    </row>
    <row r="11735" spans="1:7" ht="15" x14ac:dyDescent="0.3">
      <c r="A11735">
        <v>33.752352999999999</v>
      </c>
      <c r="B11735">
        <v>-86.710181000000006</v>
      </c>
      <c r="C11735" t="s">
        <v>41</v>
      </c>
      <c r="D11735" t="s">
        <v>1251</v>
      </c>
      <c r="F11735" s="21"/>
      <c r="G11735" s="16" t="str">
        <f>HYPERLINK("http://maps.google.com/maps?f=q&amp;hl=en&amp;geocode=&amp;q=33.752353,-86.710181")</f>
        <v>http://maps.google.com/maps?f=q&amp;hl=en&amp;geocode=&amp;q=33.752353,-86.710181</v>
      </c>
    </row>
    <row r="11736" spans="1:7" ht="15" x14ac:dyDescent="0.3">
      <c r="A11736">
        <v>41.795200347900398</v>
      </c>
      <c r="B11736">
        <v>-87.977401733398395</v>
      </c>
      <c r="C11736" t="s">
        <v>41</v>
      </c>
      <c r="D11736" t="s">
        <v>6600</v>
      </c>
      <c r="F11736" s="21"/>
      <c r="G11736" s="16" t="str">
        <f>HYPERLINK("http://maps.google.com/maps?f=q&amp;hl=en&amp;geocode=&amp;q=41.7952003479004,-87.9774017333984")</f>
        <v>http://maps.google.com/maps?f=q&amp;hl=en&amp;geocode=&amp;q=41.7952003479004,-87.9774017333984</v>
      </c>
    </row>
    <row r="11737" spans="1:7" ht="15" x14ac:dyDescent="0.3">
      <c r="A11737">
        <v>39.979309999999998</v>
      </c>
      <c r="B11737">
        <v>-75.162700000000001</v>
      </c>
      <c r="C11737" t="s">
        <v>43</v>
      </c>
      <c r="D11737" t="s">
        <v>6601</v>
      </c>
      <c r="F11737" s="21"/>
      <c r="G11737" s="16" t="str">
        <f>HYPERLINK("http://maps.google.com/maps?f=q&amp;hl=en&amp;geocode=&amp;q=39.97931,-75.1627")</f>
        <v>http://maps.google.com/maps?f=q&amp;hl=en&amp;geocode=&amp;q=39.97931,-75.1627</v>
      </c>
    </row>
    <row r="11738" spans="1:7" ht="15" x14ac:dyDescent="0.3">
      <c r="A11738">
        <v>35.593101501464801</v>
      </c>
      <c r="B11738">
        <v>-91.503303527832003</v>
      </c>
      <c r="C11738" t="s">
        <v>41</v>
      </c>
      <c r="D11738" t="s">
        <v>6602</v>
      </c>
      <c r="F11738" s="21"/>
      <c r="G11738" s="16" t="str">
        <f>HYPERLINK("http://maps.google.com/maps?f=q&amp;hl=en&amp;geocode=&amp;q=35.5931015014648,-91.503303527832")</f>
        <v>http://maps.google.com/maps?f=q&amp;hl=en&amp;geocode=&amp;q=35.5931015014648,-91.503303527832</v>
      </c>
    </row>
    <row r="11739" spans="1:7" ht="15" x14ac:dyDescent="0.3">
      <c r="A11739">
        <v>40.032530000000001</v>
      </c>
      <c r="B11739">
        <v>-75.166070000000005</v>
      </c>
      <c r="C11739" t="s">
        <v>41</v>
      </c>
      <c r="D11739" t="s">
        <v>6603</v>
      </c>
      <c r="F11739" s="21"/>
      <c r="G11739" s="16" t="str">
        <f>HYPERLINK("http://maps.google.com/maps?f=q&amp;hl=en&amp;geocode=&amp;q=40.03253,-75.16607")</f>
        <v>http://maps.google.com/maps?f=q&amp;hl=en&amp;geocode=&amp;q=40.03253,-75.16607</v>
      </c>
    </row>
    <row r="11740" spans="1:7" ht="15" x14ac:dyDescent="0.3">
      <c r="A11740">
        <v>35.593101501464801</v>
      </c>
      <c r="B11740">
        <v>-91.503303527832003</v>
      </c>
      <c r="C11740" t="s">
        <v>41</v>
      </c>
      <c r="D11740" t="s">
        <v>6602</v>
      </c>
      <c r="F11740" s="21"/>
      <c r="G11740" s="16" t="str">
        <f>HYPERLINK("http://maps.google.com/maps?f=q&amp;hl=en&amp;geocode=&amp;q=35.5931015014648,-91.503303527832")</f>
        <v>http://maps.google.com/maps?f=q&amp;hl=en&amp;geocode=&amp;q=35.5931015014648,-91.503303527832</v>
      </c>
    </row>
    <row r="11741" spans="1:7" ht="15" x14ac:dyDescent="0.3">
      <c r="A11741">
        <v>39.970078479663201</v>
      </c>
      <c r="B11741">
        <v>-75.219388248918804</v>
      </c>
      <c r="C11741" t="s">
        <v>41</v>
      </c>
      <c r="D11741" t="s">
        <v>786</v>
      </c>
      <c r="F11741" s="21"/>
      <c r="G11741" s="16" t="str">
        <f>HYPERLINK("http://maps.google.com/maps?f=q&amp;hl=en&amp;geocode=&amp;q=39.9700784796632,-75.2193882489188")</f>
        <v>http://maps.google.com/maps?f=q&amp;hl=en&amp;geocode=&amp;q=39.9700784796632,-75.2193882489188</v>
      </c>
    </row>
    <row r="11742" spans="1:7" ht="15" x14ac:dyDescent="0.3">
      <c r="A11742">
        <v>39.970078479663201</v>
      </c>
      <c r="B11742">
        <v>-75.219388248918804</v>
      </c>
      <c r="C11742" t="s">
        <v>41</v>
      </c>
      <c r="D11742" t="s">
        <v>786</v>
      </c>
      <c r="F11742" s="21"/>
      <c r="G11742" s="16" t="str">
        <f>HYPERLINK("http://maps.google.com/maps?f=q&amp;hl=en&amp;geocode=&amp;q=39.9700784796632,-75.2193882489188")</f>
        <v>http://maps.google.com/maps?f=q&amp;hl=en&amp;geocode=&amp;q=39.9700784796632,-75.2193882489188</v>
      </c>
    </row>
    <row r="11743" spans="1:7" ht="15" x14ac:dyDescent="0.3">
      <c r="A11743">
        <v>30.3366794586182</v>
      </c>
      <c r="B11743">
        <v>-81.641181945800795</v>
      </c>
      <c r="C11743" t="s">
        <v>43</v>
      </c>
      <c r="D11743" t="s">
        <v>5918</v>
      </c>
      <c r="F11743" s="21"/>
      <c r="G11743" s="16" t="str">
        <f>HYPERLINK("http://maps.google.com/maps?f=q&amp;hl=en&amp;geocode=&amp;q=30.3366794586182,-81.6411819458008")</f>
        <v>http://maps.google.com/maps?f=q&amp;hl=en&amp;geocode=&amp;q=30.3366794586182,-81.6411819458008</v>
      </c>
    </row>
    <row r="11744" spans="1:7" ht="15" x14ac:dyDescent="0.3">
      <c r="A11744" t="s">
        <v>44</v>
      </c>
      <c r="B11744" t="s">
        <v>44</v>
      </c>
      <c r="C11744" t="s">
        <v>44</v>
      </c>
      <c r="D11744" t="s">
        <v>6604</v>
      </c>
      <c r="F11744" s="21"/>
      <c r="G11744" s="16"/>
    </row>
    <row r="11745" spans="1:7" ht="15" x14ac:dyDescent="0.3">
      <c r="A11745">
        <v>42.569809175607801</v>
      </c>
      <c r="B11745">
        <v>-94.089867045355305</v>
      </c>
      <c r="C11745" t="s">
        <v>41</v>
      </c>
      <c r="D11745" t="s">
        <v>6605</v>
      </c>
      <c r="F11745" s="21"/>
      <c r="G11745" s="16" t="str">
        <f>HYPERLINK("http://maps.google.com/maps?f=q&amp;hl=en&amp;geocode=&amp;q=42.5698091756078,-94.0898670453553")</f>
        <v>http://maps.google.com/maps?f=q&amp;hl=en&amp;geocode=&amp;q=42.5698091756078,-94.0898670453553</v>
      </c>
    </row>
    <row r="11746" spans="1:7" ht="15" x14ac:dyDescent="0.3">
      <c r="A11746">
        <v>35.593101501464801</v>
      </c>
      <c r="B11746">
        <v>-91.503303527832003</v>
      </c>
      <c r="C11746" t="s">
        <v>41</v>
      </c>
      <c r="D11746" t="s">
        <v>6602</v>
      </c>
      <c r="F11746" s="21"/>
      <c r="G11746" s="16" t="str">
        <f>HYPERLINK("http://maps.google.com/maps?f=q&amp;hl=en&amp;geocode=&amp;q=35.5931015014648,-91.503303527832")</f>
        <v>http://maps.google.com/maps?f=q&amp;hl=en&amp;geocode=&amp;q=35.5931015014648,-91.503303527832</v>
      </c>
    </row>
    <row r="11747" spans="1:7" ht="15" x14ac:dyDescent="0.3">
      <c r="A11747">
        <v>40.071750000000002</v>
      </c>
      <c r="B11747">
        <v>-75.052660000000003</v>
      </c>
      <c r="C11747" t="s">
        <v>41</v>
      </c>
      <c r="D11747" t="s">
        <v>6606</v>
      </c>
      <c r="F11747" s="21"/>
      <c r="G11747" s="16" t="str">
        <f>HYPERLINK("http://maps.google.com/maps?f=q&amp;hl=en&amp;geocode=&amp;q=40.07175,-75.05266")</f>
        <v>http://maps.google.com/maps?f=q&amp;hl=en&amp;geocode=&amp;q=40.07175,-75.05266</v>
      </c>
    </row>
    <row r="11748" spans="1:7" ht="15" x14ac:dyDescent="0.3">
      <c r="A11748">
        <v>39.94782</v>
      </c>
      <c r="B11748">
        <v>-75.178169999999994</v>
      </c>
      <c r="C11748" t="s">
        <v>43</v>
      </c>
      <c r="D11748" t="s">
        <v>6255</v>
      </c>
      <c r="F11748" s="21"/>
      <c r="G11748" s="16" t="str">
        <f>HYPERLINK("http://maps.google.com/maps?f=q&amp;hl=en&amp;geocode=&amp;q=39.94782,-75.17817")</f>
        <v>http://maps.google.com/maps?f=q&amp;hl=en&amp;geocode=&amp;q=39.94782,-75.17817</v>
      </c>
    </row>
    <row r="11749" spans="1:7" ht="15" x14ac:dyDescent="0.3">
      <c r="A11749">
        <v>31.260744001147799</v>
      </c>
      <c r="B11749">
        <v>-90.438285458838806</v>
      </c>
      <c r="C11749" t="s">
        <v>41</v>
      </c>
      <c r="D11749" t="s">
        <v>6136</v>
      </c>
      <c r="F11749" s="21"/>
      <c r="G11749" s="16" t="str">
        <f>HYPERLINK("http://maps.google.com/maps?f=q&amp;hl=en&amp;geocode=&amp;q=31.2607440011478,-90.4382854588388")</f>
        <v>http://maps.google.com/maps?f=q&amp;hl=en&amp;geocode=&amp;q=31.2607440011478,-90.4382854588388</v>
      </c>
    </row>
    <row r="11750" spans="1:7" ht="15" x14ac:dyDescent="0.3">
      <c r="A11750">
        <v>34.357109999999999</v>
      </c>
      <c r="B11750">
        <v>-88.688230000000004</v>
      </c>
      <c r="C11750" t="s">
        <v>41</v>
      </c>
      <c r="D11750" t="s">
        <v>4153</v>
      </c>
      <c r="F11750" s="21"/>
      <c r="G11750" s="16" t="str">
        <f>HYPERLINK("http://maps.google.com/maps?f=q&amp;hl=en&amp;geocode=&amp;q=34.35711,-88.68823")</f>
        <v>http://maps.google.com/maps?f=q&amp;hl=en&amp;geocode=&amp;q=34.35711,-88.68823</v>
      </c>
    </row>
    <row r="11751" spans="1:7" ht="15" x14ac:dyDescent="0.3">
      <c r="A11751">
        <v>49.621566772460902</v>
      </c>
      <c r="B11751">
        <v>6.1616702079772896</v>
      </c>
      <c r="C11751" t="s">
        <v>41</v>
      </c>
      <c r="D11751" t="s">
        <v>6607</v>
      </c>
      <c r="F11751" s="21"/>
      <c r="G11751" s="16" t="str">
        <f>HYPERLINK("http://maps.google.com/maps?f=q&amp;hl=en&amp;geocode=&amp;q=49.6215667724609,6.16167020797729")</f>
        <v>http://maps.google.com/maps?f=q&amp;hl=en&amp;geocode=&amp;q=49.6215667724609,6.16167020797729</v>
      </c>
    </row>
    <row r="11752" spans="1:7" ht="15" x14ac:dyDescent="0.3">
      <c r="A11752">
        <v>40.048180000000002</v>
      </c>
      <c r="B11752">
        <v>-75.102999999999994</v>
      </c>
      <c r="C11752" t="s">
        <v>41</v>
      </c>
      <c r="D11752" t="s">
        <v>966</v>
      </c>
      <c r="F11752" s="21"/>
      <c r="G11752" s="16" t="str">
        <f>HYPERLINK("http://maps.google.com/maps?f=q&amp;hl=en&amp;geocode=&amp;q=40.04818,-75.103")</f>
        <v>http://maps.google.com/maps?f=q&amp;hl=en&amp;geocode=&amp;q=40.04818,-75.103</v>
      </c>
    </row>
    <row r="11753" spans="1:7" ht="15" x14ac:dyDescent="0.3">
      <c r="A11753">
        <v>35.243940000000002</v>
      </c>
      <c r="B11753">
        <v>-97.423190000000005</v>
      </c>
      <c r="C11753" t="s">
        <v>41</v>
      </c>
      <c r="D11753" t="s">
        <v>6313</v>
      </c>
      <c r="F11753" s="21"/>
      <c r="G11753" s="16" t="str">
        <f>HYPERLINK("http://maps.google.com/maps?f=q&amp;hl=en&amp;geocode=&amp;q=35.24394,-97.42319")</f>
        <v>http://maps.google.com/maps?f=q&amp;hl=en&amp;geocode=&amp;q=35.24394,-97.42319</v>
      </c>
    </row>
    <row r="11754" spans="1:7" ht="15" x14ac:dyDescent="0.3">
      <c r="A11754">
        <v>35.243940000000002</v>
      </c>
      <c r="B11754">
        <v>-97.423190000000005</v>
      </c>
      <c r="C11754" t="s">
        <v>41</v>
      </c>
      <c r="D11754" t="s">
        <v>6313</v>
      </c>
      <c r="F11754" s="21"/>
      <c r="G11754" s="16" t="str">
        <f>HYPERLINK("http://maps.google.com/maps?f=q&amp;hl=en&amp;geocode=&amp;q=35.24394,-97.42319")</f>
        <v>http://maps.google.com/maps?f=q&amp;hl=en&amp;geocode=&amp;q=35.24394,-97.42319</v>
      </c>
    </row>
    <row r="11755" spans="1:7" ht="15" x14ac:dyDescent="0.3">
      <c r="A11755">
        <v>46.619251251220703</v>
      </c>
      <c r="B11755">
        <v>-63.1351509094238</v>
      </c>
      <c r="C11755" t="s">
        <v>41</v>
      </c>
      <c r="D11755" t="s">
        <v>6608</v>
      </c>
      <c r="F11755" s="21"/>
      <c r="G11755" s="16" t="str">
        <f>HYPERLINK("http://maps.google.com/maps?f=q&amp;hl=en&amp;geocode=&amp;q=46.6192512512207,-63.1351509094238")</f>
        <v>http://maps.google.com/maps?f=q&amp;hl=en&amp;geocode=&amp;q=46.6192512512207,-63.1351509094238</v>
      </c>
    </row>
    <row r="11756" spans="1:7" ht="15" x14ac:dyDescent="0.3">
      <c r="A11756">
        <v>37.033175637856999</v>
      </c>
      <c r="B11756">
        <v>-80.687009677832506</v>
      </c>
      <c r="C11756" t="s">
        <v>41</v>
      </c>
      <c r="D11756" t="s">
        <v>6609</v>
      </c>
      <c r="F11756" s="21"/>
      <c r="G11756" s="16" t="str">
        <f>HYPERLINK("http://maps.google.com/maps?f=q&amp;hl=en&amp;geocode=&amp;q=37.033175637857,-80.6870096778325")</f>
        <v>http://maps.google.com/maps?f=q&amp;hl=en&amp;geocode=&amp;q=37.033175637857,-80.6870096778325</v>
      </c>
    </row>
    <row r="11757" spans="1:7" ht="15" x14ac:dyDescent="0.3">
      <c r="A11757">
        <v>39.950060000000001</v>
      </c>
      <c r="B11757">
        <v>-75.168139999999994</v>
      </c>
      <c r="C11757" t="s">
        <v>41</v>
      </c>
      <c r="D11757" t="s">
        <v>5999</v>
      </c>
      <c r="F11757" s="21"/>
      <c r="G11757" s="16" t="str">
        <f>HYPERLINK("http://maps.google.com/maps?f=q&amp;hl=en&amp;geocode=&amp;q=39.95006,-75.16814")</f>
        <v>http://maps.google.com/maps?f=q&amp;hl=en&amp;geocode=&amp;q=39.95006,-75.16814</v>
      </c>
    </row>
    <row r="11758" spans="1:7" ht="15" x14ac:dyDescent="0.3">
      <c r="A11758">
        <v>35.243940000000002</v>
      </c>
      <c r="B11758">
        <v>-97.423190000000005</v>
      </c>
      <c r="C11758" t="s">
        <v>41</v>
      </c>
      <c r="D11758" t="s">
        <v>6313</v>
      </c>
      <c r="F11758" s="21"/>
      <c r="G11758" s="16" t="str">
        <f>HYPERLINK("http://maps.google.com/maps?f=q&amp;hl=en&amp;geocode=&amp;q=35.24394,-97.42319")</f>
        <v>http://maps.google.com/maps?f=q&amp;hl=en&amp;geocode=&amp;q=35.24394,-97.42319</v>
      </c>
    </row>
    <row r="11759" spans="1:7" ht="15" x14ac:dyDescent="0.3">
      <c r="A11759">
        <v>38.112580000000001</v>
      </c>
      <c r="B11759">
        <v>-122.59246</v>
      </c>
      <c r="C11759" t="s">
        <v>43</v>
      </c>
      <c r="D11759" t="s">
        <v>6610</v>
      </c>
      <c r="F11759" s="21"/>
      <c r="G11759" s="16" t="str">
        <f>HYPERLINK("http://maps.google.com/maps?f=q&amp;hl=en&amp;geocode=&amp;q=38.11258,-122.59246")</f>
        <v>http://maps.google.com/maps?f=q&amp;hl=en&amp;geocode=&amp;q=38.11258,-122.59246</v>
      </c>
    </row>
    <row r="11760" spans="1:7" ht="15" x14ac:dyDescent="0.3">
      <c r="A11760">
        <v>41.744529724121101</v>
      </c>
      <c r="B11760">
        <v>-70.730018615722699</v>
      </c>
      <c r="C11760" t="s">
        <v>41</v>
      </c>
      <c r="D11760" t="s">
        <v>6611</v>
      </c>
      <c r="F11760" s="21"/>
      <c r="G11760" s="16" t="str">
        <f>HYPERLINK("http://maps.google.com/maps?f=q&amp;hl=en&amp;geocode=&amp;q=41.7445297241211,-70.7300186157227")</f>
        <v>http://maps.google.com/maps?f=q&amp;hl=en&amp;geocode=&amp;q=41.7445297241211,-70.7300186157227</v>
      </c>
    </row>
    <row r="11761" spans="1:7" ht="15" x14ac:dyDescent="0.3">
      <c r="A11761">
        <v>39.9518766952758</v>
      </c>
      <c r="B11761">
        <v>-75.168855805924906</v>
      </c>
      <c r="C11761" t="s">
        <v>41</v>
      </c>
      <c r="D11761" t="s">
        <v>6431</v>
      </c>
      <c r="F11761" s="21"/>
      <c r="G11761" s="16" t="str">
        <f>HYPERLINK("http://maps.google.com/maps?f=q&amp;hl=en&amp;geocode=&amp;q=39.9518766952758,-75.1688558059249")</f>
        <v>http://maps.google.com/maps?f=q&amp;hl=en&amp;geocode=&amp;q=39.9518766952758,-75.1688558059249</v>
      </c>
    </row>
    <row r="11762" spans="1:7" ht="15" x14ac:dyDescent="0.3">
      <c r="A11762">
        <v>39.992179999999998</v>
      </c>
      <c r="B11762">
        <v>-75.100999999999999</v>
      </c>
      <c r="C11762" t="s">
        <v>41</v>
      </c>
      <c r="D11762" t="s">
        <v>716</v>
      </c>
      <c r="F11762" s="21"/>
      <c r="G11762" s="16" t="str">
        <f>HYPERLINK("http://maps.google.com/maps?f=q&amp;hl=en&amp;geocode=&amp;q=39.99218,-75.101")</f>
        <v>http://maps.google.com/maps?f=q&amp;hl=en&amp;geocode=&amp;q=39.99218,-75.101</v>
      </c>
    </row>
    <row r="11763" spans="1:7" ht="15" x14ac:dyDescent="0.3">
      <c r="A11763">
        <v>33.6664295338568</v>
      </c>
      <c r="B11763">
        <v>-101.68165362995001</v>
      </c>
      <c r="C11763" t="s">
        <v>41</v>
      </c>
      <c r="D11763" t="s">
        <v>6612</v>
      </c>
      <c r="F11763" s="21"/>
      <c r="G11763" s="16" t="str">
        <f>HYPERLINK("http://maps.google.com/maps?f=q&amp;hl=en&amp;geocode=&amp;q=33.6664295338568,-101.68165362995")</f>
        <v>http://maps.google.com/maps?f=q&amp;hl=en&amp;geocode=&amp;q=33.6664295338568,-101.68165362995</v>
      </c>
    </row>
    <row r="11764" spans="1:7" ht="15" x14ac:dyDescent="0.3">
      <c r="A11764">
        <v>34.543649744686597</v>
      </c>
      <c r="B11764">
        <v>-93.181998562669307</v>
      </c>
      <c r="C11764" t="s">
        <v>41</v>
      </c>
      <c r="D11764" t="s">
        <v>6613</v>
      </c>
      <c r="F11764" s="21"/>
      <c r="G11764" s="16" t="str">
        <f>HYPERLINK("http://maps.google.com/maps?f=q&amp;hl=en&amp;geocode=&amp;q=34.5436497446866,-93.1819985626693")</f>
        <v>http://maps.google.com/maps?f=q&amp;hl=en&amp;geocode=&amp;q=34.5436497446866,-93.1819985626693</v>
      </c>
    </row>
    <row r="11765" spans="1:7" ht="15" x14ac:dyDescent="0.3">
      <c r="A11765" t="s">
        <v>44</v>
      </c>
      <c r="B11765" t="s">
        <v>44</v>
      </c>
      <c r="C11765" t="s">
        <v>44</v>
      </c>
      <c r="D11765" t="s">
        <v>6614</v>
      </c>
      <c r="F11765" s="21"/>
      <c r="G11765" s="16"/>
    </row>
    <row r="11766" spans="1:7" ht="15" x14ac:dyDescent="0.3">
      <c r="A11766">
        <v>37.058515312749101</v>
      </c>
      <c r="B11766">
        <v>-81.762080854606495</v>
      </c>
      <c r="C11766" t="s">
        <v>41</v>
      </c>
      <c r="D11766" t="s">
        <v>6615</v>
      </c>
      <c r="F11766" s="21"/>
      <c r="G11766" s="16" t="str">
        <f>HYPERLINK("http://maps.google.com/maps?f=q&amp;hl=en&amp;geocode=&amp;q=37.0585153127491,-81.7620808546065")</f>
        <v>http://maps.google.com/maps?f=q&amp;hl=en&amp;geocode=&amp;q=37.0585153127491,-81.7620808546065</v>
      </c>
    </row>
    <row r="11767" spans="1:7" ht="15" x14ac:dyDescent="0.3">
      <c r="A11767">
        <v>40.355629999999998</v>
      </c>
      <c r="B11767">
        <v>-75.914389999999997</v>
      </c>
      <c r="C11767" t="s">
        <v>41</v>
      </c>
      <c r="D11767" t="s">
        <v>6616</v>
      </c>
      <c r="F11767" s="21"/>
      <c r="G11767" s="16" t="str">
        <f>HYPERLINK("http://maps.google.com/maps?f=q&amp;hl=en&amp;geocode=&amp;q=40.35563,-75.91439")</f>
        <v>http://maps.google.com/maps?f=q&amp;hl=en&amp;geocode=&amp;q=40.35563,-75.91439</v>
      </c>
    </row>
    <row r="11768" spans="1:7" ht="15" x14ac:dyDescent="0.3">
      <c r="A11768">
        <v>42.999576568603501</v>
      </c>
      <c r="B11768">
        <v>-107.551513671875</v>
      </c>
      <c r="C11768" t="s">
        <v>41</v>
      </c>
      <c r="D11768" t="s">
        <v>5909</v>
      </c>
      <c r="F11768" s="21"/>
      <c r="G11768" s="16" t="str">
        <f>HYPERLINK("http://maps.google.com/maps?f=q&amp;hl=en&amp;geocode=&amp;q=42.9995765686035,-107.551513671875")</f>
        <v>http://maps.google.com/maps?f=q&amp;hl=en&amp;geocode=&amp;q=42.9995765686035,-107.551513671875</v>
      </c>
    </row>
    <row r="11769" spans="1:7" ht="15" x14ac:dyDescent="0.3">
      <c r="A11769">
        <v>34.7920669787107</v>
      </c>
      <c r="B11769">
        <v>-81.143619018681605</v>
      </c>
      <c r="C11769" t="s">
        <v>41</v>
      </c>
      <c r="D11769" t="s">
        <v>3453</v>
      </c>
      <c r="F11769" s="21"/>
      <c r="G11769" s="16" t="str">
        <f>HYPERLINK("http://maps.google.com/maps?f=q&amp;hl=en&amp;geocode=&amp;q=34.7920669787107,-81.1436190186816")</f>
        <v>http://maps.google.com/maps?f=q&amp;hl=en&amp;geocode=&amp;q=34.7920669787107,-81.1436190186816</v>
      </c>
    </row>
    <row r="11770" spans="1:7" ht="15" x14ac:dyDescent="0.3">
      <c r="A11770">
        <v>27.481829999999999</v>
      </c>
      <c r="B11770">
        <v>-82.633309999999994</v>
      </c>
      <c r="C11770" t="s">
        <v>42</v>
      </c>
      <c r="D11770" t="s">
        <v>6617</v>
      </c>
      <c r="F11770" s="21"/>
      <c r="G11770" s="16" t="str">
        <f>HYPERLINK("http://maps.google.com/maps?f=q&amp;hl=en&amp;geocode=&amp;q=27.48183,-82.63331")</f>
        <v>http://maps.google.com/maps?f=q&amp;hl=en&amp;geocode=&amp;q=27.48183,-82.63331</v>
      </c>
    </row>
    <row r="11771" spans="1:7" ht="15" x14ac:dyDescent="0.3">
      <c r="A11771">
        <v>35.593101501464801</v>
      </c>
      <c r="B11771">
        <v>-91.503303527832003</v>
      </c>
      <c r="C11771" t="s">
        <v>41</v>
      </c>
      <c r="D11771" t="s">
        <v>6602</v>
      </c>
      <c r="F11771" s="21"/>
      <c r="G11771" s="16" t="str">
        <f>HYPERLINK("http://maps.google.com/maps?f=q&amp;hl=en&amp;geocode=&amp;q=35.5931015014648,-91.503303527832")</f>
        <v>http://maps.google.com/maps?f=q&amp;hl=en&amp;geocode=&amp;q=35.5931015014648,-91.503303527832</v>
      </c>
    </row>
    <row r="11772" spans="1:7" ht="15" x14ac:dyDescent="0.3">
      <c r="A11772">
        <v>31.187072560810901</v>
      </c>
      <c r="B11772">
        <v>-94.779123271395306</v>
      </c>
      <c r="C11772" t="s">
        <v>41</v>
      </c>
      <c r="D11772" t="s">
        <v>5841</v>
      </c>
      <c r="F11772" s="21"/>
      <c r="G11772" s="16" t="str">
        <f>HYPERLINK("http://maps.google.com/maps?f=q&amp;hl=en&amp;geocode=&amp;q=31.1870725608109,-94.7791232713953")</f>
        <v>http://maps.google.com/maps?f=q&amp;hl=en&amp;geocode=&amp;q=31.1870725608109,-94.7791232713953</v>
      </c>
    </row>
    <row r="11773" spans="1:7" ht="15" x14ac:dyDescent="0.3">
      <c r="A11773">
        <v>40.355629999999998</v>
      </c>
      <c r="B11773">
        <v>-75.914389999999997</v>
      </c>
      <c r="C11773" t="s">
        <v>41</v>
      </c>
      <c r="D11773" t="s">
        <v>6616</v>
      </c>
      <c r="F11773" s="21"/>
      <c r="G11773" s="16" t="str">
        <f>HYPERLINK("http://maps.google.com/maps?f=q&amp;hl=en&amp;geocode=&amp;q=40.35563,-75.91439")</f>
        <v>http://maps.google.com/maps?f=q&amp;hl=en&amp;geocode=&amp;q=40.35563,-75.91439</v>
      </c>
    </row>
    <row r="11774" spans="1:7" ht="15" x14ac:dyDescent="0.3">
      <c r="A11774">
        <v>-35.759830474853501</v>
      </c>
      <c r="B11774">
        <v>148.25622558593801</v>
      </c>
      <c r="C11774" t="s">
        <v>41</v>
      </c>
      <c r="D11774" t="s">
        <v>6618</v>
      </c>
      <c r="F11774" s="21"/>
      <c r="G11774" s="16" t="str">
        <f>HYPERLINK("http://maps.google.com/maps?f=q&amp;hl=en&amp;geocode=&amp;q=-35.7598304748535,148.256225585938")</f>
        <v>http://maps.google.com/maps?f=q&amp;hl=en&amp;geocode=&amp;q=-35.7598304748535,148.256225585938</v>
      </c>
    </row>
    <row r="11775" spans="1:7" ht="15" x14ac:dyDescent="0.3">
      <c r="A11775">
        <v>41.464694106769301</v>
      </c>
      <c r="B11775">
        <v>-91.598906518129894</v>
      </c>
      <c r="C11775" t="s">
        <v>41</v>
      </c>
      <c r="D11775" t="s">
        <v>6340</v>
      </c>
      <c r="F11775" s="21"/>
      <c r="G11775" s="16" t="str">
        <f>HYPERLINK("http://maps.google.com/maps?f=q&amp;hl=en&amp;geocode=&amp;q=41.4646941067693,-91.5989065181299")</f>
        <v>http://maps.google.com/maps?f=q&amp;hl=en&amp;geocode=&amp;q=41.4646941067693,-91.5989065181299</v>
      </c>
    </row>
    <row r="11776" spans="1:7" ht="15" x14ac:dyDescent="0.3">
      <c r="A11776">
        <v>33.726120000000002</v>
      </c>
      <c r="B11776">
        <v>-84.139499999999998</v>
      </c>
      <c r="C11776" t="s">
        <v>41</v>
      </c>
      <c r="D11776" t="s">
        <v>6619</v>
      </c>
      <c r="F11776" s="21"/>
      <c r="G11776" s="16" t="str">
        <f>HYPERLINK("http://maps.google.com/maps?f=q&amp;hl=en&amp;geocode=&amp;q=33.72612,-84.1395")</f>
        <v>http://maps.google.com/maps?f=q&amp;hl=en&amp;geocode=&amp;q=33.72612,-84.1395</v>
      </c>
    </row>
    <row r="11777" spans="1:7" ht="15" x14ac:dyDescent="0.3">
      <c r="A11777">
        <v>41.464694106769301</v>
      </c>
      <c r="B11777">
        <v>-91.598906518129894</v>
      </c>
      <c r="C11777" t="s">
        <v>41</v>
      </c>
      <c r="D11777" t="s">
        <v>6340</v>
      </c>
      <c r="F11777" s="21"/>
      <c r="G11777" s="16" t="str">
        <f>HYPERLINK("http://maps.google.com/maps?f=q&amp;hl=en&amp;geocode=&amp;q=41.4646941067693,-91.5989065181299")</f>
        <v>http://maps.google.com/maps?f=q&amp;hl=en&amp;geocode=&amp;q=41.4646941067693,-91.5989065181299</v>
      </c>
    </row>
    <row r="11778" spans="1:7" ht="15" x14ac:dyDescent="0.3">
      <c r="A11778">
        <v>38.783990000000003</v>
      </c>
      <c r="B11778">
        <v>-77.096450000000004</v>
      </c>
      <c r="C11778" t="s">
        <v>42</v>
      </c>
      <c r="D11778" t="s">
        <v>6620</v>
      </c>
      <c r="F11778" s="21"/>
      <c r="G11778" s="16" t="str">
        <f>HYPERLINK("http://maps.google.com/maps?f=q&amp;hl=en&amp;geocode=&amp;q=38.78399,-77.09645")</f>
        <v>http://maps.google.com/maps?f=q&amp;hl=en&amp;geocode=&amp;q=38.78399,-77.09645</v>
      </c>
    </row>
    <row r="11779" spans="1:7" ht="15" x14ac:dyDescent="0.3">
      <c r="A11779">
        <v>39.937460000000002</v>
      </c>
      <c r="B11779">
        <v>-75.171800000000005</v>
      </c>
      <c r="C11779" t="s">
        <v>42</v>
      </c>
      <c r="D11779" t="s">
        <v>6621</v>
      </c>
      <c r="F11779" s="21"/>
      <c r="G11779" s="16" t="str">
        <f>HYPERLINK("http://maps.google.com/maps?f=q&amp;hl=en&amp;geocode=&amp;q=39.93746,-75.1718")</f>
        <v>http://maps.google.com/maps?f=q&amp;hl=en&amp;geocode=&amp;q=39.93746,-75.1718</v>
      </c>
    </row>
    <row r="11780" spans="1:7" ht="15" x14ac:dyDescent="0.3">
      <c r="A11780">
        <v>41.467367593002699</v>
      </c>
      <c r="B11780">
        <v>-91.5963003581316</v>
      </c>
      <c r="C11780" t="s">
        <v>41</v>
      </c>
      <c r="D11780" t="s">
        <v>6622</v>
      </c>
      <c r="F11780" s="21"/>
      <c r="G11780" s="16" t="str">
        <f>HYPERLINK("http://maps.google.com/maps?f=q&amp;hl=en&amp;geocode=&amp;q=41.4673675930027,-91.5963003581316")</f>
        <v>http://maps.google.com/maps?f=q&amp;hl=en&amp;geocode=&amp;q=41.4673675930027,-91.5963003581316</v>
      </c>
    </row>
    <row r="11781" spans="1:7" ht="15" x14ac:dyDescent="0.3">
      <c r="A11781">
        <v>39.859144687642299</v>
      </c>
      <c r="B11781">
        <v>-88.982905782504204</v>
      </c>
      <c r="C11781" t="s">
        <v>41</v>
      </c>
      <c r="D11781" t="s">
        <v>3339</v>
      </c>
      <c r="F11781" s="21"/>
      <c r="G11781" s="16" t="str">
        <f>HYPERLINK("http://maps.google.com/maps?f=q&amp;hl=en&amp;geocode=&amp;q=39.8591446876423,-88.9829057825042")</f>
        <v>http://maps.google.com/maps?f=q&amp;hl=en&amp;geocode=&amp;q=39.8591446876423,-88.9829057825042</v>
      </c>
    </row>
    <row r="11782" spans="1:7" ht="15" x14ac:dyDescent="0.3">
      <c r="A11782">
        <v>39.251089999999998</v>
      </c>
      <c r="B11782">
        <v>-76.701920000000001</v>
      </c>
      <c r="C11782" t="s">
        <v>41</v>
      </c>
      <c r="D11782" t="s">
        <v>6623</v>
      </c>
      <c r="F11782" s="21"/>
      <c r="G11782" s="16" t="str">
        <f>HYPERLINK("http://maps.google.com/maps?f=q&amp;hl=en&amp;geocode=&amp;q=39.25109,-76.70192")</f>
        <v>http://maps.google.com/maps?f=q&amp;hl=en&amp;geocode=&amp;q=39.25109,-76.70192</v>
      </c>
    </row>
    <row r="11783" spans="1:7" ht="15" x14ac:dyDescent="0.3">
      <c r="A11783">
        <v>47.839637045703398</v>
      </c>
      <c r="B11783">
        <v>-91.667759903208307</v>
      </c>
      <c r="C11783" t="s">
        <v>41</v>
      </c>
      <c r="D11783" t="s">
        <v>6624</v>
      </c>
      <c r="F11783" s="21"/>
      <c r="G11783" s="16" t="str">
        <f>HYPERLINK("http://maps.google.com/maps?f=q&amp;hl=en&amp;geocode=&amp;q=47.8396370457034,-91.6677599032083")</f>
        <v>http://maps.google.com/maps?f=q&amp;hl=en&amp;geocode=&amp;q=47.8396370457034,-91.6677599032083</v>
      </c>
    </row>
    <row r="11784" spans="1:7" ht="15" x14ac:dyDescent="0.3">
      <c r="A11784">
        <v>41.467367593002699</v>
      </c>
      <c r="B11784">
        <v>-91.5963003581316</v>
      </c>
      <c r="C11784" t="s">
        <v>41</v>
      </c>
      <c r="D11784" t="s">
        <v>6622</v>
      </c>
      <c r="F11784" s="21"/>
      <c r="G11784" s="16" t="str">
        <f>HYPERLINK("http://maps.google.com/maps?f=q&amp;hl=en&amp;geocode=&amp;q=41.4673675930027,-91.5963003581316")</f>
        <v>http://maps.google.com/maps?f=q&amp;hl=en&amp;geocode=&amp;q=41.4673675930027,-91.5963003581316</v>
      </c>
    </row>
    <row r="11785" spans="1:7" ht="15" x14ac:dyDescent="0.3">
      <c r="A11785">
        <v>29.7082328796387</v>
      </c>
      <c r="B11785">
        <v>-90.006401062011705</v>
      </c>
      <c r="C11785" t="s">
        <v>43</v>
      </c>
      <c r="D11785" t="s">
        <v>98</v>
      </c>
      <c r="F11785" s="21"/>
      <c r="G11785" s="16" t="str">
        <f>HYPERLINK("http://maps.google.com/maps?f=q&amp;hl=en&amp;geocode=&amp;q=29.7082328796387,-90.0064010620117")</f>
        <v>http://maps.google.com/maps?f=q&amp;hl=en&amp;geocode=&amp;q=29.7082328796387,-90.0064010620117</v>
      </c>
    </row>
    <row r="11786" spans="1:7" ht="15" x14ac:dyDescent="0.3">
      <c r="A11786">
        <v>29.7082328796387</v>
      </c>
      <c r="B11786">
        <v>-90.006401062011705</v>
      </c>
      <c r="C11786" t="s">
        <v>43</v>
      </c>
      <c r="D11786" t="s">
        <v>98</v>
      </c>
      <c r="F11786" s="21"/>
      <c r="G11786" s="16" t="str">
        <f>HYPERLINK("http://maps.google.com/maps?f=q&amp;hl=en&amp;geocode=&amp;q=29.7082328796387,-90.0064010620117")</f>
        <v>http://maps.google.com/maps?f=q&amp;hl=en&amp;geocode=&amp;q=29.7082328796387,-90.0064010620117</v>
      </c>
    </row>
    <row r="11787" spans="1:7" ht="15" x14ac:dyDescent="0.3">
      <c r="A11787">
        <v>29.7082328796387</v>
      </c>
      <c r="B11787">
        <v>-90.006401062011705</v>
      </c>
      <c r="C11787" t="s">
        <v>43</v>
      </c>
      <c r="D11787" t="s">
        <v>6625</v>
      </c>
      <c r="F11787" s="21"/>
      <c r="G11787" s="16" t="str">
        <f>HYPERLINK("http://maps.google.com/maps?f=q&amp;hl=en&amp;geocode=&amp;q=29.7082328796387,-90.0064010620117")</f>
        <v>http://maps.google.com/maps?f=q&amp;hl=en&amp;geocode=&amp;q=29.7082328796387,-90.0064010620117</v>
      </c>
    </row>
    <row r="11788" spans="1:7" ht="15" x14ac:dyDescent="0.3">
      <c r="A11788">
        <v>42.4211838777669</v>
      </c>
      <c r="B11788">
        <v>-76.492153618799193</v>
      </c>
      <c r="C11788" t="s">
        <v>41</v>
      </c>
      <c r="D11788" t="s">
        <v>6626</v>
      </c>
      <c r="F11788" s="21"/>
      <c r="G11788" s="16" t="str">
        <f>HYPERLINK("http://maps.google.com/maps?f=q&amp;hl=en&amp;geocode=&amp;q=42.4211838777669,-76.4921536187992")</f>
        <v>http://maps.google.com/maps?f=q&amp;hl=en&amp;geocode=&amp;q=42.4211838777669,-76.4921536187992</v>
      </c>
    </row>
    <row r="11789" spans="1:7" ht="15" x14ac:dyDescent="0.3">
      <c r="A11789">
        <v>32.648330688476598</v>
      </c>
      <c r="B11789">
        <v>-83.444557189941406</v>
      </c>
      <c r="C11789" t="s">
        <v>41</v>
      </c>
      <c r="D11789" t="s">
        <v>6627</v>
      </c>
      <c r="F11789" s="21"/>
      <c r="G11789" s="16" t="str">
        <f>HYPERLINK("http://maps.google.com/maps?f=q&amp;hl=en&amp;geocode=&amp;q=32.6483306884766,-83.4445571899414")</f>
        <v>http://maps.google.com/maps?f=q&amp;hl=en&amp;geocode=&amp;q=32.6483306884766,-83.4445571899414</v>
      </c>
    </row>
    <row r="11790" spans="1:7" ht="15" x14ac:dyDescent="0.3">
      <c r="A11790">
        <v>29.0938320374634</v>
      </c>
      <c r="B11790">
        <v>-97.027865458899299</v>
      </c>
      <c r="C11790" t="s">
        <v>41</v>
      </c>
      <c r="D11790" t="s">
        <v>6628</v>
      </c>
      <c r="F11790" s="21"/>
      <c r="G11790" s="16" t="str">
        <f>HYPERLINK("http://maps.google.com/maps?f=q&amp;hl=en&amp;geocode=&amp;q=29.0938320374634,-97.0278654588993")</f>
        <v>http://maps.google.com/maps?f=q&amp;hl=en&amp;geocode=&amp;q=29.0938320374634,-97.0278654588993</v>
      </c>
    </row>
    <row r="11791" spans="1:7" ht="15" x14ac:dyDescent="0.3">
      <c r="A11791">
        <v>38.7963068386195</v>
      </c>
      <c r="B11791">
        <v>-121.62984535891999</v>
      </c>
      <c r="C11791" t="s">
        <v>41</v>
      </c>
      <c r="D11791" t="s">
        <v>6629</v>
      </c>
      <c r="F11791" s="21"/>
      <c r="G11791" s="16" t="str">
        <f>HYPERLINK("http://maps.google.com/maps?f=q&amp;hl=en&amp;geocode=&amp;q=38.7963068386195,-121.62984535892")</f>
        <v>http://maps.google.com/maps?f=q&amp;hl=en&amp;geocode=&amp;q=38.7963068386195,-121.62984535892</v>
      </c>
    </row>
    <row r="11792" spans="1:7" ht="15" x14ac:dyDescent="0.3">
      <c r="A11792" t="s">
        <v>44</v>
      </c>
      <c r="B11792" t="s">
        <v>44</v>
      </c>
      <c r="C11792" t="s">
        <v>44</v>
      </c>
      <c r="D11792" t="s">
        <v>6630</v>
      </c>
      <c r="F11792" s="21"/>
      <c r="G11792" s="16"/>
    </row>
    <row r="11793" spans="1:7" ht="15" x14ac:dyDescent="0.3">
      <c r="A11793">
        <v>40.054690000000001</v>
      </c>
      <c r="B11793">
        <v>-75.150509999999997</v>
      </c>
      <c r="C11793" t="s">
        <v>43</v>
      </c>
      <c r="D11793" t="s">
        <v>6631</v>
      </c>
      <c r="F11793" s="21"/>
      <c r="G11793" s="16" t="str">
        <f>HYPERLINK("http://maps.google.com/maps?f=q&amp;hl=en&amp;geocode=&amp;q=40.05469,-75.15051")</f>
        <v>http://maps.google.com/maps?f=q&amp;hl=en&amp;geocode=&amp;q=40.05469,-75.15051</v>
      </c>
    </row>
    <row r="11794" spans="1:7" ht="15" x14ac:dyDescent="0.3">
      <c r="A11794">
        <v>39.986000530761203</v>
      </c>
      <c r="B11794">
        <v>-75.141736648819005</v>
      </c>
      <c r="C11794" t="s">
        <v>41</v>
      </c>
      <c r="D11794" t="s">
        <v>6632</v>
      </c>
      <c r="F11794" s="21"/>
      <c r="G11794" s="16" t="str">
        <f>HYPERLINK("http://maps.google.com/maps?f=q&amp;hl=en&amp;geocode=&amp;q=39.9860005307612,-75.141736648819")</f>
        <v>http://maps.google.com/maps?f=q&amp;hl=en&amp;geocode=&amp;q=39.9860005307612,-75.141736648819</v>
      </c>
    </row>
    <row r="11795" spans="1:7" ht="15" x14ac:dyDescent="0.3">
      <c r="A11795">
        <v>40.439590000000003</v>
      </c>
      <c r="B11795">
        <v>-111.77625</v>
      </c>
      <c r="C11795" t="s">
        <v>41</v>
      </c>
      <c r="D11795" t="s">
        <v>904</v>
      </c>
      <c r="F11795" s="21"/>
      <c r="G11795" s="16" t="str">
        <f>HYPERLINK("http://maps.google.com/maps?f=q&amp;hl=en&amp;geocode=&amp;q=40.43959,-111.77625")</f>
        <v>http://maps.google.com/maps?f=q&amp;hl=en&amp;geocode=&amp;q=40.43959,-111.77625</v>
      </c>
    </row>
    <row r="11796" spans="1:7" ht="15" x14ac:dyDescent="0.3">
      <c r="A11796">
        <v>46.533000946044901</v>
      </c>
      <c r="B11796">
        <v>11.449999809265099</v>
      </c>
      <c r="C11796" t="s">
        <v>41</v>
      </c>
      <c r="D11796" t="s">
        <v>6633</v>
      </c>
      <c r="F11796" s="21"/>
      <c r="G11796" s="16" t="str">
        <f>HYPERLINK("http://maps.google.com/maps?f=q&amp;hl=en&amp;geocode=&amp;q=46.5330009460449,11.4499998092651")</f>
        <v>http://maps.google.com/maps?f=q&amp;hl=en&amp;geocode=&amp;q=46.5330009460449,11.4499998092651</v>
      </c>
    </row>
    <row r="11797" spans="1:7" ht="15" x14ac:dyDescent="0.3">
      <c r="A11797">
        <v>39.859144687642299</v>
      </c>
      <c r="B11797">
        <v>-88.982905782504204</v>
      </c>
      <c r="C11797" t="s">
        <v>41</v>
      </c>
      <c r="D11797" t="s">
        <v>3339</v>
      </c>
      <c r="F11797" s="21"/>
      <c r="G11797" s="16" t="str">
        <f>HYPERLINK("http://maps.google.com/maps?f=q&amp;hl=en&amp;geocode=&amp;q=39.8591446876423,-88.9829057825042")</f>
        <v>http://maps.google.com/maps?f=q&amp;hl=en&amp;geocode=&amp;q=39.8591446876423,-88.9829057825042</v>
      </c>
    </row>
    <row r="11798" spans="1:7" ht="15" x14ac:dyDescent="0.3">
      <c r="A11798">
        <v>29.539559998433401</v>
      </c>
      <c r="B11798">
        <v>-96.279854997281006</v>
      </c>
      <c r="C11798" t="s">
        <v>41</v>
      </c>
      <c r="D11798" t="s">
        <v>2171</v>
      </c>
      <c r="F11798" s="21"/>
      <c r="G11798" s="16" t="str">
        <f>HYPERLINK("http://maps.google.com/maps?f=q&amp;hl=en&amp;geocode=&amp;q=29.5395599984334,-96.279854997281")</f>
        <v>http://maps.google.com/maps?f=q&amp;hl=en&amp;geocode=&amp;q=29.5395599984334,-96.279854997281</v>
      </c>
    </row>
    <row r="11799" spans="1:7" ht="15" x14ac:dyDescent="0.3">
      <c r="A11799">
        <v>39.859144687642299</v>
      </c>
      <c r="B11799">
        <v>-88.982905782504204</v>
      </c>
      <c r="C11799" t="s">
        <v>41</v>
      </c>
      <c r="D11799" t="s">
        <v>3339</v>
      </c>
      <c r="F11799" s="21"/>
      <c r="G11799" s="16" t="str">
        <f>HYPERLINK("http://maps.google.com/maps?f=q&amp;hl=en&amp;geocode=&amp;q=39.8591446876423,-88.9829057825042")</f>
        <v>http://maps.google.com/maps?f=q&amp;hl=en&amp;geocode=&amp;q=39.8591446876423,-88.9829057825042</v>
      </c>
    </row>
    <row r="11800" spans="1:7" ht="15" x14ac:dyDescent="0.3">
      <c r="A11800">
        <v>29.539559998433401</v>
      </c>
      <c r="B11800">
        <v>-96.279854997281006</v>
      </c>
      <c r="C11800" t="s">
        <v>41</v>
      </c>
      <c r="D11800" t="s">
        <v>2171</v>
      </c>
      <c r="F11800" s="21"/>
      <c r="G11800" s="16" t="str">
        <f>HYPERLINK("http://maps.google.com/maps?f=q&amp;hl=en&amp;geocode=&amp;q=29.5395599984334,-96.279854997281")</f>
        <v>http://maps.google.com/maps?f=q&amp;hl=en&amp;geocode=&amp;q=29.5395599984334,-96.279854997281</v>
      </c>
    </row>
    <row r="11801" spans="1:7" ht="15" x14ac:dyDescent="0.3">
      <c r="A11801">
        <v>29.539559998433401</v>
      </c>
      <c r="B11801">
        <v>-96.279854997281006</v>
      </c>
      <c r="C11801" t="s">
        <v>41</v>
      </c>
      <c r="D11801" t="s">
        <v>2171</v>
      </c>
      <c r="F11801" s="21"/>
      <c r="G11801" s="16" t="str">
        <f>HYPERLINK("http://maps.google.com/maps?f=q&amp;hl=en&amp;geocode=&amp;q=29.5395599984334,-96.279854997281")</f>
        <v>http://maps.google.com/maps?f=q&amp;hl=en&amp;geocode=&amp;q=29.5395599984334,-96.279854997281</v>
      </c>
    </row>
    <row r="11802" spans="1:7" ht="15" x14ac:dyDescent="0.3">
      <c r="A11802">
        <v>29.539559998433401</v>
      </c>
      <c r="B11802">
        <v>-96.279854997281006</v>
      </c>
      <c r="C11802" t="s">
        <v>41</v>
      </c>
      <c r="D11802" t="s">
        <v>2171</v>
      </c>
      <c r="F11802" s="21"/>
      <c r="G11802" s="16" t="str">
        <f>HYPERLINK("http://maps.google.com/maps?f=q&amp;hl=en&amp;geocode=&amp;q=29.5395599984334,-96.279854997281")</f>
        <v>http://maps.google.com/maps?f=q&amp;hl=en&amp;geocode=&amp;q=29.5395599984334,-96.279854997281</v>
      </c>
    </row>
    <row r="11803" spans="1:7" ht="15" x14ac:dyDescent="0.3">
      <c r="A11803">
        <v>29.539559998433401</v>
      </c>
      <c r="B11803">
        <v>-96.279854997281006</v>
      </c>
      <c r="C11803" t="s">
        <v>41</v>
      </c>
      <c r="D11803" t="s">
        <v>2171</v>
      </c>
      <c r="F11803" s="21"/>
      <c r="G11803" s="16" t="str">
        <f>HYPERLINK("http://maps.google.com/maps?f=q&amp;hl=en&amp;geocode=&amp;q=29.5395599984334,-96.279854997281")</f>
        <v>http://maps.google.com/maps?f=q&amp;hl=en&amp;geocode=&amp;q=29.5395599984334,-96.279854997281</v>
      </c>
    </row>
    <row r="11804" spans="1:7" ht="15" x14ac:dyDescent="0.3">
      <c r="A11804">
        <v>-26.142440000000001</v>
      </c>
      <c r="B11804">
        <v>27.91825</v>
      </c>
      <c r="C11804" t="s">
        <v>41</v>
      </c>
      <c r="D11804" t="s">
        <v>2558</v>
      </c>
      <c r="F11804" s="21"/>
      <c r="G11804" s="16" t="str">
        <f>HYPERLINK("http://maps.google.com/maps?f=q&amp;hl=en&amp;geocode=&amp;q=-26.14244,27.91825")</f>
        <v>http://maps.google.com/maps?f=q&amp;hl=en&amp;geocode=&amp;q=-26.14244,27.91825</v>
      </c>
    </row>
    <row r="11805" spans="1:7" ht="15" x14ac:dyDescent="0.3">
      <c r="A11805">
        <v>-40.001163482666001</v>
      </c>
      <c r="B11805">
        <v>176.55967712402301</v>
      </c>
      <c r="C11805" t="s">
        <v>43</v>
      </c>
      <c r="D11805" t="s">
        <v>6634</v>
      </c>
      <c r="F11805" s="21"/>
      <c r="G11805" s="16" t="str">
        <f>HYPERLINK("http://maps.google.com/maps?f=q&amp;hl=en&amp;geocode=&amp;q=-40.001163482666,176.559677124023")</f>
        <v>http://maps.google.com/maps?f=q&amp;hl=en&amp;geocode=&amp;q=-40.001163482666,176.559677124023</v>
      </c>
    </row>
    <row r="11806" spans="1:7" ht="15" x14ac:dyDescent="0.3">
      <c r="A11806">
        <v>-40.001163482666001</v>
      </c>
      <c r="B11806">
        <v>176.55967712402301</v>
      </c>
      <c r="C11806" t="s">
        <v>43</v>
      </c>
      <c r="D11806" t="s">
        <v>6634</v>
      </c>
      <c r="F11806" s="21"/>
      <c r="G11806" s="16" t="str">
        <f>HYPERLINK("http://maps.google.com/maps?f=q&amp;hl=en&amp;geocode=&amp;q=-40.001163482666,176.559677124023")</f>
        <v>http://maps.google.com/maps?f=q&amp;hl=en&amp;geocode=&amp;q=-40.001163482666,176.559677124023</v>
      </c>
    </row>
    <row r="11807" spans="1:7" ht="15" x14ac:dyDescent="0.3">
      <c r="A11807">
        <v>28.903870000000001</v>
      </c>
      <c r="B11807">
        <v>-81.216539999999995</v>
      </c>
      <c r="C11807" t="s">
        <v>43</v>
      </c>
      <c r="D11807" t="s">
        <v>6635</v>
      </c>
      <c r="F11807" s="21"/>
      <c r="G11807" s="16" t="str">
        <f>HYPERLINK("http://maps.google.com/maps?f=q&amp;hl=en&amp;geocode=&amp;q=28.90387,-81.21654")</f>
        <v>http://maps.google.com/maps?f=q&amp;hl=en&amp;geocode=&amp;q=28.90387,-81.21654</v>
      </c>
    </row>
    <row r="11808" spans="1:7" ht="15" x14ac:dyDescent="0.3">
      <c r="A11808">
        <v>28.903870000000001</v>
      </c>
      <c r="B11808">
        <v>-81.216539999999995</v>
      </c>
      <c r="C11808" t="s">
        <v>43</v>
      </c>
      <c r="D11808" t="s">
        <v>6635</v>
      </c>
      <c r="F11808" s="21"/>
      <c r="G11808" s="16" t="str">
        <f>HYPERLINK("http://maps.google.com/maps?f=q&amp;hl=en&amp;geocode=&amp;q=28.90387,-81.21654")</f>
        <v>http://maps.google.com/maps?f=q&amp;hl=en&amp;geocode=&amp;q=28.90387,-81.21654</v>
      </c>
    </row>
    <row r="11809" spans="1:7" ht="15" x14ac:dyDescent="0.3">
      <c r="A11809">
        <v>-40.001163482666001</v>
      </c>
      <c r="B11809">
        <v>176.55967712402301</v>
      </c>
      <c r="C11809" t="s">
        <v>43</v>
      </c>
      <c r="D11809" t="s">
        <v>6636</v>
      </c>
      <c r="F11809" s="21"/>
      <c r="G11809" s="16" t="str">
        <f>HYPERLINK("http://maps.google.com/maps?f=q&amp;hl=en&amp;geocode=&amp;q=-40.001163482666,176.559677124023")</f>
        <v>http://maps.google.com/maps?f=q&amp;hl=en&amp;geocode=&amp;q=-40.001163482666,176.559677124023</v>
      </c>
    </row>
    <row r="11810" spans="1:7" ht="15" x14ac:dyDescent="0.3">
      <c r="A11810">
        <v>-40.001163482666001</v>
      </c>
      <c r="B11810">
        <v>176.55967712402301</v>
      </c>
      <c r="C11810" t="s">
        <v>43</v>
      </c>
      <c r="D11810" t="s">
        <v>6636</v>
      </c>
      <c r="F11810" s="21"/>
      <c r="G11810" s="16" t="str">
        <f>HYPERLINK("http://maps.google.com/maps?f=q&amp;hl=en&amp;geocode=&amp;q=-40.001163482666,176.559677124023")</f>
        <v>http://maps.google.com/maps?f=q&amp;hl=en&amp;geocode=&amp;q=-40.001163482666,176.559677124023</v>
      </c>
    </row>
    <row r="11811" spans="1:7" ht="15" x14ac:dyDescent="0.3">
      <c r="A11811">
        <v>30.438219133289898</v>
      </c>
      <c r="B11811">
        <v>-95.854829448945296</v>
      </c>
      <c r="C11811" t="s">
        <v>41</v>
      </c>
      <c r="D11811" t="s">
        <v>6637</v>
      </c>
      <c r="F11811" s="21"/>
      <c r="G11811" s="16" t="str">
        <f>HYPERLINK("http://maps.google.com/maps?f=q&amp;hl=en&amp;geocode=&amp;q=30.4382191332899,-95.8548294489453")</f>
        <v>http://maps.google.com/maps?f=q&amp;hl=en&amp;geocode=&amp;q=30.4382191332899,-95.8548294489453</v>
      </c>
    </row>
    <row r="11812" spans="1:7" ht="15" x14ac:dyDescent="0.3">
      <c r="A11812">
        <v>36.167802695840301</v>
      </c>
      <c r="B11812">
        <v>-90.526123002063599</v>
      </c>
      <c r="C11812" t="s">
        <v>43</v>
      </c>
      <c r="D11812" t="s">
        <v>6638</v>
      </c>
      <c r="F11812" s="21"/>
      <c r="G11812" s="16" t="str">
        <f>HYPERLINK("http://maps.google.com/maps?f=q&amp;hl=en&amp;geocode=&amp;q=36.1678026958403,-90.5261230020636")</f>
        <v>http://maps.google.com/maps?f=q&amp;hl=en&amp;geocode=&amp;q=36.1678026958403,-90.5261230020636</v>
      </c>
    </row>
    <row r="11813" spans="1:7" ht="15" x14ac:dyDescent="0.3">
      <c r="A11813">
        <v>39.227638223101103</v>
      </c>
      <c r="B11813">
        <v>-78.414749989295501</v>
      </c>
      <c r="C11813" t="s">
        <v>43</v>
      </c>
      <c r="D11813" t="s">
        <v>6639</v>
      </c>
      <c r="F11813" s="21"/>
      <c r="G11813" s="16" t="str">
        <f>HYPERLINK("http://maps.google.com/maps?f=q&amp;hl=en&amp;geocode=&amp;q=39.2276382231011,-78.4147499892955")</f>
        <v>http://maps.google.com/maps?f=q&amp;hl=en&amp;geocode=&amp;q=39.2276382231011,-78.4147499892955</v>
      </c>
    </row>
    <row r="11814" spans="1:7" ht="15" x14ac:dyDescent="0.3">
      <c r="A11814">
        <v>40.686477267661999</v>
      </c>
      <c r="B11814">
        <v>-73.522429905199303</v>
      </c>
      <c r="C11814" t="s">
        <v>41</v>
      </c>
      <c r="D11814" t="s">
        <v>6031</v>
      </c>
      <c r="F11814" s="21"/>
      <c r="G11814" s="16" t="str">
        <f>HYPERLINK("http://maps.google.com/maps?f=q&amp;hl=en&amp;geocode=&amp;q=40.686477267662,-73.5224299051993")</f>
        <v>http://maps.google.com/maps?f=q&amp;hl=en&amp;geocode=&amp;q=40.686477267662,-73.5224299051993</v>
      </c>
    </row>
    <row r="11815" spans="1:7" ht="15" x14ac:dyDescent="0.3">
      <c r="A11815">
        <v>40.799460000000003</v>
      </c>
      <c r="B11815">
        <v>-96.743480000000005</v>
      </c>
      <c r="C11815" t="s">
        <v>42</v>
      </c>
      <c r="D11815" t="s">
        <v>6640</v>
      </c>
      <c r="F11815" s="21"/>
      <c r="G11815" s="16" t="str">
        <f>HYPERLINK("http://maps.google.com/maps?f=q&amp;hl=en&amp;geocode=&amp;q=40.79946,-96.74348")</f>
        <v>http://maps.google.com/maps?f=q&amp;hl=en&amp;geocode=&amp;q=40.79946,-96.74348</v>
      </c>
    </row>
    <row r="11816" spans="1:7" ht="15" x14ac:dyDescent="0.3">
      <c r="A11816">
        <v>40.040539319385601</v>
      </c>
      <c r="B11816">
        <v>-75.174408950070898</v>
      </c>
      <c r="C11816" t="s">
        <v>41</v>
      </c>
      <c r="D11816" t="s">
        <v>6641</v>
      </c>
      <c r="F11816" s="21"/>
      <c r="G11816" s="16" t="str">
        <f>HYPERLINK("http://maps.google.com/maps?f=q&amp;hl=en&amp;geocode=&amp;q=40.0405393193856,-75.1744089500709")</f>
        <v>http://maps.google.com/maps?f=q&amp;hl=en&amp;geocode=&amp;q=40.0405393193856,-75.1744089500709</v>
      </c>
    </row>
    <row r="11817" spans="1:7" ht="15" x14ac:dyDescent="0.3">
      <c r="A11817">
        <v>30.68956</v>
      </c>
      <c r="B11817">
        <v>-92.295990000000003</v>
      </c>
      <c r="C11817" t="s">
        <v>42</v>
      </c>
      <c r="D11817" t="s">
        <v>6642</v>
      </c>
      <c r="F11817" s="21"/>
      <c r="G11817" s="16" t="str">
        <f>HYPERLINK("http://maps.google.com/maps?f=q&amp;hl=en&amp;geocode=&amp;q=30.68956,-92.29599")</f>
        <v>http://maps.google.com/maps?f=q&amp;hl=en&amp;geocode=&amp;q=30.68956,-92.29599</v>
      </c>
    </row>
    <row r="11818" spans="1:7" ht="15" x14ac:dyDescent="0.3">
      <c r="A11818">
        <v>41.147167000113903</v>
      </c>
      <c r="B11818">
        <v>-73.570892373705405</v>
      </c>
      <c r="C11818" t="s">
        <v>41</v>
      </c>
      <c r="D11818" t="s">
        <v>6643</v>
      </c>
      <c r="F11818" s="21"/>
      <c r="G11818" s="16" t="str">
        <f>HYPERLINK("http://maps.google.com/maps?f=q&amp;hl=en&amp;geocode=&amp;q=41.1471670001139,-73.5708923737054")</f>
        <v>http://maps.google.com/maps?f=q&amp;hl=en&amp;geocode=&amp;q=41.1471670001139,-73.5708923737054</v>
      </c>
    </row>
    <row r="11819" spans="1:7" ht="15" x14ac:dyDescent="0.3">
      <c r="A11819">
        <v>27.962392315994201</v>
      </c>
      <c r="B11819">
        <v>-80.585839014088606</v>
      </c>
      <c r="C11819" t="s">
        <v>41</v>
      </c>
      <c r="D11819" t="s">
        <v>6169</v>
      </c>
      <c r="F11819" s="21"/>
      <c r="G11819" s="16" t="str">
        <f>HYPERLINK("http://maps.google.com/maps?f=q&amp;hl=en&amp;geocode=&amp;q=27.9623923159942,-80.5858390140886")</f>
        <v>http://maps.google.com/maps?f=q&amp;hl=en&amp;geocode=&amp;q=27.9623923159942,-80.5858390140886</v>
      </c>
    </row>
    <row r="11820" spans="1:7" ht="15" x14ac:dyDescent="0.3">
      <c r="A11820">
        <v>-26.188575744628899</v>
      </c>
      <c r="B11820">
        <v>27.929327011108398</v>
      </c>
      <c r="C11820" t="s">
        <v>43</v>
      </c>
      <c r="D11820" t="s">
        <v>6644</v>
      </c>
      <c r="F11820" s="21"/>
      <c r="G11820" s="16" t="str">
        <f>HYPERLINK("http://maps.google.com/maps?f=q&amp;hl=en&amp;geocode=&amp;q=-26.1885757446289,27.9293270111084")</f>
        <v>http://maps.google.com/maps?f=q&amp;hl=en&amp;geocode=&amp;q=-26.1885757446289,27.9293270111084</v>
      </c>
    </row>
    <row r="11821" spans="1:7" ht="15" x14ac:dyDescent="0.3">
      <c r="A11821">
        <v>60.300830841064503</v>
      </c>
      <c r="B11821">
        <v>19.131389617919901</v>
      </c>
      <c r="C11821" t="s">
        <v>43</v>
      </c>
      <c r="D11821" t="s">
        <v>6645</v>
      </c>
      <c r="F11821" s="21"/>
      <c r="G11821" s="16" t="str">
        <f>HYPERLINK("http://maps.google.com/maps?f=q&amp;hl=en&amp;geocode=&amp;q=60.3008308410645,19.1313896179199")</f>
        <v>http://maps.google.com/maps?f=q&amp;hl=en&amp;geocode=&amp;q=60.3008308410645,19.1313896179199</v>
      </c>
    </row>
    <row r="11822" spans="1:7" ht="15" x14ac:dyDescent="0.3">
      <c r="F11822" s="21"/>
      <c r="G11822" s="16"/>
    </row>
    <row r="11823" spans="1:7" ht="15" x14ac:dyDescent="0.3">
      <c r="A11823" t="s">
        <v>44</v>
      </c>
      <c r="B11823" t="s">
        <v>44</v>
      </c>
      <c r="C11823" t="s">
        <v>44</v>
      </c>
      <c r="D11823" t="s">
        <v>227</v>
      </c>
      <c r="F11823" s="21"/>
      <c r="G11823" s="16"/>
    </row>
    <row r="11824" spans="1:7" ht="15" x14ac:dyDescent="0.3">
      <c r="A11824">
        <v>60.300830841064503</v>
      </c>
      <c r="B11824">
        <v>19.131389617919901</v>
      </c>
      <c r="C11824" t="s">
        <v>43</v>
      </c>
      <c r="D11824" t="s">
        <v>6646</v>
      </c>
      <c r="F11824" s="21"/>
      <c r="G11824" s="16" t="str">
        <f>HYPERLINK("http://maps.google.com/maps?f=q&amp;hl=en&amp;geocode=&amp;q=60.3008308410645,19.1313896179199")</f>
        <v>http://maps.google.com/maps?f=q&amp;hl=en&amp;geocode=&amp;q=60.3008308410645,19.1313896179199</v>
      </c>
    </row>
    <row r="11825" spans="1:7" ht="15" x14ac:dyDescent="0.3">
      <c r="A11825">
        <v>40.030993699932402</v>
      </c>
      <c r="B11825">
        <v>-75.228703371134998</v>
      </c>
      <c r="C11825" t="s">
        <v>41</v>
      </c>
      <c r="D11825" t="s">
        <v>303</v>
      </c>
      <c r="F11825" s="21"/>
      <c r="G11825" s="16" t="str">
        <f>HYPERLINK("http://maps.google.com/maps?f=q&amp;hl=en&amp;geocode=&amp;q=40.0309936999324,-75.228703371135")</f>
        <v>http://maps.google.com/maps?f=q&amp;hl=en&amp;geocode=&amp;q=40.0309936999324,-75.228703371135</v>
      </c>
    </row>
    <row r="11826" spans="1:7" ht="15" x14ac:dyDescent="0.3">
      <c r="A11826">
        <v>35.6044208528415</v>
      </c>
      <c r="B11826">
        <v>-86.747722288834296</v>
      </c>
      <c r="C11826" t="s">
        <v>41</v>
      </c>
      <c r="D11826" t="s">
        <v>6647</v>
      </c>
      <c r="F11826" s="21"/>
      <c r="G11826" s="16" t="str">
        <f>HYPERLINK("http://maps.google.com/maps?f=q&amp;hl=en&amp;geocode=&amp;q=35.6044208528415,-86.7477222888343")</f>
        <v>http://maps.google.com/maps?f=q&amp;hl=en&amp;geocode=&amp;q=35.6044208528415,-86.7477222888343</v>
      </c>
    </row>
    <row r="11827" spans="1:7" ht="15" x14ac:dyDescent="0.3">
      <c r="A11827">
        <v>37.285824726073599</v>
      </c>
      <c r="B11827">
        <v>-121.909244096968</v>
      </c>
      <c r="C11827" t="s">
        <v>41</v>
      </c>
      <c r="D11827" t="s">
        <v>6648</v>
      </c>
      <c r="F11827" s="21"/>
      <c r="G11827" s="16" t="str">
        <f>HYPERLINK("http://maps.google.com/maps?f=q&amp;hl=en&amp;geocode=&amp;q=37.2858247260736,-121.909244096968")</f>
        <v>http://maps.google.com/maps?f=q&amp;hl=en&amp;geocode=&amp;q=37.2858247260736,-121.909244096968</v>
      </c>
    </row>
    <row r="11828" spans="1:7" ht="15" x14ac:dyDescent="0.3">
      <c r="A11828">
        <v>49.510280609130902</v>
      </c>
      <c r="B11828">
        <v>5.94866895675659</v>
      </c>
      <c r="C11828" t="s">
        <v>41</v>
      </c>
      <c r="D11828" t="s">
        <v>6649</v>
      </c>
      <c r="F11828" s="21"/>
      <c r="G11828" s="16" t="str">
        <f>HYPERLINK("http://maps.google.com/maps?f=q&amp;hl=en&amp;geocode=&amp;q=49.5102806091309,5.94866895675659")</f>
        <v>http://maps.google.com/maps?f=q&amp;hl=en&amp;geocode=&amp;q=49.5102806091309,5.94866895675659</v>
      </c>
    </row>
    <row r="11829" spans="1:7" ht="15" x14ac:dyDescent="0.3">
      <c r="A11829">
        <v>40.007930000000002</v>
      </c>
      <c r="B11829">
        <v>-75.142920000000004</v>
      </c>
      <c r="C11829" t="s">
        <v>43</v>
      </c>
      <c r="D11829" t="s">
        <v>6650</v>
      </c>
      <c r="F11829" s="21"/>
      <c r="G11829" s="16" t="str">
        <f>HYPERLINK("http://maps.google.com/maps?f=q&amp;hl=en&amp;geocode=&amp;q=40.00793,-75.14292")</f>
        <v>http://maps.google.com/maps?f=q&amp;hl=en&amp;geocode=&amp;q=40.00793,-75.14292</v>
      </c>
    </row>
    <row r="11830" spans="1:7" ht="15" x14ac:dyDescent="0.3">
      <c r="A11830">
        <v>39.917029999999997</v>
      </c>
      <c r="B11830">
        <v>-75.231139999999996</v>
      </c>
      <c r="C11830" t="s">
        <v>41</v>
      </c>
      <c r="D11830" t="s">
        <v>6651</v>
      </c>
      <c r="F11830" s="21"/>
      <c r="G11830" s="16" t="str">
        <f>HYPERLINK("http://maps.google.com/maps?f=q&amp;hl=en&amp;geocode=&amp;q=39.91703,-75.23114")</f>
        <v>http://maps.google.com/maps?f=q&amp;hl=en&amp;geocode=&amp;q=39.91703,-75.23114</v>
      </c>
    </row>
    <row r="11831" spans="1:7" ht="15" x14ac:dyDescent="0.3">
      <c r="A11831">
        <v>41.092289282046401</v>
      </c>
      <c r="B11831">
        <v>-85.112539796044999</v>
      </c>
      <c r="C11831" t="s">
        <v>41</v>
      </c>
      <c r="D11831" t="s">
        <v>3634</v>
      </c>
      <c r="F11831" s="21"/>
      <c r="G11831" s="16" t="str">
        <f>HYPERLINK("http://maps.google.com/maps?f=q&amp;hl=en&amp;geocode=&amp;q=41.0922892820464,-85.112539796045")</f>
        <v>http://maps.google.com/maps?f=q&amp;hl=en&amp;geocode=&amp;q=41.0922892820464,-85.112539796045</v>
      </c>
    </row>
    <row r="11832" spans="1:7" ht="15" x14ac:dyDescent="0.3">
      <c r="A11832">
        <v>39.916739999999997</v>
      </c>
      <c r="B11832">
        <v>-75.231570000000005</v>
      </c>
      <c r="C11832" t="s">
        <v>41</v>
      </c>
      <c r="D11832" t="s">
        <v>928</v>
      </c>
      <c r="F11832" s="21"/>
      <c r="G11832" s="16" t="str">
        <f>HYPERLINK("http://maps.google.com/maps?f=q&amp;hl=en&amp;geocode=&amp;q=39.91674,-75.23157")</f>
        <v>http://maps.google.com/maps?f=q&amp;hl=en&amp;geocode=&amp;q=39.91674,-75.23157</v>
      </c>
    </row>
    <row r="11833" spans="1:7" ht="15" x14ac:dyDescent="0.3">
      <c r="A11833">
        <v>44.862617492675803</v>
      </c>
      <c r="B11833">
        <v>-85.735137939453097</v>
      </c>
      <c r="C11833" t="s">
        <v>41</v>
      </c>
      <c r="D11833" t="s">
        <v>6652</v>
      </c>
      <c r="F11833" s="21"/>
      <c r="G11833" s="16" t="str">
        <f>HYPERLINK("http://maps.google.com/maps?f=q&amp;hl=en&amp;geocode=&amp;q=44.8626174926758,-85.7351379394531")</f>
        <v>http://maps.google.com/maps?f=q&amp;hl=en&amp;geocode=&amp;q=44.8626174926758,-85.7351379394531</v>
      </c>
    </row>
    <row r="11834" spans="1:7" ht="15" x14ac:dyDescent="0.3">
      <c r="A11834">
        <v>40.132370000000002</v>
      </c>
      <c r="B11834">
        <v>-75.007909999999995</v>
      </c>
      <c r="C11834" t="s">
        <v>41</v>
      </c>
      <c r="D11834" t="s">
        <v>55</v>
      </c>
      <c r="F11834" s="21"/>
      <c r="G11834" s="16" t="str">
        <f>HYPERLINK("http://maps.google.com/maps?f=q&amp;hl=en&amp;geocode=&amp;q=40.13237,-75.00791")</f>
        <v>http://maps.google.com/maps?f=q&amp;hl=en&amp;geocode=&amp;q=40.13237,-75.00791</v>
      </c>
    </row>
    <row r="11835" spans="1:7" ht="15" x14ac:dyDescent="0.3">
      <c r="A11835">
        <v>42.062980651855497</v>
      </c>
      <c r="B11835">
        <v>-88.122947692871094</v>
      </c>
      <c r="C11835" t="s">
        <v>43</v>
      </c>
      <c r="D11835" t="s">
        <v>6653</v>
      </c>
      <c r="F11835" s="21"/>
      <c r="G11835" s="16" t="str">
        <f>HYPERLINK("http://maps.google.com/maps?f=q&amp;hl=en&amp;geocode=&amp;q=42.0629806518555,-88.1229476928711")</f>
        <v>http://maps.google.com/maps?f=q&amp;hl=en&amp;geocode=&amp;q=42.0629806518555,-88.1229476928711</v>
      </c>
    </row>
    <row r="11836" spans="1:7" ht="15" x14ac:dyDescent="0.3">
      <c r="A11836">
        <v>-15.792110443115201</v>
      </c>
      <c r="B11836">
        <v>-47.897750854492202</v>
      </c>
      <c r="C11836" t="s">
        <v>41</v>
      </c>
      <c r="D11836" t="s">
        <v>5843</v>
      </c>
      <c r="F11836" s="21"/>
      <c r="G11836" s="16" t="str">
        <f>HYPERLINK("http://maps.google.com/maps?f=q&amp;hl=en&amp;geocode=&amp;q=-15.7921104431152,-47.8977508544922")</f>
        <v>http://maps.google.com/maps?f=q&amp;hl=en&amp;geocode=&amp;q=-15.7921104431152,-47.8977508544922</v>
      </c>
    </row>
    <row r="11837" spans="1:7" ht="15" x14ac:dyDescent="0.3">
      <c r="A11837">
        <v>34.052145699345601</v>
      </c>
      <c r="B11837">
        <v>-118.360286502204</v>
      </c>
      <c r="C11837" t="s">
        <v>41</v>
      </c>
      <c r="D11837" t="s">
        <v>6654</v>
      </c>
      <c r="F11837" s="21"/>
      <c r="G11837" s="16" t="str">
        <f>HYPERLINK("http://maps.google.com/maps?f=q&amp;hl=en&amp;geocode=&amp;q=34.0521456993456,-118.360286502204")</f>
        <v>http://maps.google.com/maps?f=q&amp;hl=en&amp;geocode=&amp;q=34.0521456993456,-118.360286502204</v>
      </c>
    </row>
    <row r="11838" spans="1:7" ht="15" x14ac:dyDescent="0.3">
      <c r="A11838">
        <v>38.672220000000003</v>
      </c>
      <c r="B11838">
        <v>-85.173540000000003</v>
      </c>
      <c r="C11838" t="s">
        <v>42</v>
      </c>
      <c r="D11838" t="s">
        <v>6655</v>
      </c>
      <c r="F11838" s="21"/>
      <c r="G11838" s="16" t="str">
        <f>HYPERLINK("http://maps.google.com/maps?f=q&amp;hl=en&amp;geocode=&amp;q=38.67222,-85.17354")</f>
        <v>http://maps.google.com/maps?f=q&amp;hl=en&amp;geocode=&amp;q=38.67222,-85.17354</v>
      </c>
    </row>
    <row r="11839" spans="1:7" ht="15" x14ac:dyDescent="0.3">
      <c r="A11839">
        <v>39.97336</v>
      </c>
      <c r="B11839">
        <v>-75.18074</v>
      </c>
      <c r="C11839" t="s">
        <v>41</v>
      </c>
      <c r="D11839" t="s">
        <v>5163</v>
      </c>
      <c r="F11839" s="21"/>
      <c r="G11839" s="16" t="str">
        <f>HYPERLINK("http://maps.google.com/maps?f=q&amp;hl=en&amp;geocode=&amp;q=39.97336,-75.18074")</f>
        <v>http://maps.google.com/maps?f=q&amp;hl=en&amp;geocode=&amp;q=39.97336,-75.18074</v>
      </c>
    </row>
    <row r="11840" spans="1:7" ht="15" x14ac:dyDescent="0.3">
      <c r="A11840">
        <v>-34.701614379882798</v>
      </c>
      <c r="B11840">
        <v>147.20159912109401</v>
      </c>
      <c r="C11840" t="s">
        <v>41</v>
      </c>
      <c r="D11840" t="s">
        <v>6656</v>
      </c>
      <c r="F11840" s="21"/>
      <c r="G11840" s="16" t="str">
        <f>HYPERLINK("http://maps.google.com/maps?f=q&amp;hl=en&amp;geocode=&amp;q=-34.7016143798828,147.201599121094")</f>
        <v>http://maps.google.com/maps?f=q&amp;hl=en&amp;geocode=&amp;q=-34.7016143798828,147.201599121094</v>
      </c>
    </row>
    <row r="11841" spans="1:7" ht="15" x14ac:dyDescent="0.3">
      <c r="A11841">
        <v>36.179634595100197</v>
      </c>
      <c r="B11841">
        <v>-86.650669776148504</v>
      </c>
      <c r="C11841" t="s">
        <v>41</v>
      </c>
      <c r="D11841" t="s">
        <v>6657</v>
      </c>
      <c r="F11841" s="21"/>
      <c r="G11841" s="16" t="str">
        <f>HYPERLINK("http://maps.google.com/maps?f=q&amp;hl=en&amp;geocode=&amp;q=36.1796345951002,-86.6506697761485")</f>
        <v>http://maps.google.com/maps?f=q&amp;hl=en&amp;geocode=&amp;q=36.1796345951002,-86.6506697761485</v>
      </c>
    </row>
    <row r="11842" spans="1:7" ht="15" x14ac:dyDescent="0.3">
      <c r="A11842">
        <v>-26.142440000000001</v>
      </c>
      <c r="B11842">
        <v>27.91825</v>
      </c>
      <c r="C11842" t="s">
        <v>41</v>
      </c>
      <c r="D11842" t="s">
        <v>2558</v>
      </c>
      <c r="F11842" s="21"/>
      <c r="G11842" s="16" t="str">
        <f>HYPERLINK("http://maps.google.com/maps?f=q&amp;hl=en&amp;geocode=&amp;q=-26.14244,27.91825")</f>
        <v>http://maps.google.com/maps?f=q&amp;hl=en&amp;geocode=&amp;q=-26.14244,27.91825</v>
      </c>
    </row>
    <row r="11843" spans="1:7" ht="15" x14ac:dyDescent="0.3">
      <c r="A11843">
        <v>42.822775595264297</v>
      </c>
      <c r="B11843">
        <v>-74.475350031150896</v>
      </c>
      <c r="C11843" t="s">
        <v>41</v>
      </c>
      <c r="D11843" t="s">
        <v>3136</v>
      </c>
      <c r="F11843" s="21"/>
      <c r="G11843" s="16" t="str">
        <f>HYPERLINK("http://maps.google.com/maps?f=q&amp;hl=en&amp;geocode=&amp;q=42.8227755952643,-74.4753500311509")</f>
        <v>http://maps.google.com/maps?f=q&amp;hl=en&amp;geocode=&amp;q=42.8227755952643,-74.4753500311509</v>
      </c>
    </row>
    <row r="11844" spans="1:7" ht="15" x14ac:dyDescent="0.3">
      <c r="A11844">
        <v>33.752800000000001</v>
      </c>
      <c r="B11844">
        <v>-96.743620000000007</v>
      </c>
      <c r="C11844" t="s">
        <v>43</v>
      </c>
      <c r="D11844" t="s">
        <v>6658</v>
      </c>
      <c r="F11844" s="21"/>
      <c r="G11844" s="16" t="str">
        <f>HYPERLINK("http://maps.google.com/maps?f=q&amp;hl=en&amp;geocode=&amp;q=33.7528,-96.74362")</f>
        <v>http://maps.google.com/maps?f=q&amp;hl=en&amp;geocode=&amp;q=33.7528,-96.74362</v>
      </c>
    </row>
    <row r="11845" spans="1:7" ht="15" x14ac:dyDescent="0.3">
      <c r="A11845">
        <v>43.938812255859403</v>
      </c>
      <c r="B11845">
        <v>-120.558586120605</v>
      </c>
      <c r="C11845" t="s">
        <v>41</v>
      </c>
      <c r="D11845" t="s">
        <v>6659</v>
      </c>
      <c r="F11845" s="21"/>
      <c r="G11845" s="16" t="str">
        <f>HYPERLINK("http://maps.google.com/maps?f=q&amp;hl=en&amp;geocode=&amp;q=43.9388122558594,-120.558586120605")</f>
        <v>http://maps.google.com/maps?f=q&amp;hl=en&amp;geocode=&amp;q=43.9388122558594,-120.558586120605</v>
      </c>
    </row>
    <row r="11846" spans="1:7" ht="15" x14ac:dyDescent="0.3">
      <c r="A11846">
        <v>40.043282529474297</v>
      </c>
      <c r="B11846">
        <v>-75.075860464798893</v>
      </c>
      <c r="C11846" t="s">
        <v>41</v>
      </c>
      <c r="D11846" t="s">
        <v>2445</v>
      </c>
      <c r="F11846" s="21"/>
      <c r="G11846" s="16" t="str">
        <f>HYPERLINK("http://maps.google.com/maps?f=q&amp;hl=en&amp;geocode=&amp;q=40.0432825294743,-75.0758604647989")</f>
        <v>http://maps.google.com/maps?f=q&amp;hl=en&amp;geocode=&amp;q=40.0432825294743,-75.0758604647989</v>
      </c>
    </row>
    <row r="11847" spans="1:7" ht="15" x14ac:dyDescent="0.3">
      <c r="A11847">
        <v>40.043282529474297</v>
      </c>
      <c r="B11847">
        <v>-75.075860464798893</v>
      </c>
      <c r="C11847" t="s">
        <v>41</v>
      </c>
      <c r="D11847" t="s">
        <v>2445</v>
      </c>
      <c r="F11847" s="21"/>
      <c r="G11847" s="16" t="str">
        <f>HYPERLINK("http://maps.google.com/maps?f=q&amp;hl=en&amp;geocode=&amp;q=40.0432825294743,-75.0758604647989")</f>
        <v>http://maps.google.com/maps?f=q&amp;hl=en&amp;geocode=&amp;q=40.0432825294743,-75.0758604647989</v>
      </c>
    </row>
    <row r="11848" spans="1:7" ht="15" x14ac:dyDescent="0.3">
      <c r="A11848">
        <v>40.0286587212386</v>
      </c>
      <c r="B11848">
        <v>-75.081777966362097</v>
      </c>
      <c r="C11848" t="s">
        <v>41</v>
      </c>
      <c r="D11848" t="s">
        <v>4686</v>
      </c>
      <c r="F11848" s="21"/>
      <c r="G11848" s="16" t="str">
        <f>HYPERLINK("http://maps.google.com/maps?f=q&amp;hl=en&amp;geocode=&amp;q=40.0286587212386,-75.0817779663621")</f>
        <v>http://maps.google.com/maps?f=q&amp;hl=en&amp;geocode=&amp;q=40.0286587212386,-75.0817779663621</v>
      </c>
    </row>
    <row r="11849" spans="1:7" ht="15" x14ac:dyDescent="0.3">
      <c r="A11849">
        <v>31.356929999999998</v>
      </c>
      <c r="B11849">
        <v>-89.800349999999995</v>
      </c>
      <c r="C11849" t="s">
        <v>43</v>
      </c>
      <c r="D11849" t="s">
        <v>6660</v>
      </c>
      <c r="F11849" s="21"/>
      <c r="G11849" s="16" t="str">
        <f>HYPERLINK("http://maps.google.com/maps?f=q&amp;hl=en&amp;geocode=&amp;q=31.35693,-89.80035")</f>
        <v>http://maps.google.com/maps?f=q&amp;hl=en&amp;geocode=&amp;q=31.35693,-89.80035</v>
      </c>
    </row>
    <row r="11850" spans="1:7" ht="15" x14ac:dyDescent="0.3">
      <c r="A11850" t="s">
        <v>44</v>
      </c>
      <c r="B11850" t="s">
        <v>44</v>
      </c>
      <c r="C11850" t="s">
        <v>44</v>
      </c>
      <c r="D11850" t="s">
        <v>5657</v>
      </c>
      <c r="F11850" s="21"/>
      <c r="G11850" s="16"/>
    </row>
    <row r="11851" spans="1:7" ht="15" x14ac:dyDescent="0.3">
      <c r="A11851">
        <v>37.187034606933601</v>
      </c>
      <c r="B11851">
        <v>-7.7063751220703098</v>
      </c>
      <c r="C11851" t="s">
        <v>41</v>
      </c>
      <c r="D11851" t="s">
        <v>6661</v>
      </c>
      <c r="F11851" s="21"/>
      <c r="G11851" s="16" t="str">
        <f>HYPERLINK("http://maps.google.com/maps?f=q&amp;hl=en&amp;geocode=&amp;q=37.1870346069336,-7.70637512207031")</f>
        <v>http://maps.google.com/maps?f=q&amp;hl=en&amp;geocode=&amp;q=37.1870346069336,-7.70637512207031</v>
      </c>
    </row>
    <row r="11852" spans="1:7" ht="15" x14ac:dyDescent="0.3">
      <c r="A11852" t="s">
        <v>44</v>
      </c>
      <c r="B11852" t="s">
        <v>44</v>
      </c>
      <c r="C11852" t="s">
        <v>44</v>
      </c>
      <c r="D11852" t="s">
        <v>6662</v>
      </c>
      <c r="F11852" s="21"/>
      <c r="G11852" s="16"/>
    </row>
    <row r="11853" spans="1:7" ht="15" x14ac:dyDescent="0.3">
      <c r="A11853" t="s">
        <v>44</v>
      </c>
      <c r="B11853" t="s">
        <v>44</v>
      </c>
      <c r="C11853" t="s">
        <v>44</v>
      </c>
      <c r="D11853" t="s">
        <v>6662</v>
      </c>
      <c r="F11853" s="21"/>
      <c r="G11853" s="16"/>
    </row>
    <row r="11854" spans="1:7" ht="15" x14ac:dyDescent="0.3">
      <c r="A11854">
        <v>31.356929999999998</v>
      </c>
      <c r="B11854">
        <v>-89.800349999999995</v>
      </c>
      <c r="C11854" t="s">
        <v>43</v>
      </c>
      <c r="D11854" t="s">
        <v>6135</v>
      </c>
      <c r="F11854" s="21"/>
      <c r="G11854" s="16" t="str">
        <f>HYPERLINK("http://maps.google.com/maps?f=q&amp;hl=en&amp;geocode=&amp;q=31.35693,-89.80035")</f>
        <v>http://maps.google.com/maps?f=q&amp;hl=en&amp;geocode=&amp;q=31.35693,-89.80035</v>
      </c>
    </row>
    <row r="11855" spans="1:7" ht="15" x14ac:dyDescent="0.3">
      <c r="A11855">
        <v>-33.299518585205099</v>
      </c>
      <c r="B11855">
        <v>149.01606750488301</v>
      </c>
      <c r="C11855" t="s">
        <v>43</v>
      </c>
      <c r="D11855" t="s">
        <v>6518</v>
      </c>
      <c r="F11855" s="21"/>
      <c r="G11855" s="16" t="str">
        <f>HYPERLINK("http://maps.google.com/maps?f=q&amp;hl=en&amp;geocode=&amp;q=-33.2995185852051,149.016067504883")</f>
        <v>http://maps.google.com/maps?f=q&amp;hl=en&amp;geocode=&amp;q=-33.2995185852051,149.016067504883</v>
      </c>
    </row>
    <row r="11856" spans="1:7" ht="15" x14ac:dyDescent="0.3">
      <c r="A11856">
        <v>37.300210145315503</v>
      </c>
      <c r="B11856">
        <v>-121.88558295598</v>
      </c>
      <c r="C11856" t="s">
        <v>41</v>
      </c>
      <c r="D11856" t="s">
        <v>6663</v>
      </c>
      <c r="F11856" s="21"/>
      <c r="G11856" s="16" t="str">
        <f>HYPERLINK("http://maps.google.com/maps?f=q&amp;hl=en&amp;geocode=&amp;q=37.3002101453155,-121.88558295598")</f>
        <v>http://maps.google.com/maps?f=q&amp;hl=en&amp;geocode=&amp;q=37.3002101453155,-121.88558295598</v>
      </c>
    </row>
    <row r="11857" spans="1:7" ht="15" x14ac:dyDescent="0.3">
      <c r="A11857">
        <v>42.951878438351002</v>
      </c>
      <c r="B11857">
        <v>-83.402641075572703</v>
      </c>
      <c r="C11857" t="s">
        <v>41</v>
      </c>
      <c r="D11857" t="s">
        <v>2175</v>
      </c>
      <c r="F11857" s="21"/>
      <c r="G11857" s="16" t="str">
        <f>HYPERLINK("http://maps.google.com/maps?f=q&amp;hl=en&amp;geocode=&amp;q=42.951878438351,-83.4026410755727")</f>
        <v>http://maps.google.com/maps?f=q&amp;hl=en&amp;geocode=&amp;q=42.951878438351,-83.4026410755727</v>
      </c>
    </row>
    <row r="11858" spans="1:7" ht="15" x14ac:dyDescent="0.3">
      <c r="A11858">
        <v>30.501619999999999</v>
      </c>
      <c r="B11858">
        <v>-97.628100000000003</v>
      </c>
      <c r="C11858" t="s">
        <v>42</v>
      </c>
      <c r="D11858" t="s">
        <v>6664</v>
      </c>
      <c r="F11858" s="21"/>
      <c r="G11858" s="16" t="str">
        <f>HYPERLINK("http://maps.google.com/maps?f=q&amp;hl=en&amp;geocode=&amp;q=30.50162,-97.6281")</f>
        <v>http://maps.google.com/maps?f=q&amp;hl=en&amp;geocode=&amp;q=30.50162,-97.6281</v>
      </c>
    </row>
    <row r="11859" spans="1:7" ht="15" x14ac:dyDescent="0.3">
      <c r="A11859">
        <v>42.0754106996365</v>
      </c>
      <c r="B11859">
        <v>-87.725456625436493</v>
      </c>
      <c r="C11859" t="s">
        <v>41</v>
      </c>
      <c r="D11859" t="s">
        <v>6665</v>
      </c>
      <c r="F11859" s="21"/>
      <c r="G11859" s="16" t="str">
        <f>HYPERLINK("http://maps.google.com/maps?f=q&amp;hl=en&amp;geocode=&amp;q=42.0754106996365,-87.7254566254365")</f>
        <v>http://maps.google.com/maps?f=q&amp;hl=en&amp;geocode=&amp;q=42.0754106996365,-87.7254566254365</v>
      </c>
    </row>
    <row r="11860" spans="1:7" ht="15" x14ac:dyDescent="0.3">
      <c r="A11860">
        <v>38.591107438640897</v>
      </c>
      <c r="B11860">
        <v>-90.307767273304094</v>
      </c>
      <c r="C11860" t="s">
        <v>41</v>
      </c>
      <c r="D11860" t="s">
        <v>3774</v>
      </c>
      <c r="F11860" s="21"/>
      <c r="G11860" s="16" t="str">
        <f>HYPERLINK("http://maps.google.com/maps?f=q&amp;hl=en&amp;geocode=&amp;q=38.5911074386409,-90.3077672733041")</f>
        <v>http://maps.google.com/maps?f=q&amp;hl=en&amp;geocode=&amp;q=38.5911074386409,-90.3077672733041</v>
      </c>
    </row>
    <row r="11861" spans="1:7" ht="15" x14ac:dyDescent="0.3">
      <c r="A11861">
        <v>41.0498283005982</v>
      </c>
      <c r="B11861">
        <v>-111.95082893322601</v>
      </c>
      <c r="C11861" t="s">
        <v>42</v>
      </c>
      <c r="D11861" t="s">
        <v>6666</v>
      </c>
      <c r="F11861" s="21"/>
      <c r="G11861" s="16" t="str">
        <f>HYPERLINK("http://maps.google.com/maps?f=q&amp;hl=en&amp;geocode=&amp;q=41.0498283005982,-111.950828933226")</f>
        <v>http://maps.google.com/maps?f=q&amp;hl=en&amp;geocode=&amp;q=41.0498283005982,-111.950828933226</v>
      </c>
    </row>
    <row r="11862" spans="1:7" ht="15" x14ac:dyDescent="0.3">
      <c r="A11862" t="s">
        <v>44</v>
      </c>
      <c r="B11862" t="s">
        <v>44</v>
      </c>
      <c r="C11862" t="s">
        <v>44</v>
      </c>
      <c r="D11862" t="s">
        <v>6667</v>
      </c>
      <c r="F11862" s="21"/>
      <c r="G11862" s="16"/>
    </row>
    <row r="11863" spans="1:7" ht="15" x14ac:dyDescent="0.3">
      <c r="A11863" t="s">
        <v>44</v>
      </c>
      <c r="B11863" t="s">
        <v>44</v>
      </c>
      <c r="C11863" t="s">
        <v>44</v>
      </c>
      <c r="D11863" t="s">
        <v>6667</v>
      </c>
      <c r="F11863" s="21"/>
      <c r="G11863" s="16"/>
    </row>
    <row r="11864" spans="1:7" ht="15" x14ac:dyDescent="0.3">
      <c r="A11864" t="s">
        <v>44</v>
      </c>
      <c r="B11864" t="s">
        <v>44</v>
      </c>
      <c r="C11864" t="s">
        <v>44</v>
      </c>
      <c r="D11864" t="s">
        <v>6668</v>
      </c>
      <c r="F11864" s="21"/>
      <c r="G11864" s="16"/>
    </row>
    <row r="11865" spans="1:7" ht="15" x14ac:dyDescent="0.3">
      <c r="A11865">
        <v>40.748956401093899</v>
      </c>
      <c r="B11865">
        <v>-82.531510400821006</v>
      </c>
      <c r="C11865" t="s">
        <v>41</v>
      </c>
      <c r="D11865" t="s">
        <v>5635</v>
      </c>
      <c r="F11865" s="21"/>
      <c r="G11865" s="16" t="str">
        <f>HYPERLINK("http://maps.google.com/maps?f=q&amp;hl=en&amp;geocode=&amp;q=40.7489564010939,-82.531510400821")</f>
        <v>http://maps.google.com/maps?f=q&amp;hl=en&amp;geocode=&amp;q=40.7489564010939,-82.531510400821</v>
      </c>
    </row>
    <row r="11866" spans="1:7" ht="15" x14ac:dyDescent="0.3">
      <c r="A11866">
        <v>39.947760000000002</v>
      </c>
      <c r="B11866">
        <v>-75.169110000000003</v>
      </c>
      <c r="C11866" t="s">
        <v>41</v>
      </c>
      <c r="D11866" t="s">
        <v>6669</v>
      </c>
      <c r="F11866" s="21"/>
      <c r="G11866" s="16" t="str">
        <f>HYPERLINK("http://maps.google.com/maps?f=q&amp;hl=en&amp;geocode=&amp;q=39.94776,-75.16911")</f>
        <v>http://maps.google.com/maps?f=q&amp;hl=en&amp;geocode=&amp;q=39.94776,-75.16911</v>
      </c>
    </row>
    <row r="11867" spans="1:7" ht="15" x14ac:dyDescent="0.3">
      <c r="A11867">
        <v>51.379772186279297</v>
      </c>
      <c r="B11867">
        <v>6.2023339271545401</v>
      </c>
      <c r="C11867" t="s">
        <v>43</v>
      </c>
      <c r="D11867" t="s">
        <v>6670</v>
      </c>
      <c r="F11867" s="21"/>
      <c r="G11867" s="16" t="str">
        <f>HYPERLINK("http://maps.google.com/maps?f=q&amp;hl=en&amp;geocode=&amp;q=51.3797721862793,6.20233392715454")</f>
        <v>http://maps.google.com/maps?f=q&amp;hl=en&amp;geocode=&amp;q=51.3797721862793,6.20233392715454</v>
      </c>
    </row>
    <row r="11868" spans="1:7" ht="15" x14ac:dyDescent="0.3">
      <c r="A11868">
        <v>42.822775595264297</v>
      </c>
      <c r="B11868">
        <v>-74.475350031150896</v>
      </c>
      <c r="C11868" t="s">
        <v>41</v>
      </c>
      <c r="D11868" t="s">
        <v>3136</v>
      </c>
      <c r="F11868" s="21"/>
      <c r="G11868" s="16" t="str">
        <f>HYPERLINK("http://maps.google.com/maps?f=q&amp;hl=en&amp;geocode=&amp;q=42.8227755952643,-74.4753500311509")</f>
        <v>http://maps.google.com/maps?f=q&amp;hl=en&amp;geocode=&amp;q=42.8227755952643,-74.4753500311509</v>
      </c>
    </row>
    <row r="11869" spans="1:7" ht="15" x14ac:dyDescent="0.3">
      <c r="A11869">
        <v>42.822775595264297</v>
      </c>
      <c r="B11869">
        <v>-74.475350031150896</v>
      </c>
      <c r="C11869" t="s">
        <v>41</v>
      </c>
      <c r="D11869" t="s">
        <v>3136</v>
      </c>
      <c r="F11869" s="21"/>
      <c r="G11869" s="16" t="str">
        <f>HYPERLINK("http://maps.google.com/maps?f=q&amp;hl=en&amp;geocode=&amp;q=42.8227755952643,-74.4753500311509")</f>
        <v>http://maps.google.com/maps?f=q&amp;hl=en&amp;geocode=&amp;q=42.8227755952643,-74.4753500311509</v>
      </c>
    </row>
    <row r="11870" spans="1:7" ht="15" x14ac:dyDescent="0.3">
      <c r="A11870">
        <v>42.822775595264297</v>
      </c>
      <c r="B11870">
        <v>-74.475350031150896</v>
      </c>
      <c r="C11870" t="s">
        <v>41</v>
      </c>
      <c r="D11870" t="s">
        <v>3136</v>
      </c>
      <c r="F11870" s="21"/>
      <c r="G11870" s="16" t="str">
        <f>HYPERLINK("http://maps.google.com/maps?f=q&amp;hl=en&amp;geocode=&amp;q=42.8227755952643,-74.4753500311509")</f>
        <v>http://maps.google.com/maps?f=q&amp;hl=en&amp;geocode=&amp;q=42.8227755952643,-74.4753500311509</v>
      </c>
    </row>
    <row r="11871" spans="1:7" ht="15" x14ac:dyDescent="0.3">
      <c r="A11871">
        <v>40.245374315553299</v>
      </c>
      <c r="B11871">
        <v>-111.634142652306</v>
      </c>
      <c r="C11871" t="s">
        <v>41</v>
      </c>
      <c r="D11871" t="s">
        <v>6671</v>
      </c>
      <c r="F11871" s="21"/>
      <c r="G11871" s="16" t="str">
        <f>HYPERLINK("http://maps.google.com/maps?f=q&amp;hl=en&amp;geocode=&amp;q=40.2453743155533,-111.634142652306")</f>
        <v>http://maps.google.com/maps?f=q&amp;hl=en&amp;geocode=&amp;q=40.2453743155533,-111.634142652306</v>
      </c>
    </row>
    <row r="11872" spans="1:7" ht="15" x14ac:dyDescent="0.3">
      <c r="A11872">
        <v>49.612476348877003</v>
      </c>
      <c r="B11872">
        <v>6.1724100112915004</v>
      </c>
      <c r="C11872" t="s">
        <v>41</v>
      </c>
      <c r="D11872" t="s">
        <v>6541</v>
      </c>
      <c r="F11872" s="21"/>
      <c r="G11872" s="16" t="str">
        <f>HYPERLINK("http://maps.google.com/maps?f=q&amp;hl=en&amp;geocode=&amp;q=49.612476348877,6.1724100112915")</f>
        <v>http://maps.google.com/maps?f=q&amp;hl=en&amp;geocode=&amp;q=49.612476348877,6.1724100112915</v>
      </c>
    </row>
    <row r="11873" spans="1:7" ht="15" x14ac:dyDescent="0.3">
      <c r="A11873">
        <v>39.950119999999998</v>
      </c>
      <c r="B11873">
        <v>-75.168589999999995</v>
      </c>
      <c r="C11873" t="s">
        <v>41</v>
      </c>
      <c r="D11873" t="s">
        <v>6200</v>
      </c>
      <c r="F11873" s="21"/>
      <c r="G11873" s="16" t="str">
        <f>HYPERLINK("http://maps.google.com/maps?f=q&amp;hl=en&amp;geocode=&amp;q=39.95012,-75.16859")</f>
        <v>http://maps.google.com/maps?f=q&amp;hl=en&amp;geocode=&amp;q=39.95012,-75.16859</v>
      </c>
    </row>
    <row r="11874" spans="1:7" ht="15" x14ac:dyDescent="0.3">
      <c r="A11874">
        <v>41.602689051442297</v>
      </c>
      <c r="B11874">
        <v>-72.925236521497794</v>
      </c>
      <c r="C11874" t="s">
        <v>43</v>
      </c>
      <c r="D11874" t="s">
        <v>6672</v>
      </c>
      <c r="F11874" s="21"/>
      <c r="G11874" s="16" t="str">
        <f>HYPERLINK("http://maps.google.com/maps?f=q&amp;hl=en&amp;geocode=&amp;q=41.6026890514423,-72.9252365214978")</f>
        <v>http://maps.google.com/maps?f=q&amp;hl=en&amp;geocode=&amp;q=41.6026890514423,-72.9252365214978</v>
      </c>
    </row>
    <row r="11875" spans="1:7" ht="15" x14ac:dyDescent="0.3">
      <c r="A11875">
        <v>31.531070870062901</v>
      </c>
      <c r="B11875">
        <v>-81.364645665152096</v>
      </c>
      <c r="C11875" t="s">
        <v>41</v>
      </c>
      <c r="D11875" t="s">
        <v>6104</v>
      </c>
      <c r="F11875" s="21"/>
      <c r="G11875" s="16" t="str">
        <f>HYPERLINK("http://maps.google.com/maps?f=q&amp;hl=en&amp;geocode=&amp;q=31.5310708700629,-81.3646456651521")</f>
        <v>http://maps.google.com/maps?f=q&amp;hl=en&amp;geocode=&amp;q=31.5310708700629,-81.3646456651521</v>
      </c>
    </row>
    <row r="11876" spans="1:7" ht="15" x14ac:dyDescent="0.3">
      <c r="A11876" t="s">
        <v>44</v>
      </c>
      <c r="B11876" t="s">
        <v>44</v>
      </c>
      <c r="C11876" t="s">
        <v>44</v>
      </c>
      <c r="D11876" t="s">
        <v>4438</v>
      </c>
      <c r="F11876" s="21"/>
      <c r="G11876" s="16"/>
    </row>
    <row r="11877" spans="1:7" ht="15" x14ac:dyDescent="0.3">
      <c r="A11877">
        <v>40.312353216860501</v>
      </c>
      <c r="B11877">
        <v>-78.327221641178099</v>
      </c>
      <c r="C11877" t="s">
        <v>41</v>
      </c>
      <c r="D11877" t="s">
        <v>6673</v>
      </c>
      <c r="F11877" s="21"/>
      <c r="G11877" s="16" t="str">
        <f>HYPERLINK("http://maps.google.com/maps?f=q&amp;hl=en&amp;geocode=&amp;q=40.3123532168605,-78.3272216411781")</f>
        <v>http://maps.google.com/maps?f=q&amp;hl=en&amp;geocode=&amp;q=40.3123532168605,-78.3272216411781</v>
      </c>
    </row>
    <row r="11878" spans="1:7" ht="15" x14ac:dyDescent="0.3">
      <c r="A11878">
        <v>46.598960876464801</v>
      </c>
      <c r="B11878">
        <v>-118.31854248046901</v>
      </c>
      <c r="C11878" t="s">
        <v>43</v>
      </c>
      <c r="D11878" t="s">
        <v>6674</v>
      </c>
      <c r="F11878" s="21"/>
      <c r="G11878" s="16" t="str">
        <f>HYPERLINK("http://maps.google.com/maps?f=q&amp;hl=en&amp;geocode=&amp;q=46.5989608764648,-118.318542480469")</f>
        <v>http://maps.google.com/maps?f=q&amp;hl=en&amp;geocode=&amp;q=46.5989608764648,-118.318542480469</v>
      </c>
    </row>
    <row r="11879" spans="1:7" ht="15" x14ac:dyDescent="0.3">
      <c r="A11879">
        <v>30.327950000000001</v>
      </c>
      <c r="B11879">
        <v>-89.361540000000005</v>
      </c>
      <c r="C11879" t="s">
        <v>43</v>
      </c>
      <c r="D11879" t="s">
        <v>543</v>
      </c>
      <c r="F11879" s="21"/>
      <c r="G11879" s="16" t="str">
        <f>HYPERLINK("http://maps.google.com/maps?f=q&amp;hl=en&amp;geocode=&amp;q=30.32795,-89.36154")</f>
        <v>http://maps.google.com/maps?f=q&amp;hl=en&amp;geocode=&amp;q=30.32795,-89.36154</v>
      </c>
    </row>
    <row r="11880" spans="1:7" ht="15" x14ac:dyDescent="0.3">
      <c r="A11880">
        <v>30.327950000000001</v>
      </c>
      <c r="B11880">
        <v>-89.361540000000005</v>
      </c>
      <c r="C11880" t="s">
        <v>43</v>
      </c>
      <c r="D11880" t="s">
        <v>543</v>
      </c>
      <c r="F11880" s="21"/>
      <c r="G11880" s="16" t="str">
        <f>HYPERLINK("http://maps.google.com/maps?f=q&amp;hl=en&amp;geocode=&amp;q=30.32795,-89.36154")</f>
        <v>http://maps.google.com/maps?f=q&amp;hl=en&amp;geocode=&amp;q=30.32795,-89.36154</v>
      </c>
    </row>
    <row r="11881" spans="1:7" ht="15" x14ac:dyDescent="0.3">
      <c r="A11881">
        <v>32.808940021857403</v>
      </c>
      <c r="B11881">
        <v>-88.420249319456403</v>
      </c>
      <c r="C11881" t="s">
        <v>41</v>
      </c>
      <c r="D11881" t="s">
        <v>6675</v>
      </c>
      <c r="F11881" s="21"/>
      <c r="G11881" s="16" t="str">
        <f>HYPERLINK("http://maps.google.com/maps?f=q&amp;hl=en&amp;geocode=&amp;q=32.8089400218574,-88.4202493194564")</f>
        <v>http://maps.google.com/maps?f=q&amp;hl=en&amp;geocode=&amp;q=32.8089400218574,-88.4202493194564</v>
      </c>
    </row>
    <row r="11882" spans="1:7" ht="15" x14ac:dyDescent="0.3">
      <c r="A11882">
        <v>39.991079999999997</v>
      </c>
      <c r="B11882">
        <v>-75.179900000000004</v>
      </c>
      <c r="C11882" t="s">
        <v>42</v>
      </c>
      <c r="D11882" t="s">
        <v>6676</v>
      </c>
      <c r="F11882" s="21"/>
      <c r="G11882" s="16" t="str">
        <f>HYPERLINK("http://maps.google.com/maps?f=q&amp;hl=en&amp;geocode=&amp;q=39.99108,-75.1799")</f>
        <v>http://maps.google.com/maps?f=q&amp;hl=en&amp;geocode=&amp;q=39.99108,-75.1799</v>
      </c>
    </row>
    <row r="11883" spans="1:7" ht="15" x14ac:dyDescent="0.3">
      <c r="A11883">
        <v>-27.495454788208001</v>
      </c>
      <c r="B11883">
        <v>151.798095703125</v>
      </c>
      <c r="C11883" t="s">
        <v>41</v>
      </c>
      <c r="D11883" t="s">
        <v>6677</v>
      </c>
      <c r="F11883" s="21"/>
      <c r="G11883" s="16" t="str">
        <f>HYPERLINK("http://maps.google.com/maps?f=q&amp;hl=en&amp;geocode=&amp;q=-27.495454788208,151.798095703125")</f>
        <v>http://maps.google.com/maps?f=q&amp;hl=en&amp;geocode=&amp;q=-27.495454788208,151.798095703125</v>
      </c>
    </row>
    <row r="11884" spans="1:7" ht="15" x14ac:dyDescent="0.3">
      <c r="A11884">
        <v>43.177228912291604</v>
      </c>
      <c r="B11884">
        <v>-89.504892368249699</v>
      </c>
      <c r="C11884" t="s">
        <v>41</v>
      </c>
      <c r="D11884" t="s">
        <v>6678</v>
      </c>
      <c r="F11884" s="21"/>
      <c r="G11884" s="16" t="str">
        <f>HYPERLINK("http://maps.google.com/maps?f=q&amp;hl=en&amp;geocode=&amp;q=43.1772289122916,-89.5048923682497")</f>
        <v>http://maps.google.com/maps?f=q&amp;hl=en&amp;geocode=&amp;q=43.1772289122916,-89.5048923682497</v>
      </c>
    </row>
    <row r="11885" spans="1:7" ht="15" x14ac:dyDescent="0.3">
      <c r="A11885">
        <v>55.316757202148402</v>
      </c>
      <c r="B11885">
        <v>10.7729501724243</v>
      </c>
      <c r="C11885" t="s">
        <v>43</v>
      </c>
      <c r="D11885" t="s">
        <v>6679</v>
      </c>
      <c r="F11885" s="21"/>
      <c r="G11885" s="16" t="str">
        <f>HYPERLINK("http://maps.google.com/maps?f=q&amp;hl=en&amp;geocode=&amp;q=55.3167572021484,10.7729501724243")</f>
        <v>http://maps.google.com/maps?f=q&amp;hl=en&amp;geocode=&amp;q=55.3167572021484,10.7729501724243</v>
      </c>
    </row>
    <row r="11886" spans="1:7" ht="15" x14ac:dyDescent="0.3">
      <c r="A11886">
        <v>42.722940000000001</v>
      </c>
      <c r="B11886">
        <v>-89.104380000000006</v>
      </c>
      <c r="C11886" t="s">
        <v>43</v>
      </c>
      <c r="D11886" t="s">
        <v>6680</v>
      </c>
      <c r="F11886" s="21"/>
      <c r="G11886" s="16" t="str">
        <f>HYPERLINK("http://maps.google.com/maps?f=q&amp;hl=en&amp;geocode=&amp;q=42.72294,-89.10438")</f>
        <v>http://maps.google.com/maps?f=q&amp;hl=en&amp;geocode=&amp;q=42.72294,-89.10438</v>
      </c>
    </row>
    <row r="11887" spans="1:7" ht="15" x14ac:dyDescent="0.3">
      <c r="A11887">
        <v>43.986690000000003</v>
      </c>
      <c r="B11887">
        <v>-117.24427</v>
      </c>
      <c r="C11887" t="s">
        <v>43</v>
      </c>
      <c r="D11887" t="s">
        <v>6681</v>
      </c>
      <c r="F11887" s="21"/>
      <c r="G11887" s="16" t="str">
        <f>HYPERLINK("http://maps.google.com/maps?f=q&amp;hl=en&amp;geocode=&amp;q=43.98669,-117.24427")</f>
        <v>http://maps.google.com/maps?f=q&amp;hl=en&amp;geocode=&amp;q=43.98669,-117.24427</v>
      </c>
    </row>
    <row r="11888" spans="1:7" ht="15" x14ac:dyDescent="0.3">
      <c r="F11888" s="21"/>
      <c r="G11888" s="16"/>
    </row>
    <row r="11889" spans="1:7" ht="15" x14ac:dyDescent="0.3">
      <c r="A11889">
        <v>39.92022</v>
      </c>
      <c r="B11889">
        <v>-75.178219999999996</v>
      </c>
      <c r="C11889" t="s">
        <v>41</v>
      </c>
      <c r="D11889" t="s">
        <v>6682</v>
      </c>
      <c r="F11889" s="21"/>
      <c r="G11889" s="16" t="str">
        <f>HYPERLINK("http://maps.google.com/maps?f=q&amp;hl=en&amp;geocode=&amp;q=39.92022,-75.17822")</f>
        <v>http://maps.google.com/maps?f=q&amp;hl=en&amp;geocode=&amp;q=39.92022,-75.17822</v>
      </c>
    </row>
    <row r="11890" spans="1:7" ht="15" x14ac:dyDescent="0.3">
      <c r="A11890">
        <v>39.364791870117202</v>
      </c>
      <c r="B11890">
        <v>-90.395263671875</v>
      </c>
      <c r="C11890" t="s">
        <v>43</v>
      </c>
      <c r="D11890" t="s">
        <v>6683</v>
      </c>
      <c r="F11890" s="21"/>
      <c r="G11890" s="16" t="str">
        <f>HYPERLINK("http://maps.google.com/maps?f=q&amp;hl=en&amp;geocode=&amp;q=39.3647918701172,-90.395263671875")</f>
        <v>http://maps.google.com/maps?f=q&amp;hl=en&amp;geocode=&amp;q=39.3647918701172,-90.395263671875</v>
      </c>
    </row>
    <row r="11891" spans="1:7" ht="15" x14ac:dyDescent="0.3">
      <c r="A11891">
        <v>39.984005437389399</v>
      </c>
      <c r="B11891">
        <v>-75.108766935152005</v>
      </c>
      <c r="C11891" t="s">
        <v>41</v>
      </c>
      <c r="D11891" t="s">
        <v>4228</v>
      </c>
      <c r="F11891" s="21"/>
      <c r="G11891" s="16" t="str">
        <f>HYPERLINK("http://maps.google.com/maps?f=q&amp;hl=en&amp;geocode=&amp;q=39.9840054373894,-75.108766935152")</f>
        <v>http://maps.google.com/maps?f=q&amp;hl=en&amp;geocode=&amp;q=39.9840054373894,-75.108766935152</v>
      </c>
    </row>
    <row r="11892" spans="1:7" ht="15" x14ac:dyDescent="0.3">
      <c r="A11892">
        <v>-26.72869</v>
      </c>
      <c r="B11892">
        <v>27.850180000000002</v>
      </c>
      <c r="C11892" t="s">
        <v>41</v>
      </c>
      <c r="D11892" t="s">
        <v>6257</v>
      </c>
      <c r="F11892" s="21"/>
      <c r="G11892" s="16" t="str">
        <f>HYPERLINK("http://maps.google.com/maps?f=q&amp;hl=en&amp;geocode=&amp;q=-26.72869,27.85018")</f>
        <v>http://maps.google.com/maps?f=q&amp;hl=en&amp;geocode=&amp;q=-26.72869,27.85018</v>
      </c>
    </row>
    <row r="11893" spans="1:7" ht="15" x14ac:dyDescent="0.3">
      <c r="A11893">
        <v>31.260744001147799</v>
      </c>
      <c r="B11893">
        <v>-90.438285458838806</v>
      </c>
      <c r="C11893" t="s">
        <v>41</v>
      </c>
      <c r="D11893" t="s">
        <v>6136</v>
      </c>
      <c r="F11893" s="21"/>
      <c r="G11893" s="16" t="str">
        <f>HYPERLINK("http://maps.google.com/maps?f=q&amp;hl=en&amp;geocode=&amp;q=31.2607440011478,-90.4382854588388")</f>
        <v>http://maps.google.com/maps?f=q&amp;hl=en&amp;geocode=&amp;q=31.2607440011478,-90.4382854588388</v>
      </c>
    </row>
    <row r="11894" spans="1:7" ht="15" x14ac:dyDescent="0.3">
      <c r="A11894">
        <v>38.112580000000001</v>
      </c>
      <c r="B11894">
        <v>-122.59246</v>
      </c>
      <c r="C11894" t="s">
        <v>42</v>
      </c>
      <c r="D11894" t="s">
        <v>6285</v>
      </c>
      <c r="F11894" s="21"/>
      <c r="G11894" s="16" t="str">
        <f>HYPERLINK("http://maps.google.com/maps?f=q&amp;hl=en&amp;geocode=&amp;q=38.11258,-122.59246")</f>
        <v>http://maps.google.com/maps?f=q&amp;hl=en&amp;geocode=&amp;q=38.11258,-122.59246</v>
      </c>
    </row>
    <row r="11895" spans="1:7" ht="15" x14ac:dyDescent="0.3">
      <c r="A11895">
        <v>35.243940000000002</v>
      </c>
      <c r="B11895">
        <v>-97.423190000000005</v>
      </c>
      <c r="C11895" t="s">
        <v>41</v>
      </c>
      <c r="D11895" t="s">
        <v>6313</v>
      </c>
      <c r="F11895" s="21"/>
      <c r="G11895" s="16" t="str">
        <f>HYPERLINK("http://maps.google.com/maps?f=q&amp;hl=en&amp;geocode=&amp;q=35.24394,-97.42319")</f>
        <v>http://maps.google.com/maps?f=q&amp;hl=en&amp;geocode=&amp;q=35.24394,-97.42319</v>
      </c>
    </row>
    <row r="11896" spans="1:7" ht="15" x14ac:dyDescent="0.3">
      <c r="A11896">
        <v>39.992179999999998</v>
      </c>
      <c r="B11896">
        <v>-75.100999999999999</v>
      </c>
      <c r="C11896" t="s">
        <v>41</v>
      </c>
      <c r="D11896" t="s">
        <v>716</v>
      </c>
      <c r="F11896" s="21"/>
      <c r="G11896" s="16" t="str">
        <f>HYPERLINK("http://maps.google.com/maps?f=q&amp;hl=en&amp;geocode=&amp;q=39.99218,-75.101")</f>
        <v>http://maps.google.com/maps?f=q&amp;hl=en&amp;geocode=&amp;q=39.99218,-75.101</v>
      </c>
    </row>
    <row r="11897" spans="1:7" ht="15" x14ac:dyDescent="0.3">
      <c r="A11897">
        <v>39.992179999999998</v>
      </c>
      <c r="B11897">
        <v>-75.100999999999999</v>
      </c>
      <c r="C11897" t="s">
        <v>41</v>
      </c>
      <c r="D11897" t="s">
        <v>716</v>
      </c>
      <c r="F11897" s="21"/>
      <c r="G11897" s="16" t="str">
        <f>HYPERLINK("http://maps.google.com/maps?f=q&amp;hl=en&amp;geocode=&amp;q=39.99218,-75.101")</f>
        <v>http://maps.google.com/maps?f=q&amp;hl=en&amp;geocode=&amp;q=39.99218,-75.101</v>
      </c>
    </row>
    <row r="11898" spans="1:7" ht="15" x14ac:dyDescent="0.3">
      <c r="A11898">
        <v>40.576259999999998</v>
      </c>
      <c r="B11898">
        <v>-75.348519999999994</v>
      </c>
      <c r="C11898" t="s">
        <v>43</v>
      </c>
      <c r="D11898" t="s">
        <v>6223</v>
      </c>
      <c r="F11898" s="21"/>
      <c r="G11898" s="16" t="str">
        <f>HYPERLINK("http://maps.google.com/maps?f=q&amp;hl=en&amp;geocode=&amp;q=40.57626,-75.34852")</f>
        <v>http://maps.google.com/maps?f=q&amp;hl=en&amp;geocode=&amp;q=40.57626,-75.34852</v>
      </c>
    </row>
    <row r="11899" spans="1:7" ht="15" x14ac:dyDescent="0.3">
      <c r="A11899">
        <v>39.947240000000001</v>
      </c>
      <c r="B11899">
        <v>-75.174689999999998</v>
      </c>
      <c r="C11899" t="s">
        <v>43</v>
      </c>
      <c r="D11899" t="s">
        <v>6228</v>
      </c>
      <c r="F11899" s="21"/>
      <c r="G11899" s="16" t="str">
        <f>HYPERLINK("http://maps.google.com/maps?f=q&amp;hl=en&amp;geocode=&amp;q=39.94724,-75.17469")</f>
        <v>http://maps.google.com/maps?f=q&amp;hl=en&amp;geocode=&amp;q=39.94724,-75.17469</v>
      </c>
    </row>
    <row r="11900" spans="1:7" ht="15" x14ac:dyDescent="0.3">
      <c r="A11900">
        <v>39.948779999999999</v>
      </c>
      <c r="B11900">
        <v>-75.178030000000007</v>
      </c>
      <c r="C11900" t="s">
        <v>41</v>
      </c>
      <c r="D11900" t="s">
        <v>6684</v>
      </c>
      <c r="F11900" s="21"/>
      <c r="G11900" s="16" t="str">
        <f>HYPERLINK("http://maps.google.com/maps?f=q&amp;hl=en&amp;geocode=&amp;q=39.94878,-75.17803")</f>
        <v>http://maps.google.com/maps?f=q&amp;hl=en&amp;geocode=&amp;q=39.94878,-75.17803</v>
      </c>
    </row>
    <row r="11901" spans="1:7" ht="15" x14ac:dyDescent="0.3">
      <c r="A11901">
        <v>41.548839561065101</v>
      </c>
      <c r="B11901">
        <v>-87.1243250805081</v>
      </c>
      <c r="C11901" t="s">
        <v>43</v>
      </c>
      <c r="D11901" t="s">
        <v>6685</v>
      </c>
      <c r="F11901" s="21"/>
      <c r="G11901" s="16" t="str">
        <f>HYPERLINK("http://maps.google.com/maps?f=q&amp;hl=en&amp;geocode=&amp;q=41.5488395610651,-87.1243250805081")</f>
        <v>http://maps.google.com/maps?f=q&amp;hl=en&amp;geocode=&amp;q=41.5488395610651,-87.1243250805081</v>
      </c>
    </row>
    <row r="11902" spans="1:7" ht="15" x14ac:dyDescent="0.3">
      <c r="A11902" t="s">
        <v>44</v>
      </c>
      <c r="B11902" t="s">
        <v>44</v>
      </c>
      <c r="C11902" t="s">
        <v>44</v>
      </c>
      <c r="D11902" t="s">
        <v>3225</v>
      </c>
      <c r="F11902" s="21"/>
      <c r="G11902" s="16"/>
    </row>
    <row r="11903" spans="1:7" ht="15" x14ac:dyDescent="0.3">
      <c r="A11903">
        <v>39.7962588280867</v>
      </c>
      <c r="B11903">
        <v>-75.576183154066399</v>
      </c>
      <c r="C11903" t="s">
        <v>41</v>
      </c>
      <c r="D11903" t="s">
        <v>6686</v>
      </c>
      <c r="F11903" s="21"/>
      <c r="G11903" s="16" t="str">
        <f>HYPERLINK("http://maps.google.com/maps?f=q&amp;hl=en&amp;geocode=&amp;q=39.7962588280867,-75.5761831540664")</f>
        <v>http://maps.google.com/maps?f=q&amp;hl=en&amp;geocode=&amp;q=39.7962588280867,-75.5761831540664</v>
      </c>
    </row>
    <row r="11904" spans="1:7" ht="15" x14ac:dyDescent="0.3">
      <c r="A11904">
        <v>39.7962588280867</v>
      </c>
      <c r="B11904">
        <v>-75.576183154066399</v>
      </c>
      <c r="C11904" t="s">
        <v>41</v>
      </c>
      <c r="D11904" t="s">
        <v>6686</v>
      </c>
      <c r="F11904" s="21"/>
      <c r="G11904" s="16" t="str">
        <f>HYPERLINK("http://maps.google.com/maps?f=q&amp;hl=en&amp;geocode=&amp;q=39.7962588280867,-75.5761831540664")</f>
        <v>http://maps.google.com/maps?f=q&amp;hl=en&amp;geocode=&amp;q=39.7962588280867,-75.5761831540664</v>
      </c>
    </row>
    <row r="11905" spans="1:7" ht="15" x14ac:dyDescent="0.3">
      <c r="A11905">
        <v>39.948790000000002</v>
      </c>
      <c r="B11905">
        <v>-75.178139999999999</v>
      </c>
      <c r="C11905" t="s">
        <v>41</v>
      </c>
      <c r="D11905" t="s">
        <v>6687</v>
      </c>
      <c r="F11905" s="21"/>
      <c r="G11905" s="16" t="str">
        <f>HYPERLINK("http://maps.google.com/maps?f=q&amp;hl=en&amp;geocode=&amp;q=39.94879,-75.17814")</f>
        <v>http://maps.google.com/maps?f=q&amp;hl=en&amp;geocode=&amp;q=39.94879,-75.17814</v>
      </c>
    </row>
    <row r="11906" spans="1:7" ht="15" x14ac:dyDescent="0.3">
      <c r="A11906">
        <v>35.243940000000002</v>
      </c>
      <c r="B11906">
        <v>-97.423190000000005</v>
      </c>
      <c r="C11906" t="s">
        <v>41</v>
      </c>
      <c r="D11906" t="s">
        <v>6313</v>
      </c>
      <c r="F11906" s="21"/>
      <c r="G11906" s="16" t="str">
        <f>HYPERLINK("http://maps.google.com/maps?f=q&amp;hl=en&amp;geocode=&amp;q=35.24394,-97.42319")</f>
        <v>http://maps.google.com/maps?f=q&amp;hl=en&amp;geocode=&amp;q=35.24394,-97.42319</v>
      </c>
    </row>
    <row r="11907" spans="1:7" ht="15" x14ac:dyDescent="0.3">
      <c r="A11907">
        <v>39.4432563781738</v>
      </c>
      <c r="B11907">
        <v>-98.957336425781307</v>
      </c>
      <c r="C11907" t="s">
        <v>43</v>
      </c>
      <c r="D11907" t="s">
        <v>6688</v>
      </c>
      <c r="F11907" s="21"/>
      <c r="G11907" s="16" t="str">
        <f>HYPERLINK("http://maps.google.com/maps?f=q&amp;hl=en&amp;geocode=&amp;q=39.4432563781738,-98.9573364257813")</f>
        <v>http://maps.google.com/maps?f=q&amp;hl=en&amp;geocode=&amp;q=39.4432563781738,-98.9573364257813</v>
      </c>
    </row>
    <row r="11908" spans="1:7" ht="15" x14ac:dyDescent="0.3">
      <c r="A11908">
        <v>39.9518766952758</v>
      </c>
      <c r="B11908">
        <v>-75.168855805924906</v>
      </c>
      <c r="C11908" t="s">
        <v>41</v>
      </c>
      <c r="D11908" t="s">
        <v>6431</v>
      </c>
      <c r="F11908" s="21"/>
      <c r="G11908" s="16" t="str">
        <f>HYPERLINK("http://maps.google.com/maps?f=q&amp;hl=en&amp;geocode=&amp;q=39.9518766952758,-75.1688558059249")</f>
        <v>http://maps.google.com/maps?f=q&amp;hl=en&amp;geocode=&amp;q=39.9518766952758,-75.1688558059249</v>
      </c>
    </row>
    <row r="11909" spans="1:7" ht="15" x14ac:dyDescent="0.3">
      <c r="A11909">
        <v>31.531155312387</v>
      </c>
      <c r="B11909">
        <v>-81.364527751547399</v>
      </c>
      <c r="C11909" t="s">
        <v>41</v>
      </c>
      <c r="D11909" t="s">
        <v>6271</v>
      </c>
      <c r="F11909" s="21"/>
      <c r="G11909" s="16" t="str">
        <f>HYPERLINK("http://maps.google.com/maps?f=q&amp;hl=en&amp;geocode=&amp;q=31.531155312387,-81.3645277515474")</f>
        <v>http://maps.google.com/maps?f=q&amp;hl=en&amp;geocode=&amp;q=31.531155312387,-81.3645277515474</v>
      </c>
    </row>
    <row r="11910" spans="1:7" ht="15" x14ac:dyDescent="0.3">
      <c r="A11910">
        <v>39.947240000000001</v>
      </c>
      <c r="B11910">
        <v>-75.174689999999998</v>
      </c>
      <c r="C11910" t="s">
        <v>43</v>
      </c>
      <c r="D11910" t="s">
        <v>6228</v>
      </c>
      <c r="F11910" s="21"/>
      <c r="G11910" s="16" t="str">
        <f>HYPERLINK("http://maps.google.com/maps?f=q&amp;hl=en&amp;geocode=&amp;q=39.94724,-75.17469")</f>
        <v>http://maps.google.com/maps?f=q&amp;hl=en&amp;geocode=&amp;q=39.94724,-75.17469</v>
      </c>
    </row>
    <row r="11911" spans="1:7" ht="15" x14ac:dyDescent="0.3">
      <c r="A11911">
        <v>39.94782</v>
      </c>
      <c r="B11911">
        <v>-75.178169999999994</v>
      </c>
      <c r="C11911" t="s">
        <v>43</v>
      </c>
      <c r="D11911" t="s">
        <v>6255</v>
      </c>
      <c r="F11911" s="21"/>
      <c r="G11911" s="16" t="str">
        <f>HYPERLINK("http://maps.google.com/maps?f=q&amp;hl=en&amp;geocode=&amp;q=39.94782,-75.17817")</f>
        <v>http://maps.google.com/maps?f=q&amp;hl=en&amp;geocode=&amp;q=39.94782,-75.17817</v>
      </c>
    </row>
    <row r="11912" spans="1:7" ht="15" x14ac:dyDescent="0.3">
      <c r="A11912">
        <v>31.531155312387</v>
      </c>
      <c r="B11912">
        <v>-81.364527751547399</v>
      </c>
      <c r="C11912" t="s">
        <v>41</v>
      </c>
      <c r="D11912" t="s">
        <v>6271</v>
      </c>
      <c r="F11912" s="21"/>
      <c r="G11912" s="16" t="str">
        <f>HYPERLINK("http://maps.google.com/maps?f=q&amp;hl=en&amp;geocode=&amp;q=31.531155312387,-81.3645277515474")</f>
        <v>http://maps.google.com/maps?f=q&amp;hl=en&amp;geocode=&amp;q=31.531155312387,-81.3645277515474</v>
      </c>
    </row>
    <row r="11913" spans="1:7" ht="15" x14ac:dyDescent="0.3">
      <c r="A11913" t="s">
        <v>44</v>
      </c>
      <c r="B11913" t="s">
        <v>44</v>
      </c>
      <c r="C11913" t="s">
        <v>44</v>
      </c>
      <c r="D11913" t="s">
        <v>4438</v>
      </c>
      <c r="F11913" s="21"/>
      <c r="G11913" s="16"/>
    </row>
    <row r="11914" spans="1:7" ht="15" x14ac:dyDescent="0.3">
      <c r="A11914">
        <v>36.167955648572097</v>
      </c>
      <c r="B11914">
        <v>-90.526373757417403</v>
      </c>
      <c r="C11914" t="s">
        <v>43</v>
      </c>
      <c r="D11914" t="s">
        <v>6689</v>
      </c>
      <c r="F11914" s="21"/>
      <c r="G11914" s="16" t="str">
        <f>HYPERLINK("http://maps.google.com/maps?f=q&amp;hl=en&amp;geocode=&amp;q=36.1679556485721,-90.5263737574174")</f>
        <v>http://maps.google.com/maps?f=q&amp;hl=en&amp;geocode=&amp;q=36.1679556485721,-90.5263737574174</v>
      </c>
    </row>
    <row r="11915" spans="1:7" ht="15" x14ac:dyDescent="0.3">
      <c r="A11915">
        <v>-33.868339538574197</v>
      </c>
      <c r="B11915">
        <v>151.20822143554699</v>
      </c>
      <c r="C11915" t="s">
        <v>43</v>
      </c>
      <c r="D11915">
        <v>2000</v>
      </c>
      <c r="F11915" s="21"/>
      <c r="G11915" s="16" t="str">
        <f>HYPERLINK("http://maps.google.com/maps?f=q&amp;hl=en&amp;geocode=&amp;q=-33.8683395385742,151.208221435547")</f>
        <v>http://maps.google.com/maps?f=q&amp;hl=en&amp;geocode=&amp;q=-33.8683395385742,151.208221435547</v>
      </c>
    </row>
    <row r="11916" spans="1:7" ht="15" x14ac:dyDescent="0.3">
      <c r="A11916">
        <v>27.592373995710201</v>
      </c>
      <c r="B11916">
        <v>-82.052060881225898</v>
      </c>
      <c r="C11916" t="s">
        <v>42</v>
      </c>
      <c r="D11916" t="s">
        <v>4658</v>
      </c>
      <c r="F11916" s="21"/>
      <c r="G11916" s="16" t="str">
        <f>HYPERLINK("http://maps.google.com/maps?f=q&amp;hl=en&amp;geocode=&amp;q=27.5923739957102,-82.0520608812259")</f>
        <v>http://maps.google.com/maps?f=q&amp;hl=en&amp;geocode=&amp;q=27.5923739957102,-82.0520608812259</v>
      </c>
    </row>
    <row r="11917" spans="1:7" ht="15" x14ac:dyDescent="0.3">
      <c r="A11917">
        <v>36.1333308334736</v>
      </c>
      <c r="B11917">
        <v>-78.754532746799995</v>
      </c>
      <c r="C11917" t="s">
        <v>43</v>
      </c>
      <c r="D11917" t="s">
        <v>6690</v>
      </c>
      <c r="F11917" s="21"/>
      <c r="G11917" s="16" t="str">
        <f>HYPERLINK("http://maps.google.com/maps?f=q&amp;hl=en&amp;geocode=&amp;q=36.1333308334736,-78.7545327468")</f>
        <v>http://maps.google.com/maps?f=q&amp;hl=en&amp;geocode=&amp;q=36.1333308334736,-78.7545327468</v>
      </c>
    </row>
    <row r="11918" spans="1:7" ht="15" x14ac:dyDescent="0.3">
      <c r="A11918">
        <v>-33.032139999999998</v>
      </c>
      <c r="B11918">
        <v>137.56086999999999</v>
      </c>
      <c r="C11918" t="s">
        <v>41</v>
      </c>
      <c r="D11918" t="s">
        <v>6691</v>
      </c>
      <c r="F11918" s="21"/>
      <c r="G11918" s="16" t="str">
        <f>HYPERLINK("http://maps.google.com/maps?f=q&amp;hl=en&amp;geocode=&amp;q=-33.03214,137.56087")</f>
        <v>http://maps.google.com/maps?f=q&amp;hl=en&amp;geocode=&amp;q=-33.03214,137.56087</v>
      </c>
    </row>
    <row r="11919" spans="1:7" ht="15" x14ac:dyDescent="0.3">
      <c r="A11919">
        <v>42.147282961846102</v>
      </c>
      <c r="B11919">
        <v>-83.195985067140597</v>
      </c>
      <c r="C11919" t="s">
        <v>41</v>
      </c>
      <c r="D11919" t="s">
        <v>6692</v>
      </c>
      <c r="F11919" s="21"/>
      <c r="G11919" s="16" t="str">
        <f>HYPERLINK("http://maps.google.com/maps?f=q&amp;hl=en&amp;geocode=&amp;q=42.1472829618461,-83.1959850671406")</f>
        <v>http://maps.google.com/maps?f=q&amp;hl=en&amp;geocode=&amp;q=42.1472829618461,-83.1959850671406</v>
      </c>
    </row>
    <row r="11920" spans="1:7" ht="15" x14ac:dyDescent="0.3">
      <c r="A11920">
        <v>28.903870000000001</v>
      </c>
      <c r="B11920">
        <v>-81.216539999999995</v>
      </c>
      <c r="C11920" t="s">
        <v>43</v>
      </c>
      <c r="D11920" t="s">
        <v>6693</v>
      </c>
      <c r="F11920" s="21"/>
      <c r="G11920" s="16" t="str">
        <f>HYPERLINK("http://maps.google.com/maps?f=q&amp;hl=en&amp;geocode=&amp;q=28.90387,-81.21654")</f>
        <v>http://maps.google.com/maps?f=q&amp;hl=en&amp;geocode=&amp;q=28.90387,-81.21654</v>
      </c>
    </row>
    <row r="11921" spans="1:7" ht="15" x14ac:dyDescent="0.3">
      <c r="A11921">
        <v>32.175967068125701</v>
      </c>
      <c r="B11921">
        <v>-82.065170042003501</v>
      </c>
      <c r="C11921" t="s">
        <v>42</v>
      </c>
      <c r="D11921" t="s">
        <v>6694</v>
      </c>
      <c r="F11921" s="21"/>
      <c r="G11921" s="16" t="str">
        <f>HYPERLINK("http://maps.google.com/maps?f=q&amp;hl=en&amp;geocode=&amp;q=32.1759670681257,-82.0651700420035")</f>
        <v>http://maps.google.com/maps?f=q&amp;hl=en&amp;geocode=&amp;q=32.1759670681257,-82.0651700420035</v>
      </c>
    </row>
    <row r="11922" spans="1:7" ht="15" x14ac:dyDescent="0.3">
      <c r="A11922">
        <v>41.414909999999999</v>
      </c>
      <c r="B11922">
        <v>-91.071770000000001</v>
      </c>
      <c r="C11922" t="s">
        <v>42</v>
      </c>
      <c r="D11922" t="s">
        <v>6695</v>
      </c>
      <c r="F11922" s="21"/>
      <c r="G11922" s="16" t="str">
        <f>HYPERLINK("http://maps.google.com/maps?f=q&amp;hl=en&amp;geocode=&amp;q=41.41491,-91.07177")</f>
        <v>http://maps.google.com/maps?f=q&amp;hl=en&amp;geocode=&amp;q=41.41491,-91.07177</v>
      </c>
    </row>
    <row r="11923" spans="1:7" ht="15" x14ac:dyDescent="0.3">
      <c r="A11923" t="s">
        <v>44</v>
      </c>
      <c r="B11923" t="s">
        <v>44</v>
      </c>
      <c r="C11923" t="s">
        <v>44</v>
      </c>
      <c r="D11923" t="s">
        <v>3421</v>
      </c>
      <c r="F11923" s="21"/>
      <c r="G11923" s="16"/>
    </row>
    <row r="11924" spans="1:7" ht="15" x14ac:dyDescent="0.3">
      <c r="A11924">
        <v>38.243156204399803</v>
      </c>
      <c r="B11924">
        <v>-85.795668918311705</v>
      </c>
      <c r="C11924" t="s">
        <v>41</v>
      </c>
      <c r="D11924" t="s">
        <v>6696</v>
      </c>
      <c r="F11924" s="21"/>
      <c r="G11924" s="16" t="str">
        <f>HYPERLINK("http://maps.google.com/maps?f=q&amp;hl=en&amp;geocode=&amp;q=38.2431562043998,-85.7956689183117")</f>
        <v>http://maps.google.com/maps?f=q&amp;hl=en&amp;geocode=&amp;q=38.2431562043998,-85.7956689183117</v>
      </c>
    </row>
    <row r="11925" spans="1:7" ht="15" x14ac:dyDescent="0.3">
      <c r="A11925">
        <v>33.283636249734698</v>
      </c>
      <c r="B11925">
        <v>-90.196184637958496</v>
      </c>
      <c r="C11925" t="s">
        <v>41</v>
      </c>
      <c r="D11925" t="s">
        <v>6697</v>
      </c>
      <c r="F11925" s="21"/>
      <c r="G11925" s="16" t="str">
        <f>HYPERLINK("http://maps.google.com/maps?f=q&amp;hl=en&amp;geocode=&amp;q=33.2836362497347,-90.1961846379585")</f>
        <v>http://maps.google.com/maps?f=q&amp;hl=en&amp;geocode=&amp;q=33.2836362497347,-90.1961846379585</v>
      </c>
    </row>
    <row r="11926" spans="1:7" ht="15" x14ac:dyDescent="0.3">
      <c r="A11926">
        <v>49.509876251220703</v>
      </c>
      <c r="B11926">
        <v>5.9869351387023899</v>
      </c>
      <c r="C11926" t="s">
        <v>41</v>
      </c>
      <c r="D11926" t="s">
        <v>6698</v>
      </c>
      <c r="F11926" s="21"/>
      <c r="G11926" s="16" t="str">
        <f>HYPERLINK("http://maps.google.com/maps?f=q&amp;hl=en&amp;geocode=&amp;q=49.5098762512207,5.98693513870239")</f>
        <v>http://maps.google.com/maps?f=q&amp;hl=en&amp;geocode=&amp;q=49.5098762512207,5.98693513870239</v>
      </c>
    </row>
    <row r="11927" spans="1:7" ht="15" x14ac:dyDescent="0.3">
      <c r="A11927">
        <v>39.983739999999997</v>
      </c>
      <c r="B11927">
        <v>-75.172799999999995</v>
      </c>
      <c r="C11927" t="s">
        <v>41</v>
      </c>
      <c r="D11927" t="s">
        <v>6699</v>
      </c>
      <c r="F11927" s="21"/>
      <c r="G11927" s="16" t="str">
        <f>HYPERLINK("http://maps.google.com/maps?f=q&amp;hl=en&amp;geocode=&amp;q=39.98374,-75.1728")</f>
        <v>http://maps.google.com/maps?f=q&amp;hl=en&amp;geocode=&amp;q=39.98374,-75.1728</v>
      </c>
    </row>
    <row r="11928" spans="1:7" ht="15" x14ac:dyDescent="0.3">
      <c r="A11928">
        <v>47.202430725097699</v>
      </c>
      <c r="B11928">
        <v>19.835624694824201</v>
      </c>
      <c r="C11928" t="s">
        <v>43</v>
      </c>
      <c r="D11928" t="s">
        <v>6700</v>
      </c>
      <c r="F11928" s="21"/>
      <c r="G11928" s="16" t="str">
        <f>HYPERLINK("http://maps.google.com/maps?f=q&amp;hl=en&amp;geocode=&amp;q=47.2024307250977,19.8356246948242")</f>
        <v>http://maps.google.com/maps?f=q&amp;hl=en&amp;geocode=&amp;q=47.2024307250977,19.8356246948242</v>
      </c>
    </row>
    <row r="11929" spans="1:7" ht="15" x14ac:dyDescent="0.3">
      <c r="A11929">
        <v>-26.2943630218506</v>
      </c>
      <c r="B11929">
        <v>27.8033237457275</v>
      </c>
      <c r="C11929" t="s">
        <v>41</v>
      </c>
      <c r="D11929" t="s">
        <v>6701</v>
      </c>
      <c r="F11929" s="21"/>
      <c r="G11929" s="16" t="str">
        <f>HYPERLINK("http://maps.google.com/maps?f=q&amp;hl=en&amp;geocode=&amp;q=-26.2943630218506,27.8033237457275")</f>
        <v>http://maps.google.com/maps?f=q&amp;hl=en&amp;geocode=&amp;q=-26.2943630218506,27.8033237457275</v>
      </c>
    </row>
    <row r="11930" spans="1:7" ht="15" x14ac:dyDescent="0.3">
      <c r="A11930">
        <v>40.821416483221903</v>
      </c>
      <c r="B11930">
        <v>-81.420964746345604</v>
      </c>
      <c r="C11930" t="s">
        <v>41</v>
      </c>
      <c r="D11930" t="s">
        <v>6702</v>
      </c>
      <c r="F11930" s="21"/>
      <c r="G11930" s="16" t="str">
        <f>HYPERLINK("http://maps.google.com/maps?f=q&amp;hl=en&amp;geocode=&amp;q=40.8214164832219,-81.4209647463456")</f>
        <v>http://maps.google.com/maps?f=q&amp;hl=en&amp;geocode=&amp;q=40.8214164832219,-81.4209647463456</v>
      </c>
    </row>
    <row r="11931" spans="1:7" ht="15" x14ac:dyDescent="0.3">
      <c r="F11931" s="21"/>
      <c r="G11931" s="16"/>
    </row>
    <row r="11932" spans="1:7" ht="15" x14ac:dyDescent="0.3">
      <c r="A11932">
        <v>41.510819484024303</v>
      </c>
      <c r="B11932">
        <v>-78.227598509256197</v>
      </c>
      <c r="C11932" t="s">
        <v>41</v>
      </c>
      <c r="D11932" t="s">
        <v>4157</v>
      </c>
      <c r="F11932" s="21"/>
      <c r="G11932" s="16" t="str">
        <f>HYPERLINK("http://maps.google.com/maps?f=q&amp;hl=en&amp;geocode=&amp;q=41.5108194840243,-78.2275985092562")</f>
        <v>http://maps.google.com/maps?f=q&amp;hl=en&amp;geocode=&amp;q=41.5108194840243,-78.2275985092562</v>
      </c>
    </row>
    <row r="11933" spans="1:7" ht="15" x14ac:dyDescent="0.3">
      <c r="A11933" t="s">
        <v>44</v>
      </c>
      <c r="B11933" t="s">
        <v>44</v>
      </c>
      <c r="C11933" t="s">
        <v>44</v>
      </c>
      <c r="D11933" t="s">
        <v>6703</v>
      </c>
      <c r="F11933" s="21"/>
      <c r="G11933" s="16"/>
    </row>
    <row r="11934" spans="1:7" ht="15" x14ac:dyDescent="0.3">
      <c r="A11934" t="s">
        <v>44</v>
      </c>
      <c r="B11934" t="s">
        <v>44</v>
      </c>
      <c r="C11934" t="s">
        <v>44</v>
      </c>
      <c r="D11934" t="s">
        <v>6704</v>
      </c>
      <c r="F11934" s="21"/>
      <c r="G11934" s="16"/>
    </row>
    <row r="11935" spans="1:7" ht="15" x14ac:dyDescent="0.3">
      <c r="A11935">
        <v>35.243940000000002</v>
      </c>
      <c r="B11935">
        <v>-97.423190000000005</v>
      </c>
      <c r="C11935" t="s">
        <v>41</v>
      </c>
      <c r="D11935" t="s">
        <v>6313</v>
      </c>
      <c r="F11935" s="21"/>
      <c r="G11935" s="16" t="str">
        <f>HYPERLINK("http://maps.google.com/maps?f=q&amp;hl=en&amp;geocode=&amp;q=35.24394,-97.42319")</f>
        <v>http://maps.google.com/maps?f=q&amp;hl=en&amp;geocode=&amp;q=35.24394,-97.42319</v>
      </c>
    </row>
    <row r="11936" spans="1:7" ht="15" x14ac:dyDescent="0.3">
      <c r="A11936">
        <v>35.243940000000002</v>
      </c>
      <c r="B11936">
        <v>-97.423190000000005</v>
      </c>
      <c r="C11936" t="s">
        <v>41</v>
      </c>
      <c r="D11936" t="s">
        <v>6313</v>
      </c>
      <c r="F11936" s="21"/>
      <c r="G11936" s="16" t="str">
        <f>HYPERLINK("http://maps.google.com/maps?f=q&amp;hl=en&amp;geocode=&amp;q=35.24394,-97.42319")</f>
        <v>http://maps.google.com/maps?f=q&amp;hl=en&amp;geocode=&amp;q=35.24394,-97.42319</v>
      </c>
    </row>
    <row r="11937" spans="1:7" ht="15" x14ac:dyDescent="0.3">
      <c r="A11937">
        <v>39.94782</v>
      </c>
      <c r="B11937">
        <v>-75.178169999999994</v>
      </c>
      <c r="C11937" t="s">
        <v>43</v>
      </c>
      <c r="D11937" t="s">
        <v>6255</v>
      </c>
      <c r="F11937" s="21"/>
      <c r="G11937" s="16" t="str">
        <f>HYPERLINK("http://maps.google.com/maps?f=q&amp;hl=en&amp;geocode=&amp;q=39.94782,-75.17817")</f>
        <v>http://maps.google.com/maps?f=q&amp;hl=en&amp;geocode=&amp;q=39.94782,-75.17817</v>
      </c>
    </row>
    <row r="11938" spans="1:7" ht="15" x14ac:dyDescent="0.3">
      <c r="A11938">
        <v>40.576259999999998</v>
      </c>
      <c r="B11938">
        <v>-75.348519999999994</v>
      </c>
      <c r="C11938" t="s">
        <v>43</v>
      </c>
      <c r="D11938" t="s">
        <v>6223</v>
      </c>
      <c r="F11938" s="21"/>
      <c r="G11938" s="16" t="str">
        <f>HYPERLINK("http://maps.google.com/maps?f=q&amp;hl=en&amp;geocode=&amp;q=40.57626,-75.34852")</f>
        <v>http://maps.google.com/maps?f=q&amp;hl=en&amp;geocode=&amp;q=40.57626,-75.34852</v>
      </c>
    </row>
    <row r="11939" spans="1:7" ht="15" x14ac:dyDescent="0.3">
      <c r="A11939">
        <v>40.576259999999998</v>
      </c>
      <c r="B11939">
        <v>-75.348519999999994</v>
      </c>
      <c r="C11939" t="s">
        <v>43</v>
      </c>
      <c r="D11939" t="s">
        <v>6223</v>
      </c>
      <c r="F11939" s="21"/>
      <c r="G11939" s="16" t="str">
        <f>HYPERLINK("http://maps.google.com/maps?f=q&amp;hl=en&amp;geocode=&amp;q=40.57626,-75.34852")</f>
        <v>http://maps.google.com/maps?f=q&amp;hl=en&amp;geocode=&amp;q=40.57626,-75.34852</v>
      </c>
    </row>
    <row r="11940" spans="1:7" ht="15" x14ac:dyDescent="0.3">
      <c r="A11940">
        <v>39.947240000000001</v>
      </c>
      <c r="B11940">
        <v>-75.174689999999998</v>
      </c>
      <c r="C11940" t="s">
        <v>43</v>
      </c>
      <c r="D11940" t="s">
        <v>6228</v>
      </c>
      <c r="F11940" s="21"/>
      <c r="G11940" s="16" t="str">
        <f>HYPERLINK("http://maps.google.com/maps?f=q&amp;hl=en&amp;geocode=&amp;q=39.94724,-75.17469")</f>
        <v>http://maps.google.com/maps?f=q&amp;hl=en&amp;geocode=&amp;q=39.94724,-75.17469</v>
      </c>
    </row>
    <row r="11941" spans="1:7" ht="15" x14ac:dyDescent="0.3">
      <c r="A11941">
        <v>39.950069999999997</v>
      </c>
      <c r="B11941">
        <v>-75.168229999999994</v>
      </c>
      <c r="C11941" t="s">
        <v>41</v>
      </c>
      <c r="D11941" t="s">
        <v>6705</v>
      </c>
      <c r="F11941" s="21"/>
      <c r="G11941" s="16" t="str">
        <f>HYPERLINK("http://maps.google.com/maps?f=q&amp;hl=en&amp;geocode=&amp;q=39.95007,-75.16823")</f>
        <v>http://maps.google.com/maps?f=q&amp;hl=en&amp;geocode=&amp;q=39.95007,-75.16823</v>
      </c>
    </row>
    <row r="11942" spans="1:7" ht="15" x14ac:dyDescent="0.3">
      <c r="F11942" s="21"/>
      <c r="G11942" s="16"/>
    </row>
    <row r="11943" spans="1:7" ht="15" x14ac:dyDescent="0.3">
      <c r="A11943">
        <v>37.958919999999999</v>
      </c>
      <c r="B11943">
        <v>-97.88449</v>
      </c>
      <c r="C11943" t="s">
        <v>41</v>
      </c>
      <c r="D11943" t="s">
        <v>6706</v>
      </c>
      <c r="F11943" s="21"/>
      <c r="G11943" s="16" t="str">
        <f>HYPERLINK("http://maps.google.com/maps?f=q&amp;hl=en&amp;geocode=&amp;q=37.95892,-97.88449")</f>
        <v>http://maps.google.com/maps?f=q&amp;hl=en&amp;geocode=&amp;q=37.95892,-97.88449</v>
      </c>
    </row>
    <row r="11944" spans="1:7" ht="15" x14ac:dyDescent="0.3">
      <c r="A11944">
        <v>37.958919999999999</v>
      </c>
      <c r="B11944">
        <v>-97.88449</v>
      </c>
      <c r="C11944" t="s">
        <v>41</v>
      </c>
      <c r="D11944" t="s">
        <v>6706</v>
      </c>
      <c r="F11944" s="21"/>
      <c r="G11944" s="16" t="str">
        <f>HYPERLINK("http://maps.google.com/maps?f=q&amp;hl=en&amp;geocode=&amp;q=37.95892,-97.88449")</f>
        <v>http://maps.google.com/maps?f=q&amp;hl=en&amp;geocode=&amp;q=37.95892,-97.88449</v>
      </c>
    </row>
    <row r="11945" spans="1:7" ht="15" x14ac:dyDescent="0.3">
      <c r="A11945">
        <v>39.196866309622102</v>
      </c>
      <c r="B11945">
        <v>-76.843152876898003</v>
      </c>
      <c r="C11945" t="s">
        <v>41</v>
      </c>
      <c r="D11945" t="s">
        <v>2498</v>
      </c>
      <c r="F11945" s="21"/>
      <c r="G11945" s="16" t="str">
        <f>HYPERLINK("http://maps.google.com/maps?f=q&amp;hl=en&amp;geocode=&amp;q=39.1968663096221,-76.843152876898")</f>
        <v>http://maps.google.com/maps?f=q&amp;hl=en&amp;geocode=&amp;q=39.1968663096221,-76.843152876898</v>
      </c>
    </row>
    <row r="11946" spans="1:7" ht="15" x14ac:dyDescent="0.3">
      <c r="A11946" t="s">
        <v>44</v>
      </c>
      <c r="B11946" t="s">
        <v>44</v>
      </c>
      <c r="C11946" t="s">
        <v>44</v>
      </c>
      <c r="D11946" t="s">
        <v>6707</v>
      </c>
      <c r="F11946" s="21"/>
      <c r="G11946" s="16"/>
    </row>
    <row r="11947" spans="1:7" ht="15" x14ac:dyDescent="0.3">
      <c r="A11947">
        <v>-26.188575744628899</v>
      </c>
      <c r="B11947">
        <v>27.929327011108398</v>
      </c>
      <c r="C11947" t="s">
        <v>43</v>
      </c>
      <c r="D11947" t="s">
        <v>1221</v>
      </c>
      <c r="F11947" s="21"/>
      <c r="G11947" s="16" t="str">
        <f>HYPERLINK("http://maps.google.com/maps?f=q&amp;hl=en&amp;geocode=&amp;q=-26.1885757446289,27.9293270111084")</f>
        <v>http://maps.google.com/maps?f=q&amp;hl=en&amp;geocode=&amp;q=-26.1885757446289,27.9293270111084</v>
      </c>
    </row>
    <row r="11948" spans="1:7" ht="15" x14ac:dyDescent="0.3">
      <c r="A11948">
        <v>-26.188575744628899</v>
      </c>
      <c r="B11948">
        <v>27.929327011108398</v>
      </c>
      <c r="C11948" t="s">
        <v>43</v>
      </c>
      <c r="D11948" t="s">
        <v>6114</v>
      </c>
      <c r="F11948" s="21"/>
      <c r="G11948" s="16" t="str">
        <f>HYPERLINK("http://maps.google.com/maps?f=q&amp;hl=en&amp;geocode=&amp;q=-26.1885757446289,27.9293270111084")</f>
        <v>http://maps.google.com/maps?f=q&amp;hl=en&amp;geocode=&amp;q=-26.1885757446289,27.9293270111084</v>
      </c>
    </row>
    <row r="11949" spans="1:7" ht="15" x14ac:dyDescent="0.3">
      <c r="A11949">
        <v>28.903870000000001</v>
      </c>
      <c r="B11949">
        <v>-81.216539999999995</v>
      </c>
      <c r="C11949" t="s">
        <v>43</v>
      </c>
      <c r="D11949" t="s">
        <v>6693</v>
      </c>
      <c r="F11949" s="21"/>
      <c r="G11949" s="16" t="str">
        <f>HYPERLINK("http://maps.google.com/maps?f=q&amp;hl=en&amp;geocode=&amp;q=28.90387,-81.21654")</f>
        <v>http://maps.google.com/maps?f=q&amp;hl=en&amp;geocode=&amp;q=28.90387,-81.21654</v>
      </c>
    </row>
    <row r="11950" spans="1:7" ht="15" x14ac:dyDescent="0.3">
      <c r="F11950" s="21"/>
      <c r="G11950" s="16"/>
    </row>
    <row r="11951" spans="1:7" ht="15" x14ac:dyDescent="0.3">
      <c r="F11951" s="21"/>
      <c r="G11951" s="16"/>
    </row>
    <row r="11952" spans="1:7" ht="15" x14ac:dyDescent="0.3">
      <c r="A11952" t="s">
        <v>44</v>
      </c>
      <c r="B11952" t="s">
        <v>44</v>
      </c>
      <c r="C11952" t="s">
        <v>44</v>
      </c>
      <c r="D11952" t="s">
        <v>6708</v>
      </c>
      <c r="F11952" s="21"/>
      <c r="G11952" s="16"/>
    </row>
    <row r="11953" spans="1:7" ht="15" x14ac:dyDescent="0.3">
      <c r="A11953" t="s">
        <v>44</v>
      </c>
      <c r="B11953" t="s">
        <v>44</v>
      </c>
      <c r="C11953" t="s">
        <v>44</v>
      </c>
      <c r="D11953" t="s">
        <v>6708</v>
      </c>
      <c r="F11953" s="21"/>
      <c r="G11953" s="16"/>
    </row>
    <row r="11954" spans="1:7" ht="15" x14ac:dyDescent="0.3">
      <c r="A11954">
        <v>-29.928726196289102</v>
      </c>
      <c r="B11954">
        <v>150.56872558593801</v>
      </c>
      <c r="C11954" t="s">
        <v>43</v>
      </c>
      <c r="D11954" t="s">
        <v>6709</v>
      </c>
      <c r="F11954" s="21"/>
      <c r="G11954" s="16" t="str">
        <f>HYPERLINK("http://maps.google.com/maps?f=q&amp;hl=en&amp;geocode=&amp;q=-29.9287261962891,150.568725585938")</f>
        <v>http://maps.google.com/maps?f=q&amp;hl=en&amp;geocode=&amp;q=-29.9287261962891,150.568725585938</v>
      </c>
    </row>
    <row r="11955" spans="1:7" ht="15" x14ac:dyDescent="0.3">
      <c r="A11955">
        <v>-28.982864379882798</v>
      </c>
      <c r="B11955">
        <v>149.01808166503901</v>
      </c>
      <c r="C11955" t="s">
        <v>41</v>
      </c>
      <c r="D11955" t="s">
        <v>6710</v>
      </c>
      <c r="F11955" s="21"/>
      <c r="G11955" s="16" t="str">
        <f>HYPERLINK("http://maps.google.com/maps?f=q&amp;hl=en&amp;geocode=&amp;q=-28.9828643798828,149.018081665039")</f>
        <v>http://maps.google.com/maps?f=q&amp;hl=en&amp;geocode=&amp;q=-28.9828643798828,149.018081665039</v>
      </c>
    </row>
    <row r="11956" spans="1:7" ht="15" x14ac:dyDescent="0.3">
      <c r="A11956">
        <v>-26.034427642822301</v>
      </c>
      <c r="B11956">
        <v>28.5431098937988</v>
      </c>
      <c r="C11956" t="s">
        <v>43</v>
      </c>
      <c r="D11956" t="s">
        <v>1668</v>
      </c>
      <c r="F11956" s="21"/>
      <c r="G11956" s="16" t="str">
        <f>HYPERLINK("http://maps.google.com/maps?f=q&amp;hl=en&amp;geocode=&amp;q=-26.0344276428223,28.5431098937988")</f>
        <v>http://maps.google.com/maps?f=q&amp;hl=en&amp;geocode=&amp;q=-26.0344276428223,28.5431098937988</v>
      </c>
    </row>
    <row r="11957" spans="1:7" ht="15" x14ac:dyDescent="0.3">
      <c r="A11957">
        <v>-26.034427642822301</v>
      </c>
      <c r="B11957">
        <v>28.5431098937988</v>
      </c>
      <c r="C11957" t="s">
        <v>43</v>
      </c>
      <c r="D11957" t="s">
        <v>6711</v>
      </c>
      <c r="F11957" s="21"/>
      <c r="G11957" s="16" t="str">
        <f>HYPERLINK("http://maps.google.com/maps?f=q&amp;hl=en&amp;geocode=&amp;q=-26.0344276428223,28.5431098937988")</f>
        <v>http://maps.google.com/maps?f=q&amp;hl=en&amp;geocode=&amp;q=-26.0344276428223,28.5431098937988</v>
      </c>
    </row>
    <row r="11958" spans="1:7" ht="15" x14ac:dyDescent="0.3">
      <c r="A11958">
        <v>35.780697571294397</v>
      </c>
      <c r="B11958">
        <v>-81.763800742903001</v>
      </c>
      <c r="C11958" t="s">
        <v>41</v>
      </c>
      <c r="D11958" t="s">
        <v>4777</v>
      </c>
      <c r="F11958" s="21"/>
      <c r="G11958" s="16" t="str">
        <f>HYPERLINK("http://maps.google.com/maps?f=q&amp;hl=en&amp;geocode=&amp;q=35.7806975712944,-81.763800742903")</f>
        <v>http://maps.google.com/maps?f=q&amp;hl=en&amp;geocode=&amp;q=35.7806975712944,-81.763800742903</v>
      </c>
    </row>
    <row r="11959" spans="1:7" ht="15" x14ac:dyDescent="0.3">
      <c r="A11959">
        <v>45.147331237792997</v>
      </c>
      <c r="B11959">
        <v>-95.177482604980497</v>
      </c>
      <c r="C11959" t="s">
        <v>43</v>
      </c>
      <c r="D11959" t="s">
        <v>6712</v>
      </c>
      <c r="F11959" s="21"/>
      <c r="G11959" s="16" t="str">
        <f>HYPERLINK("http://maps.google.com/maps?f=q&amp;hl=en&amp;geocode=&amp;q=45.147331237793,-95.1774826049805")</f>
        <v>http://maps.google.com/maps?f=q&amp;hl=en&amp;geocode=&amp;q=45.147331237793,-95.1774826049805</v>
      </c>
    </row>
    <row r="11960" spans="1:7" ht="15" x14ac:dyDescent="0.3">
      <c r="A11960">
        <v>39.586313608420603</v>
      </c>
      <c r="B11960">
        <v>-87.462906614148494</v>
      </c>
      <c r="C11960" t="s">
        <v>41</v>
      </c>
      <c r="D11960" t="s">
        <v>6713</v>
      </c>
      <c r="F11960" s="21"/>
      <c r="G11960" s="16" t="str">
        <f>HYPERLINK("http://maps.google.com/maps?f=q&amp;hl=en&amp;geocode=&amp;q=39.5863136084206,-87.4629066141485")</f>
        <v>http://maps.google.com/maps?f=q&amp;hl=en&amp;geocode=&amp;q=39.5863136084206,-87.4629066141485</v>
      </c>
    </row>
    <row r="11961" spans="1:7" ht="15" x14ac:dyDescent="0.3">
      <c r="A11961">
        <v>18.481002807617202</v>
      </c>
      <c r="B11961">
        <v>120.65517425537099</v>
      </c>
      <c r="C11961" t="s">
        <v>43</v>
      </c>
      <c r="D11961" t="s">
        <v>4728</v>
      </c>
      <c r="F11961" s="21"/>
      <c r="G11961" s="16" t="str">
        <f>HYPERLINK("http://maps.google.com/maps?f=q&amp;hl=en&amp;geocode=&amp;q=18.4810028076172,120.655174255371")</f>
        <v>http://maps.google.com/maps?f=q&amp;hl=en&amp;geocode=&amp;q=18.4810028076172,120.655174255371</v>
      </c>
    </row>
    <row r="11962" spans="1:7" ht="15" x14ac:dyDescent="0.3">
      <c r="A11962">
        <v>-27.751750946044901</v>
      </c>
      <c r="B11962">
        <v>29.966011047363299</v>
      </c>
      <c r="C11962" t="s">
        <v>43</v>
      </c>
      <c r="D11962" t="s">
        <v>4733</v>
      </c>
      <c r="F11962" s="21"/>
      <c r="G11962" s="16" t="str">
        <f>HYPERLINK("http://maps.google.com/maps?f=q&amp;hl=en&amp;geocode=&amp;q=-27.7517509460449,29.9660110473633")</f>
        <v>http://maps.google.com/maps?f=q&amp;hl=en&amp;geocode=&amp;q=-27.7517509460449,29.9660110473633</v>
      </c>
    </row>
    <row r="11963" spans="1:7" ht="15" x14ac:dyDescent="0.3">
      <c r="A11963">
        <v>39.156637618296799</v>
      </c>
      <c r="B11963">
        <v>-84.462920962186999</v>
      </c>
      <c r="C11963" t="s">
        <v>41</v>
      </c>
      <c r="D11963" t="s">
        <v>5879</v>
      </c>
      <c r="F11963" s="21"/>
      <c r="G11963" s="16" t="str">
        <f>HYPERLINK("http://maps.google.com/maps?f=q&amp;hl=en&amp;geocode=&amp;q=39.1566376182968,-84.462920962187")</f>
        <v>http://maps.google.com/maps?f=q&amp;hl=en&amp;geocode=&amp;q=39.1566376182968,-84.462920962187</v>
      </c>
    </row>
    <row r="11964" spans="1:7" ht="15" x14ac:dyDescent="0.3">
      <c r="A11964">
        <v>-40.629356384277301</v>
      </c>
      <c r="B11964">
        <v>175.28225708007801</v>
      </c>
      <c r="C11964" t="s">
        <v>41</v>
      </c>
      <c r="D11964" t="s">
        <v>6714</v>
      </c>
      <c r="F11964" s="21"/>
      <c r="G11964" s="16" t="str">
        <f>HYPERLINK("http://maps.google.com/maps?f=q&amp;hl=en&amp;geocode=&amp;q=-40.6293563842773,175.282257080078")</f>
        <v>http://maps.google.com/maps?f=q&amp;hl=en&amp;geocode=&amp;q=-40.6293563842773,175.282257080078</v>
      </c>
    </row>
    <row r="11965" spans="1:7" ht="15" x14ac:dyDescent="0.3">
      <c r="A11965">
        <v>47.055850982666001</v>
      </c>
      <c r="B11965">
        <v>6.7508301734924299</v>
      </c>
      <c r="C11965" t="s">
        <v>43</v>
      </c>
      <c r="D11965" t="s">
        <v>5793</v>
      </c>
      <c r="F11965" s="21"/>
      <c r="G11965" s="16" t="str">
        <f>HYPERLINK("http://maps.google.com/maps?f=q&amp;hl=en&amp;geocode=&amp;q=47.055850982666,6.75083017349243")</f>
        <v>http://maps.google.com/maps?f=q&amp;hl=en&amp;geocode=&amp;q=47.055850982666,6.75083017349243</v>
      </c>
    </row>
    <row r="11966" spans="1:7" ht="15" x14ac:dyDescent="0.3">
      <c r="A11966">
        <v>2.6329998970031698</v>
      </c>
      <c r="B11966">
        <v>36.599998474121101</v>
      </c>
      <c r="C11966" t="s">
        <v>43</v>
      </c>
      <c r="D11966" t="s">
        <v>6715</v>
      </c>
      <c r="F11966" s="21"/>
      <c r="G11966" s="16" t="str">
        <f>HYPERLINK("http://maps.google.com/maps?f=q&amp;hl=en&amp;geocode=&amp;q=2.63299989700317,36.5999984741211")</f>
        <v>http://maps.google.com/maps?f=q&amp;hl=en&amp;geocode=&amp;q=2.63299989700317,36.5999984741211</v>
      </c>
    </row>
    <row r="11967" spans="1:7" ht="15" x14ac:dyDescent="0.3">
      <c r="A11967">
        <v>31.260744001147799</v>
      </c>
      <c r="B11967">
        <v>-90.438285458838806</v>
      </c>
      <c r="C11967" t="s">
        <v>41</v>
      </c>
      <c r="D11967" t="s">
        <v>6136</v>
      </c>
      <c r="F11967" s="21"/>
      <c r="G11967" s="16" t="str">
        <f>HYPERLINK("http://maps.google.com/maps?f=q&amp;hl=en&amp;geocode=&amp;q=31.2607440011478,-90.4382854588388")</f>
        <v>http://maps.google.com/maps?f=q&amp;hl=en&amp;geocode=&amp;q=31.2607440011478,-90.4382854588388</v>
      </c>
    </row>
    <row r="11968" spans="1:7" ht="15" x14ac:dyDescent="0.3">
      <c r="A11968">
        <v>35.243940000000002</v>
      </c>
      <c r="B11968">
        <v>-97.423190000000005</v>
      </c>
      <c r="C11968" t="s">
        <v>41</v>
      </c>
      <c r="D11968" t="s">
        <v>6313</v>
      </c>
      <c r="F11968" s="21"/>
      <c r="G11968" s="16" t="str">
        <f>HYPERLINK("http://maps.google.com/maps?f=q&amp;hl=en&amp;geocode=&amp;q=35.24394,-97.42319")</f>
        <v>http://maps.google.com/maps?f=q&amp;hl=en&amp;geocode=&amp;q=35.24394,-97.42319</v>
      </c>
    </row>
    <row r="11969" spans="1:7" ht="15" x14ac:dyDescent="0.3">
      <c r="A11969">
        <v>31.531155312387</v>
      </c>
      <c r="B11969">
        <v>-81.364527751547399</v>
      </c>
      <c r="C11969" t="s">
        <v>41</v>
      </c>
      <c r="D11969" t="s">
        <v>6271</v>
      </c>
      <c r="F11969" s="21"/>
      <c r="G11969" s="16" t="str">
        <f>HYPERLINK("http://maps.google.com/maps?f=q&amp;hl=en&amp;geocode=&amp;q=31.531155312387,-81.3645277515474")</f>
        <v>http://maps.google.com/maps?f=q&amp;hl=en&amp;geocode=&amp;q=31.531155312387,-81.3645277515474</v>
      </c>
    </row>
    <row r="11970" spans="1:7" ht="15" x14ac:dyDescent="0.3">
      <c r="A11970">
        <v>39.947240000000001</v>
      </c>
      <c r="B11970">
        <v>-75.174689999999998</v>
      </c>
      <c r="C11970" t="s">
        <v>43</v>
      </c>
      <c r="D11970" t="s">
        <v>6228</v>
      </c>
      <c r="F11970" s="21"/>
      <c r="G11970" s="16" t="str">
        <f>HYPERLINK("http://maps.google.com/maps?f=q&amp;hl=en&amp;geocode=&amp;q=39.94724,-75.17469")</f>
        <v>http://maps.google.com/maps?f=q&amp;hl=en&amp;geocode=&amp;q=39.94724,-75.17469</v>
      </c>
    </row>
    <row r="11971" spans="1:7" ht="15" x14ac:dyDescent="0.3">
      <c r="A11971">
        <v>39.947240000000001</v>
      </c>
      <c r="B11971">
        <v>-75.174689999999998</v>
      </c>
      <c r="C11971" t="s">
        <v>43</v>
      </c>
      <c r="D11971" t="s">
        <v>6228</v>
      </c>
      <c r="F11971" s="21"/>
      <c r="G11971" s="16" t="str">
        <f>HYPERLINK("http://maps.google.com/maps?f=q&amp;hl=en&amp;geocode=&amp;q=39.94724,-75.17469")</f>
        <v>http://maps.google.com/maps?f=q&amp;hl=en&amp;geocode=&amp;q=39.94724,-75.17469</v>
      </c>
    </row>
    <row r="11972" spans="1:7" ht="15" x14ac:dyDescent="0.3">
      <c r="A11972">
        <v>-29.641719999999999</v>
      </c>
      <c r="B11972">
        <v>30.410029999999999</v>
      </c>
      <c r="C11972" t="s">
        <v>41</v>
      </c>
      <c r="D11972" t="s">
        <v>6716</v>
      </c>
      <c r="F11972" s="21"/>
      <c r="G11972" s="16" t="str">
        <f>HYPERLINK("http://maps.google.com/maps?f=q&amp;hl=en&amp;geocode=&amp;q=-29.64172,30.41003")</f>
        <v>http://maps.google.com/maps?f=q&amp;hl=en&amp;geocode=&amp;q=-29.64172,30.41003</v>
      </c>
    </row>
    <row r="11973" spans="1:7" ht="15" x14ac:dyDescent="0.3">
      <c r="A11973">
        <v>39.94782</v>
      </c>
      <c r="B11973">
        <v>-75.178169999999994</v>
      </c>
      <c r="C11973" t="s">
        <v>43</v>
      </c>
      <c r="D11973" t="s">
        <v>6255</v>
      </c>
      <c r="F11973" s="21"/>
      <c r="G11973" s="16" t="str">
        <f>HYPERLINK("http://maps.google.com/maps?f=q&amp;hl=en&amp;geocode=&amp;q=39.94782,-75.17817")</f>
        <v>http://maps.google.com/maps?f=q&amp;hl=en&amp;geocode=&amp;q=39.94782,-75.17817</v>
      </c>
    </row>
    <row r="11974" spans="1:7" ht="15" x14ac:dyDescent="0.3">
      <c r="A11974">
        <v>39.948790000000002</v>
      </c>
      <c r="B11974">
        <v>-75.178139999999999</v>
      </c>
      <c r="C11974" t="s">
        <v>41</v>
      </c>
      <c r="D11974" t="s">
        <v>6717</v>
      </c>
      <c r="F11974" s="21"/>
      <c r="G11974" s="16" t="str">
        <f>HYPERLINK("http://maps.google.com/maps?f=q&amp;hl=en&amp;geocode=&amp;q=39.94879,-75.17814")</f>
        <v>http://maps.google.com/maps?f=q&amp;hl=en&amp;geocode=&amp;q=39.94879,-75.17814</v>
      </c>
    </row>
    <row r="11975" spans="1:7" ht="15" x14ac:dyDescent="0.3">
      <c r="A11975">
        <v>39.9518766952758</v>
      </c>
      <c r="B11975">
        <v>-75.168855805924906</v>
      </c>
      <c r="C11975" t="s">
        <v>41</v>
      </c>
      <c r="D11975" t="s">
        <v>6431</v>
      </c>
      <c r="F11975" s="21"/>
      <c r="G11975" s="16" t="str">
        <f>HYPERLINK("http://maps.google.com/maps?f=q&amp;hl=en&amp;geocode=&amp;q=39.9518766952758,-75.1688558059249")</f>
        <v>http://maps.google.com/maps?f=q&amp;hl=en&amp;geocode=&amp;q=39.9518766952758,-75.1688558059249</v>
      </c>
    </row>
    <row r="11976" spans="1:7" ht="15" x14ac:dyDescent="0.3">
      <c r="A11976">
        <v>44.932079999999999</v>
      </c>
      <c r="B11976">
        <v>-93.216939999999994</v>
      </c>
      <c r="C11976" t="s">
        <v>41</v>
      </c>
      <c r="D11976" t="s">
        <v>6718</v>
      </c>
      <c r="F11976" s="21"/>
      <c r="G11976" s="16" t="str">
        <f>HYPERLINK("http://maps.google.com/maps?f=q&amp;hl=en&amp;geocode=&amp;q=44.93208,-93.21694")</f>
        <v>http://maps.google.com/maps?f=q&amp;hl=en&amp;geocode=&amp;q=44.93208,-93.21694</v>
      </c>
    </row>
    <row r="11977" spans="1:7" ht="15" x14ac:dyDescent="0.3">
      <c r="A11977">
        <v>2.6329998970031698</v>
      </c>
      <c r="B11977">
        <v>36.599998474121101</v>
      </c>
      <c r="C11977" t="s">
        <v>43</v>
      </c>
      <c r="D11977" t="s">
        <v>6715</v>
      </c>
      <c r="F11977" s="21"/>
      <c r="G11977" s="16" t="str">
        <f>HYPERLINK("http://maps.google.com/maps?f=q&amp;hl=en&amp;geocode=&amp;q=2.63299989700317,36.5999984741211")</f>
        <v>http://maps.google.com/maps?f=q&amp;hl=en&amp;geocode=&amp;q=2.63299989700317,36.5999984741211</v>
      </c>
    </row>
    <row r="11978" spans="1:7" ht="15" x14ac:dyDescent="0.3">
      <c r="A11978">
        <v>39.564174966036902</v>
      </c>
      <c r="B11978">
        <v>-90.141628348231606</v>
      </c>
      <c r="C11978" t="s">
        <v>41</v>
      </c>
      <c r="D11978" t="s">
        <v>6719</v>
      </c>
      <c r="F11978" s="21"/>
      <c r="G11978" s="16" t="str">
        <f>HYPERLINK("http://maps.google.com/maps?f=q&amp;hl=en&amp;geocode=&amp;q=39.5641749660369,-90.1416283482316")</f>
        <v>http://maps.google.com/maps?f=q&amp;hl=en&amp;geocode=&amp;q=39.5641749660369,-90.1416283482316</v>
      </c>
    </row>
    <row r="11979" spans="1:7" ht="15" x14ac:dyDescent="0.3">
      <c r="A11979">
        <v>-34.1000785827637</v>
      </c>
      <c r="B11979">
        <v>18.37912940979</v>
      </c>
      <c r="C11979" t="s">
        <v>43</v>
      </c>
      <c r="D11979" t="s">
        <v>6720</v>
      </c>
      <c r="F11979" s="21"/>
      <c r="G11979" s="16" t="str">
        <f>HYPERLINK("http://maps.google.com/maps?f=q&amp;hl=en&amp;geocode=&amp;q=-34.1000785827637,18.37912940979")</f>
        <v>http://maps.google.com/maps?f=q&amp;hl=en&amp;geocode=&amp;q=-34.1000785827637,18.37912940979</v>
      </c>
    </row>
    <row r="11980" spans="1:7" ht="15" x14ac:dyDescent="0.3">
      <c r="A11980">
        <v>41.159531360286103</v>
      </c>
      <c r="B11980">
        <v>-111.815565365174</v>
      </c>
      <c r="C11980" t="s">
        <v>41</v>
      </c>
      <c r="D11980" t="s">
        <v>6721</v>
      </c>
      <c r="F11980" s="21"/>
      <c r="G11980" s="16" t="str">
        <f>HYPERLINK("http://maps.google.com/maps?f=q&amp;hl=en&amp;geocode=&amp;q=41.1595313602861,-111.815565365174")</f>
        <v>http://maps.google.com/maps?f=q&amp;hl=en&amp;geocode=&amp;q=41.1595313602861,-111.815565365174</v>
      </c>
    </row>
    <row r="11981" spans="1:7" ht="15" x14ac:dyDescent="0.3">
      <c r="A11981">
        <v>39.403060000000004</v>
      </c>
      <c r="B11981">
        <v>-83.982119999999995</v>
      </c>
      <c r="C11981" t="s">
        <v>43</v>
      </c>
      <c r="D11981" t="s">
        <v>3129</v>
      </c>
      <c r="F11981" s="21"/>
      <c r="G11981" s="16" t="str">
        <f>HYPERLINK("http://maps.google.com/maps?f=q&amp;hl=en&amp;geocode=&amp;q=39.40306,-83.98212")</f>
        <v>http://maps.google.com/maps?f=q&amp;hl=en&amp;geocode=&amp;q=39.40306,-83.98212</v>
      </c>
    </row>
    <row r="11982" spans="1:7" ht="15" x14ac:dyDescent="0.3">
      <c r="A11982">
        <v>39.040599822997997</v>
      </c>
      <c r="B11982">
        <v>-120.63067626953099</v>
      </c>
      <c r="C11982" t="s">
        <v>43</v>
      </c>
      <c r="D11982" t="s">
        <v>3011</v>
      </c>
      <c r="F11982" s="21"/>
      <c r="G11982" s="16" t="str">
        <f>HYPERLINK("http://maps.google.com/maps?f=q&amp;hl=en&amp;geocode=&amp;q=39.040599822998,-120.630676269531")</f>
        <v>http://maps.google.com/maps?f=q&amp;hl=en&amp;geocode=&amp;q=39.040599822998,-120.630676269531</v>
      </c>
    </row>
    <row r="11983" spans="1:7" ht="15" x14ac:dyDescent="0.3">
      <c r="A11983">
        <v>41.347937467375601</v>
      </c>
      <c r="B11983">
        <v>-88.856531422351907</v>
      </c>
      <c r="C11983" t="s">
        <v>41</v>
      </c>
      <c r="D11983" t="s">
        <v>4168</v>
      </c>
      <c r="F11983" s="21"/>
      <c r="G11983" s="16" t="str">
        <f>HYPERLINK("http://maps.google.com/maps?f=q&amp;hl=en&amp;geocode=&amp;q=41.3479374673756,-88.8565314223519")</f>
        <v>http://maps.google.com/maps?f=q&amp;hl=en&amp;geocode=&amp;q=41.3479374673756,-88.8565314223519</v>
      </c>
    </row>
    <row r="11984" spans="1:7" ht="15" x14ac:dyDescent="0.3">
      <c r="A11984">
        <v>-28.197673797607401</v>
      </c>
      <c r="B11984">
        <v>153.40287780761699</v>
      </c>
      <c r="C11984" t="s">
        <v>41</v>
      </c>
      <c r="D11984" t="s">
        <v>6722</v>
      </c>
      <c r="F11984" s="21"/>
      <c r="G11984" s="16" t="str">
        <f>HYPERLINK("http://maps.google.com/maps?f=q&amp;hl=en&amp;geocode=&amp;q=-28.1976737976074,153.402877807617")</f>
        <v>http://maps.google.com/maps?f=q&amp;hl=en&amp;geocode=&amp;q=-28.1976737976074,153.402877807617</v>
      </c>
    </row>
    <row r="11985" spans="1:7" ht="15" x14ac:dyDescent="0.3">
      <c r="A11985">
        <v>43.2552302532726</v>
      </c>
      <c r="B11985">
        <v>-73.76374217787</v>
      </c>
      <c r="C11985" t="s">
        <v>41</v>
      </c>
      <c r="D11985" t="s">
        <v>6723</v>
      </c>
      <c r="F11985" s="21"/>
      <c r="G11985" s="16" t="str">
        <f>HYPERLINK("http://maps.google.com/maps?f=q&amp;hl=en&amp;geocode=&amp;q=43.2552302532726,-73.76374217787")</f>
        <v>http://maps.google.com/maps?f=q&amp;hl=en&amp;geocode=&amp;q=43.2552302532726,-73.76374217787</v>
      </c>
    </row>
    <row r="11986" spans="1:7" ht="15" x14ac:dyDescent="0.3">
      <c r="A11986">
        <v>40.4155082702637</v>
      </c>
      <c r="B11986">
        <v>-76.779289245605497</v>
      </c>
      <c r="C11986" t="s">
        <v>43</v>
      </c>
      <c r="D11986" t="s">
        <v>6724</v>
      </c>
      <c r="F11986" s="21"/>
      <c r="G11986" s="16" t="str">
        <f>HYPERLINK("http://maps.google.com/maps?f=q&amp;hl=en&amp;geocode=&amp;q=40.4155082702637,-76.7792892456055")</f>
        <v>http://maps.google.com/maps?f=q&amp;hl=en&amp;geocode=&amp;q=40.4155082702637,-76.7792892456055</v>
      </c>
    </row>
    <row r="11987" spans="1:7" ht="15" x14ac:dyDescent="0.3">
      <c r="A11987">
        <v>39.989719999999998</v>
      </c>
      <c r="B11987">
        <v>-75.115030000000004</v>
      </c>
      <c r="C11987" t="s">
        <v>41</v>
      </c>
      <c r="D11987" t="s">
        <v>6725</v>
      </c>
      <c r="F11987" s="21"/>
      <c r="G11987" s="16" t="str">
        <f>HYPERLINK("http://maps.google.com/maps?f=q&amp;hl=en&amp;geocode=&amp;q=39.98972,-75.11503")</f>
        <v>http://maps.google.com/maps?f=q&amp;hl=en&amp;geocode=&amp;q=39.98972,-75.11503</v>
      </c>
    </row>
    <row r="11988" spans="1:7" ht="15" x14ac:dyDescent="0.3">
      <c r="A11988">
        <v>43.177228912291604</v>
      </c>
      <c r="B11988">
        <v>-89.504892368249699</v>
      </c>
      <c r="C11988" t="s">
        <v>41</v>
      </c>
      <c r="D11988" t="s">
        <v>6678</v>
      </c>
      <c r="F11988" s="21"/>
      <c r="G11988" s="16" t="str">
        <f>HYPERLINK("http://maps.google.com/maps?f=q&amp;hl=en&amp;geocode=&amp;q=43.1772289122916,-89.5048923682497")</f>
        <v>http://maps.google.com/maps?f=q&amp;hl=en&amp;geocode=&amp;q=43.1772289122916,-89.5048923682497</v>
      </c>
    </row>
    <row r="11989" spans="1:7" ht="15" x14ac:dyDescent="0.3">
      <c r="A11989">
        <v>39.844385147392998</v>
      </c>
      <c r="B11989">
        <v>-77.606395692691294</v>
      </c>
      <c r="C11989" t="s">
        <v>41</v>
      </c>
      <c r="D11989" t="s">
        <v>3965</v>
      </c>
      <c r="F11989" s="21"/>
      <c r="G11989" s="16" t="str">
        <f>HYPERLINK("http://maps.google.com/maps?f=q&amp;hl=en&amp;geocode=&amp;q=39.844385147393,-77.6063956926913")</f>
        <v>http://maps.google.com/maps?f=q&amp;hl=en&amp;geocode=&amp;q=39.844385147393,-77.6063956926913</v>
      </c>
    </row>
    <row r="11990" spans="1:7" ht="15" x14ac:dyDescent="0.3">
      <c r="A11990">
        <v>38.112580000000001</v>
      </c>
      <c r="B11990">
        <v>-122.59246</v>
      </c>
      <c r="C11990" t="s">
        <v>42</v>
      </c>
      <c r="D11990" t="s">
        <v>6293</v>
      </c>
      <c r="F11990" s="21"/>
      <c r="G11990" s="16" t="str">
        <f>HYPERLINK("http://maps.google.com/maps?f=q&amp;hl=en&amp;geocode=&amp;q=38.11258,-122.59246")</f>
        <v>http://maps.google.com/maps?f=q&amp;hl=en&amp;geocode=&amp;q=38.11258,-122.59246</v>
      </c>
    </row>
    <row r="11991" spans="1:7" ht="15" x14ac:dyDescent="0.3">
      <c r="A11991">
        <v>39.150398254394503</v>
      </c>
      <c r="B11991">
        <v>-77.068092346191406</v>
      </c>
      <c r="C11991" t="s">
        <v>43</v>
      </c>
      <c r="D11991" t="s">
        <v>6726</v>
      </c>
      <c r="F11991" s="21"/>
      <c r="G11991" s="16" t="str">
        <f>HYPERLINK("http://maps.google.com/maps?f=q&amp;hl=en&amp;geocode=&amp;q=39.1503982543945,-77.0680923461914")</f>
        <v>http://maps.google.com/maps?f=q&amp;hl=en&amp;geocode=&amp;q=39.1503982543945,-77.0680923461914</v>
      </c>
    </row>
    <row r="11992" spans="1:7" ht="15" x14ac:dyDescent="0.3">
      <c r="A11992">
        <v>41.532580000000003</v>
      </c>
      <c r="B11992">
        <v>-88.115849999999995</v>
      </c>
      <c r="C11992" t="s">
        <v>41</v>
      </c>
      <c r="D11992" t="s">
        <v>6727</v>
      </c>
      <c r="F11992" s="21"/>
      <c r="G11992" s="16" t="str">
        <f>HYPERLINK("http://maps.google.com/maps?f=q&amp;hl=en&amp;geocode=&amp;q=41.53258,-88.11585")</f>
        <v>http://maps.google.com/maps?f=q&amp;hl=en&amp;geocode=&amp;q=41.53258,-88.11585</v>
      </c>
    </row>
    <row r="11993" spans="1:7" ht="15" x14ac:dyDescent="0.3">
      <c r="A11993">
        <v>49.5293998718262</v>
      </c>
      <c r="B11993">
        <v>5.9881248474121103</v>
      </c>
      <c r="C11993" t="s">
        <v>41</v>
      </c>
      <c r="D11993" t="s">
        <v>6728</v>
      </c>
      <c r="F11993" s="21"/>
      <c r="G11993" s="16" t="str">
        <f>HYPERLINK("http://maps.google.com/maps?f=q&amp;hl=en&amp;geocode=&amp;q=49.5293998718262,5.98812484741211")</f>
        <v>http://maps.google.com/maps?f=q&amp;hl=en&amp;geocode=&amp;q=49.5293998718262,5.98812484741211</v>
      </c>
    </row>
    <row r="11994" spans="1:7" ht="15" x14ac:dyDescent="0.3">
      <c r="A11994">
        <v>40.576259999999998</v>
      </c>
      <c r="B11994">
        <v>-75.348519999999994</v>
      </c>
      <c r="C11994" t="s">
        <v>43</v>
      </c>
      <c r="D11994" t="s">
        <v>6223</v>
      </c>
      <c r="F11994" s="21"/>
      <c r="G11994" s="16" t="str">
        <f>HYPERLINK("http://maps.google.com/maps?f=q&amp;hl=en&amp;geocode=&amp;q=40.57626,-75.34852")</f>
        <v>http://maps.google.com/maps?f=q&amp;hl=en&amp;geocode=&amp;q=40.57626,-75.34852</v>
      </c>
    </row>
    <row r="11995" spans="1:7" ht="15" x14ac:dyDescent="0.3">
      <c r="A11995">
        <v>39.947240000000001</v>
      </c>
      <c r="B11995">
        <v>-75.174689999999998</v>
      </c>
      <c r="C11995" t="s">
        <v>43</v>
      </c>
      <c r="D11995" t="s">
        <v>6228</v>
      </c>
      <c r="F11995" s="21"/>
      <c r="G11995" s="16" t="str">
        <f>HYPERLINK("http://maps.google.com/maps?f=q&amp;hl=en&amp;geocode=&amp;q=39.94724,-75.17469")</f>
        <v>http://maps.google.com/maps?f=q&amp;hl=en&amp;geocode=&amp;q=39.94724,-75.17469</v>
      </c>
    </row>
    <row r="11996" spans="1:7" ht="15" x14ac:dyDescent="0.3">
      <c r="A11996">
        <v>35.243940000000002</v>
      </c>
      <c r="B11996">
        <v>-97.423190000000005</v>
      </c>
      <c r="C11996" t="s">
        <v>41</v>
      </c>
      <c r="D11996" t="s">
        <v>6313</v>
      </c>
      <c r="F11996" s="21"/>
      <c r="G11996" s="16" t="str">
        <f>HYPERLINK("http://maps.google.com/maps?f=q&amp;hl=en&amp;geocode=&amp;q=35.24394,-97.42319")</f>
        <v>http://maps.google.com/maps?f=q&amp;hl=en&amp;geocode=&amp;q=35.24394,-97.42319</v>
      </c>
    </row>
    <row r="11997" spans="1:7" ht="15" x14ac:dyDescent="0.3">
      <c r="A11997">
        <v>39.94782</v>
      </c>
      <c r="B11997">
        <v>-75.178169999999994</v>
      </c>
      <c r="C11997" t="s">
        <v>43</v>
      </c>
      <c r="D11997" t="s">
        <v>6255</v>
      </c>
      <c r="F11997" s="21"/>
      <c r="G11997" s="16" t="str">
        <f>HYPERLINK("http://maps.google.com/maps?f=q&amp;hl=en&amp;geocode=&amp;q=39.94782,-75.17817")</f>
        <v>http://maps.google.com/maps?f=q&amp;hl=en&amp;geocode=&amp;q=39.94782,-75.17817</v>
      </c>
    </row>
    <row r="11998" spans="1:7" ht="15" x14ac:dyDescent="0.3">
      <c r="A11998">
        <v>25.035648345947301</v>
      </c>
      <c r="B11998">
        <v>-77.395126342773395</v>
      </c>
      <c r="C11998" t="s">
        <v>41</v>
      </c>
      <c r="D11998" t="s">
        <v>6729</v>
      </c>
      <c r="F11998" s="21"/>
      <c r="G11998" s="16" t="str">
        <f>HYPERLINK("http://maps.google.com/maps?f=q&amp;hl=en&amp;geocode=&amp;q=25.0356483459473,-77.3951263427734")</f>
        <v>http://maps.google.com/maps?f=q&amp;hl=en&amp;geocode=&amp;q=25.0356483459473,-77.3951263427734</v>
      </c>
    </row>
    <row r="11999" spans="1:7" ht="15" x14ac:dyDescent="0.3">
      <c r="A11999">
        <v>38.894443546081703</v>
      </c>
      <c r="B11999">
        <v>-84.234017721432707</v>
      </c>
      <c r="C11999" t="s">
        <v>41</v>
      </c>
      <c r="D11999" t="s">
        <v>6730</v>
      </c>
      <c r="F11999" s="21"/>
      <c r="G11999" s="16" t="str">
        <f>HYPERLINK("http://maps.google.com/maps?f=q&amp;hl=en&amp;geocode=&amp;q=38.8944435460817,-84.2340177214327")</f>
        <v>http://maps.google.com/maps?f=q&amp;hl=en&amp;geocode=&amp;q=38.8944435460817,-84.2340177214327</v>
      </c>
    </row>
    <row r="12000" spans="1:7" ht="15" x14ac:dyDescent="0.3">
      <c r="A12000">
        <v>28.011420000000001</v>
      </c>
      <c r="B12000">
        <v>-82.149090000000001</v>
      </c>
      <c r="C12000" t="s">
        <v>42</v>
      </c>
      <c r="D12000" t="s">
        <v>6220</v>
      </c>
      <c r="F12000" s="21"/>
      <c r="G12000" s="16" t="str">
        <f>HYPERLINK("http://maps.google.com/maps?f=q&amp;hl=en&amp;geocode=&amp;q=28.01142,-82.14909")</f>
        <v>http://maps.google.com/maps?f=q&amp;hl=en&amp;geocode=&amp;q=28.01142,-82.14909</v>
      </c>
    </row>
    <row r="12001" spans="1:7" ht="15" x14ac:dyDescent="0.3">
      <c r="A12001">
        <v>39.947240000000001</v>
      </c>
      <c r="B12001">
        <v>-75.174689999999998</v>
      </c>
      <c r="C12001" t="s">
        <v>43</v>
      </c>
      <c r="D12001" t="s">
        <v>6228</v>
      </c>
      <c r="F12001" s="21"/>
      <c r="G12001" s="16" t="str">
        <f>HYPERLINK("http://maps.google.com/maps?f=q&amp;hl=en&amp;geocode=&amp;q=39.94724,-75.17469")</f>
        <v>http://maps.google.com/maps?f=q&amp;hl=en&amp;geocode=&amp;q=39.94724,-75.17469</v>
      </c>
    </row>
    <row r="12002" spans="1:7" ht="15" x14ac:dyDescent="0.3">
      <c r="A12002">
        <v>39.947240000000001</v>
      </c>
      <c r="B12002">
        <v>-75.174689999999998</v>
      </c>
      <c r="C12002" t="s">
        <v>43</v>
      </c>
      <c r="D12002" t="s">
        <v>6228</v>
      </c>
      <c r="F12002" s="21"/>
      <c r="G12002" s="16" t="str">
        <f>HYPERLINK("http://maps.google.com/maps?f=q&amp;hl=en&amp;geocode=&amp;q=39.94724,-75.17469")</f>
        <v>http://maps.google.com/maps?f=q&amp;hl=en&amp;geocode=&amp;q=39.94724,-75.17469</v>
      </c>
    </row>
    <row r="12003" spans="1:7" ht="15" x14ac:dyDescent="0.3">
      <c r="A12003">
        <v>50.837600708007798</v>
      </c>
      <c r="B12003">
        <v>4.3506741523742702</v>
      </c>
      <c r="C12003" t="s">
        <v>43</v>
      </c>
      <c r="D12003">
        <v>1000</v>
      </c>
      <c r="F12003" s="21"/>
      <c r="G12003" s="16" t="str">
        <f>HYPERLINK("http://maps.google.com/maps?f=q&amp;hl=en&amp;geocode=&amp;q=50.8376007080078,4.35067415237427")</f>
        <v>http://maps.google.com/maps?f=q&amp;hl=en&amp;geocode=&amp;q=50.8376007080078,4.35067415237427</v>
      </c>
    </row>
    <row r="12004" spans="1:7" ht="15" x14ac:dyDescent="0.3">
      <c r="A12004">
        <v>39.950090000000003</v>
      </c>
      <c r="B12004">
        <v>-75.168360000000007</v>
      </c>
      <c r="C12004" t="s">
        <v>41</v>
      </c>
      <c r="D12004" t="s">
        <v>6197</v>
      </c>
      <c r="F12004" s="21"/>
      <c r="G12004" s="16" t="str">
        <f>HYPERLINK("http://maps.google.com/maps?f=q&amp;hl=en&amp;geocode=&amp;q=39.95009,-75.16836")</f>
        <v>http://maps.google.com/maps?f=q&amp;hl=en&amp;geocode=&amp;q=39.95009,-75.16836</v>
      </c>
    </row>
    <row r="12005" spans="1:7" ht="15" x14ac:dyDescent="0.3">
      <c r="A12005">
        <v>-26.034427642822301</v>
      </c>
      <c r="B12005">
        <v>28.5431098937988</v>
      </c>
      <c r="C12005" t="s">
        <v>43</v>
      </c>
      <c r="D12005" t="s">
        <v>2999</v>
      </c>
      <c r="F12005" s="21"/>
      <c r="G12005" s="16" t="str">
        <f>HYPERLINK("http://maps.google.com/maps?f=q&amp;hl=en&amp;geocode=&amp;q=-26.0344276428223,28.5431098937988")</f>
        <v>http://maps.google.com/maps?f=q&amp;hl=en&amp;geocode=&amp;q=-26.0344276428223,28.5431098937988</v>
      </c>
    </row>
    <row r="12006" spans="1:7" ht="15" x14ac:dyDescent="0.3">
      <c r="A12006">
        <v>40.500770000000003</v>
      </c>
      <c r="B12006">
        <v>-111.94824</v>
      </c>
      <c r="C12006" t="s">
        <v>43</v>
      </c>
      <c r="D12006" t="s">
        <v>6731</v>
      </c>
      <c r="F12006" s="21"/>
      <c r="G12006" s="16" t="str">
        <f>HYPERLINK("http://maps.google.com/maps?f=q&amp;hl=en&amp;geocode=&amp;q=40.50077,-111.94824")</f>
        <v>http://maps.google.com/maps?f=q&amp;hl=en&amp;geocode=&amp;q=40.50077,-111.94824</v>
      </c>
    </row>
    <row r="12007" spans="1:7" ht="15" x14ac:dyDescent="0.3">
      <c r="A12007">
        <v>39.918323406666701</v>
      </c>
      <c r="B12007">
        <v>-91.398129215697494</v>
      </c>
      <c r="C12007" t="s">
        <v>41</v>
      </c>
      <c r="D12007" t="s">
        <v>6732</v>
      </c>
      <c r="F12007" s="21"/>
      <c r="G12007" s="16" t="str">
        <f>HYPERLINK("http://maps.google.com/maps?f=q&amp;hl=en&amp;geocode=&amp;q=39.9183234066667,-91.3981292156975")</f>
        <v>http://maps.google.com/maps?f=q&amp;hl=en&amp;geocode=&amp;q=39.9183234066667,-91.3981292156975</v>
      </c>
    </row>
    <row r="12008" spans="1:7" ht="15" x14ac:dyDescent="0.3">
      <c r="A12008">
        <v>39.97336</v>
      </c>
      <c r="B12008">
        <v>-75.18074</v>
      </c>
      <c r="C12008" t="s">
        <v>41</v>
      </c>
      <c r="D12008" t="s">
        <v>5163</v>
      </c>
      <c r="F12008" s="21"/>
      <c r="G12008" s="16" t="str">
        <f>HYPERLINK("http://maps.google.com/maps?f=q&amp;hl=en&amp;geocode=&amp;q=39.97336,-75.18074")</f>
        <v>http://maps.google.com/maps?f=q&amp;hl=en&amp;geocode=&amp;q=39.97336,-75.18074</v>
      </c>
    </row>
    <row r="12009" spans="1:7" ht="15" x14ac:dyDescent="0.3">
      <c r="A12009">
        <v>40.686477267661999</v>
      </c>
      <c r="B12009">
        <v>-73.522429905199303</v>
      </c>
      <c r="C12009" t="s">
        <v>41</v>
      </c>
      <c r="D12009" t="s">
        <v>6031</v>
      </c>
      <c r="F12009" s="21"/>
      <c r="G12009" s="16" t="str">
        <f>HYPERLINK("http://maps.google.com/maps?f=q&amp;hl=en&amp;geocode=&amp;q=40.686477267662,-73.5224299051993")</f>
        <v>http://maps.google.com/maps?f=q&amp;hl=en&amp;geocode=&amp;q=40.686477267662,-73.5224299051993</v>
      </c>
    </row>
    <row r="12010" spans="1:7" ht="15" x14ac:dyDescent="0.3">
      <c r="A12010">
        <v>39.97336</v>
      </c>
      <c r="B12010">
        <v>-75.18074</v>
      </c>
      <c r="C12010" t="s">
        <v>41</v>
      </c>
      <c r="D12010" t="s">
        <v>5163</v>
      </c>
      <c r="F12010" s="21"/>
      <c r="G12010" s="16" t="str">
        <f>HYPERLINK("http://maps.google.com/maps?f=q&amp;hl=en&amp;geocode=&amp;q=39.97336,-75.18074")</f>
        <v>http://maps.google.com/maps?f=q&amp;hl=en&amp;geocode=&amp;q=39.97336,-75.18074</v>
      </c>
    </row>
    <row r="12011" spans="1:7" ht="15" x14ac:dyDescent="0.3">
      <c r="A12011">
        <v>39.97336</v>
      </c>
      <c r="B12011">
        <v>-75.18074</v>
      </c>
      <c r="C12011" t="s">
        <v>41</v>
      </c>
      <c r="D12011" t="s">
        <v>5163</v>
      </c>
      <c r="F12011" s="21"/>
      <c r="G12011" s="16" t="str">
        <f>HYPERLINK("http://maps.google.com/maps?f=q&amp;hl=en&amp;geocode=&amp;q=39.97336,-75.18074")</f>
        <v>http://maps.google.com/maps?f=q&amp;hl=en&amp;geocode=&amp;q=39.97336,-75.18074</v>
      </c>
    </row>
    <row r="12012" spans="1:7" ht="15" x14ac:dyDescent="0.3">
      <c r="A12012">
        <v>50.587699890136697</v>
      </c>
      <c r="B12012">
        <v>4.32674217224121</v>
      </c>
      <c r="C12012" t="s">
        <v>43</v>
      </c>
      <c r="D12012" t="s">
        <v>3369</v>
      </c>
      <c r="F12012" s="21"/>
      <c r="G12012" s="16" t="str">
        <f>HYPERLINK("http://maps.google.com/maps?f=q&amp;hl=en&amp;geocode=&amp;q=50.5876998901367,4.32674217224121")</f>
        <v>http://maps.google.com/maps?f=q&amp;hl=en&amp;geocode=&amp;q=50.5876998901367,4.32674217224121</v>
      </c>
    </row>
    <row r="12013" spans="1:7" ht="15" x14ac:dyDescent="0.3">
      <c r="A12013">
        <v>39.938139999999997</v>
      </c>
      <c r="B12013">
        <v>-75.178600000000003</v>
      </c>
      <c r="C12013" t="s">
        <v>41</v>
      </c>
      <c r="D12013" t="s">
        <v>6371</v>
      </c>
      <c r="F12013" s="21"/>
      <c r="G12013" s="16" t="str">
        <f>HYPERLINK("http://maps.google.com/maps?f=q&amp;hl=en&amp;geocode=&amp;q=39.93814,-75.1786")</f>
        <v>http://maps.google.com/maps?f=q&amp;hl=en&amp;geocode=&amp;q=39.93814,-75.1786</v>
      </c>
    </row>
    <row r="12014" spans="1:7" ht="15" x14ac:dyDescent="0.3">
      <c r="A12014" t="s">
        <v>44</v>
      </c>
      <c r="B12014" t="s">
        <v>44</v>
      </c>
      <c r="C12014" t="s">
        <v>44</v>
      </c>
      <c r="D12014" t="s">
        <v>4595</v>
      </c>
      <c r="F12014" s="21"/>
      <c r="G12014" s="16"/>
    </row>
    <row r="12015" spans="1:7" ht="15" x14ac:dyDescent="0.3">
      <c r="A12015">
        <v>59.922351837158203</v>
      </c>
      <c r="B12015">
        <v>11.178321838378899</v>
      </c>
      <c r="C12015" t="s">
        <v>43</v>
      </c>
      <c r="D12015" t="s">
        <v>5651</v>
      </c>
      <c r="F12015" s="21"/>
      <c r="G12015" s="16" t="str">
        <f>HYPERLINK("http://maps.google.com/maps?f=q&amp;hl=en&amp;geocode=&amp;q=59.9223518371582,11.1783218383789")</f>
        <v>http://maps.google.com/maps?f=q&amp;hl=en&amp;geocode=&amp;q=59.9223518371582,11.1783218383789</v>
      </c>
    </row>
    <row r="12016" spans="1:7" ht="15" x14ac:dyDescent="0.3">
      <c r="A12016">
        <v>59.922351837158203</v>
      </c>
      <c r="B12016">
        <v>11.178321838378899</v>
      </c>
      <c r="C12016" t="s">
        <v>43</v>
      </c>
      <c r="D12016" t="s">
        <v>5651</v>
      </c>
      <c r="F12016" s="21"/>
      <c r="G12016" s="16" t="str">
        <f>HYPERLINK("http://maps.google.com/maps?f=q&amp;hl=en&amp;geocode=&amp;q=59.9223518371582,11.1783218383789")</f>
        <v>http://maps.google.com/maps?f=q&amp;hl=en&amp;geocode=&amp;q=59.9223518371582,11.1783218383789</v>
      </c>
    </row>
    <row r="12017" spans="1:7" ht="15" x14ac:dyDescent="0.3">
      <c r="A12017">
        <v>40.016260000000003</v>
      </c>
      <c r="B12017">
        <v>-75.074870000000004</v>
      </c>
      <c r="C12017" t="s">
        <v>41</v>
      </c>
      <c r="D12017" t="s">
        <v>6733</v>
      </c>
      <c r="F12017" s="21"/>
      <c r="G12017" s="16" t="str">
        <f>HYPERLINK("http://maps.google.com/maps?f=q&amp;hl=en&amp;geocode=&amp;q=40.01626,-75.07487")</f>
        <v>http://maps.google.com/maps?f=q&amp;hl=en&amp;geocode=&amp;q=40.01626,-75.07487</v>
      </c>
    </row>
    <row r="12018" spans="1:7" ht="15" x14ac:dyDescent="0.3">
      <c r="A12018">
        <v>-26.034427642822301</v>
      </c>
      <c r="B12018">
        <v>28.5431098937988</v>
      </c>
      <c r="C12018" t="s">
        <v>43</v>
      </c>
      <c r="D12018" t="s">
        <v>3755</v>
      </c>
      <c r="F12018" s="21"/>
      <c r="G12018" s="16" t="str">
        <f>HYPERLINK("http://maps.google.com/maps?f=q&amp;hl=en&amp;geocode=&amp;q=-26.0344276428223,28.5431098937988")</f>
        <v>http://maps.google.com/maps?f=q&amp;hl=en&amp;geocode=&amp;q=-26.0344276428223,28.5431098937988</v>
      </c>
    </row>
    <row r="12019" spans="1:7" ht="15" x14ac:dyDescent="0.3">
      <c r="A12019">
        <v>40.016260000000003</v>
      </c>
      <c r="B12019">
        <v>-75.074870000000004</v>
      </c>
      <c r="C12019" t="s">
        <v>41</v>
      </c>
      <c r="D12019" t="s">
        <v>6733</v>
      </c>
      <c r="F12019" s="21"/>
      <c r="G12019" s="16" t="str">
        <f>HYPERLINK("http://maps.google.com/maps?f=q&amp;hl=en&amp;geocode=&amp;q=40.01626,-75.07487")</f>
        <v>http://maps.google.com/maps?f=q&amp;hl=en&amp;geocode=&amp;q=40.01626,-75.07487</v>
      </c>
    </row>
    <row r="12020" spans="1:7" ht="15" x14ac:dyDescent="0.3">
      <c r="A12020">
        <v>40.016260000000003</v>
      </c>
      <c r="B12020">
        <v>-75.074870000000004</v>
      </c>
      <c r="C12020" t="s">
        <v>41</v>
      </c>
      <c r="D12020" t="s">
        <v>6733</v>
      </c>
      <c r="F12020" s="21"/>
      <c r="G12020" s="16" t="str">
        <f>HYPERLINK("http://maps.google.com/maps?f=q&amp;hl=en&amp;geocode=&amp;q=40.01626,-75.07487")</f>
        <v>http://maps.google.com/maps?f=q&amp;hl=en&amp;geocode=&amp;q=40.01626,-75.07487</v>
      </c>
    </row>
    <row r="12021" spans="1:7" ht="15" x14ac:dyDescent="0.3">
      <c r="A12021">
        <v>38.133383178915203</v>
      </c>
      <c r="B12021">
        <v>-98.270557596629203</v>
      </c>
      <c r="C12021" t="s">
        <v>41</v>
      </c>
      <c r="D12021" t="s">
        <v>6734</v>
      </c>
      <c r="F12021" s="21"/>
      <c r="G12021" s="16" t="str">
        <f>HYPERLINK("http://maps.google.com/maps?f=q&amp;hl=en&amp;geocode=&amp;q=38.1333831789152,-98.2705575966292")</f>
        <v>http://maps.google.com/maps?f=q&amp;hl=en&amp;geocode=&amp;q=38.1333831789152,-98.2705575966292</v>
      </c>
    </row>
    <row r="12022" spans="1:7" ht="15" x14ac:dyDescent="0.3">
      <c r="A12022">
        <v>46.483836523715503</v>
      </c>
      <c r="B12022">
        <v>-85.107326533038005</v>
      </c>
      <c r="C12022" t="s">
        <v>43</v>
      </c>
      <c r="D12022" t="s">
        <v>6735</v>
      </c>
      <c r="F12022" s="21"/>
      <c r="G12022" s="16" t="str">
        <f>HYPERLINK("http://maps.google.com/maps?f=q&amp;hl=en&amp;geocode=&amp;q=46.4838365237155,-85.107326533038")</f>
        <v>http://maps.google.com/maps?f=q&amp;hl=en&amp;geocode=&amp;q=46.4838365237155,-85.107326533038</v>
      </c>
    </row>
    <row r="12023" spans="1:7" ht="15" x14ac:dyDescent="0.3">
      <c r="A12023">
        <v>46.483836523715503</v>
      </c>
      <c r="B12023">
        <v>-85.107326533038005</v>
      </c>
      <c r="C12023" t="s">
        <v>43</v>
      </c>
      <c r="D12023" t="s">
        <v>6735</v>
      </c>
      <c r="F12023" s="21"/>
      <c r="G12023" s="16" t="str">
        <f>HYPERLINK("http://maps.google.com/maps?f=q&amp;hl=en&amp;geocode=&amp;q=46.4838365237155,-85.107326533038")</f>
        <v>http://maps.google.com/maps?f=q&amp;hl=en&amp;geocode=&amp;q=46.4838365237155,-85.107326533038</v>
      </c>
    </row>
    <row r="12024" spans="1:7" ht="15" x14ac:dyDescent="0.3">
      <c r="A12024">
        <v>32.866132578169697</v>
      </c>
      <c r="B12024">
        <v>-96.615842584063202</v>
      </c>
      <c r="C12024" t="s">
        <v>41</v>
      </c>
      <c r="D12024" t="s">
        <v>6736</v>
      </c>
      <c r="F12024" s="21"/>
      <c r="G12024" s="16" t="str">
        <f>HYPERLINK("http://maps.google.com/maps?f=q&amp;hl=en&amp;geocode=&amp;q=32.8661325781697,-96.6158425840632")</f>
        <v>http://maps.google.com/maps?f=q&amp;hl=en&amp;geocode=&amp;q=32.8661325781697,-96.6158425840632</v>
      </c>
    </row>
    <row r="12025" spans="1:7" ht="15" x14ac:dyDescent="0.3">
      <c r="A12025">
        <v>41.882610321044901</v>
      </c>
      <c r="B12025">
        <v>-72.267852783203097</v>
      </c>
      <c r="C12025" t="s">
        <v>43</v>
      </c>
      <c r="D12025" t="s">
        <v>6737</v>
      </c>
      <c r="F12025" s="21"/>
      <c r="G12025" s="16" t="str">
        <f>HYPERLINK("http://maps.google.com/maps?f=q&amp;hl=en&amp;geocode=&amp;q=41.8826103210449,-72.2678527832031")</f>
        <v>http://maps.google.com/maps?f=q&amp;hl=en&amp;geocode=&amp;q=41.8826103210449,-72.2678527832031</v>
      </c>
    </row>
    <row r="12026" spans="1:7" ht="15" x14ac:dyDescent="0.3">
      <c r="A12026">
        <v>33.072434250148497</v>
      </c>
      <c r="B12026">
        <v>-96.222964277431899</v>
      </c>
      <c r="C12026" t="s">
        <v>41</v>
      </c>
      <c r="D12026" t="s">
        <v>6738</v>
      </c>
      <c r="F12026" s="21"/>
      <c r="G12026" s="16" t="str">
        <f>HYPERLINK("http://maps.google.com/maps?f=q&amp;hl=en&amp;geocode=&amp;q=33.0724342501485,-96.2229642774319")</f>
        <v>http://maps.google.com/maps?f=q&amp;hl=en&amp;geocode=&amp;q=33.0724342501485,-96.2229642774319</v>
      </c>
    </row>
    <row r="12027" spans="1:7" ht="15" x14ac:dyDescent="0.3">
      <c r="A12027">
        <v>47.033481597900398</v>
      </c>
      <c r="B12027">
        <v>-109.64508056640599</v>
      </c>
      <c r="C12027" t="s">
        <v>41</v>
      </c>
      <c r="D12027" t="s">
        <v>6739</v>
      </c>
      <c r="F12027" s="21"/>
      <c r="G12027" s="16" t="str">
        <f>HYPERLINK("http://maps.google.com/maps?f=q&amp;hl=en&amp;geocode=&amp;q=47.0334815979004,-109.645080566406")</f>
        <v>http://maps.google.com/maps?f=q&amp;hl=en&amp;geocode=&amp;q=47.0334815979004,-109.645080566406</v>
      </c>
    </row>
    <row r="12028" spans="1:7" ht="15" x14ac:dyDescent="0.3">
      <c r="A12028">
        <v>39.973739999999999</v>
      </c>
      <c r="B12028">
        <v>-75.181539999999998</v>
      </c>
      <c r="C12028" t="s">
        <v>41</v>
      </c>
      <c r="D12028" t="s">
        <v>6740</v>
      </c>
      <c r="F12028" s="21"/>
      <c r="G12028" s="16" t="str">
        <f>HYPERLINK("http://maps.google.com/maps?f=q&amp;hl=en&amp;geocode=&amp;q=39.97374,-75.18154")</f>
        <v>http://maps.google.com/maps?f=q&amp;hl=en&amp;geocode=&amp;q=39.97374,-75.18154</v>
      </c>
    </row>
    <row r="12029" spans="1:7" ht="15" x14ac:dyDescent="0.3">
      <c r="A12029">
        <v>41.181840000000001</v>
      </c>
      <c r="B12029">
        <v>-81.810929999999999</v>
      </c>
      <c r="C12029" t="s">
        <v>41</v>
      </c>
      <c r="D12029" t="s">
        <v>510</v>
      </c>
      <c r="F12029" s="21"/>
      <c r="G12029" s="16" t="str">
        <f>HYPERLINK("http://maps.google.com/maps?f=q&amp;hl=en&amp;geocode=&amp;q=41.18184,-81.81093")</f>
        <v>http://maps.google.com/maps?f=q&amp;hl=en&amp;geocode=&amp;q=41.18184,-81.81093</v>
      </c>
    </row>
    <row r="12030" spans="1:7" ht="15" x14ac:dyDescent="0.3">
      <c r="A12030">
        <v>39.932609999999997</v>
      </c>
      <c r="B12030">
        <v>-75.156030000000001</v>
      </c>
      <c r="C12030" t="s">
        <v>43</v>
      </c>
      <c r="D12030" t="s">
        <v>6741</v>
      </c>
      <c r="F12030" s="21"/>
      <c r="G12030" s="16" t="str">
        <f>HYPERLINK("http://maps.google.com/maps?f=q&amp;hl=en&amp;geocode=&amp;q=39.93261,-75.15603")</f>
        <v>http://maps.google.com/maps?f=q&amp;hl=en&amp;geocode=&amp;q=39.93261,-75.15603</v>
      </c>
    </row>
    <row r="12031" spans="1:7" ht="15" x14ac:dyDescent="0.3">
      <c r="A12031">
        <v>36.025016784667997</v>
      </c>
      <c r="B12031">
        <v>-92.877365112304702</v>
      </c>
      <c r="C12031" t="s">
        <v>43</v>
      </c>
      <c r="D12031" t="s">
        <v>6742</v>
      </c>
      <c r="F12031" s="21"/>
      <c r="G12031" s="16" t="str">
        <f>HYPERLINK("http://maps.google.com/maps?f=q&amp;hl=en&amp;geocode=&amp;q=36.025016784668,-92.8773651123047")</f>
        <v>http://maps.google.com/maps?f=q&amp;hl=en&amp;geocode=&amp;q=36.025016784668,-92.8773651123047</v>
      </c>
    </row>
    <row r="12032" spans="1:7" ht="15" x14ac:dyDescent="0.3">
      <c r="A12032" t="s">
        <v>44</v>
      </c>
      <c r="B12032" t="s">
        <v>44</v>
      </c>
      <c r="C12032" t="s">
        <v>44</v>
      </c>
      <c r="D12032" t="s">
        <v>6743</v>
      </c>
      <c r="F12032" s="21"/>
      <c r="G12032" s="16"/>
    </row>
    <row r="12033" spans="1:7" ht="15" x14ac:dyDescent="0.3">
      <c r="A12033">
        <v>39.040599822997997</v>
      </c>
      <c r="B12033">
        <v>-120.63067626953099</v>
      </c>
      <c r="C12033" t="s">
        <v>43</v>
      </c>
      <c r="D12033" t="s">
        <v>6744</v>
      </c>
      <c r="F12033" s="21"/>
      <c r="G12033" s="16" t="str">
        <f>HYPERLINK("http://maps.google.com/maps?f=q&amp;hl=en&amp;geocode=&amp;q=39.040599822998,-120.630676269531")</f>
        <v>http://maps.google.com/maps?f=q&amp;hl=en&amp;geocode=&amp;q=39.040599822998,-120.630676269531</v>
      </c>
    </row>
    <row r="12034" spans="1:7" ht="15" x14ac:dyDescent="0.3">
      <c r="A12034">
        <v>41.545448303222699</v>
      </c>
      <c r="B12034">
        <v>-76.742660522460895</v>
      </c>
      <c r="C12034" t="s">
        <v>43</v>
      </c>
      <c r="D12034" t="s">
        <v>6745</v>
      </c>
      <c r="F12034" s="21"/>
      <c r="G12034" s="16" t="str">
        <f>HYPERLINK("http://maps.google.com/maps?f=q&amp;hl=en&amp;geocode=&amp;q=41.5454483032227,-76.7426605224609")</f>
        <v>http://maps.google.com/maps?f=q&amp;hl=en&amp;geocode=&amp;q=41.5454483032227,-76.7426605224609</v>
      </c>
    </row>
    <row r="12035" spans="1:7" ht="15" x14ac:dyDescent="0.3">
      <c r="A12035">
        <v>52.051368713378899</v>
      </c>
      <c r="B12035">
        <v>4.30570316314697</v>
      </c>
      <c r="C12035" t="s">
        <v>41</v>
      </c>
      <c r="D12035" t="s">
        <v>6746</v>
      </c>
      <c r="F12035" s="21"/>
      <c r="G12035" s="16" t="str">
        <f>HYPERLINK("http://maps.google.com/maps?f=q&amp;hl=en&amp;geocode=&amp;q=52.0513687133789,4.30570316314697")</f>
        <v>http://maps.google.com/maps?f=q&amp;hl=en&amp;geocode=&amp;q=52.0513687133789,4.30570316314697</v>
      </c>
    </row>
    <row r="12036" spans="1:7" ht="15" x14ac:dyDescent="0.3">
      <c r="A12036">
        <v>39.251249000000001</v>
      </c>
      <c r="B12036">
        <v>-76.702269999999999</v>
      </c>
      <c r="C12036" t="s">
        <v>41</v>
      </c>
      <c r="D12036" t="s">
        <v>6747</v>
      </c>
      <c r="F12036" s="21"/>
      <c r="G12036" s="16" t="str">
        <f>HYPERLINK("http://maps.google.com/maps?f=q&amp;hl=en&amp;geocode=&amp;q=39.251249,-76.70227")</f>
        <v>http://maps.google.com/maps?f=q&amp;hl=en&amp;geocode=&amp;q=39.251249,-76.70227</v>
      </c>
    </row>
    <row r="12037" spans="1:7" ht="15" x14ac:dyDescent="0.3">
      <c r="A12037">
        <v>-33.299518585205099</v>
      </c>
      <c r="B12037">
        <v>149.01606750488301</v>
      </c>
      <c r="C12037" t="s">
        <v>43</v>
      </c>
      <c r="D12037" t="s">
        <v>6748</v>
      </c>
      <c r="F12037" s="21"/>
      <c r="G12037" s="16" t="str">
        <f>HYPERLINK("http://maps.google.com/maps?f=q&amp;hl=en&amp;geocode=&amp;q=-33.2995185852051,149.016067504883")</f>
        <v>http://maps.google.com/maps?f=q&amp;hl=en&amp;geocode=&amp;q=-33.2995185852051,149.016067504883</v>
      </c>
    </row>
    <row r="12038" spans="1:7" ht="15" x14ac:dyDescent="0.3">
      <c r="A12038">
        <v>31.820820000000001</v>
      </c>
      <c r="B12038">
        <v>-93.826220000000006</v>
      </c>
      <c r="C12038" t="s">
        <v>43</v>
      </c>
      <c r="D12038" t="s">
        <v>6339</v>
      </c>
      <c r="F12038" s="21"/>
      <c r="G12038" s="16" t="str">
        <f>HYPERLINK("http://maps.google.com/maps?f=q&amp;hl=en&amp;geocode=&amp;q=31.82082,-93.82622")</f>
        <v>http://maps.google.com/maps?f=q&amp;hl=en&amp;geocode=&amp;q=31.82082,-93.82622</v>
      </c>
    </row>
    <row r="12039" spans="1:7" ht="15" x14ac:dyDescent="0.3">
      <c r="A12039">
        <v>40.355629999999998</v>
      </c>
      <c r="B12039">
        <v>-75.914389999999997</v>
      </c>
      <c r="C12039" t="s">
        <v>41</v>
      </c>
      <c r="D12039" t="s">
        <v>6616</v>
      </c>
      <c r="F12039" s="21"/>
      <c r="G12039" s="16" t="str">
        <f>HYPERLINK("http://maps.google.com/maps?f=q&amp;hl=en&amp;geocode=&amp;q=40.35563,-75.91439")</f>
        <v>http://maps.google.com/maps?f=q&amp;hl=en&amp;geocode=&amp;q=40.35563,-75.91439</v>
      </c>
    </row>
    <row r="12040" spans="1:7" ht="15" x14ac:dyDescent="0.3">
      <c r="A12040">
        <v>41.760345302232103</v>
      </c>
      <c r="B12040">
        <v>-91.132632988712103</v>
      </c>
      <c r="C12040" t="s">
        <v>41</v>
      </c>
      <c r="D12040" t="s">
        <v>6749</v>
      </c>
      <c r="F12040" s="21"/>
      <c r="G12040" s="16" t="str">
        <f>HYPERLINK("http://maps.google.com/maps?f=q&amp;hl=en&amp;geocode=&amp;q=41.7603453022321,-91.1326329887121")</f>
        <v>http://maps.google.com/maps?f=q&amp;hl=en&amp;geocode=&amp;q=41.7603453022321,-91.1326329887121</v>
      </c>
    </row>
    <row r="12041" spans="1:7" ht="15" x14ac:dyDescent="0.3">
      <c r="A12041">
        <v>32.449833273281598</v>
      </c>
      <c r="B12041">
        <v>-96.836889179287397</v>
      </c>
      <c r="C12041" t="s">
        <v>41</v>
      </c>
      <c r="D12041" t="s">
        <v>6750</v>
      </c>
      <c r="F12041" s="21"/>
      <c r="G12041" s="16" t="str">
        <f>HYPERLINK("http://maps.google.com/maps?f=q&amp;hl=en&amp;geocode=&amp;q=32.4498332732816,-96.8368891792874")</f>
        <v>http://maps.google.com/maps?f=q&amp;hl=en&amp;geocode=&amp;q=32.4498332732816,-96.8368891792874</v>
      </c>
    </row>
    <row r="12042" spans="1:7" ht="15" x14ac:dyDescent="0.3">
      <c r="A12042">
        <v>42.084348990141102</v>
      </c>
      <c r="B12042">
        <v>-76.935616826665793</v>
      </c>
      <c r="C12042" t="s">
        <v>41</v>
      </c>
      <c r="D12042" t="s">
        <v>6751</v>
      </c>
      <c r="F12042" s="21"/>
      <c r="G12042" s="16" t="str">
        <f>HYPERLINK("http://maps.google.com/maps?f=q&amp;hl=en&amp;geocode=&amp;q=42.0843489901411,-76.9356168266658")</f>
        <v>http://maps.google.com/maps?f=q&amp;hl=en&amp;geocode=&amp;q=42.0843489901411,-76.9356168266658</v>
      </c>
    </row>
    <row r="12043" spans="1:7" ht="15" x14ac:dyDescent="0.3">
      <c r="A12043">
        <v>40.303310023342803</v>
      </c>
      <c r="B12043">
        <v>-79.402918441827296</v>
      </c>
      <c r="C12043" t="s">
        <v>41</v>
      </c>
      <c r="D12043" t="s">
        <v>74</v>
      </c>
      <c r="F12043" s="21"/>
      <c r="G12043" s="16" t="str">
        <f>HYPERLINK("http://maps.google.com/maps?f=q&amp;hl=en&amp;geocode=&amp;q=40.3033100233428,-79.4029184418273")</f>
        <v>http://maps.google.com/maps?f=q&amp;hl=en&amp;geocode=&amp;q=40.3033100233428,-79.4029184418273</v>
      </c>
    </row>
    <row r="12044" spans="1:7" ht="15" x14ac:dyDescent="0.3">
      <c r="A12044">
        <v>40.227849999999997</v>
      </c>
      <c r="B12044">
        <v>-74.019670000000005</v>
      </c>
      <c r="C12044" t="s">
        <v>41</v>
      </c>
      <c r="D12044" t="s">
        <v>6752</v>
      </c>
      <c r="F12044" s="21"/>
      <c r="G12044" s="16" t="str">
        <f>HYPERLINK("http://maps.google.com/maps?f=q&amp;hl=en&amp;geocode=&amp;q=40.22785,-74.01967")</f>
        <v>http://maps.google.com/maps?f=q&amp;hl=en&amp;geocode=&amp;q=40.22785,-74.01967</v>
      </c>
    </row>
    <row r="12045" spans="1:7" ht="15" x14ac:dyDescent="0.3">
      <c r="A12045">
        <v>41.467367593002699</v>
      </c>
      <c r="B12045">
        <v>-91.5963003581316</v>
      </c>
      <c r="C12045" t="s">
        <v>41</v>
      </c>
      <c r="D12045" t="s">
        <v>6622</v>
      </c>
      <c r="F12045" s="21"/>
      <c r="G12045" s="16" t="str">
        <f>HYPERLINK("http://maps.google.com/maps?f=q&amp;hl=en&amp;geocode=&amp;q=41.4673675930027,-91.5963003581316")</f>
        <v>http://maps.google.com/maps?f=q&amp;hl=en&amp;geocode=&amp;q=41.4673675930027,-91.5963003581316</v>
      </c>
    </row>
    <row r="12046" spans="1:7" ht="15" x14ac:dyDescent="0.3">
      <c r="A12046">
        <v>41.464694106769301</v>
      </c>
      <c r="B12046">
        <v>-91.598906518129894</v>
      </c>
      <c r="C12046" t="s">
        <v>41</v>
      </c>
      <c r="D12046" t="s">
        <v>6340</v>
      </c>
      <c r="F12046" s="21"/>
      <c r="G12046" s="16" t="str">
        <f>HYPERLINK("http://maps.google.com/maps?f=q&amp;hl=en&amp;geocode=&amp;q=41.4646941067693,-91.5989065181299")</f>
        <v>http://maps.google.com/maps?f=q&amp;hl=en&amp;geocode=&amp;q=41.4646941067693,-91.5989065181299</v>
      </c>
    </row>
    <row r="12047" spans="1:7" ht="15" x14ac:dyDescent="0.3">
      <c r="A12047">
        <v>39.25141</v>
      </c>
      <c r="B12047">
        <v>-76.702539999999999</v>
      </c>
      <c r="C12047" t="s">
        <v>41</v>
      </c>
      <c r="D12047" t="s">
        <v>6753</v>
      </c>
      <c r="F12047" s="21"/>
      <c r="G12047" s="16" t="str">
        <f>HYPERLINK("http://maps.google.com/maps?f=q&amp;hl=en&amp;geocode=&amp;q=39.25141,-76.70254")</f>
        <v>http://maps.google.com/maps?f=q&amp;hl=en&amp;geocode=&amp;q=39.25141,-76.70254</v>
      </c>
    </row>
    <row r="12048" spans="1:7" ht="15" x14ac:dyDescent="0.3">
      <c r="A12048" t="s">
        <v>44</v>
      </c>
      <c r="B12048" t="s">
        <v>44</v>
      </c>
      <c r="C12048" t="s">
        <v>44</v>
      </c>
      <c r="D12048" t="s">
        <v>4438</v>
      </c>
      <c r="F12048" s="21"/>
      <c r="G12048" s="16"/>
    </row>
    <row r="12049" spans="1:7" ht="15" x14ac:dyDescent="0.3">
      <c r="A12049">
        <v>48.672306060791001</v>
      </c>
      <c r="B12049">
        <v>7.5540661811828604</v>
      </c>
      <c r="C12049" t="s">
        <v>43</v>
      </c>
      <c r="D12049" t="s">
        <v>5375</v>
      </c>
      <c r="F12049" s="21"/>
      <c r="G12049" s="16" t="str">
        <f>HYPERLINK("http://maps.google.com/maps?f=q&amp;hl=en&amp;geocode=&amp;q=48.672306060791,7.55406618118286")</f>
        <v>http://maps.google.com/maps?f=q&amp;hl=en&amp;geocode=&amp;q=48.672306060791,7.55406618118286</v>
      </c>
    </row>
    <row r="12050" spans="1:7" ht="15" x14ac:dyDescent="0.3">
      <c r="A12050">
        <v>35.907490000000003</v>
      </c>
      <c r="B12050">
        <v>-78.483360000000005</v>
      </c>
      <c r="C12050" t="s">
        <v>42</v>
      </c>
      <c r="D12050" t="s">
        <v>6754</v>
      </c>
      <c r="F12050" s="21"/>
      <c r="G12050" s="16" t="str">
        <f>HYPERLINK("http://maps.google.com/maps?f=q&amp;hl=en&amp;geocode=&amp;q=35.90749,-78.48336")</f>
        <v>http://maps.google.com/maps?f=q&amp;hl=en&amp;geocode=&amp;q=35.90749,-78.48336</v>
      </c>
    </row>
    <row r="12051" spans="1:7" ht="15" x14ac:dyDescent="0.3">
      <c r="A12051">
        <v>34.720675736605699</v>
      </c>
      <c r="B12051">
        <v>-81.130297737668201</v>
      </c>
      <c r="C12051" t="s">
        <v>43</v>
      </c>
      <c r="D12051" t="s">
        <v>6755</v>
      </c>
      <c r="F12051" s="21"/>
      <c r="G12051" s="16" t="str">
        <f>HYPERLINK("http://maps.google.com/maps?f=q&amp;hl=en&amp;geocode=&amp;q=34.7206757366057,-81.1302977376682")</f>
        <v>http://maps.google.com/maps?f=q&amp;hl=en&amp;geocode=&amp;q=34.7206757366057,-81.1302977376682</v>
      </c>
    </row>
    <row r="12052" spans="1:7" ht="15" x14ac:dyDescent="0.3">
      <c r="A12052">
        <v>42.8018</v>
      </c>
      <c r="B12052">
        <v>-73.188019999999995</v>
      </c>
      <c r="C12052" t="s">
        <v>42</v>
      </c>
      <c r="D12052" t="s">
        <v>2947</v>
      </c>
      <c r="F12052" s="21"/>
      <c r="G12052" s="16" t="str">
        <f>HYPERLINK("http://maps.google.com/maps?f=q&amp;hl=en&amp;geocode=&amp;q=42.8018,-73.18802")</f>
        <v>http://maps.google.com/maps?f=q&amp;hl=en&amp;geocode=&amp;q=42.8018,-73.18802</v>
      </c>
    </row>
    <row r="12053" spans="1:7" ht="15" x14ac:dyDescent="0.3">
      <c r="A12053">
        <v>39.919499999999999</v>
      </c>
      <c r="B12053">
        <v>-75.163349999999994</v>
      </c>
      <c r="C12053" t="s">
        <v>41</v>
      </c>
      <c r="D12053" t="s">
        <v>6756</v>
      </c>
      <c r="F12053" s="21"/>
      <c r="G12053" s="16" t="str">
        <f>HYPERLINK("http://maps.google.com/maps?f=q&amp;hl=en&amp;geocode=&amp;q=39.9195,-75.16335")</f>
        <v>http://maps.google.com/maps?f=q&amp;hl=en&amp;geocode=&amp;q=39.9195,-75.16335</v>
      </c>
    </row>
    <row r="12054" spans="1:7" ht="15" x14ac:dyDescent="0.3">
      <c r="A12054">
        <v>51.917110443115199</v>
      </c>
      <c r="B12054">
        <v>4.5641841888427699</v>
      </c>
      <c r="C12054" t="s">
        <v>43</v>
      </c>
      <c r="D12054" t="s">
        <v>6757</v>
      </c>
      <c r="F12054" s="21"/>
      <c r="G12054" s="16" t="str">
        <f>HYPERLINK("http://maps.google.com/maps?f=q&amp;hl=en&amp;geocode=&amp;q=51.9171104431152,4.56418418884277")</f>
        <v>http://maps.google.com/maps?f=q&amp;hl=en&amp;geocode=&amp;q=51.9171104431152,4.56418418884277</v>
      </c>
    </row>
    <row r="12055" spans="1:7" ht="15" x14ac:dyDescent="0.3">
      <c r="A12055">
        <v>36.595971541929899</v>
      </c>
      <c r="B12055">
        <v>-76.637384351176806</v>
      </c>
      <c r="C12055" t="s">
        <v>41</v>
      </c>
      <c r="D12055" t="s">
        <v>6758</v>
      </c>
      <c r="F12055" s="21"/>
      <c r="G12055" s="16" t="str">
        <f>HYPERLINK("http://maps.google.com/maps?f=q&amp;hl=en&amp;geocode=&amp;q=36.5959715419299,-76.6373843511768")</f>
        <v>http://maps.google.com/maps?f=q&amp;hl=en&amp;geocode=&amp;q=36.5959715419299,-76.6373843511768</v>
      </c>
    </row>
    <row r="12056" spans="1:7" ht="15" x14ac:dyDescent="0.3">
      <c r="A12056">
        <v>39.859144687642299</v>
      </c>
      <c r="B12056">
        <v>-88.982905782504204</v>
      </c>
      <c r="C12056" t="s">
        <v>41</v>
      </c>
      <c r="D12056" t="s">
        <v>3339</v>
      </c>
      <c r="F12056" s="21"/>
      <c r="G12056" s="16" t="str">
        <f>HYPERLINK("http://maps.google.com/maps?f=q&amp;hl=en&amp;geocode=&amp;q=39.8591446876423,-88.9829057825042")</f>
        <v>http://maps.google.com/maps?f=q&amp;hl=en&amp;geocode=&amp;q=39.8591446876423,-88.9829057825042</v>
      </c>
    </row>
    <row r="12057" spans="1:7" ht="15" x14ac:dyDescent="0.3">
      <c r="A12057">
        <v>39.859144687642299</v>
      </c>
      <c r="B12057">
        <v>-88.982905782504204</v>
      </c>
      <c r="C12057" t="s">
        <v>41</v>
      </c>
      <c r="D12057" t="s">
        <v>3339</v>
      </c>
      <c r="F12057" s="21"/>
      <c r="G12057" s="16" t="str">
        <f>HYPERLINK("http://maps.google.com/maps?f=q&amp;hl=en&amp;geocode=&amp;q=39.8591446876423,-88.9829057825042")</f>
        <v>http://maps.google.com/maps?f=q&amp;hl=en&amp;geocode=&amp;q=39.8591446876423,-88.9829057825042</v>
      </c>
    </row>
    <row r="12058" spans="1:7" ht="15" x14ac:dyDescent="0.3">
      <c r="A12058">
        <v>39.859144687642299</v>
      </c>
      <c r="B12058">
        <v>-88.982905782504204</v>
      </c>
      <c r="C12058" t="s">
        <v>41</v>
      </c>
      <c r="D12058" t="s">
        <v>3339</v>
      </c>
      <c r="F12058" s="21"/>
      <c r="G12058" s="16" t="str">
        <f>HYPERLINK("http://maps.google.com/maps?f=q&amp;hl=en&amp;geocode=&amp;q=39.8591446876423,-88.9829057825042")</f>
        <v>http://maps.google.com/maps?f=q&amp;hl=en&amp;geocode=&amp;q=39.8591446876423,-88.9829057825042</v>
      </c>
    </row>
    <row r="12059" spans="1:7" ht="15" x14ac:dyDescent="0.3">
      <c r="A12059">
        <v>32.2734037275833</v>
      </c>
      <c r="B12059">
        <v>-109.86080649649401</v>
      </c>
      <c r="C12059" t="s">
        <v>41</v>
      </c>
      <c r="D12059" t="s">
        <v>6759</v>
      </c>
      <c r="F12059" s="21"/>
      <c r="G12059" s="16" t="str">
        <f>HYPERLINK("http://maps.google.com/maps?f=q&amp;hl=en&amp;geocode=&amp;q=32.2734037275833,-109.860806496494")</f>
        <v>http://maps.google.com/maps?f=q&amp;hl=en&amp;geocode=&amp;q=32.2734037275833,-109.860806496494</v>
      </c>
    </row>
    <row r="12060" spans="1:7" ht="15" x14ac:dyDescent="0.3">
      <c r="A12060">
        <v>32.2734037275833</v>
      </c>
      <c r="B12060">
        <v>-109.86080649649401</v>
      </c>
      <c r="C12060" t="s">
        <v>41</v>
      </c>
      <c r="D12060" t="s">
        <v>6759</v>
      </c>
      <c r="F12060" s="21"/>
      <c r="G12060" s="16" t="str">
        <f>HYPERLINK("http://maps.google.com/maps?f=q&amp;hl=en&amp;geocode=&amp;q=32.2734037275833,-109.860806496494")</f>
        <v>http://maps.google.com/maps?f=q&amp;hl=en&amp;geocode=&amp;q=32.2734037275833,-109.860806496494</v>
      </c>
    </row>
    <row r="12061" spans="1:7" ht="15" x14ac:dyDescent="0.3">
      <c r="A12061">
        <v>32.2734037275833</v>
      </c>
      <c r="B12061">
        <v>-109.86080649649401</v>
      </c>
      <c r="C12061" t="s">
        <v>41</v>
      </c>
      <c r="D12061" t="s">
        <v>6759</v>
      </c>
      <c r="F12061" s="21"/>
      <c r="G12061" s="16" t="str">
        <f>HYPERLINK("http://maps.google.com/maps?f=q&amp;hl=en&amp;geocode=&amp;q=32.2734037275833,-109.860806496494")</f>
        <v>http://maps.google.com/maps?f=q&amp;hl=en&amp;geocode=&amp;q=32.2734037275833,-109.860806496494</v>
      </c>
    </row>
    <row r="12062" spans="1:7" ht="15" x14ac:dyDescent="0.3">
      <c r="A12062">
        <v>32.2734037275833</v>
      </c>
      <c r="B12062">
        <v>-109.86080649649401</v>
      </c>
      <c r="C12062" t="s">
        <v>41</v>
      </c>
      <c r="D12062" t="s">
        <v>6759</v>
      </c>
      <c r="F12062" s="21"/>
      <c r="G12062" s="16" t="str">
        <f>HYPERLINK("http://maps.google.com/maps?f=q&amp;hl=en&amp;geocode=&amp;q=32.2734037275833,-109.860806496494")</f>
        <v>http://maps.google.com/maps?f=q&amp;hl=en&amp;geocode=&amp;q=32.2734037275833,-109.860806496494</v>
      </c>
    </row>
    <row r="12063" spans="1:7" ht="15" x14ac:dyDescent="0.3">
      <c r="A12063">
        <v>58.133331298828097</v>
      </c>
      <c r="B12063">
        <v>-92.849998474121094</v>
      </c>
      <c r="C12063" t="s">
        <v>43</v>
      </c>
      <c r="D12063" t="s">
        <v>6760</v>
      </c>
      <c r="F12063" s="21"/>
      <c r="G12063" s="16" t="str">
        <f>HYPERLINK("http://maps.google.com/maps?f=q&amp;hl=en&amp;geocode=&amp;q=58.1333312988281,-92.8499984741211")</f>
        <v>http://maps.google.com/maps?f=q&amp;hl=en&amp;geocode=&amp;q=58.1333312988281,-92.8499984741211</v>
      </c>
    </row>
    <row r="12064" spans="1:7" ht="15" x14ac:dyDescent="0.3">
      <c r="A12064">
        <v>32.984884283254203</v>
      </c>
      <c r="B12064">
        <v>-96.799823287732707</v>
      </c>
      <c r="C12064" t="s">
        <v>41</v>
      </c>
      <c r="D12064" t="s">
        <v>3112</v>
      </c>
      <c r="F12064" s="21"/>
      <c r="G12064" s="16" t="str">
        <f>HYPERLINK("http://maps.google.com/maps?f=q&amp;hl=en&amp;geocode=&amp;q=32.9848842832542,-96.7998232877327")</f>
        <v>http://maps.google.com/maps?f=q&amp;hl=en&amp;geocode=&amp;q=32.9848842832542,-96.7998232877327</v>
      </c>
    </row>
    <row r="12065" spans="1:7" ht="15" x14ac:dyDescent="0.3">
      <c r="A12065">
        <v>40.042209999999997</v>
      </c>
      <c r="B12065">
        <v>-75.184479999999994</v>
      </c>
      <c r="C12065" t="s">
        <v>41</v>
      </c>
      <c r="D12065" t="s">
        <v>6761</v>
      </c>
      <c r="F12065" s="21"/>
      <c r="G12065" s="16" t="str">
        <f>HYPERLINK("http://maps.google.com/maps?f=q&amp;hl=en&amp;geocode=&amp;q=40.04221,-75.18448")</f>
        <v>http://maps.google.com/maps?f=q&amp;hl=en&amp;geocode=&amp;q=40.04221,-75.18448</v>
      </c>
    </row>
    <row r="12066" spans="1:7" ht="15" x14ac:dyDescent="0.3">
      <c r="A12066">
        <v>39.169703051328298</v>
      </c>
      <c r="B12066">
        <v>-84.459458782038496</v>
      </c>
      <c r="C12066" t="s">
        <v>41</v>
      </c>
      <c r="D12066" t="s">
        <v>6762</v>
      </c>
      <c r="F12066" s="21"/>
      <c r="G12066" s="16" t="str">
        <f>HYPERLINK("http://maps.google.com/maps?f=q&amp;hl=en&amp;geocode=&amp;q=39.1697030513283,-84.4594587820385")</f>
        <v>http://maps.google.com/maps?f=q&amp;hl=en&amp;geocode=&amp;q=39.1697030513283,-84.4594587820385</v>
      </c>
    </row>
    <row r="12067" spans="1:7" ht="15" x14ac:dyDescent="0.3">
      <c r="A12067" t="s">
        <v>44</v>
      </c>
      <c r="B12067" t="s">
        <v>44</v>
      </c>
      <c r="C12067" t="s">
        <v>44</v>
      </c>
      <c r="D12067" t="s">
        <v>6763</v>
      </c>
      <c r="F12067" s="21"/>
      <c r="G12067" s="16"/>
    </row>
    <row r="12068" spans="1:7" ht="15" x14ac:dyDescent="0.3">
      <c r="A12068">
        <v>33.379890000000003</v>
      </c>
      <c r="B12068">
        <v>-112.09211000000001</v>
      </c>
      <c r="C12068" t="s">
        <v>43</v>
      </c>
      <c r="D12068" t="s">
        <v>6764</v>
      </c>
      <c r="F12068" s="21"/>
      <c r="G12068" s="16" t="str">
        <f>HYPERLINK("http://maps.google.com/maps?f=q&amp;hl=en&amp;geocode=&amp;q=33.37989,-112.09211")</f>
        <v>http://maps.google.com/maps?f=q&amp;hl=en&amp;geocode=&amp;q=33.37989,-112.09211</v>
      </c>
    </row>
    <row r="12069" spans="1:7" ht="15" x14ac:dyDescent="0.3">
      <c r="A12069" t="s">
        <v>44</v>
      </c>
      <c r="B12069" t="s">
        <v>44</v>
      </c>
      <c r="C12069" t="s">
        <v>44</v>
      </c>
      <c r="D12069" t="s">
        <v>6765</v>
      </c>
      <c r="F12069" s="21"/>
      <c r="G12069" s="16"/>
    </row>
    <row r="12070" spans="1:7" ht="15" x14ac:dyDescent="0.3">
      <c r="A12070">
        <v>40.684330000000003</v>
      </c>
      <c r="B12070">
        <v>-89.619519999999994</v>
      </c>
      <c r="C12070" t="s">
        <v>41</v>
      </c>
      <c r="D12070" t="s">
        <v>6766</v>
      </c>
      <c r="F12070" s="21"/>
      <c r="G12070" s="16" t="str">
        <f>HYPERLINK("http://maps.google.com/maps?f=q&amp;hl=en&amp;geocode=&amp;q=40.68433,-89.61952")</f>
        <v>http://maps.google.com/maps?f=q&amp;hl=en&amp;geocode=&amp;q=40.68433,-89.61952</v>
      </c>
    </row>
    <row r="12071" spans="1:7" ht="15" x14ac:dyDescent="0.3">
      <c r="A12071" t="s">
        <v>44</v>
      </c>
      <c r="B12071" t="s">
        <v>44</v>
      </c>
      <c r="C12071" t="s">
        <v>44</v>
      </c>
      <c r="D12071" t="s">
        <v>6767</v>
      </c>
      <c r="F12071" s="21"/>
      <c r="G12071" s="16"/>
    </row>
    <row r="12072" spans="1:7" ht="15" x14ac:dyDescent="0.3">
      <c r="A12072">
        <v>39.136779587965798</v>
      </c>
      <c r="B12072">
        <v>-76.486912745763107</v>
      </c>
      <c r="C12072" t="s">
        <v>41</v>
      </c>
      <c r="D12072" t="s">
        <v>6768</v>
      </c>
      <c r="F12072" s="21"/>
      <c r="G12072" s="16" t="str">
        <f>HYPERLINK("http://maps.google.com/maps?f=q&amp;hl=en&amp;geocode=&amp;q=39.1367795879658,-76.4869127457631")</f>
        <v>http://maps.google.com/maps?f=q&amp;hl=en&amp;geocode=&amp;q=39.1367795879658,-76.4869127457631</v>
      </c>
    </row>
    <row r="12073" spans="1:7" ht="15" x14ac:dyDescent="0.3">
      <c r="A12073">
        <v>48.856765747070298</v>
      </c>
      <c r="B12073">
        <v>-95.7022705078125</v>
      </c>
      <c r="C12073" t="s">
        <v>43</v>
      </c>
      <c r="D12073" t="s">
        <v>1171</v>
      </c>
      <c r="F12073" s="21"/>
      <c r="G12073" s="16" t="str">
        <f>HYPERLINK("http://maps.google.com/maps?f=q&amp;hl=en&amp;geocode=&amp;q=48.8567657470703,-95.7022705078125")</f>
        <v>http://maps.google.com/maps?f=q&amp;hl=en&amp;geocode=&amp;q=48.8567657470703,-95.7022705078125</v>
      </c>
    </row>
    <row r="12074" spans="1:7" ht="15" x14ac:dyDescent="0.3">
      <c r="A12074">
        <v>41.674195992117397</v>
      </c>
      <c r="B12074">
        <v>-83.612290174706402</v>
      </c>
      <c r="C12074" t="s">
        <v>41</v>
      </c>
      <c r="D12074" t="s">
        <v>6769</v>
      </c>
      <c r="F12074" s="21"/>
      <c r="G12074" s="16" t="str">
        <f>HYPERLINK("http://maps.google.com/maps?f=q&amp;hl=en&amp;geocode=&amp;q=41.6741959921174,-83.6122901747064")</f>
        <v>http://maps.google.com/maps?f=q&amp;hl=en&amp;geocode=&amp;q=41.6741959921174,-83.6122901747064</v>
      </c>
    </row>
    <row r="12075" spans="1:7" ht="15" x14ac:dyDescent="0.3">
      <c r="A12075">
        <v>41.674195992117397</v>
      </c>
      <c r="B12075">
        <v>-83.612290174706402</v>
      </c>
      <c r="C12075" t="s">
        <v>41</v>
      </c>
      <c r="D12075" t="s">
        <v>6769</v>
      </c>
      <c r="F12075" s="21"/>
      <c r="G12075" s="16" t="str">
        <f>HYPERLINK("http://maps.google.com/maps?f=q&amp;hl=en&amp;geocode=&amp;q=41.6741959921174,-83.6122901747064")</f>
        <v>http://maps.google.com/maps?f=q&amp;hl=en&amp;geocode=&amp;q=41.6741959921174,-83.6122901747064</v>
      </c>
    </row>
    <row r="12076" spans="1:7" ht="15" x14ac:dyDescent="0.3">
      <c r="A12076" t="s">
        <v>44</v>
      </c>
      <c r="B12076" t="s">
        <v>44</v>
      </c>
      <c r="C12076" t="s">
        <v>44</v>
      </c>
      <c r="D12076" t="s">
        <v>6770</v>
      </c>
      <c r="F12076" s="21"/>
      <c r="G12076" s="16"/>
    </row>
    <row r="12077" spans="1:7" ht="15" x14ac:dyDescent="0.3">
      <c r="A12077">
        <v>52.051368713378899</v>
      </c>
      <c r="B12077">
        <v>4.30570316314697</v>
      </c>
      <c r="C12077" t="s">
        <v>41</v>
      </c>
      <c r="D12077" t="s">
        <v>6746</v>
      </c>
      <c r="F12077" s="21"/>
      <c r="G12077" s="16" t="str">
        <f>HYPERLINK("http://maps.google.com/maps?f=q&amp;hl=en&amp;geocode=&amp;q=52.0513687133789,4.30570316314697")</f>
        <v>http://maps.google.com/maps?f=q&amp;hl=en&amp;geocode=&amp;q=52.0513687133789,4.30570316314697</v>
      </c>
    </row>
    <row r="12078" spans="1:7" ht="15" x14ac:dyDescent="0.3">
      <c r="A12078">
        <v>43.068870544433601</v>
      </c>
      <c r="B12078">
        <v>-94.227493286132798</v>
      </c>
      <c r="C12078" t="s">
        <v>43</v>
      </c>
      <c r="D12078" t="s">
        <v>6771</v>
      </c>
      <c r="F12078" s="21"/>
      <c r="G12078" s="16" t="str">
        <f>HYPERLINK("http://maps.google.com/maps?f=q&amp;hl=en&amp;geocode=&amp;q=43.0688705444336,-94.2274932861328")</f>
        <v>http://maps.google.com/maps?f=q&amp;hl=en&amp;geocode=&amp;q=43.0688705444336,-94.2274932861328</v>
      </c>
    </row>
    <row r="12079" spans="1:7" ht="15" x14ac:dyDescent="0.3">
      <c r="A12079">
        <v>34.122492052389397</v>
      </c>
      <c r="B12079">
        <v>-80.709830582702295</v>
      </c>
      <c r="C12079" t="s">
        <v>41</v>
      </c>
      <c r="D12079" t="s">
        <v>6772</v>
      </c>
      <c r="F12079" s="21"/>
      <c r="G12079" s="16" t="str">
        <f>HYPERLINK("http://maps.google.com/maps?f=q&amp;hl=en&amp;geocode=&amp;q=34.1224920523894,-80.7098305827023")</f>
        <v>http://maps.google.com/maps?f=q&amp;hl=en&amp;geocode=&amp;q=34.1224920523894,-80.7098305827023</v>
      </c>
    </row>
    <row r="12080" spans="1:7" ht="15" x14ac:dyDescent="0.3">
      <c r="A12080">
        <v>49.608676910400398</v>
      </c>
      <c r="B12080">
        <v>6.1595568656921396</v>
      </c>
      <c r="C12080" t="s">
        <v>43</v>
      </c>
      <c r="D12080" t="s">
        <v>6773</v>
      </c>
      <c r="F12080" s="21"/>
      <c r="G12080" s="16" t="str">
        <f>HYPERLINK("http://maps.google.com/maps?f=q&amp;hl=en&amp;geocode=&amp;q=49.6086769104004,6.15955686569214")</f>
        <v>http://maps.google.com/maps?f=q&amp;hl=en&amp;geocode=&amp;q=49.6086769104004,6.15955686569214</v>
      </c>
    </row>
    <row r="12081" spans="1:7" ht="15" x14ac:dyDescent="0.3">
      <c r="A12081">
        <v>50.587699890136697</v>
      </c>
      <c r="B12081">
        <v>4.32674217224121</v>
      </c>
      <c r="C12081" t="s">
        <v>43</v>
      </c>
      <c r="D12081" t="s">
        <v>6774</v>
      </c>
      <c r="F12081" s="21"/>
      <c r="G12081" s="16" t="str">
        <f>HYPERLINK("http://maps.google.com/maps?f=q&amp;hl=en&amp;geocode=&amp;q=50.5876998901367,4.32674217224121")</f>
        <v>http://maps.google.com/maps?f=q&amp;hl=en&amp;geocode=&amp;q=50.5876998901367,4.32674217224121</v>
      </c>
    </row>
    <row r="12082" spans="1:7" ht="15" x14ac:dyDescent="0.3">
      <c r="A12082">
        <v>42.072286684945503</v>
      </c>
      <c r="B12082">
        <v>-77.585855849096305</v>
      </c>
      <c r="C12082" t="s">
        <v>41</v>
      </c>
      <c r="D12082" t="s">
        <v>6235</v>
      </c>
      <c r="F12082" s="21"/>
      <c r="G12082" s="16" t="str">
        <f>HYPERLINK("http://maps.google.com/maps?f=q&amp;hl=en&amp;geocode=&amp;q=42.0722866849455,-77.5858558490963")</f>
        <v>http://maps.google.com/maps?f=q&amp;hl=en&amp;geocode=&amp;q=42.0722866849455,-77.5858558490963</v>
      </c>
    </row>
    <row r="12083" spans="1:7" ht="15" x14ac:dyDescent="0.3">
      <c r="A12083">
        <v>51.231853485107401</v>
      </c>
      <c r="B12083">
        <v>3.2117860317230198</v>
      </c>
      <c r="C12083" t="s">
        <v>43</v>
      </c>
      <c r="D12083" t="s">
        <v>6775</v>
      </c>
      <c r="F12083" s="21"/>
      <c r="G12083" s="16" t="str">
        <f>HYPERLINK("http://maps.google.com/maps?f=q&amp;hl=en&amp;geocode=&amp;q=51.2318534851074,3.21178603172302")</f>
        <v>http://maps.google.com/maps?f=q&amp;hl=en&amp;geocode=&amp;q=51.2318534851074,3.21178603172302</v>
      </c>
    </row>
    <row r="12084" spans="1:7" ht="15" x14ac:dyDescent="0.3">
      <c r="A12084">
        <v>42.072286684945503</v>
      </c>
      <c r="B12084">
        <v>-77.585855849096305</v>
      </c>
      <c r="C12084" t="s">
        <v>41</v>
      </c>
      <c r="D12084" t="s">
        <v>6235</v>
      </c>
      <c r="F12084" s="21"/>
      <c r="G12084" s="16" t="str">
        <f>HYPERLINK("http://maps.google.com/maps?f=q&amp;hl=en&amp;geocode=&amp;q=42.0722866849455,-77.5858558490963")</f>
        <v>http://maps.google.com/maps?f=q&amp;hl=en&amp;geocode=&amp;q=42.0722866849455,-77.5858558490963</v>
      </c>
    </row>
    <row r="12085" spans="1:7" ht="15" x14ac:dyDescent="0.3">
      <c r="A12085">
        <v>36.595971541929899</v>
      </c>
      <c r="B12085">
        <v>-76.637384351176806</v>
      </c>
      <c r="C12085" t="s">
        <v>41</v>
      </c>
      <c r="D12085" t="s">
        <v>6758</v>
      </c>
      <c r="F12085" s="21"/>
      <c r="G12085" s="16" t="str">
        <f>HYPERLINK("http://maps.google.com/maps?f=q&amp;hl=en&amp;geocode=&amp;q=36.5959715419299,-76.6373843511768")</f>
        <v>http://maps.google.com/maps?f=q&amp;hl=en&amp;geocode=&amp;q=36.5959715419299,-76.6373843511768</v>
      </c>
    </row>
    <row r="12086" spans="1:7" ht="15" x14ac:dyDescent="0.3">
      <c r="A12086">
        <v>36.595971541929899</v>
      </c>
      <c r="B12086">
        <v>-76.637384351176806</v>
      </c>
      <c r="C12086" t="s">
        <v>41</v>
      </c>
      <c r="D12086" t="s">
        <v>6758</v>
      </c>
      <c r="F12086" s="21"/>
      <c r="G12086" s="16" t="str">
        <f>HYPERLINK("http://maps.google.com/maps?f=q&amp;hl=en&amp;geocode=&amp;q=36.5959715419299,-76.6373843511768")</f>
        <v>http://maps.google.com/maps?f=q&amp;hl=en&amp;geocode=&amp;q=36.5959715419299,-76.6373843511768</v>
      </c>
    </row>
    <row r="12087" spans="1:7" ht="15" x14ac:dyDescent="0.3">
      <c r="A12087">
        <v>40.245730000000002</v>
      </c>
      <c r="B12087">
        <v>-90.235129999999998</v>
      </c>
      <c r="C12087" t="s">
        <v>43</v>
      </c>
      <c r="D12087" t="s">
        <v>6776</v>
      </c>
      <c r="F12087" s="21"/>
      <c r="G12087" s="16" t="str">
        <f>HYPERLINK("http://maps.google.com/maps?f=q&amp;hl=en&amp;geocode=&amp;q=40.24573,-90.23513")</f>
        <v>http://maps.google.com/maps?f=q&amp;hl=en&amp;geocode=&amp;q=40.24573,-90.23513</v>
      </c>
    </row>
    <row r="12088" spans="1:7" ht="15" x14ac:dyDescent="0.3">
      <c r="A12088">
        <v>43.986690000000003</v>
      </c>
      <c r="B12088">
        <v>-117.24427</v>
      </c>
      <c r="C12088" t="s">
        <v>43</v>
      </c>
      <c r="D12088" t="s">
        <v>6681</v>
      </c>
      <c r="F12088" s="21"/>
      <c r="G12088" s="16" t="str">
        <f>HYPERLINK("http://maps.google.com/maps?f=q&amp;hl=en&amp;geocode=&amp;q=43.98669,-117.24427")</f>
        <v>http://maps.google.com/maps?f=q&amp;hl=en&amp;geocode=&amp;q=43.98669,-117.24427</v>
      </c>
    </row>
    <row r="12089" spans="1:7" ht="15" x14ac:dyDescent="0.3">
      <c r="A12089">
        <v>43.986690000000003</v>
      </c>
      <c r="B12089">
        <v>-117.24427</v>
      </c>
      <c r="C12089" t="s">
        <v>43</v>
      </c>
      <c r="D12089" t="s">
        <v>6681</v>
      </c>
      <c r="F12089" s="21"/>
      <c r="G12089" s="16" t="str">
        <f>HYPERLINK("http://maps.google.com/maps?f=q&amp;hl=en&amp;geocode=&amp;q=43.98669,-117.24427")</f>
        <v>http://maps.google.com/maps?f=q&amp;hl=en&amp;geocode=&amp;q=43.98669,-117.24427</v>
      </c>
    </row>
    <row r="12090" spans="1:7" ht="15" x14ac:dyDescent="0.3">
      <c r="A12090">
        <v>39.793516420004799</v>
      </c>
      <c r="B12090">
        <v>-86.080079261049505</v>
      </c>
      <c r="C12090" t="s">
        <v>43</v>
      </c>
      <c r="D12090" t="s">
        <v>6777</v>
      </c>
      <c r="F12090" s="21"/>
      <c r="G12090" s="16" t="str">
        <f>HYPERLINK("http://maps.google.com/maps?f=q&amp;hl=en&amp;geocode=&amp;q=39.7935164200048,-86.0800792610495")</f>
        <v>http://maps.google.com/maps?f=q&amp;hl=en&amp;geocode=&amp;q=39.7935164200048,-86.0800792610495</v>
      </c>
    </row>
    <row r="12091" spans="1:7" ht="15" x14ac:dyDescent="0.3">
      <c r="A12091">
        <v>34.931970367514097</v>
      </c>
      <c r="B12091">
        <v>-89.876229477779205</v>
      </c>
      <c r="C12091" t="s">
        <v>41</v>
      </c>
      <c r="D12091" t="s">
        <v>4633</v>
      </c>
      <c r="F12091" s="21"/>
      <c r="G12091" s="16" t="str">
        <f>HYPERLINK("http://maps.google.com/maps?f=q&amp;hl=en&amp;geocode=&amp;q=34.9319703675141,-89.8762294777792")</f>
        <v>http://maps.google.com/maps?f=q&amp;hl=en&amp;geocode=&amp;q=34.9319703675141,-89.8762294777792</v>
      </c>
    </row>
    <row r="12092" spans="1:7" ht="15" x14ac:dyDescent="0.3">
      <c r="A12092">
        <v>39.916310000000003</v>
      </c>
      <c r="B12092">
        <v>-75.178030000000007</v>
      </c>
      <c r="C12092" t="s">
        <v>43</v>
      </c>
      <c r="D12092" t="s">
        <v>3772</v>
      </c>
      <c r="F12092" s="21"/>
      <c r="G12092" s="16" t="str">
        <f>HYPERLINK("http://maps.google.com/maps?f=q&amp;hl=en&amp;geocode=&amp;q=39.91631,-75.17803")</f>
        <v>http://maps.google.com/maps?f=q&amp;hl=en&amp;geocode=&amp;q=39.91631,-75.17803</v>
      </c>
    </row>
    <row r="12093" spans="1:7" ht="15" x14ac:dyDescent="0.3">
      <c r="A12093">
        <v>48.672306060791001</v>
      </c>
      <c r="B12093">
        <v>7.5540661811828604</v>
      </c>
      <c r="C12093" t="s">
        <v>43</v>
      </c>
      <c r="D12093" t="s">
        <v>5375</v>
      </c>
      <c r="F12093" s="21"/>
      <c r="G12093" s="16" t="str">
        <f>HYPERLINK("http://maps.google.com/maps?f=q&amp;hl=en&amp;geocode=&amp;q=48.672306060791,7.55406618118286")</f>
        <v>http://maps.google.com/maps?f=q&amp;hl=en&amp;geocode=&amp;q=48.672306060791,7.55406618118286</v>
      </c>
    </row>
    <row r="12094" spans="1:7" ht="15" x14ac:dyDescent="0.3">
      <c r="A12094">
        <v>39.974420000000002</v>
      </c>
      <c r="B12094">
        <v>-75.18374</v>
      </c>
      <c r="C12094" t="s">
        <v>41</v>
      </c>
      <c r="D12094" t="s">
        <v>5458</v>
      </c>
      <c r="F12094" s="21"/>
      <c r="G12094" s="16" t="str">
        <f>HYPERLINK("http://maps.google.com/maps?f=q&amp;hl=en&amp;geocode=&amp;q=39.97442,-75.18374")</f>
        <v>http://maps.google.com/maps?f=q&amp;hl=en&amp;geocode=&amp;q=39.97442,-75.18374</v>
      </c>
    </row>
    <row r="12095" spans="1:7" ht="15" x14ac:dyDescent="0.3">
      <c r="A12095">
        <v>40.034210000000002</v>
      </c>
      <c r="B12095">
        <v>-75.053169999999994</v>
      </c>
      <c r="C12095" t="s">
        <v>41</v>
      </c>
      <c r="D12095" t="s">
        <v>6778</v>
      </c>
      <c r="F12095" s="21"/>
      <c r="G12095" s="16" t="str">
        <f>HYPERLINK("http://maps.google.com/maps?f=q&amp;hl=en&amp;geocode=&amp;q=40.03421,-75.05317")</f>
        <v>http://maps.google.com/maps?f=q&amp;hl=en&amp;geocode=&amp;q=40.03421,-75.05317</v>
      </c>
    </row>
    <row r="12096" spans="1:7" ht="15" x14ac:dyDescent="0.3">
      <c r="A12096">
        <v>33.467250823974602</v>
      </c>
      <c r="B12096">
        <v>-96.913932800292997</v>
      </c>
      <c r="C12096" t="s">
        <v>43</v>
      </c>
      <c r="D12096" t="s">
        <v>6779</v>
      </c>
      <c r="F12096" s="21"/>
      <c r="G12096" s="16" t="str">
        <f>HYPERLINK("http://maps.google.com/maps?f=q&amp;hl=en&amp;geocode=&amp;q=33.4672508239746,-96.913932800293")</f>
        <v>http://maps.google.com/maps?f=q&amp;hl=en&amp;geocode=&amp;q=33.4672508239746,-96.913932800293</v>
      </c>
    </row>
    <row r="12097" spans="1:7" ht="15" x14ac:dyDescent="0.3">
      <c r="A12097" t="s">
        <v>44</v>
      </c>
      <c r="B12097" t="s">
        <v>44</v>
      </c>
      <c r="C12097" t="s">
        <v>44</v>
      </c>
      <c r="D12097" t="s">
        <v>6780</v>
      </c>
      <c r="F12097" s="21"/>
      <c r="G12097" s="16"/>
    </row>
    <row r="12098" spans="1:7" ht="15" x14ac:dyDescent="0.3">
      <c r="A12098" t="s">
        <v>44</v>
      </c>
      <c r="B12098" t="s">
        <v>44</v>
      </c>
      <c r="C12098" t="s">
        <v>44</v>
      </c>
      <c r="D12098" t="s">
        <v>3866</v>
      </c>
      <c r="F12098" s="21"/>
      <c r="G12098" s="16"/>
    </row>
    <row r="12099" spans="1:7" ht="15" x14ac:dyDescent="0.3">
      <c r="A12099">
        <v>34.009819999999998</v>
      </c>
      <c r="B12099">
        <v>-84.162930000000003</v>
      </c>
      <c r="C12099" t="s">
        <v>41</v>
      </c>
      <c r="D12099" t="s">
        <v>4998</v>
      </c>
      <c r="F12099" s="21"/>
      <c r="G12099" s="16" t="str">
        <f>HYPERLINK("http://maps.google.com/maps?f=q&amp;hl=en&amp;geocode=&amp;q=34.00982,-84.16293")</f>
        <v>http://maps.google.com/maps?f=q&amp;hl=en&amp;geocode=&amp;q=34.00982,-84.16293</v>
      </c>
    </row>
    <row r="12100" spans="1:7" ht="15" x14ac:dyDescent="0.3">
      <c r="A12100">
        <v>40.066369999999999</v>
      </c>
      <c r="B12100">
        <v>-75.148009999999999</v>
      </c>
      <c r="C12100" t="s">
        <v>41</v>
      </c>
      <c r="D12100" t="s">
        <v>6781</v>
      </c>
      <c r="F12100" s="21"/>
      <c r="G12100" s="16" t="str">
        <f>HYPERLINK("http://maps.google.com/maps?f=q&amp;hl=en&amp;geocode=&amp;q=40.06637,-75.14801")</f>
        <v>http://maps.google.com/maps?f=q&amp;hl=en&amp;geocode=&amp;q=40.06637,-75.14801</v>
      </c>
    </row>
    <row r="12101" spans="1:7" ht="15" x14ac:dyDescent="0.3">
      <c r="A12101">
        <v>35.958046935190303</v>
      </c>
      <c r="B12101">
        <v>-77.473397765092201</v>
      </c>
      <c r="C12101" t="s">
        <v>41</v>
      </c>
      <c r="D12101" t="s">
        <v>3222</v>
      </c>
      <c r="F12101" s="21"/>
      <c r="G12101" s="16" t="str">
        <f>HYPERLINK("http://maps.google.com/maps?f=q&amp;hl=en&amp;geocode=&amp;q=35.9580469351903,-77.4733977650922")</f>
        <v>http://maps.google.com/maps?f=q&amp;hl=en&amp;geocode=&amp;q=35.9580469351903,-77.4733977650922</v>
      </c>
    </row>
    <row r="12102" spans="1:7" ht="15" x14ac:dyDescent="0.3">
      <c r="A12102">
        <v>39.913220000000003</v>
      </c>
      <c r="B12102">
        <v>-75.173820000000006</v>
      </c>
      <c r="C12102" t="s">
        <v>43</v>
      </c>
      <c r="D12102" t="s">
        <v>3854</v>
      </c>
      <c r="F12102" s="21"/>
      <c r="G12102" s="16" t="str">
        <f>HYPERLINK("http://maps.google.com/maps?f=q&amp;hl=en&amp;geocode=&amp;q=39.91322,-75.17382")</f>
        <v>http://maps.google.com/maps?f=q&amp;hl=en&amp;geocode=&amp;q=39.91322,-75.17382</v>
      </c>
    </row>
    <row r="12103" spans="1:7" ht="15" x14ac:dyDescent="0.3">
      <c r="A12103">
        <v>40.038051605224602</v>
      </c>
      <c r="B12103">
        <v>-76.301292419433594</v>
      </c>
      <c r="C12103" t="s">
        <v>41</v>
      </c>
      <c r="D12103" t="s">
        <v>6782</v>
      </c>
      <c r="F12103" s="21"/>
      <c r="G12103" s="16" t="str">
        <f>HYPERLINK("http://maps.google.com/maps?f=q&amp;hl=en&amp;geocode=&amp;q=40.0380516052246,-76.3012924194336")</f>
        <v>http://maps.google.com/maps?f=q&amp;hl=en&amp;geocode=&amp;q=40.0380516052246,-76.3012924194336</v>
      </c>
    </row>
    <row r="12104" spans="1:7" ht="15" x14ac:dyDescent="0.3">
      <c r="A12104">
        <v>43.176059722900398</v>
      </c>
      <c r="B12104">
        <v>-71.821647644042997</v>
      </c>
      <c r="C12104" t="s">
        <v>43</v>
      </c>
      <c r="D12104" t="s">
        <v>6783</v>
      </c>
      <c r="F12104" s="21"/>
      <c r="G12104" s="16" t="str">
        <f>HYPERLINK("http://maps.google.com/maps?f=q&amp;hl=en&amp;geocode=&amp;q=43.1760597229004,-71.821647644043")</f>
        <v>http://maps.google.com/maps?f=q&amp;hl=en&amp;geocode=&amp;q=43.1760597229004,-71.821647644043</v>
      </c>
    </row>
    <row r="12105" spans="1:7" ht="15" x14ac:dyDescent="0.3">
      <c r="A12105">
        <v>36.924036359144999</v>
      </c>
      <c r="B12105">
        <v>-93.927740973404994</v>
      </c>
      <c r="C12105" t="s">
        <v>41</v>
      </c>
      <c r="D12105" t="s">
        <v>6784</v>
      </c>
      <c r="F12105" s="21"/>
      <c r="G12105" s="16" t="str">
        <f>HYPERLINK("http://maps.google.com/maps?f=q&amp;hl=en&amp;geocode=&amp;q=36.924036359145,-93.927740973405")</f>
        <v>http://maps.google.com/maps?f=q&amp;hl=en&amp;geocode=&amp;q=36.924036359145,-93.927740973405</v>
      </c>
    </row>
    <row r="12106" spans="1:7" ht="15" x14ac:dyDescent="0.3">
      <c r="A12106">
        <v>-36.718856811523402</v>
      </c>
      <c r="B12106">
        <v>142.19622802734401</v>
      </c>
      <c r="C12106" t="s">
        <v>43</v>
      </c>
      <c r="D12106" t="s">
        <v>86</v>
      </c>
      <c r="F12106" s="21"/>
      <c r="G12106" s="16" t="str">
        <f>HYPERLINK("http://maps.google.com/maps?f=q&amp;hl=en&amp;geocode=&amp;q=-36.7188568115234,142.196228027344")</f>
        <v>http://maps.google.com/maps?f=q&amp;hl=en&amp;geocode=&amp;q=-36.7188568115234,142.196228027344</v>
      </c>
    </row>
    <row r="12107" spans="1:7" ht="15" x14ac:dyDescent="0.3">
      <c r="A12107">
        <v>42.470289999999999</v>
      </c>
      <c r="B12107">
        <v>-83.077780000000004</v>
      </c>
      <c r="C12107" t="s">
        <v>42</v>
      </c>
      <c r="D12107" t="s">
        <v>88</v>
      </c>
      <c r="F12107" s="21"/>
      <c r="G12107" s="16" t="str">
        <f>HYPERLINK("http://maps.google.com/maps?f=q&amp;hl=en&amp;geocode=&amp;q=42.47029,-83.07778")</f>
        <v>http://maps.google.com/maps?f=q&amp;hl=en&amp;geocode=&amp;q=42.47029,-83.07778</v>
      </c>
    </row>
    <row r="12108" spans="1:7" ht="15" x14ac:dyDescent="0.3">
      <c r="A12108">
        <v>35.655630000000002</v>
      </c>
      <c r="B12108">
        <v>-78.503450000000001</v>
      </c>
      <c r="C12108" t="s">
        <v>41</v>
      </c>
      <c r="D12108" t="s">
        <v>4968</v>
      </c>
      <c r="F12108" s="21"/>
      <c r="G12108" s="16" t="str">
        <f>HYPERLINK("http://maps.google.com/maps?f=q&amp;hl=en&amp;geocode=&amp;q=35.65563,-78.50345")</f>
        <v>http://maps.google.com/maps?f=q&amp;hl=en&amp;geocode=&amp;q=35.65563,-78.50345</v>
      </c>
    </row>
    <row r="12109" spans="1:7" ht="15" x14ac:dyDescent="0.3">
      <c r="A12109">
        <v>35.655630000000002</v>
      </c>
      <c r="B12109">
        <v>-78.503450000000001</v>
      </c>
      <c r="C12109" t="s">
        <v>41</v>
      </c>
      <c r="D12109" t="s">
        <v>4968</v>
      </c>
      <c r="F12109" s="21"/>
      <c r="G12109" s="16" t="str">
        <f>HYPERLINK("http://maps.google.com/maps?f=q&amp;hl=en&amp;geocode=&amp;q=35.65563,-78.50345")</f>
        <v>http://maps.google.com/maps?f=q&amp;hl=en&amp;geocode=&amp;q=35.65563,-78.50345</v>
      </c>
    </row>
    <row r="12110" spans="1:7" ht="15" x14ac:dyDescent="0.3">
      <c r="A12110" t="s">
        <v>44</v>
      </c>
      <c r="B12110" t="s">
        <v>44</v>
      </c>
      <c r="C12110" t="s">
        <v>44</v>
      </c>
      <c r="D12110" t="s">
        <v>6785</v>
      </c>
      <c r="F12110" s="21"/>
      <c r="G12110" s="16"/>
    </row>
    <row r="12111" spans="1:7" ht="15" x14ac:dyDescent="0.3">
      <c r="A12111" t="s">
        <v>44</v>
      </c>
      <c r="B12111" t="s">
        <v>44</v>
      </c>
      <c r="C12111" t="s">
        <v>44</v>
      </c>
      <c r="D12111" t="s">
        <v>6785</v>
      </c>
      <c r="F12111" s="21"/>
      <c r="G12111" s="16"/>
    </row>
    <row r="12112" spans="1:7" ht="15" x14ac:dyDescent="0.3">
      <c r="A12112" t="s">
        <v>44</v>
      </c>
      <c r="B12112" t="s">
        <v>44</v>
      </c>
      <c r="C12112" t="s">
        <v>44</v>
      </c>
      <c r="D12112" t="s">
        <v>6785</v>
      </c>
      <c r="F12112" s="21"/>
      <c r="G12112" s="16"/>
    </row>
    <row r="12113" spans="1:7" ht="15" x14ac:dyDescent="0.3">
      <c r="A12113">
        <v>47.37574</v>
      </c>
      <c r="B12113">
        <v>7.35372</v>
      </c>
      <c r="C12113" t="s">
        <v>41</v>
      </c>
      <c r="D12113" t="s">
        <v>1412</v>
      </c>
      <c r="F12113" s="21"/>
      <c r="G12113" s="16" t="str">
        <f>HYPERLINK("http://maps.google.com/maps?f=q&amp;hl=en&amp;geocode=&amp;q=47.37574,7.35372")</f>
        <v>http://maps.google.com/maps?f=q&amp;hl=en&amp;geocode=&amp;q=47.37574,7.35372</v>
      </c>
    </row>
    <row r="12114" spans="1:7" ht="15" x14ac:dyDescent="0.3">
      <c r="A12114">
        <v>41.832865988681696</v>
      </c>
      <c r="B12114">
        <v>-86.402973025504195</v>
      </c>
      <c r="C12114" t="s">
        <v>43</v>
      </c>
      <c r="D12114" t="s">
        <v>3878</v>
      </c>
      <c r="F12114" s="21"/>
      <c r="G12114" s="16" t="str">
        <f>HYPERLINK("http://maps.google.com/maps?f=q&amp;hl=en&amp;geocode=&amp;q=41.8328659886817,-86.4029730255042")</f>
        <v>http://maps.google.com/maps?f=q&amp;hl=en&amp;geocode=&amp;q=41.8328659886817,-86.4029730255042</v>
      </c>
    </row>
    <row r="12115" spans="1:7" ht="15" x14ac:dyDescent="0.3">
      <c r="A12115">
        <v>53.150001525878899</v>
      </c>
      <c r="B12115">
        <v>26.683300018310501</v>
      </c>
      <c r="C12115" t="s">
        <v>43</v>
      </c>
      <c r="D12115" t="s">
        <v>6786</v>
      </c>
      <c r="F12115" s="21"/>
      <c r="G12115" s="16" t="str">
        <f>HYPERLINK("http://maps.google.com/maps?f=q&amp;hl=en&amp;geocode=&amp;q=53.1500015258789,26.6833000183105")</f>
        <v>http://maps.google.com/maps?f=q&amp;hl=en&amp;geocode=&amp;q=53.1500015258789,26.6833000183105</v>
      </c>
    </row>
    <row r="12116" spans="1:7" ht="15" x14ac:dyDescent="0.3">
      <c r="A12116">
        <v>42.529228210449197</v>
      </c>
      <c r="B12116">
        <v>-71.347801208496094</v>
      </c>
      <c r="C12116" t="s">
        <v>41</v>
      </c>
      <c r="D12116" t="s">
        <v>6787</v>
      </c>
      <c r="F12116" s="21"/>
      <c r="G12116" s="16" t="str">
        <f>HYPERLINK("http://maps.google.com/maps?f=q&amp;hl=en&amp;geocode=&amp;q=42.5292282104492,-71.3478012084961")</f>
        <v>http://maps.google.com/maps?f=q&amp;hl=en&amp;geocode=&amp;q=42.5292282104492,-71.3478012084961</v>
      </c>
    </row>
    <row r="12117" spans="1:7" ht="15" x14ac:dyDescent="0.3">
      <c r="A12117">
        <v>42.529228210449197</v>
      </c>
      <c r="B12117">
        <v>-71.347801208496094</v>
      </c>
      <c r="C12117" t="s">
        <v>41</v>
      </c>
      <c r="D12117" t="s">
        <v>6787</v>
      </c>
      <c r="F12117" s="21"/>
      <c r="G12117" s="16" t="str">
        <f>HYPERLINK("http://maps.google.com/maps?f=q&amp;hl=en&amp;geocode=&amp;q=42.5292282104492,-71.3478012084961")</f>
        <v>http://maps.google.com/maps?f=q&amp;hl=en&amp;geocode=&amp;q=42.5292282104492,-71.3478012084961</v>
      </c>
    </row>
    <row r="12118" spans="1:7" ht="15" x14ac:dyDescent="0.3">
      <c r="A12118">
        <v>39.9518766952758</v>
      </c>
      <c r="B12118">
        <v>-75.168855805924906</v>
      </c>
      <c r="C12118" t="s">
        <v>41</v>
      </c>
      <c r="D12118" t="s">
        <v>6431</v>
      </c>
      <c r="F12118" s="21"/>
      <c r="G12118" s="16" t="str">
        <f>HYPERLINK("http://maps.google.com/maps?f=q&amp;hl=en&amp;geocode=&amp;q=39.9518766952758,-75.1688558059249")</f>
        <v>http://maps.google.com/maps?f=q&amp;hl=en&amp;geocode=&amp;q=39.9518766952758,-75.1688558059249</v>
      </c>
    </row>
    <row r="12119" spans="1:7" ht="15" x14ac:dyDescent="0.3">
      <c r="A12119">
        <v>39.305960143236497</v>
      </c>
      <c r="B12119">
        <v>-76.594435092052805</v>
      </c>
      <c r="C12119" t="s">
        <v>41</v>
      </c>
      <c r="D12119" t="s">
        <v>4029</v>
      </c>
      <c r="F12119" s="21"/>
      <c r="G12119" s="16" t="str">
        <f>HYPERLINK("http://maps.google.com/maps?f=q&amp;hl=en&amp;geocode=&amp;q=39.3059601432365,-76.5944350920528")</f>
        <v>http://maps.google.com/maps?f=q&amp;hl=en&amp;geocode=&amp;q=39.3059601432365,-76.5944350920528</v>
      </c>
    </row>
    <row r="12120" spans="1:7" ht="15" x14ac:dyDescent="0.3">
      <c r="A12120">
        <v>39.182571411132798</v>
      </c>
      <c r="B12120">
        <v>-77.270347595214801</v>
      </c>
      <c r="C12120" t="s">
        <v>41</v>
      </c>
      <c r="D12120" t="s">
        <v>3450</v>
      </c>
      <c r="F12120" s="21"/>
      <c r="G12120" s="16" t="str">
        <f>HYPERLINK("http://maps.google.com/maps?f=q&amp;hl=en&amp;geocode=&amp;q=39.1825714111328,-77.2703475952148")</f>
        <v>http://maps.google.com/maps?f=q&amp;hl=en&amp;geocode=&amp;q=39.1825714111328,-77.2703475952148</v>
      </c>
    </row>
    <row r="12121" spans="1:7" ht="15" x14ac:dyDescent="0.3">
      <c r="A12121">
        <v>-29.641719999999999</v>
      </c>
      <c r="B12121">
        <v>30.410029999999999</v>
      </c>
      <c r="C12121" t="s">
        <v>41</v>
      </c>
      <c r="D12121" t="s">
        <v>6716</v>
      </c>
      <c r="F12121" s="21"/>
      <c r="G12121" s="16" t="str">
        <f>HYPERLINK("http://maps.google.com/maps?f=q&amp;hl=en&amp;geocode=&amp;q=-29.64172,30.41003")</f>
        <v>http://maps.google.com/maps?f=q&amp;hl=en&amp;geocode=&amp;q=-29.64172,30.41003</v>
      </c>
    </row>
    <row r="12122" spans="1:7" ht="15" x14ac:dyDescent="0.3">
      <c r="A12122">
        <v>38.103029999999997</v>
      </c>
      <c r="B12122">
        <v>-84.881200000000007</v>
      </c>
      <c r="C12122" t="s">
        <v>42</v>
      </c>
      <c r="D12122" t="s">
        <v>2918</v>
      </c>
      <c r="F12122" s="21"/>
      <c r="G12122" s="16" t="str">
        <f>HYPERLINK("http://maps.google.com/maps?f=q&amp;hl=en&amp;geocode=&amp;q=38.10303,-84.8812")</f>
        <v>http://maps.google.com/maps?f=q&amp;hl=en&amp;geocode=&amp;q=38.10303,-84.8812</v>
      </c>
    </row>
    <row r="12123" spans="1:7" ht="15" x14ac:dyDescent="0.3">
      <c r="A12123">
        <v>39.950060000000001</v>
      </c>
      <c r="B12123">
        <v>-75.168139999999994</v>
      </c>
      <c r="C12123" t="s">
        <v>41</v>
      </c>
      <c r="D12123" t="s">
        <v>5999</v>
      </c>
      <c r="F12123" s="21"/>
      <c r="G12123" s="16" t="str">
        <f>HYPERLINK("http://maps.google.com/maps?f=q&amp;hl=en&amp;geocode=&amp;q=39.95006,-75.16814")</f>
        <v>http://maps.google.com/maps?f=q&amp;hl=en&amp;geocode=&amp;q=39.95006,-75.16814</v>
      </c>
    </row>
    <row r="12124" spans="1:7" ht="15" x14ac:dyDescent="0.3">
      <c r="A12124" t="s">
        <v>44</v>
      </c>
      <c r="B12124" t="s">
        <v>44</v>
      </c>
      <c r="C12124" t="s">
        <v>44</v>
      </c>
      <c r="D12124" t="s">
        <v>3866</v>
      </c>
      <c r="F12124" s="21"/>
      <c r="G12124" s="16"/>
    </row>
    <row r="12125" spans="1:7" ht="15" x14ac:dyDescent="0.3">
      <c r="A12125">
        <v>-25.965841293335</v>
      </c>
      <c r="B12125">
        <v>28.207445144653299</v>
      </c>
      <c r="C12125" t="s">
        <v>43</v>
      </c>
      <c r="D12125" t="s">
        <v>6315</v>
      </c>
      <c r="F12125" s="21"/>
      <c r="G12125" s="16" t="str">
        <f>HYPERLINK("http://maps.google.com/maps?f=q&amp;hl=en&amp;geocode=&amp;q=-25.965841293335,28.2074451446533")</f>
        <v>http://maps.google.com/maps?f=q&amp;hl=en&amp;geocode=&amp;q=-25.965841293335,28.2074451446533</v>
      </c>
    </row>
    <row r="12126" spans="1:7" ht="15" x14ac:dyDescent="0.3">
      <c r="A12126">
        <v>40.076979999999999</v>
      </c>
      <c r="B12126">
        <v>-75.034899999999993</v>
      </c>
      <c r="C12126" t="s">
        <v>41</v>
      </c>
      <c r="D12126" t="s">
        <v>6788</v>
      </c>
      <c r="F12126" s="21"/>
      <c r="G12126" s="16" t="str">
        <f>HYPERLINK("http://maps.google.com/maps?f=q&amp;hl=en&amp;geocode=&amp;q=40.07698,-75.0349")</f>
        <v>http://maps.google.com/maps?f=q&amp;hl=en&amp;geocode=&amp;q=40.07698,-75.0349</v>
      </c>
    </row>
    <row r="12127" spans="1:7" ht="15" x14ac:dyDescent="0.3">
      <c r="A12127">
        <v>39.971473972150299</v>
      </c>
      <c r="B12127">
        <v>-75.159605242826203</v>
      </c>
      <c r="C12127" t="s">
        <v>41</v>
      </c>
      <c r="D12127" t="s">
        <v>3736</v>
      </c>
      <c r="F12127" s="21"/>
      <c r="G12127" s="16" t="str">
        <f>HYPERLINK("http://maps.google.com/maps?f=q&amp;hl=en&amp;geocode=&amp;q=39.9714739721503,-75.1596052428262")</f>
        <v>http://maps.google.com/maps?f=q&amp;hl=en&amp;geocode=&amp;q=39.9714739721503,-75.1596052428262</v>
      </c>
    </row>
    <row r="12128" spans="1:7" ht="15" x14ac:dyDescent="0.3">
      <c r="A12128">
        <v>32.7862216314644</v>
      </c>
      <c r="B12128">
        <v>-111.617976793849</v>
      </c>
      <c r="C12128" t="s">
        <v>41</v>
      </c>
      <c r="D12128" t="s">
        <v>6789</v>
      </c>
      <c r="F12128" s="21"/>
      <c r="G12128" s="16" t="str">
        <f>HYPERLINK("http://maps.google.com/maps?f=q&amp;hl=en&amp;geocode=&amp;q=32.7862216314644,-111.617976793849")</f>
        <v>http://maps.google.com/maps?f=q&amp;hl=en&amp;geocode=&amp;q=32.7862216314644,-111.617976793849</v>
      </c>
    </row>
    <row r="12129" spans="1:7" ht="15" x14ac:dyDescent="0.3">
      <c r="A12129">
        <v>48.672306060791001</v>
      </c>
      <c r="B12129">
        <v>7.5540661811828604</v>
      </c>
      <c r="C12129" t="s">
        <v>43</v>
      </c>
      <c r="D12129" t="s">
        <v>5375</v>
      </c>
      <c r="F12129" s="21"/>
      <c r="G12129" s="16" t="str">
        <f>HYPERLINK("http://maps.google.com/maps?f=q&amp;hl=en&amp;geocode=&amp;q=48.672306060791,7.55406618118286")</f>
        <v>http://maps.google.com/maps?f=q&amp;hl=en&amp;geocode=&amp;q=48.672306060791,7.55406618118286</v>
      </c>
    </row>
    <row r="12130" spans="1:7" ht="15" x14ac:dyDescent="0.3">
      <c r="A12130">
        <v>43.5396261751483</v>
      </c>
      <c r="B12130">
        <v>-84.950690176391205</v>
      </c>
      <c r="C12130" t="s">
        <v>41</v>
      </c>
      <c r="D12130" t="s">
        <v>6790</v>
      </c>
      <c r="F12130" s="21"/>
      <c r="G12130" s="16" t="str">
        <f>HYPERLINK("http://maps.google.com/maps?f=q&amp;hl=en&amp;geocode=&amp;q=43.5396261751483,-84.9506901763912")</f>
        <v>http://maps.google.com/maps?f=q&amp;hl=en&amp;geocode=&amp;q=43.5396261751483,-84.9506901763912</v>
      </c>
    </row>
    <row r="12131" spans="1:7" ht="15" x14ac:dyDescent="0.3">
      <c r="A12131">
        <v>-38.112679999999997</v>
      </c>
      <c r="B12131">
        <v>141.94817</v>
      </c>
      <c r="C12131" t="s">
        <v>41</v>
      </c>
      <c r="D12131" t="s">
        <v>6791</v>
      </c>
      <c r="F12131" s="21"/>
      <c r="G12131" s="16" t="str">
        <f>HYPERLINK("http://maps.google.com/maps?f=q&amp;hl=en&amp;geocode=&amp;q=-38.11268,141.94817")</f>
        <v>http://maps.google.com/maps?f=q&amp;hl=en&amp;geocode=&amp;q=-38.11268,141.94817</v>
      </c>
    </row>
    <row r="12132" spans="1:7" ht="15" x14ac:dyDescent="0.3">
      <c r="A12132">
        <v>44.590053046271102</v>
      </c>
      <c r="B12132">
        <v>-88.135161422423195</v>
      </c>
      <c r="C12132" t="s">
        <v>41</v>
      </c>
      <c r="D12132" t="s">
        <v>3529</v>
      </c>
      <c r="F12132" s="21"/>
      <c r="G12132" s="16" t="str">
        <f>HYPERLINK("http://maps.google.com/maps?f=q&amp;hl=en&amp;geocode=&amp;q=44.5900530462711,-88.1351614224232")</f>
        <v>http://maps.google.com/maps?f=q&amp;hl=en&amp;geocode=&amp;q=44.5900530462711,-88.1351614224232</v>
      </c>
    </row>
    <row r="12133" spans="1:7" ht="15" x14ac:dyDescent="0.3">
      <c r="A12133" t="s">
        <v>44</v>
      </c>
      <c r="B12133" t="s">
        <v>44</v>
      </c>
      <c r="C12133" t="s">
        <v>44</v>
      </c>
      <c r="D12133" t="s">
        <v>4687</v>
      </c>
      <c r="F12133" s="21"/>
      <c r="G12133" s="16"/>
    </row>
    <row r="12134" spans="1:7" ht="15" x14ac:dyDescent="0.3">
      <c r="A12134">
        <v>32.988340000000001</v>
      </c>
      <c r="B12134">
        <v>-96.790409999999994</v>
      </c>
      <c r="C12134" t="s">
        <v>41</v>
      </c>
      <c r="D12134" t="s">
        <v>6792</v>
      </c>
      <c r="F12134" s="21"/>
      <c r="G12134" s="16" t="str">
        <f>HYPERLINK("http://maps.google.com/maps?f=q&amp;hl=en&amp;geocode=&amp;q=32.98834,-96.79041")</f>
        <v>http://maps.google.com/maps?f=q&amp;hl=en&amp;geocode=&amp;q=32.98834,-96.79041</v>
      </c>
    </row>
    <row r="12135" spans="1:7" ht="15" x14ac:dyDescent="0.3">
      <c r="A12135">
        <v>40.005633262006398</v>
      </c>
      <c r="B12135">
        <v>-83.061130266683406</v>
      </c>
      <c r="C12135" t="s">
        <v>41</v>
      </c>
      <c r="D12135" t="s">
        <v>2139</v>
      </c>
      <c r="F12135" s="21"/>
      <c r="G12135" s="16" t="str">
        <f>HYPERLINK("http://maps.google.com/maps?f=q&amp;hl=en&amp;geocode=&amp;q=40.0056332620064,-83.0611302666834")</f>
        <v>http://maps.google.com/maps?f=q&amp;hl=en&amp;geocode=&amp;q=40.0056332620064,-83.0611302666834</v>
      </c>
    </row>
    <row r="12136" spans="1:7" ht="15" x14ac:dyDescent="0.3">
      <c r="A12136">
        <v>35.175879999999999</v>
      </c>
      <c r="B12136">
        <v>-77.839250000000007</v>
      </c>
      <c r="C12136" t="s">
        <v>42</v>
      </c>
      <c r="D12136" t="s">
        <v>6793</v>
      </c>
      <c r="F12136" s="21"/>
      <c r="G12136" s="16" t="str">
        <f>HYPERLINK("http://maps.google.com/maps?f=q&amp;hl=en&amp;geocode=&amp;q=35.17588,-77.83925")</f>
        <v>http://maps.google.com/maps?f=q&amp;hl=en&amp;geocode=&amp;q=35.17588,-77.83925</v>
      </c>
    </row>
    <row r="12137" spans="1:7" ht="15" x14ac:dyDescent="0.3">
      <c r="F12137" s="21"/>
      <c r="G12137" s="16"/>
    </row>
    <row r="12138" spans="1:7" ht="15" x14ac:dyDescent="0.3">
      <c r="A12138" t="s">
        <v>44</v>
      </c>
      <c r="B12138" t="s">
        <v>44</v>
      </c>
      <c r="C12138" t="s">
        <v>44</v>
      </c>
      <c r="D12138" t="s">
        <v>3866</v>
      </c>
      <c r="F12138" s="21"/>
      <c r="G12138" s="16"/>
    </row>
    <row r="12139" spans="1:7" ht="15" x14ac:dyDescent="0.3">
      <c r="A12139">
        <v>40.04712</v>
      </c>
      <c r="B12139">
        <v>-75.158339999999995</v>
      </c>
      <c r="C12139" t="s">
        <v>41</v>
      </c>
      <c r="D12139" t="s">
        <v>5791</v>
      </c>
      <c r="F12139" s="21"/>
      <c r="G12139" s="16" t="str">
        <f>HYPERLINK("http://maps.google.com/maps?f=q&amp;hl=en&amp;geocode=&amp;q=40.04712,-75.15834")</f>
        <v>http://maps.google.com/maps?f=q&amp;hl=en&amp;geocode=&amp;q=40.04712,-75.15834</v>
      </c>
    </row>
    <row r="12140" spans="1:7" ht="15" x14ac:dyDescent="0.3">
      <c r="A12140">
        <v>27.508870000000002</v>
      </c>
      <c r="B12140">
        <v>-99.474720000000005</v>
      </c>
      <c r="C12140" t="s">
        <v>43</v>
      </c>
      <c r="D12140" t="s">
        <v>6794</v>
      </c>
      <c r="F12140" s="21"/>
      <c r="G12140" s="16" t="str">
        <f>HYPERLINK("http://maps.google.com/maps?f=q&amp;hl=en&amp;geocode=&amp;q=27.50887,-99.47472")</f>
        <v>http://maps.google.com/maps?f=q&amp;hl=en&amp;geocode=&amp;q=27.50887,-99.47472</v>
      </c>
    </row>
    <row r="12141" spans="1:7" ht="15" x14ac:dyDescent="0.3">
      <c r="A12141">
        <v>27.508444966514801</v>
      </c>
      <c r="B12141">
        <v>-99.4740253719756</v>
      </c>
      <c r="C12141" t="s">
        <v>43</v>
      </c>
      <c r="D12141" t="s">
        <v>6795</v>
      </c>
      <c r="F12141" s="21"/>
      <c r="G12141" s="16" t="str">
        <f>HYPERLINK("http://maps.google.com/maps?f=q&amp;hl=en&amp;geocode=&amp;q=27.5084449665148,-99.4740253719756")</f>
        <v>http://maps.google.com/maps?f=q&amp;hl=en&amp;geocode=&amp;q=27.5084449665148,-99.4740253719756</v>
      </c>
    </row>
    <row r="12142" spans="1:7" ht="15" x14ac:dyDescent="0.3">
      <c r="A12142">
        <v>39.974620000000002</v>
      </c>
      <c r="B12142">
        <v>-75.181929999999994</v>
      </c>
      <c r="C12142" t="s">
        <v>41</v>
      </c>
      <c r="D12142" t="s">
        <v>6796</v>
      </c>
      <c r="F12142" s="21"/>
      <c r="G12142" s="16" t="str">
        <f>HYPERLINK("http://maps.google.com/maps?f=q&amp;hl=en&amp;geocode=&amp;q=39.97462,-75.18193")</f>
        <v>http://maps.google.com/maps?f=q&amp;hl=en&amp;geocode=&amp;q=39.97462,-75.18193</v>
      </c>
    </row>
    <row r="12143" spans="1:7" ht="15" x14ac:dyDescent="0.3">
      <c r="A12143">
        <v>51.4412651062012</v>
      </c>
      <c r="B12143">
        <v>6.4614951610565199E-2</v>
      </c>
      <c r="C12143" t="s">
        <v>43</v>
      </c>
      <c r="D12143" t="s">
        <v>6797</v>
      </c>
      <c r="F12143" s="21"/>
      <c r="G12143" s="16" t="str">
        <f>HYPERLINK("http://maps.google.com/maps?f=q&amp;hl=en&amp;geocode=&amp;q=51.4412651062012,0.0646149516105652")</f>
        <v>http://maps.google.com/maps?f=q&amp;hl=en&amp;geocode=&amp;q=51.4412651062012,0.0646149516105652</v>
      </c>
    </row>
    <row r="12144" spans="1:7" ht="15" x14ac:dyDescent="0.3">
      <c r="A12144">
        <v>34.272004742409102</v>
      </c>
      <c r="B12144">
        <v>-116.935170361676</v>
      </c>
      <c r="C12144" t="s">
        <v>43</v>
      </c>
      <c r="D12144" t="s">
        <v>4820</v>
      </c>
      <c r="F12144" s="21"/>
      <c r="G12144" s="16" t="str">
        <f>HYPERLINK("http://maps.google.com/maps?f=q&amp;hl=en&amp;geocode=&amp;q=34.2720047424091,-116.935170361676")</f>
        <v>http://maps.google.com/maps?f=q&amp;hl=en&amp;geocode=&amp;q=34.2720047424091,-116.935170361676</v>
      </c>
    </row>
    <row r="12145" spans="1:7" ht="15" x14ac:dyDescent="0.3">
      <c r="A12145">
        <v>30.181899999999999</v>
      </c>
      <c r="B12145">
        <v>-92.018349999999998</v>
      </c>
      <c r="C12145" t="s">
        <v>42</v>
      </c>
      <c r="D12145" t="s">
        <v>6798</v>
      </c>
      <c r="F12145" s="21"/>
      <c r="G12145" s="16" t="str">
        <f>HYPERLINK("http://maps.google.com/maps?f=q&amp;hl=en&amp;geocode=&amp;q=30.1819,-92.01835")</f>
        <v>http://maps.google.com/maps?f=q&amp;hl=en&amp;geocode=&amp;q=30.1819,-92.01835</v>
      </c>
    </row>
    <row r="12146" spans="1:7" ht="15" x14ac:dyDescent="0.3">
      <c r="A12146">
        <v>39.981409999999997</v>
      </c>
      <c r="B12146">
        <v>-75.17886</v>
      </c>
      <c r="C12146" t="s">
        <v>43</v>
      </c>
      <c r="D12146" t="s">
        <v>6799</v>
      </c>
      <c r="F12146" s="21"/>
      <c r="G12146" s="16" t="str">
        <f>HYPERLINK("http://maps.google.com/maps?f=q&amp;hl=en&amp;geocode=&amp;q=39.98141,-75.17886")</f>
        <v>http://maps.google.com/maps?f=q&amp;hl=en&amp;geocode=&amp;q=39.98141,-75.17886</v>
      </c>
    </row>
    <row r="12147" spans="1:7" ht="15" x14ac:dyDescent="0.3">
      <c r="A12147">
        <v>49.604549407958999</v>
      </c>
      <c r="B12147">
        <v>6.1415920257568404</v>
      </c>
      <c r="C12147" t="s">
        <v>43</v>
      </c>
      <c r="D12147" t="s">
        <v>6800</v>
      </c>
      <c r="F12147" s="21"/>
      <c r="G12147" s="16" t="str">
        <f>HYPERLINK("http://maps.google.com/maps?f=q&amp;hl=en&amp;geocode=&amp;q=49.604549407959,6.14159202575684")</f>
        <v>http://maps.google.com/maps?f=q&amp;hl=en&amp;geocode=&amp;q=49.604549407959,6.14159202575684</v>
      </c>
    </row>
    <row r="12148" spans="1:7" ht="15" x14ac:dyDescent="0.3">
      <c r="A12148" t="s">
        <v>44</v>
      </c>
      <c r="B12148" t="s">
        <v>44</v>
      </c>
      <c r="C12148" t="s">
        <v>44</v>
      </c>
      <c r="D12148" t="s">
        <v>6801</v>
      </c>
      <c r="F12148" s="21"/>
      <c r="G12148" s="16"/>
    </row>
    <row r="12149" spans="1:7" ht="15" x14ac:dyDescent="0.3">
      <c r="A12149">
        <v>35.644151533729001</v>
      </c>
      <c r="B12149">
        <v>-101.451423614281</v>
      </c>
      <c r="C12149" t="s">
        <v>41</v>
      </c>
      <c r="D12149" t="s">
        <v>3148</v>
      </c>
      <c r="F12149" s="21"/>
      <c r="G12149" s="16" t="str">
        <f>HYPERLINK("http://maps.google.com/maps?f=q&amp;hl=en&amp;geocode=&amp;q=35.644151533729,-101.451423614281")</f>
        <v>http://maps.google.com/maps?f=q&amp;hl=en&amp;geocode=&amp;q=35.644151533729,-101.451423614281</v>
      </c>
    </row>
    <row r="12150" spans="1:7" ht="15" x14ac:dyDescent="0.3">
      <c r="A12150">
        <v>35.644151533729001</v>
      </c>
      <c r="B12150">
        <v>-101.451423614281</v>
      </c>
      <c r="C12150" t="s">
        <v>41</v>
      </c>
      <c r="D12150" t="s">
        <v>3148</v>
      </c>
      <c r="F12150" s="21"/>
      <c r="G12150" s="16" t="str">
        <f>HYPERLINK("http://maps.google.com/maps?f=q&amp;hl=en&amp;geocode=&amp;q=35.644151533729,-101.451423614281")</f>
        <v>http://maps.google.com/maps?f=q&amp;hl=en&amp;geocode=&amp;q=35.644151533729,-101.451423614281</v>
      </c>
    </row>
    <row r="12151" spans="1:7" ht="15" x14ac:dyDescent="0.3">
      <c r="A12151">
        <v>35.644151533729001</v>
      </c>
      <c r="B12151">
        <v>-101.451423614281</v>
      </c>
      <c r="C12151" t="s">
        <v>41</v>
      </c>
      <c r="D12151" t="s">
        <v>3148</v>
      </c>
      <c r="F12151" s="21"/>
      <c r="G12151" s="16" t="str">
        <f>HYPERLINK("http://maps.google.com/maps?f=q&amp;hl=en&amp;geocode=&amp;q=35.644151533729,-101.451423614281")</f>
        <v>http://maps.google.com/maps?f=q&amp;hl=en&amp;geocode=&amp;q=35.644151533729,-101.451423614281</v>
      </c>
    </row>
    <row r="12152" spans="1:7" ht="15" x14ac:dyDescent="0.3">
      <c r="A12152">
        <v>-26.72869</v>
      </c>
      <c r="B12152">
        <v>27.850180000000002</v>
      </c>
      <c r="C12152" t="s">
        <v>41</v>
      </c>
      <c r="D12152" t="s">
        <v>6257</v>
      </c>
      <c r="F12152" s="21"/>
      <c r="G12152" s="16" t="str">
        <f>HYPERLINK("http://maps.google.com/maps?f=q&amp;hl=en&amp;geocode=&amp;q=-26.72869,27.85018")</f>
        <v>http://maps.google.com/maps?f=q&amp;hl=en&amp;geocode=&amp;q=-26.72869,27.85018</v>
      </c>
    </row>
    <row r="12153" spans="1:7" ht="15" x14ac:dyDescent="0.3">
      <c r="A12153">
        <v>38.803043365478501</v>
      </c>
      <c r="B12153">
        <v>-9.3371095657348597</v>
      </c>
      <c r="C12153" t="s">
        <v>41</v>
      </c>
      <c r="D12153" t="s">
        <v>4766</v>
      </c>
      <c r="F12153" s="21"/>
      <c r="G12153" s="16" t="str">
        <f>HYPERLINK("http://maps.google.com/maps?f=q&amp;hl=en&amp;geocode=&amp;q=38.8030433654785,-9.33710956573486")</f>
        <v>http://maps.google.com/maps?f=q&amp;hl=en&amp;geocode=&amp;q=38.8030433654785,-9.33710956573486</v>
      </c>
    </row>
    <row r="12154" spans="1:7" ht="15" x14ac:dyDescent="0.3">
      <c r="A12154">
        <v>26.4839349675057</v>
      </c>
      <c r="B12154">
        <v>-97.790105931503504</v>
      </c>
      <c r="C12154" t="s">
        <v>41</v>
      </c>
      <c r="D12154" t="s">
        <v>6802</v>
      </c>
      <c r="F12154" s="21"/>
      <c r="G12154" s="16" t="str">
        <f>HYPERLINK("http://maps.google.com/maps?f=q&amp;hl=en&amp;geocode=&amp;q=26.4839349675057,-97.7901059315035")</f>
        <v>http://maps.google.com/maps?f=q&amp;hl=en&amp;geocode=&amp;q=26.4839349675057,-97.7901059315035</v>
      </c>
    </row>
    <row r="12155" spans="1:7" ht="15" x14ac:dyDescent="0.3">
      <c r="A12155">
        <v>39.947450000000003</v>
      </c>
      <c r="B12155">
        <v>-75.176320000000004</v>
      </c>
      <c r="C12155" t="s">
        <v>41</v>
      </c>
      <c r="D12155" t="s">
        <v>6803</v>
      </c>
      <c r="F12155" s="21"/>
      <c r="G12155" s="16" t="str">
        <f>HYPERLINK("http://maps.google.com/maps?f=q&amp;hl=en&amp;geocode=&amp;q=39.94745,-75.17632")</f>
        <v>http://maps.google.com/maps?f=q&amp;hl=en&amp;geocode=&amp;q=39.94745,-75.17632</v>
      </c>
    </row>
    <row r="12156" spans="1:7" ht="15" x14ac:dyDescent="0.3">
      <c r="A12156">
        <v>39.9518766952758</v>
      </c>
      <c r="B12156">
        <v>-75.168855805924906</v>
      </c>
      <c r="C12156" t="s">
        <v>41</v>
      </c>
      <c r="D12156" t="s">
        <v>6431</v>
      </c>
      <c r="F12156" s="21"/>
      <c r="G12156" s="16" t="str">
        <f>HYPERLINK("http://maps.google.com/maps?f=q&amp;hl=en&amp;geocode=&amp;q=39.9518766952758,-75.1688558059249")</f>
        <v>http://maps.google.com/maps?f=q&amp;hl=en&amp;geocode=&amp;q=39.9518766952758,-75.1688558059249</v>
      </c>
    </row>
    <row r="12157" spans="1:7" ht="15" x14ac:dyDescent="0.3">
      <c r="A12157">
        <v>44.902906604623801</v>
      </c>
      <c r="B12157">
        <v>-89.6000868616227</v>
      </c>
      <c r="C12157" t="s">
        <v>41</v>
      </c>
      <c r="D12157" t="s">
        <v>6804</v>
      </c>
      <c r="F12157" s="21"/>
      <c r="G12157" s="16" t="str">
        <f>HYPERLINK("http://maps.google.com/maps?f=q&amp;hl=en&amp;geocode=&amp;q=44.9029066046238,-89.6000868616227")</f>
        <v>http://maps.google.com/maps?f=q&amp;hl=en&amp;geocode=&amp;q=44.9029066046238,-89.6000868616227</v>
      </c>
    </row>
    <row r="12158" spans="1:7" ht="15" x14ac:dyDescent="0.3">
      <c r="A12158">
        <v>27.820302795903299</v>
      </c>
      <c r="B12158">
        <v>-81.382550643249701</v>
      </c>
      <c r="C12158" t="s">
        <v>41</v>
      </c>
      <c r="D12158" t="s">
        <v>3115</v>
      </c>
      <c r="F12158" s="21"/>
      <c r="G12158" s="16" t="str">
        <f>HYPERLINK("http://maps.google.com/maps?f=q&amp;hl=en&amp;geocode=&amp;q=27.8203027959033,-81.3825506432497")</f>
        <v>http://maps.google.com/maps?f=q&amp;hl=en&amp;geocode=&amp;q=27.8203027959033,-81.3825506432497</v>
      </c>
    </row>
    <row r="12159" spans="1:7" ht="15" x14ac:dyDescent="0.3">
      <c r="A12159">
        <v>39.950119999999998</v>
      </c>
      <c r="B12159">
        <v>-75.168589999999995</v>
      </c>
      <c r="C12159" t="s">
        <v>41</v>
      </c>
      <c r="D12159" t="s">
        <v>6200</v>
      </c>
      <c r="F12159" s="21"/>
      <c r="G12159" s="16" t="str">
        <f>HYPERLINK("http://maps.google.com/maps?f=q&amp;hl=en&amp;geocode=&amp;q=39.95012,-75.16859")</f>
        <v>http://maps.google.com/maps?f=q&amp;hl=en&amp;geocode=&amp;q=39.95012,-75.16859</v>
      </c>
    </row>
    <row r="12160" spans="1:7" ht="15" x14ac:dyDescent="0.3">
      <c r="A12160">
        <v>39.950090000000003</v>
      </c>
      <c r="B12160">
        <v>-75.168360000000007</v>
      </c>
      <c r="C12160" t="s">
        <v>41</v>
      </c>
      <c r="D12160" t="s">
        <v>6197</v>
      </c>
      <c r="F12160" s="21"/>
      <c r="G12160" s="16" t="str">
        <f>HYPERLINK("http://maps.google.com/maps?f=q&amp;hl=en&amp;geocode=&amp;q=39.95009,-75.16836")</f>
        <v>http://maps.google.com/maps?f=q&amp;hl=en&amp;geocode=&amp;q=39.95009,-75.16836</v>
      </c>
    </row>
    <row r="12161" spans="1:7" ht="15" x14ac:dyDescent="0.3">
      <c r="A12161">
        <v>54.562068939208999</v>
      </c>
      <c r="B12161">
        <v>-125.10440063476599</v>
      </c>
      <c r="C12161" t="s">
        <v>41</v>
      </c>
      <c r="D12161" t="s">
        <v>4472</v>
      </c>
      <c r="F12161" s="21"/>
      <c r="G12161" s="16" t="str">
        <f>HYPERLINK("http://maps.google.com/maps?f=q&amp;hl=en&amp;geocode=&amp;q=54.562068939209,-125.104400634766")</f>
        <v>http://maps.google.com/maps?f=q&amp;hl=en&amp;geocode=&amp;q=54.562068939209,-125.104400634766</v>
      </c>
    </row>
    <row r="12162" spans="1:7" ht="15" x14ac:dyDescent="0.3">
      <c r="A12162">
        <v>39.950060000000001</v>
      </c>
      <c r="B12162">
        <v>-75.168139999999994</v>
      </c>
      <c r="C12162" t="s">
        <v>41</v>
      </c>
      <c r="D12162" t="s">
        <v>6805</v>
      </c>
      <c r="F12162" s="21"/>
      <c r="G12162" s="16" t="str">
        <f>HYPERLINK("http://maps.google.com/maps?f=q&amp;hl=en&amp;geocode=&amp;q=39.95006,-75.16814")</f>
        <v>http://maps.google.com/maps?f=q&amp;hl=en&amp;geocode=&amp;q=39.95006,-75.16814</v>
      </c>
    </row>
    <row r="12163" spans="1:7" ht="15" x14ac:dyDescent="0.3">
      <c r="A12163">
        <v>32.994759999999999</v>
      </c>
      <c r="B12163">
        <v>-115.53639</v>
      </c>
      <c r="C12163" t="s">
        <v>41</v>
      </c>
      <c r="D12163" t="s">
        <v>6387</v>
      </c>
      <c r="F12163" s="21"/>
      <c r="G12163" s="16" t="str">
        <f>HYPERLINK("http://maps.google.com/maps?f=q&amp;hl=en&amp;geocode=&amp;q=32.99476,-115.53639")</f>
        <v>http://maps.google.com/maps?f=q&amp;hl=en&amp;geocode=&amp;q=32.99476,-115.53639</v>
      </c>
    </row>
    <row r="12164" spans="1:7" ht="15" x14ac:dyDescent="0.3">
      <c r="A12164">
        <v>39.947240000000001</v>
      </c>
      <c r="B12164">
        <v>-75.174689999999998</v>
      </c>
      <c r="C12164" t="s">
        <v>43</v>
      </c>
      <c r="D12164" t="s">
        <v>6228</v>
      </c>
      <c r="F12164" s="21"/>
      <c r="G12164" s="16" t="str">
        <f>HYPERLINK("http://maps.google.com/maps?f=q&amp;hl=en&amp;geocode=&amp;q=39.94724,-75.17469")</f>
        <v>http://maps.google.com/maps?f=q&amp;hl=en&amp;geocode=&amp;q=39.94724,-75.17469</v>
      </c>
    </row>
    <row r="12165" spans="1:7" ht="15" x14ac:dyDescent="0.3">
      <c r="A12165">
        <v>35.243940000000002</v>
      </c>
      <c r="B12165">
        <v>-97.423190000000005</v>
      </c>
      <c r="C12165" t="s">
        <v>41</v>
      </c>
      <c r="D12165" t="s">
        <v>6313</v>
      </c>
      <c r="F12165" s="21"/>
      <c r="G12165" s="16" t="str">
        <f>HYPERLINK("http://maps.google.com/maps?f=q&amp;hl=en&amp;geocode=&amp;q=35.24394,-97.42319")</f>
        <v>http://maps.google.com/maps?f=q&amp;hl=en&amp;geocode=&amp;q=35.24394,-97.42319</v>
      </c>
    </row>
    <row r="12166" spans="1:7" ht="15" x14ac:dyDescent="0.3">
      <c r="A12166">
        <v>37.859785696689499</v>
      </c>
      <c r="B12166">
        <v>-82.805018451891399</v>
      </c>
      <c r="C12166" t="s">
        <v>41</v>
      </c>
      <c r="D12166" t="s">
        <v>6806</v>
      </c>
      <c r="F12166" s="21"/>
      <c r="G12166" s="16" t="str">
        <f>HYPERLINK("http://maps.google.com/maps?f=q&amp;hl=en&amp;geocode=&amp;q=37.8597856966895,-82.8050184518914")</f>
        <v>http://maps.google.com/maps?f=q&amp;hl=en&amp;geocode=&amp;q=37.8597856966895,-82.8050184518914</v>
      </c>
    </row>
    <row r="12167" spans="1:7" ht="15" x14ac:dyDescent="0.3">
      <c r="A12167">
        <v>52.147850036621101</v>
      </c>
      <c r="B12167">
        <v>19.377759933471701</v>
      </c>
      <c r="C12167" t="s">
        <v>43</v>
      </c>
      <c r="D12167" t="s">
        <v>6807</v>
      </c>
      <c r="F12167" s="21"/>
      <c r="G12167" s="16" t="str">
        <f>HYPERLINK("http://maps.google.com/maps?f=q&amp;hl=en&amp;geocode=&amp;q=52.1478500366211,19.3777599334717")</f>
        <v>http://maps.google.com/maps?f=q&amp;hl=en&amp;geocode=&amp;q=52.1478500366211,19.3777599334717</v>
      </c>
    </row>
    <row r="12168" spans="1:7" ht="15" x14ac:dyDescent="0.3">
      <c r="A12168">
        <v>39.947240000000001</v>
      </c>
      <c r="B12168">
        <v>-75.174689999999998</v>
      </c>
      <c r="C12168" t="s">
        <v>43</v>
      </c>
      <c r="D12168" t="s">
        <v>6228</v>
      </c>
      <c r="F12168" s="21"/>
      <c r="G12168" s="16" t="str">
        <f>HYPERLINK("http://maps.google.com/maps?f=q&amp;hl=en&amp;geocode=&amp;q=39.94724,-75.17469")</f>
        <v>http://maps.google.com/maps?f=q&amp;hl=en&amp;geocode=&amp;q=39.94724,-75.17469</v>
      </c>
    </row>
    <row r="12169" spans="1:7" ht="15" x14ac:dyDescent="0.3">
      <c r="A12169">
        <v>39.950090000000003</v>
      </c>
      <c r="B12169">
        <v>-75.168360000000007</v>
      </c>
      <c r="C12169" t="s">
        <v>41</v>
      </c>
      <c r="D12169" t="s">
        <v>6197</v>
      </c>
      <c r="F12169" s="21"/>
      <c r="G12169" s="16" t="str">
        <f>HYPERLINK("http://maps.google.com/maps?f=q&amp;hl=en&amp;geocode=&amp;q=39.95009,-75.16836")</f>
        <v>http://maps.google.com/maps?f=q&amp;hl=en&amp;geocode=&amp;q=39.95009,-75.16836</v>
      </c>
    </row>
    <row r="12170" spans="1:7" ht="15" x14ac:dyDescent="0.3">
      <c r="A12170">
        <v>39.9518766952758</v>
      </c>
      <c r="B12170">
        <v>-75.168855805924906</v>
      </c>
      <c r="C12170" t="s">
        <v>41</v>
      </c>
      <c r="D12170" t="s">
        <v>6431</v>
      </c>
      <c r="F12170" s="21"/>
      <c r="G12170" s="16" t="str">
        <f>HYPERLINK("http://maps.google.com/maps?f=q&amp;hl=en&amp;geocode=&amp;q=39.9518766952758,-75.1688558059249")</f>
        <v>http://maps.google.com/maps?f=q&amp;hl=en&amp;geocode=&amp;q=39.9518766952758,-75.1688558059249</v>
      </c>
    </row>
    <row r="12171" spans="1:7" ht="15" x14ac:dyDescent="0.3">
      <c r="A12171">
        <v>48.672306060791001</v>
      </c>
      <c r="B12171">
        <v>7.5540661811828604</v>
      </c>
      <c r="C12171" t="s">
        <v>43</v>
      </c>
      <c r="D12171" t="s">
        <v>5375</v>
      </c>
      <c r="F12171" s="21"/>
      <c r="G12171" s="16" t="str">
        <f>HYPERLINK("http://maps.google.com/maps?f=q&amp;hl=en&amp;geocode=&amp;q=48.672306060791,7.55406618118286")</f>
        <v>http://maps.google.com/maps?f=q&amp;hl=en&amp;geocode=&amp;q=48.672306060791,7.55406618118286</v>
      </c>
    </row>
    <row r="12172" spans="1:7" ht="15" x14ac:dyDescent="0.3">
      <c r="A12172" t="s">
        <v>44</v>
      </c>
      <c r="B12172" t="s">
        <v>44</v>
      </c>
      <c r="C12172" t="s">
        <v>44</v>
      </c>
      <c r="D12172" t="s">
        <v>1800</v>
      </c>
      <c r="F12172" s="21"/>
      <c r="G12172" s="16"/>
    </row>
    <row r="12173" spans="1:7" ht="15" x14ac:dyDescent="0.3">
      <c r="A12173">
        <v>36.093150000000001</v>
      </c>
      <c r="B12173">
        <v>-78.968919999999997</v>
      </c>
      <c r="C12173" t="s">
        <v>42</v>
      </c>
      <c r="D12173" t="s">
        <v>6808</v>
      </c>
      <c r="F12173" s="21"/>
      <c r="G12173" s="16" t="str">
        <f>HYPERLINK("http://maps.google.com/maps?f=q&amp;hl=en&amp;geocode=&amp;q=36.09315,-78.96892")</f>
        <v>http://maps.google.com/maps?f=q&amp;hl=en&amp;geocode=&amp;q=36.09315,-78.96892</v>
      </c>
    </row>
    <row r="12174" spans="1:7" ht="15" x14ac:dyDescent="0.3">
      <c r="A12174">
        <v>39.490409999999997</v>
      </c>
      <c r="B12174">
        <v>-78.769580000000005</v>
      </c>
      <c r="C12174" t="s">
        <v>42</v>
      </c>
      <c r="D12174" t="s">
        <v>6809</v>
      </c>
      <c r="F12174" s="21"/>
      <c r="G12174" s="16" t="str">
        <f>HYPERLINK("http://maps.google.com/maps?f=q&amp;hl=en&amp;geocode=&amp;q=39.49041,-78.76958")</f>
        <v>http://maps.google.com/maps?f=q&amp;hl=en&amp;geocode=&amp;q=39.49041,-78.76958</v>
      </c>
    </row>
    <row r="12175" spans="1:7" ht="15" x14ac:dyDescent="0.3">
      <c r="A12175">
        <v>39.974449085917001</v>
      </c>
      <c r="B12175">
        <v>-75.158966350879695</v>
      </c>
      <c r="C12175" t="s">
        <v>41</v>
      </c>
      <c r="D12175" t="s">
        <v>6810</v>
      </c>
      <c r="F12175" s="21"/>
      <c r="G12175" s="16" t="str">
        <f>HYPERLINK("http://maps.google.com/maps?f=q&amp;hl=en&amp;geocode=&amp;q=39.974449085917,-75.1589663508797")</f>
        <v>http://maps.google.com/maps?f=q&amp;hl=en&amp;geocode=&amp;q=39.974449085917,-75.1589663508797</v>
      </c>
    </row>
    <row r="12176" spans="1:7" ht="15" x14ac:dyDescent="0.3">
      <c r="A12176">
        <v>39.974449085917001</v>
      </c>
      <c r="B12176">
        <v>-75.158966350879695</v>
      </c>
      <c r="C12176" t="s">
        <v>41</v>
      </c>
      <c r="D12176" t="s">
        <v>6810</v>
      </c>
      <c r="F12176" s="21"/>
      <c r="G12176" s="16" t="str">
        <f>HYPERLINK("http://maps.google.com/maps?f=q&amp;hl=en&amp;geocode=&amp;q=39.974449085917,-75.1589663508797")</f>
        <v>http://maps.google.com/maps?f=q&amp;hl=en&amp;geocode=&amp;q=39.974449085917,-75.1589663508797</v>
      </c>
    </row>
    <row r="12177" spans="1:7" ht="15" x14ac:dyDescent="0.3">
      <c r="A12177">
        <v>39.968899999999998</v>
      </c>
      <c r="B12177">
        <v>-75.143940000000001</v>
      </c>
      <c r="C12177" t="s">
        <v>41</v>
      </c>
      <c r="D12177" t="s">
        <v>6811</v>
      </c>
      <c r="F12177" s="21"/>
      <c r="G12177" s="16" t="str">
        <f>HYPERLINK("http://maps.google.com/maps?f=q&amp;hl=en&amp;geocode=&amp;q=39.9689,-75.14394")</f>
        <v>http://maps.google.com/maps?f=q&amp;hl=en&amp;geocode=&amp;q=39.9689,-75.14394</v>
      </c>
    </row>
    <row r="12178" spans="1:7" ht="15" x14ac:dyDescent="0.3">
      <c r="A12178">
        <v>40.022523908281499</v>
      </c>
      <c r="B12178">
        <v>-75.162731706336004</v>
      </c>
      <c r="C12178" t="s">
        <v>41</v>
      </c>
      <c r="D12178" t="s">
        <v>6812</v>
      </c>
      <c r="F12178" s="21"/>
      <c r="G12178" s="16" t="str">
        <f>HYPERLINK("http://maps.google.com/maps?f=q&amp;hl=en&amp;geocode=&amp;q=40.0225239082815,-75.162731706336")</f>
        <v>http://maps.google.com/maps?f=q&amp;hl=en&amp;geocode=&amp;q=40.0225239082815,-75.162731706336</v>
      </c>
    </row>
    <row r="12179" spans="1:7" ht="15" x14ac:dyDescent="0.3">
      <c r="A12179" t="s">
        <v>44</v>
      </c>
      <c r="B12179" t="s">
        <v>44</v>
      </c>
      <c r="C12179" t="s">
        <v>44</v>
      </c>
      <c r="D12179" t="s">
        <v>2007</v>
      </c>
      <c r="F12179" s="21"/>
      <c r="G12179" s="16"/>
    </row>
    <row r="12180" spans="1:7" ht="15" x14ac:dyDescent="0.3">
      <c r="A12180">
        <v>50.587699890136697</v>
      </c>
      <c r="B12180">
        <v>4.32674217224121</v>
      </c>
      <c r="C12180" t="s">
        <v>43</v>
      </c>
      <c r="D12180" t="s">
        <v>6813</v>
      </c>
      <c r="F12180" s="21"/>
      <c r="G12180" s="16" t="str">
        <f>HYPERLINK("http://maps.google.com/maps?f=q&amp;hl=en&amp;geocode=&amp;q=50.5876998901367,4.32674217224121")</f>
        <v>http://maps.google.com/maps?f=q&amp;hl=en&amp;geocode=&amp;q=50.5876998901367,4.32674217224121</v>
      </c>
    </row>
    <row r="12181" spans="1:7" ht="15" x14ac:dyDescent="0.3">
      <c r="A12181" t="s">
        <v>44</v>
      </c>
      <c r="B12181" t="s">
        <v>44</v>
      </c>
      <c r="C12181" t="s">
        <v>44</v>
      </c>
      <c r="D12181" t="s">
        <v>6814</v>
      </c>
      <c r="F12181" s="21"/>
      <c r="G12181" s="16"/>
    </row>
    <row r="12182" spans="1:7" ht="15" x14ac:dyDescent="0.3">
      <c r="A12182">
        <v>40.005629999999996</v>
      </c>
      <c r="B12182">
        <v>-75.137460000000004</v>
      </c>
      <c r="C12182" t="s">
        <v>41</v>
      </c>
      <c r="D12182" t="s">
        <v>6815</v>
      </c>
      <c r="F12182" s="21"/>
      <c r="G12182" s="16" t="str">
        <f>HYPERLINK("http://maps.google.com/maps?f=q&amp;hl=en&amp;geocode=&amp;q=40.00563,-75.13746")</f>
        <v>http://maps.google.com/maps?f=q&amp;hl=en&amp;geocode=&amp;q=40.00563,-75.13746</v>
      </c>
    </row>
    <row r="12183" spans="1:7" ht="15" x14ac:dyDescent="0.3">
      <c r="A12183">
        <v>40.804400525388502</v>
      </c>
      <c r="B12183">
        <v>-96.6865658133095</v>
      </c>
      <c r="C12183" t="s">
        <v>41</v>
      </c>
      <c r="D12183" t="s">
        <v>6816</v>
      </c>
      <c r="F12183" s="21"/>
      <c r="G12183" s="16" t="str">
        <f>HYPERLINK("http://maps.google.com/maps?f=q&amp;hl=en&amp;geocode=&amp;q=40.8044005253885,-96.6865658133095")</f>
        <v>http://maps.google.com/maps?f=q&amp;hl=en&amp;geocode=&amp;q=40.8044005253885,-96.6865658133095</v>
      </c>
    </row>
    <row r="12184" spans="1:7" ht="15" x14ac:dyDescent="0.3">
      <c r="A12184">
        <v>44.983687431982503</v>
      </c>
      <c r="B12184">
        <v>-124.009972343234</v>
      </c>
      <c r="C12184" t="s">
        <v>42</v>
      </c>
      <c r="D12184" t="s">
        <v>6817</v>
      </c>
      <c r="F12184" s="21"/>
      <c r="G12184" s="16" t="str">
        <f>HYPERLINK("http://maps.google.com/maps?f=q&amp;hl=en&amp;geocode=&amp;q=44.9836874319825,-124.009972343234")</f>
        <v>http://maps.google.com/maps?f=q&amp;hl=en&amp;geocode=&amp;q=44.9836874319825,-124.009972343234</v>
      </c>
    </row>
    <row r="12185" spans="1:7" ht="15" x14ac:dyDescent="0.3">
      <c r="A12185">
        <v>40.066841553762302</v>
      </c>
      <c r="B12185">
        <v>-75.234973785420493</v>
      </c>
      <c r="C12185" t="s">
        <v>41</v>
      </c>
      <c r="D12185" t="s">
        <v>6818</v>
      </c>
      <c r="F12185" s="21"/>
      <c r="G12185" s="16" t="str">
        <f>HYPERLINK("http://maps.google.com/maps?f=q&amp;hl=en&amp;geocode=&amp;q=40.0668415537623,-75.2349737854205")</f>
        <v>http://maps.google.com/maps?f=q&amp;hl=en&amp;geocode=&amp;q=40.0668415537623,-75.2349737854205</v>
      </c>
    </row>
    <row r="12186" spans="1:7" ht="15" x14ac:dyDescent="0.3">
      <c r="A12186">
        <v>51.448848724365199</v>
      </c>
      <c r="B12186">
        <v>4.4442300796508798</v>
      </c>
      <c r="C12186" t="s">
        <v>43</v>
      </c>
      <c r="D12186" t="s">
        <v>6240</v>
      </c>
      <c r="F12186" s="21"/>
      <c r="G12186" s="16" t="str">
        <f>HYPERLINK("http://maps.google.com/maps?f=q&amp;hl=en&amp;geocode=&amp;q=51.4488487243652,4.44423007965088")</f>
        <v>http://maps.google.com/maps?f=q&amp;hl=en&amp;geocode=&amp;q=51.4488487243652,4.44423007965088</v>
      </c>
    </row>
    <row r="12187" spans="1:7" ht="15" x14ac:dyDescent="0.3">
      <c r="A12187" t="s">
        <v>44</v>
      </c>
      <c r="B12187" t="s">
        <v>44</v>
      </c>
      <c r="C12187" t="s">
        <v>44</v>
      </c>
      <c r="D12187" t="s">
        <v>6819</v>
      </c>
      <c r="F12187" s="21"/>
      <c r="G12187" s="16"/>
    </row>
    <row r="12188" spans="1:7" ht="15" x14ac:dyDescent="0.3">
      <c r="A12188">
        <v>51.4412651062012</v>
      </c>
      <c r="B12188">
        <v>6.4614951610565199E-2</v>
      </c>
      <c r="C12188" t="s">
        <v>43</v>
      </c>
      <c r="D12188" t="s">
        <v>6797</v>
      </c>
      <c r="F12188" s="21"/>
      <c r="G12188" s="16" t="str">
        <f>HYPERLINK("http://maps.google.com/maps?f=q&amp;hl=en&amp;geocode=&amp;q=51.4412651062012,0.0646149516105652")</f>
        <v>http://maps.google.com/maps?f=q&amp;hl=en&amp;geocode=&amp;q=51.4412651062012,0.0646149516105652</v>
      </c>
    </row>
    <row r="12189" spans="1:7" ht="15" x14ac:dyDescent="0.3">
      <c r="A12189">
        <v>39.973990000000001</v>
      </c>
      <c r="B12189">
        <v>-75.178839999999994</v>
      </c>
      <c r="C12189" t="s">
        <v>42</v>
      </c>
      <c r="D12189" t="s">
        <v>6820</v>
      </c>
      <c r="F12189" s="21"/>
      <c r="G12189" s="16" t="str">
        <f>HYPERLINK("http://maps.google.com/maps?f=q&amp;hl=en&amp;geocode=&amp;q=39.97399,-75.17884")</f>
        <v>http://maps.google.com/maps?f=q&amp;hl=en&amp;geocode=&amp;q=39.97399,-75.17884</v>
      </c>
    </row>
    <row r="12190" spans="1:7" ht="15" x14ac:dyDescent="0.3">
      <c r="A12190">
        <v>55.58493</v>
      </c>
      <c r="B12190">
        <v>38.484439999999999</v>
      </c>
      <c r="C12190" t="s">
        <v>41</v>
      </c>
      <c r="D12190" t="s">
        <v>6821</v>
      </c>
      <c r="F12190" s="21"/>
      <c r="G12190" s="16" t="str">
        <f>HYPERLINK("http://maps.google.com/maps?f=q&amp;hl=en&amp;geocode=&amp;q=55.58493,38.48444")</f>
        <v>http://maps.google.com/maps?f=q&amp;hl=en&amp;geocode=&amp;q=55.58493,38.48444</v>
      </c>
    </row>
    <row r="12191" spans="1:7" ht="15" x14ac:dyDescent="0.3">
      <c r="A12191">
        <v>41.297203404199699</v>
      </c>
      <c r="B12191">
        <v>-96.024625694222905</v>
      </c>
      <c r="C12191" t="s">
        <v>41</v>
      </c>
      <c r="D12191" t="s">
        <v>6822</v>
      </c>
      <c r="F12191" s="21"/>
      <c r="G12191" s="16" t="str">
        <f>HYPERLINK("http://maps.google.com/maps?f=q&amp;hl=en&amp;geocode=&amp;q=41.2972034041997,-96.0246256942229")</f>
        <v>http://maps.google.com/maps?f=q&amp;hl=en&amp;geocode=&amp;q=41.2972034041997,-96.0246256942229</v>
      </c>
    </row>
    <row r="12192" spans="1:7" ht="15" x14ac:dyDescent="0.3">
      <c r="A12192">
        <v>43.081378151027501</v>
      </c>
      <c r="B12192">
        <v>-76.151281455249006</v>
      </c>
      <c r="C12192" t="s">
        <v>41</v>
      </c>
      <c r="D12192" t="s">
        <v>6823</v>
      </c>
      <c r="F12192" s="21"/>
      <c r="G12192" s="16" t="str">
        <f>HYPERLINK("http://maps.google.com/maps?f=q&amp;hl=en&amp;geocode=&amp;q=43.0813781510275,-76.151281455249")</f>
        <v>http://maps.google.com/maps?f=q&amp;hl=en&amp;geocode=&amp;q=43.0813781510275,-76.151281455249</v>
      </c>
    </row>
    <row r="12193" spans="1:7" ht="15" x14ac:dyDescent="0.3">
      <c r="A12193">
        <v>39.655325721814997</v>
      </c>
      <c r="B12193">
        <v>-105.02538781102299</v>
      </c>
      <c r="C12193" t="s">
        <v>41</v>
      </c>
      <c r="D12193" t="s">
        <v>6824</v>
      </c>
      <c r="F12193" s="21"/>
      <c r="G12193" s="16" t="str">
        <f>HYPERLINK("http://maps.google.com/maps?f=q&amp;hl=en&amp;geocode=&amp;q=39.655325721815,-105.025387811023")</f>
        <v>http://maps.google.com/maps?f=q&amp;hl=en&amp;geocode=&amp;q=39.655325721815,-105.025387811023</v>
      </c>
    </row>
    <row r="12194" spans="1:7" ht="15" x14ac:dyDescent="0.3">
      <c r="A12194">
        <v>47.055850982666001</v>
      </c>
      <c r="B12194">
        <v>6.7508301734924299</v>
      </c>
      <c r="C12194" t="s">
        <v>43</v>
      </c>
      <c r="D12194" t="s">
        <v>5793</v>
      </c>
      <c r="F12194" s="21"/>
      <c r="G12194" s="16" t="str">
        <f>HYPERLINK("http://maps.google.com/maps?f=q&amp;hl=en&amp;geocode=&amp;q=47.055850982666,6.75083017349243")</f>
        <v>http://maps.google.com/maps?f=q&amp;hl=en&amp;geocode=&amp;q=47.055850982666,6.75083017349243</v>
      </c>
    </row>
    <row r="12195" spans="1:7" ht="15" x14ac:dyDescent="0.3">
      <c r="A12195">
        <v>37.025834795910299</v>
      </c>
      <c r="B12195">
        <v>-112.53674890159699</v>
      </c>
      <c r="C12195" t="s">
        <v>41</v>
      </c>
      <c r="D12195" t="s">
        <v>6825</v>
      </c>
      <c r="F12195" s="21"/>
      <c r="G12195" s="16" t="str">
        <f>HYPERLINK("http://maps.google.com/maps?f=q&amp;hl=en&amp;geocode=&amp;q=37.0258347959103,-112.536748901597")</f>
        <v>http://maps.google.com/maps?f=q&amp;hl=en&amp;geocode=&amp;q=37.0258347959103,-112.536748901597</v>
      </c>
    </row>
    <row r="12196" spans="1:7" ht="15" x14ac:dyDescent="0.3">
      <c r="A12196">
        <v>32.598625183105497</v>
      </c>
      <c r="B12196">
        <v>-80.973976135253906</v>
      </c>
      <c r="C12196" t="s">
        <v>43</v>
      </c>
      <c r="D12196" t="s">
        <v>6826</v>
      </c>
      <c r="F12196" s="21"/>
      <c r="G12196" s="16" t="str">
        <f>HYPERLINK("http://maps.google.com/maps?f=q&amp;hl=en&amp;geocode=&amp;q=32.5986251831055,-80.9739761352539")</f>
        <v>http://maps.google.com/maps?f=q&amp;hl=en&amp;geocode=&amp;q=32.5986251831055,-80.9739761352539</v>
      </c>
    </row>
    <row r="12197" spans="1:7" ht="15" x14ac:dyDescent="0.3">
      <c r="A12197">
        <v>39.2245879403823</v>
      </c>
      <c r="B12197">
        <v>-76.789552330847798</v>
      </c>
      <c r="C12197" t="s">
        <v>41</v>
      </c>
      <c r="D12197" t="s">
        <v>6827</v>
      </c>
      <c r="F12197" s="21"/>
      <c r="G12197" s="16" t="str">
        <f>HYPERLINK("http://maps.google.com/maps?f=q&amp;hl=en&amp;geocode=&amp;q=39.2245879403823,-76.7895523308478")</f>
        <v>http://maps.google.com/maps?f=q&amp;hl=en&amp;geocode=&amp;q=39.2245879403823,-76.7895523308478</v>
      </c>
    </row>
    <row r="12198" spans="1:7" ht="15" x14ac:dyDescent="0.3">
      <c r="A12198">
        <v>35.243940000000002</v>
      </c>
      <c r="B12198">
        <v>-97.423190000000005</v>
      </c>
      <c r="C12198" t="s">
        <v>41</v>
      </c>
      <c r="D12198" t="s">
        <v>6313</v>
      </c>
      <c r="F12198" s="21"/>
      <c r="G12198" s="16" t="str">
        <f>HYPERLINK("http://maps.google.com/maps?f=q&amp;hl=en&amp;geocode=&amp;q=35.24394,-97.42319")</f>
        <v>http://maps.google.com/maps?f=q&amp;hl=en&amp;geocode=&amp;q=35.24394,-97.42319</v>
      </c>
    </row>
    <row r="12199" spans="1:7" ht="15" x14ac:dyDescent="0.3">
      <c r="A12199">
        <v>35.402269836401302</v>
      </c>
      <c r="B12199">
        <v>-97.761225103720506</v>
      </c>
      <c r="C12199" t="s">
        <v>41</v>
      </c>
      <c r="D12199" t="s">
        <v>6828</v>
      </c>
      <c r="F12199" s="21"/>
      <c r="G12199" s="16" t="str">
        <f>HYPERLINK("http://maps.google.com/maps?f=q&amp;hl=en&amp;geocode=&amp;q=35.4022698364013,-97.7612251037205")</f>
        <v>http://maps.google.com/maps?f=q&amp;hl=en&amp;geocode=&amp;q=35.4022698364013,-97.7612251037205</v>
      </c>
    </row>
    <row r="12200" spans="1:7" ht="15" x14ac:dyDescent="0.3">
      <c r="A12200">
        <v>31.531155312387</v>
      </c>
      <c r="B12200">
        <v>-81.364527751547399</v>
      </c>
      <c r="C12200" t="s">
        <v>41</v>
      </c>
      <c r="D12200" t="s">
        <v>6271</v>
      </c>
      <c r="F12200" s="21"/>
      <c r="G12200" s="16" t="str">
        <f>HYPERLINK("http://maps.google.com/maps?f=q&amp;hl=en&amp;geocode=&amp;q=31.531155312387,-81.3645277515474")</f>
        <v>http://maps.google.com/maps?f=q&amp;hl=en&amp;geocode=&amp;q=31.531155312387,-81.3645277515474</v>
      </c>
    </row>
    <row r="12201" spans="1:7" ht="15" x14ac:dyDescent="0.3">
      <c r="A12201">
        <v>41.423459999999999</v>
      </c>
      <c r="B12201">
        <v>-75.661510000000007</v>
      </c>
      <c r="C12201" t="s">
        <v>43</v>
      </c>
      <c r="D12201" t="s">
        <v>6829</v>
      </c>
      <c r="F12201" s="21"/>
      <c r="G12201" s="16" t="str">
        <f>HYPERLINK("http://maps.google.com/maps?f=q&amp;hl=en&amp;geocode=&amp;q=41.42346,-75.66151")</f>
        <v>http://maps.google.com/maps?f=q&amp;hl=en&amp;geocode=&amp;q=41.42346,-75.66151</v>
      </c>
    </row>
    <row r="12202" spans="1:7" ht="15" x14ac:dyDescent="0.3">
      <c r="A12202">
        <v>-29.641719999999999</v>
      </c>
      <c r="B12202">
        <v>30.410029999999999</v>
      </c>
      <c r="C12202" t="s">
        <v>41</v>
      </c>
      <c r="D12202" t="s">
        <v>6716</v>
      </c>
      <c r="F12202" s="21"/>
      <c r="G12202" s="16" t="str">
        <f>HYPERLINK("http://maps.google.com/maps?f=q&amp;hl=en&amp;geocode=&amp;q=-29.64172,30.41003")</f>
        <v>http://maps.google.com/maps?f=q&amp;hl=en&amp;geocode=&amp;q=-29.64172,30.41003</v>
      </c>
    </row>
    <row r="12203" spans="1:7" ht="15" x14ac:dyDescent="0.3">
      <c r="A12203">
        <v>40.576259999999998</v>
      </c>
      <c r="B12203">
        <v>-75.348519999999994</v>
      </c>
      <c r="C12203" t="s">
        <v>43</v>
      </c>
      <c r="D12203" t="s">
        <v>6223</v>
      </c>
      <c r="F12203" s="21"/>
      <c r="G12203" s="16" t="str">
        <f>HYPERLINK("http://maps.google.com/maps?f=q&amp;hl=en&amp;geocode=&amp;q=40.57626,-75.34852")</f>
        <v>http://maps.google.com/maps?f=q&amp;hl=en&amp;geocode=&amp;q=40.57626,-75.34852</v>
      </c>
    </row>
    <row r="12204" spans="1:7" ht="15" x14ac:dyDescent="0.3">
      <c r="A12204">
        <v>32.619277450028598</v>
      </c>
      <c r="B12204">
        <v>-89.638473799108795</v>
      </c>
      <c r="C12204" t="s">
        <v>41</v>
      </c>
      <c r="D12204" t="s">
        <v>6830</v>
      </c>
      <c r="F12204" s="21"/>
      <c r="G12204" s="16" t="str">
        <f>HYPERLINK("http://maps.google.com/maps?f=q&amp;hl=en&amp;geocode=&amp;q=32.6192774500286,-89.6384737991088")</f>
        <v>http://maps.google.com/maps?f=q&amp;hl=en&amp;geocode=&amp;q=32.6192774500286,-89.6384737991088</v>
      </c>
    </row>
    <row r="12205" spans="1:7" ht="15" x14ac:dyDescent="0.3">
      <c r="A12205">
        <v>39.947240000000001</v>
      </c>
      <c r="B12205">
        <v>-75.174689999999998</v>
      </c>
      <c r="C12205" t="s">
        <v>43</v>
      </c>
      <c r="D12205" t="s">
        <v>6228</v>
      </c>
      <c r="F12205" s="21"/>
      <c r="G12205" s="16" t="str">
        <f>HYPERLINK("http://maps.google.com/maps?f=q&amp;hl=en&amp;geocode=&amp;q=39.94724,-75.17469")</f>
        <v>http://maps.google.com/maps?f=q&amp;hl=en&amp;geocode=&amp;q=39.94724,-75.17469</v>
      </c>
    </row>
    <row r="12206" spans="1:7" ht="15" x14ac:dyDescent="0.3">
      <c r="A12206">
        <v>39.94782</v>
      </c>
      <c r="B12206">
        <v>-75.178169999999994</v>
      </c>
      <c r="C12206" t="s">
        <v>43</v>
      </c>
      <c r="D12206" t="s">
        <v>6255</v>
      </c>
      <c r="F12206" s="21"/>
      <c r="G12206" s="16" t="str">
        <f>HYPERLINK("http://maps.google.com/maps?f=q&amp;hl=en&amp;geocode=&amp;q=39.94782,-75.17817")</f>
        <v>http://maps.google.com/maps?f=q&amp;hl=en&amp;geocode=&amp;q=39.94782,-75.17817</v>
      </c>
    </row>
    <row r="12207" spans="1:7" ht="15" x14ac:dyDescent="0.3">
      <c r="A12207">
        <v>39.947240000000001</v>
      </c>
      <c r="B12207">
        <v>-75.174689999999998</v>
      </c>
      <c r="C12207" t="s">
        <v>43</v>
      </c>
      <c r="D12207" t="s">
        <v>6228</v>
      </c>
      <c r="F12207" s="21"/>
      <c r="G12207" s="16" t="str">
        <f>HYPERLINK("http://maps.google.com/maps?f=q&amp;hl=en&amp;geocode=&amp;q=39.94724,-75.17469")</f>
        <v>http://maps.google.com/maps?f=q&amp;hl=en&amp;geocode=&amp;q=39.94724,-75.17469</v>
      </c>
    </row>
    <row r="12208" spans="1:7" ht="15" x14ac:dyDescent="0.3">
      <c r="A12208">
        <v>39.94782</v>
      </c>
      <c r="B12208">
        <v>-75.178169999999994</v>
      </c>
      <c r="C12208" t="s">
        <v>43</v>
      </c>
      <c r="D12208" t="s">
        <v>6255</v>
      </c>
      <c r="F12208" s="21"/>
      <c r="G12208" s="16" t="str">
        <f>HYPERLINK("http://maps.google.com/maps?f=q&amp;hl=en&amp;geocode=&amp;q=39.94782,-75.17817")</f>
        <v>http://maps.google.com/maps?f=q&amp;hl=en&amp;geocode=&amp;q=39.94782,-75.17817</v>
      </c>
    </row>
    <row r="12209" spans="1:7" ht="15" x14ac:dyDescent="0.3">
      <c r="A12209">
        <v>39.950090000000003</v>
      </c>
      <c r="B12209">
        <v>-75.168360000000007</v>
      </c>
      <c r="C12209" t="s">
        <v>41</v>
      </c>
      <c r="D12209" t="s">
        <v>6197</v>
      </c>
      <c r="F12209" s="21"/>
      <c r="G12209" s="16" t="str">
        <f>HYPERLINK("http://maps.google.com/maps?f=q&amp;hl=en&amp;geocode=&amp;q=39.95009,-75.16836")</f>
        <v>http://maps.google.com/maps?f=q&amp;hl=en&amp;geocode=&amp;q=39.95009,-75.16836</v>
      </c>
    </row>
    <row r="12210" spans="1:7" ht="15" x14ac:dyDescent="0.3">
      <c r="A12210">
        <v>39.950060000000001</v>
      </c>
      <c r="B12210">
        <v>-75.168139999999994</v>
      </c>
      <c r="C12210" t="s">
        <v>41</v>
      </c>
      <c r="D12210" t="s">
        <v>5999</v>
      </c>
      <c r="F12210" s="21"/>
      <c r="G12210" s="16" t="str">
        <f>HYPERLINK("http://maps.google.com/maps?f=q&amp;hl=en&amp;geocode=&amp;q=39.95006,-75.16814")</f>
        <v>http://maps.google.com/maps?f=q&amp;hl=en&amp;geocode=&amp;q=39.95006,-75.16814</v>
      </c>
    </row>
    <row r="12211" spans="1:7" ht="15" x14ac:dyDescent="0.3">
      <c r="A12211">
        <v>37.859785696689499</v>
      </c>
      <c r="B12211">
        <v>-82.805018451891399</v>
      </c>
      <c r="C12211" t="s">
        <v>41</v>
      </c>
      <c r="D12211" t="s">
        <v>6806</v>
      </c>
      <c r="F12211" s="21"/>
      <c r="G12211" s="16" t="str">
        <f>HYPERLINK("http://maps.google.com/maps?f=q&amp;hl=en&amp;geocode=&amp;q=37.8597856966895,-82.8050184518914")</f>
        <v>http://maps.google.com/maps?f=q&amp;hl=en&amp;geocode=&amp;q=37.8597856966895,-82.8050184518914</v>
      </c>
    </row>
    <row r="12212" spans="1:7" ht="15" x14ac:dyDescent="0.3">
      <c r="A12212">
        <v>42.754153055680902</v>
      </c>
      <c r="B12212">
        <v>-89.269584392625106</v>
      </c>
      <c r="C12212" t="s">
        <v>41</v>
      </c>
      <c r="D12212" t="s">
        <v>6831</v>
      </c>
      <c r="F12212" s="21"/>
      <c r="G12212" s="16" t="str">
        <f>HYPERLINK("http://maps.google.com/maps?f=q&amp;hl=en&amp;geocode=&amp;q=42.7541530556809,-89.2695843926251")</f>
        <v>http://maps.google.com/maps?f=q&amp;hl=en&amp;geocode=&amp;q=42.7541530556809,-89.2695843926251</v>
      </c>
    </row>
    <row r="12213" spans="1:7" ht="15" x14ac:dyDescent="0.3">
      <c r="A12213">
        <v>40.027860941965301</v>
      </c>
      <c r="B12213">
        <v>-75.137591740618703</v>
      </c>
      <c r="C12213" t="s">
        <v>43</v>
      </c>
      <c r="D12213" t="s">
        <v>6832</v>
      </c>
      <c r="F12213" s="21"/>
      <c r="G12213" s="16" t="str">
        <f>HYPERLINK("http://maps.google.com/maps?f=q&amp;hl=en&amp;geocode=&amp;q=40.0278609419653,-75.1375917406187")</f>
        <v>http://maps.google.com/maps?f=q&amp;hl=en&amp;geocode=&amp;q=40.0278609419653,-75.1375917406187</v>
      </c>
    </row>
    <row r="12214" spans="1:7" ht="15" x14ac:dyDescent="0.3">
      <c r="A12214" t="s">
        <v>44</v>
      </c>
      <c r="B12214" t="s">
        <v>44</v>
      </c>
      <c r="C12214" t="s">
        <v>44</v>
      </c>
      <c r="D12214" t="s">
        <v>6833</v>
      </c>
      <c r="F12214" s="21"/>
      <c r="G12214" s="16"/>
    </row>
    <row r="12215" spans="1:7" ht="15" x14ac:dyDescent="0.3">
      <c r="A12215">
        <v>44.052837364400098</v>
      </c>
      <c r="B12215">
        <v>-70.784119510502407</v>
      </c>
      <c r="C12215" t="s">
        <v>41</v>
      </c>
      <c r="D12215" t="s">
        <v>6834</v>
      </c>
      <c r="F12215" s="21"/>
      <c r="G12215" s="16" t="str">
        <f>HYPERLINK("http://maps.google.com/maps?f=q&amp;hl=en&amp;geocode=&amp;q=44.0528373644001,-70.7841195105024")</f>
        <v>http://maps.google.com/maps?f=q&amp;hl=en&amp;geocode=&amp;q=44.0528373644001,-70.7841195105024</v>
      </c>
    </row>
    <row r="12216" spans="1:7" ht="15" x14ac:dyDescent="0.3">
      <c r="A12216">
        <v>49.581771850585902</v>
      </c>
      <c r="B12216">
        <v>6.0619821548461896</v>
      </c>
      <c r="C12216" t="s">
        <v>41</v>
      </c>
      <c r="D12216" t="s">
        <v>6835</v>
      </c>
      <c r="F12216" s="21"/>
      <c r="G12216" s="16" t="str">
        <f>HYPERLINK("http://maps.google.com/maps?f=q&amp;hl=en&amp;geocode=&amp;q=49.5817718505859,6.06198215484619")</f>
        <v>http://maps.google.com/maps?f=q&amp;hl=en&amp;geocode=&amp;q=49.5817718505859,6.06198215484619</v>
      </c>
    </row>
    <row r="12217" spans="1:7" ht="15" x14ac:dyDescent="0.3">
      <c r="A12217">
        <v>40.026128476079897</v>
      </c>
      <c r="B12217">
        <v>-75.084156866277894</v>
      </c>
      <c r="C12217" t="s">
        <v>41</v>
      </c>
      <c r="D12217" t="s">
        <v>6836</v>
      </c>
      <c r="F12217" s="21"/>
      <c r="G12217" s="16" t="str">
        <f>HYPERLINK("http://maps.google.com/maps?f=q&amp;hl=en&amp;geocode=&amp;q=40.0261284760799,-75.0841568662779")</f>
        <v>http://maps.google.com/maps?f=q&amp;hl=en&amp;geocode=&amp;q=40.0261284760799,-75.0841568662779</v>
      </c>
    </row>
    <row r="12218" spans="1:7" ht="15" x14ac:dyDescent="0.3">
      <c r="A12218" t="s">
        <v>44</v>
      </c>
      <c r="B12218" t="s">
        <v>44</v>
      </c>
      <c r="C12218" t="s">
        <v>44</v>
      </c>
      <c r="D12218" t="s">
        <v>6837</v>
      </c>
      <c r="F12218" s="21"/>
      <c r="G12218" s="16"/>
    </row>
    <row r="12219" spans="1:7" ht="15" x14ac:dyDescent="0.3">
      <c r="A12219">
        <v>41.414909999999999</v>
      </c>
      <c r="B12219">
        <v>-91.071770000000001</v>
      </c>
      <c r="C12219" t="s">
        <v>42</v>
      </c>
      <c r="D12219" t="s">
        <v>6695</v>
      </c>
      <c r="F12219" s="21"/>
      <c r="G12219" s="16" t="str">
        <f>HYPERLINK("http://maps.google.com/maps?f=q&amp;hl=en&amp;geocode=&amp;q=41.41491,-91.07177")</f>
        <v>http://maps.google.com/maps?f=q&amp;hl=en&amp;geocode=&amp;q=41.41491,-91.07177</v>
      </c>
    </row>
    <row r="12220" spans="1:7" ht="15" x14ac:dyDescent="0.3">
      <c r="A12220">
        <v>37.342185325015699</v>
      </c>
      <c r="B12220">
        <v>-76.486094623276301</v>
      </c>
      <c r="C12220" t="s">
        <v>41</v>
      </c>
      <c r="D12220" t="s">
        <v>6838</v>
      </c>
      <c r="F12220" s="21"/>
      <c r="G12220" s="16" t="str">
        <f>HYPERLINK("http://maps.google.com/maps?f=q&amp;hl=en&amp;geocode=&amp;q=37.3421853250157,-76.4860946232763")</f>
        <v>http://maps.google.com/maps?f=q&amp;hl=en&amp;geocode=&amp;q=37.3421853250157,-76.4860946232763</v>
      </c>
    </row>
    <row r="12221" spans="1:7" ht="15" x14ac:dyDescent="0.3">
      <c r="A12221">
        <v>39.9746776999025</v>
      </c>
      <c r="B12221">
        <v>-75.160656077650003</v>
      </c>
      <c r="C12221" t="s">
        <v>41</v>
      </c>
      <c r="D12221" t="s">
        <v>6839</v>
      </c>
      <c r="F12221" s="21"/>
      <c r="G12221" s="16" t="str">
        <f>HYPERLINK("http://maps.google.com/maps?f=q&amp;hl=en&amp;geocode=&amp;q=39.9746776999025,-75.16065607765")</f>
        <v>http://maps.google.com/maps?f=q&amp;hl=en&amp;geocode=&amp;q=39.9746776999025,-75.16065607765</v>
      </c>
    </row>
    <row r="12222" spans="1:7" ht="15" x14ac:dyDescent="0.3">
      <c r="A12222">
        <v>39.9746776999025</v>
      </c>
      <c r="B12222">
        <v>-75.160656077650003</v>
      </c>
      <c r="C12222" t="s">
        <v>41</v>
      </c>
      <c r="D12222" t="s">
        <v>6839</v>
      </c>
      <c r="F12222" s="21"/>
      <c r="G12222" s="16" t="str">
        <f>HYPERLINK("http://maps.google.com/maps?f=q&amp;hl=en&amp;geocode=&amp;q=39.9746776999025,-75.16065607765")</f>
        <v>http://maps.google.com/maps?f=q&amp;hl=en&amp;geocode=&amp;q=39.9746776999025,-75.16065607765</v>
      </c>
    </row>
    <row r="12223" spans="1:7" ht="15" x14ac:dyDescent="0.3">
      <c r="A12223">
        <v>39.9746776999025</v>
      </c>
      <c r="B12223">
        <v>-75.160656077650003</v>
      </c>
      <c r="C12223" t="s">
        <v>41</v>
      </c>
      <c r="D12223" t="s">
        <v>6839</v>
      </c>
      <c r="F12223" s="21"/>
      <c r="G12223" s="16" t="str">
        <f>HYPERLINK("http://maps.google.com/maps?f=q&amp;hl=en&amp;geocode=&amp;q=39.9746776999025,-75.16065607765")</f>
        <v>http://maps.google.com/maps?f=q&amp;hl=en&amp;geocode=&amp;q=39.9746776999025,-75.16065607765</v>
      </c>
    </row>
    <row r="12224" spans="1:7" ht="15" x14ac:dyDescent="0.3">
      <c r="A12224">
        <v>39.9746776999025</v>
      </c>
      <c r="B12224">
        <v>-75.160656077650003</v>
      </c>
      <c r="C12224" t="s">
        <v>41</v>
      </c>
      <c r="D12224" t="s">
        <v>6839</v>
      </c>
      <c r="F12224" s="21"/>
      <c r="G12224" s="16" t="str">
        <f>HYPERLINK("http://maps.google.com/maps?f=q&amp;hl=en&amp;geocode=&amp;q=39.9746776999025,-75.16065607765")</f>
        <v>http://maps.google.com/maps?f=q&amp;hl=en&amp;geocode=&amp;q=39.9746776999025,-75.16065607765</v>
      </c>
    </row>
    <row r="12225" spans="1:7" ht="15" x14ac:dyDescent="0.3">
      <c r="A12225">
        <v>39.9746776999025</v>
      </c>
      <c r="B12225">
        <v>-75.160656077650003</v>
      </c>
      <c r="C12225" t="s">
        <v>41</v>
      </c>
      <c r="D12225" t="s">
        <v>6839</v>
      </c>
      <c r="F12225" s="21"/>
      <c r="G12225" s="16" t="str">
        <f>HYPERLINK("http://maps.google.com/maps?f=q&amp;hl=en&amp;geocode=&amp;q=39.9746776999025,-75.16065607765")</f>
        <v>http://maps.google.com/maps?f=q&amp;hl=en&amp;geocode=&amp;q=39.9746776999025,-75.16065607765</v>
      </c>
    </row>
    <row r="12226" spans="1:7" ht="15" x14ac:dyDescent="0.3">
      <c r="A12226">
        <v>38.7328910827637</v>
      </c>
      <c r="B12226">
        <v>-9.2817401885986293</v>
      </c>
      <c r="C12226" t="s">
        <v>41</v>
      </c>
      <c r="D12226" t="s">
        <v>6840</v>
      </c>
      <c r="F12226" s="21"/>
      <c r="G12226" s="16" t="str">
        <f>HYPERLINK("http://maps.google.com/maps?f=q&amp;hl=en&amp;geocode=&amp;q=38.7328910827637,-9.28174018859863")</f>
        <v>http://maps.google.com/maps?f=q&amp;hl=en&amp;geocode=&amp;q=38.7328910827637,-9.28174018859863</v>
      </c>
    </row>
    <row r="12227" spans="1:7" ht="15" x14ac:dyDescent="0.3">
      <c r="A12227">
        <v>47.4397583007813</v>
      </c>
      <c r="B12227">
        <v>6.99562692642212</v>
      </c>
      <c r="C12227" t="s">
        <v>43</v>
      </c>
      <c r="D12227" t="s">
        <v>6841</v>
      </c>
      <c r="F12227" s="21"/>
      <c r="G12227" s="16" t="str">
        <f>HYPERLINK("http://maps.google.com/maps?f=q&amp;hl=en&amp;geocode=&amp;q=47.4397583007813,6.99562692642212")</f>
        <v>http://maps.google.com/maps?f=q&amp;hl=en&amp;geocode=&amp;q=47.4397583007813,6.99562692642212</v>
      </c>
    </row>
    <row r="12228" spans="1:7" ht="15" x14ac:dyDescent="0.3">
      <c r="A12228">
        <v>55.279430389404297</v>
      </c>
      <c r="B12228">
        <v>10.188559532165501</v>
      </c>
      <c r="C12228" t="s">
        <v>41</v>
      </c>
      <c r="D12228" t="s">
        <v>6842</v>
      </c>
      <c r="F12228" s="21"/>
      <c r="G12228" s="16" t="str">
        <f>HYPERLINK("http://maps.google.com/maps?f=q&amp;hl=en&amp;geocode=&amp;q=55.2794303894043,10.1885595321655")</f>
        <v>http://maps.google.com/maps?f=q&amp;hl=en&amp;geocode=&amp;q=55.2794303894043,10.1885595321655</v>
      </c>
    </row>
    <row r="12229" spans="1:7" ht="15" x14ac:dyDescent="0.3">
      <c r="A12229">
        <v>55.279430389404297</v>
      </c>
      <c r="B12229">
        <v>10.188559532165501</v>
      </c>
      <c r="C12229" t="s">
        <v>41</v>
      </c>
      <c r="D12229" t="s">
        <v>6842</v>
      </c>
      <c r="F12229" s="21"/>
      <c r="G12229" s="16" t="str">
        <f>HYPERLINK("http://maps.google.com/maps?f=q&amp;hl=en&amp;geocode=&amp;q=55.2794303894043,10.1885595321655")</f>
        <v>http://maps.google.com/maps?f=q&amp;hl=en&amp;geocode=&amp;q=55.2794303894043,10.1885595321655</v>
      </c>
    </row>
    <row r="12230" spans="1:7" ht="15" x14ac:dyDescent="0.3">
      <c r="A12230">
        <v>30.112073798531199</v>
      </c>
      <c r="B12230">
        <v>-83.315953727667306</v>
      </c>
      <c r="C12230" t="s">
        <v>41</v>
      </c>
      <c r="D12230" t="s">
        <v>5126</v>
      </c>
      <c r="F12230" s="21"/>
      <c r="G12230" s="16" t="str">
        <f>HYPERLINK("http://maps.google.com/maps?f=q&amp;hl=en&amp;geocode=&amp;q=30.1120737985312,-83.3159537276673")</f>
        <v>http://maps.google.com/maps?f=q&amp;hl=en&amp;geocode=&amp;q=30.1120737985312,-83.3159537276673</v>
      </c>
    </row>
    <row r="12231" spans="1:7" ht="15" x14ac:dyDescent="0.3">
      <c r="A12231">
        <v>33.6918831054506</v>
      </c>
      <c r="B12231">
        <v>-79.914331348536606</v>
      </c>
      <c r="C12231" t="s">
        <v>41</v>
      </c>
      <c r="D12231" t="s">
        <v>6843</v>
      </c>
      <c r="F12231" s="21"/>
      <c r="G12231" s="16" t="str">
        <f>HYPERLINK("http://maps.google.com/maps?f=q&amp;hl=en&amp;geocode=&amp;q=33.6918831054506,-79.9143313485366")</f>
        <v>http://maps.google.com/maps?f=q&amp;hl=en&amp;geocode=&amp;q=33.6918831054506,-79.9143313485366</v>
      </c>
    </row>
    <row r="12232" spans="1:7" ht="15" x14ac:dyDescent="0.3">
      <c r="A12232">
        <v>29.7082328796387</v>
      </c>
      <c r="B12232">
        <v>-90.006401062011705</v>
      </c>
      <c r="C12232" t="s">
        <v>43</v>
      </c>
      <c r="D12232" t="s">
        <v>98</v>
      </c>
      <c r="F12232" s="21"/>
      <c r="G12232" s="16" t="str">
        <f>HYPERLINK("http://maps.google.com/maps?f=q&amp;hl=en&amp;geocode=&amp;q=29.7082328796387,-90.0064010620117")</f>
        <v>http://maps.google.com/maps?f=q&amp;hl=en&amp;geocode=&amp;q=29.7082328796387,-90.0064010620117</v>
      </c>
    </row>
    <row r="12233" spans="1:7" ht="15" x14ac:dyDescent="0.3">
      <c r="A12233">
        <v>36.093150000000001</v>
      </c>
      <c r="B12233">
        <v>-78.968919999999997</v>
      </c>
      <c r="C12233" t="s">
        <v>42</v>
      </c>
      <c r="D12233" t="s">
        <v>6844</v>
      </c>
      <c r="F12233" s="21"/>
      <c r="G12233" s="16" t="str">
        <f>HYPERLINK("http://maps.google.com/maps?f=q&amp;hl=en&amp;geocode=&amp;q=36.09315,-78.96892")</f>
        <v>http://maps.google.com/maps?f=q&amp;hl=en&amp;geocode=&amp;q=36.09315,-78.96892</v>
      </c>
    </row>
    <row r="12234" spans="1:7" ht="15" x14ac:dyDescent="0.3">
      <c r="A12234">
        <v>37.859785696689499</v>
      </c>
      <c r="B12234">
        <v>-82.805018451891399</v>
      </c>
      <c r="C12234" t="s">
        <v>41</v>
      </c>
      <c r="D12234" t="s">
        <v>6806</v>
      </c>
      <c r="F12234" s="21"/>
      <c r="G12234" s="16" t="str">
        <f>HYPERLINK("http://maps.google.com/maps?f=q&amp;hl=en&amp;geocode=&amp;q=37.8597856966895,-82.8050184518914")</f>
        <v>http://maps.google.com/maps?f=q&amp;hl=en&amp;geocode=&amp;q=37.8597856966895,-82.8050184518914</v>
      </c>
    </row>
    <row r="12235" spans="1:7" ht="15" x14ac:dyDescent="0.3">
      <c r="A12235">
        <v>35.4022675358055</v>
      </c>
      <c r="B12235">
        <v>-97.761389970830805</v>
      </c>
      <c r="C12235" t="s">
        <v>41</v>
      </c>
      <c r="D12235" t="s">
        <v>6845</v>
      </c>
      <c r="F12235" s="21"/>
      <c r="G12235" s="16" t="str">
        <f>HYPERLINK("http://maps.google.com/maps?f=q&amp;hl=en&amp;geocode=&amp;q=35.4022675358055,-97.7613899708308")</f>
        <v>http://maps.google.com/maps?f=q&amp;hl=en&amp;geocode=&amp;q=35.4022675358055,-97.7613899708308</v>
      </c>
    </row>
    <row r="12236" spans="1:7" ht="15" x14ac:dyDescent="0.3">
      <c r="A12236">
        <v>-30.7640476226807</v>
      </c>
      <c r="B12236">
        <v>139.13577270507801</v>
      </c>
      <c r="C12236" t="s">
        <v>41</v>
      </c>
      <c r="D12236" t="s">
        <v>6846</v>
      </c>
      <c r="F12236" s="21"/>
      <c r="G12236" s="16" t="str">
        <f>HYPERLINK("http://maps.google.com/maps?f=q&amp;hl=en&amp;geocode=&amp;q=-30.7640476226807,139.135772705078")</f>
        <v>http://maps.google.com/maps?f=q&amp;hl=en&amp;geocode=&amp;q=-30.7640476226807,139.135772705078</v>
      </c>
    </row>
    <row r="12237" spans="1:7" ht="15" x14ac:dyDescent="0.3">
      <c r="A12237">
        <v>34.0880469067204</v>
      </c>
      <c r="B12237">
        <v>-118.03552852172599</v>
      </c>
      <c r="C12237" t="s">
        <v>41</v>
      </c>
      <c r="D12237" t="s">
        <v>6847</v>
      </c>
      <c r="F12237" s="21"/>
      <c r="G12237" s="16" t="str">
        <f>HYPERLINK("http://maps.google.com/maps?f=q&amp;hl=en&amp;geocode=&amp;q=34.0880469067204,-118.035528521726")</f>
        <v>http://maps.google.com/maps?f=q&amp;hl=en&amp;geocode=&amp;q=34.0880469067204,-118.035528521726</v>
      </c>
    </row>
    <row r="12238" spans="1:7" ht="15" x14ac:dyDescent="0.3">
      <c r="A12238">
        <v>35.243940000000002</v>
      </c>
      <c r="B12238">
        <v>-97.423190000000005</v>
      </c>
      <c r="C12238" t="s">
        <v>41</v>
      </c>
      <c r="D12238" t="s">
        <v>6313</v>
      </c>
      <c r="F12238" s="21"/>
      <c r="G12238" s="16" t="str">
        <f>HYPERLINK("http://maps.google.com/maps?f=q&amp;hl=en&amp;geocode=&amp;q=35.24394,-97.42319")</f>
        <v>http://maps.google.com/maps?f=q&amp;hl=en&amp;geocode=&amp;q=35.24394,-97.42319</v>
      </c>
    </row>
    <row r="12239" spans="1:7" ht="15" x14ac:dyDescent="0.3">
      <c r="A12239">
        <v>40.576259999999998</v>
      </c>
      <c r="B12239">
        <v>-75.348519999999994</v>
      </c>
      <c r="C12239" t="s">
        <v>43</v>
      </c>
      <c r="D12239" t="s">
        <v>6223</v>
      </c>
      <c r="F12239" s="21"/>
      <c r="G12239" s="16" t="str">
        <f>HYPERLINK("http://maps.google.com/maps?f=q&amp;hl=en&amp;geocode=&amp;q=40.57626,-75.34852")</f>
        <v>http://maps.google.com/maps?f=q&amp;hl=en&amp;geocode=&amp;q=40.57626,-75.34852</v>
      </c>
    </row>
    <row r="12240" spans="1:7" ht="15" x14ac:dyDescent="0.3">
      <c r="A12240">
        <v>33.6918831054506</v>
      </c>
      <c r="B12240">
        <v>-79.914331348536606</v>
      </c>
      <c r="C12240" t="s">
        <v>41</v>
      </c>
      <c r="D12240" t="s">
        <v>6843</v>
      </c>
      <c r="F12240" s="21"/>
      <c r="G12240" s="16" t="str">
        <f>HYPERLINK("http://maps.google.com/maps?f=q&amp;hl=en&amp;geocode=&amp;q=33.6918831054506,-79.9143313485366")</f>
        <v>http://maps.google.com/maps?f=q&amp;hl=en&amp;geocode=&amp;q=33.6918831054506,-79.9143313485366</v>
      </c>
    </row>
    <row r="12241" spans="1:7" ht="15" x14ac:dyDescent="0.3">
      <c r="A12241">
        <v>39.947240000000001</v>
      </c>
      <c r="B12241">
        <v>-75.174689999999998</v>
      </c>
      <c r="C12241" t="s">
        <v>43</v>
      </c>
      <c r="D12241" t="s">
        <v>6228</v>
      </c>
      <c r="F12241" s="21"/>
      <c r="G12241" s="16" t="str">
        <f>HYPERLINK("http://maps.google.com/maps?f=q&amp;hl=en&amp;geocode=&amp;q=39.94724,-75.17469")</f>
        <v>http://maps.google.com/maps?f=q&amp;hl=en&amp;geocode=&amp;q=39.94724,-75.17469</v>
      </c>
    </row>
    <row r="12242" spans="1:7" ht="15" x14ac:dyDescent="0.3">
      <c r="A12242">
        <v>39.94782</v>
      </c>
      <c r="B12242">
        <v>-75.178169999999994</v>
      </c>
      <c r="C12242" t="s">
        <v>43</v>
      </c>
      <c r="D12242" t="s">
        <v>6255</v>
      </c>
      <c r="F12242" s="21"/>
      <c r="G12242" s="16" t="str">
        <f>HYPERLINK("http://maps.google.com/maps?f=q&amp;hl=en&amp;geocode=&amp;q=39.94782,-75.17817")</f>
        <v>http://maps.google.com/maps?f=q&amp;hl=en&amp;geocode=&amp;q=39.94782,-75.17817</v>
      </c>
    </row>
    <row r="12243" spans="1:7" ht="15" x14ac:dyDescent="0.3">
      <c r="A12243">
        <v>6.8558897972106898</v>
      </c>
      <c r="B12243">
        <v>-8.7457304000854492</v>
      </c>
      <c r="C12243" t="s">
        <v>41</v>
      </c>
      <c r="D12243" t="s">
        <v>6848</v>
      </c>
      <c r="F12243" s="21"/>
      <c r="G12243" s="16" t="str">
        <f>HYPERLINK("http://maps.google.com/maps?f=q&amp;hl=en&amp;geocode=&amp;q=6.85588979721069,-8.74573040008545")</f>
        <v>http://maps.google.com/maps?f=q&amp;hl=en&amp;geocode=&amp;q=6.85588979721069,-8.74573040008545</v>
      </c>
    </row>
    <row r="12244" spans="1:7" ht="15" x14ac:dyDescent="0.3">
      <c r="A12244">
        <v>6.8558897972106898</v>
      </c>
      <c r="B12244">
        <v>-8.7457304000854492</v>
      </c>
      <c r="C12244" t="s">
        <v>41</v>
      </c>
      <c r="D12244" t="s">
        <v>6848</v>
      </c>
      <c r="F12244" s="21"/>
      <c r="G12244" s="16" t="str">
        <f>HYPERLINK("http://maps.google.com/maps?f=q&amp;hl=en&amp;geocode=&amp;q=6.85588979721069,-8.74573040008545")</f>
        <v>http://maps.google.com/maps?f=q&amp;hl=en&amp;geocode=&amp;q=6.85588979721069,-8.74573040008545</v>
      </c>
    </row>
    <row r="12245" spans="1:7" ht="15" x14ac:dyDescent="0.3">
      <c r="A12245">
        <v>6.8558897972106898</v>
      </c>
      <c r="B12245">
        <v>-8.7457304000854492</v>
      </c>
      <c r="C12245" t="s">
        <v>41</v>
      </c>
      <c r="D12245" t="s">
        <v>6848</v>
      </c>
      <c r="F12245" s="21"/>
      <c r="G12245" s="16" t="str">
        <f>HYPERLINK("http://maps.google.com/maps?f=q&amp;hl=en&amp;geocode=&amp;q=6.85588979721069,-8.74573040008545")</f>
        <v>http://maps.google.com/maps?f=q&amp;hl=en&amp;geocode=&amp;q=6.85588979721069,-8.74573040008545</v>
      </c>
    </row>
    <row r="12246" spans="1:7" ht="15" x14ac:dyDescent="0.3">
      <c r="A12246">
        <v>37.860477293610998</v>
      </c>
      <c r="B12246">
        <v>-82.804754194483493</v>
      </c>
      <c r="C12246" t="s">
        <v>41</v>
      </c>
      <c r="D12246" t="s">
        <v>6849</v>
      </c>
      <c r="F12246" s="21"/>
      <c r="G12246" s="16" t="str">
        <f>HYPERLINK("http://maps.google.com/maps?f=q&amp;hl=en&amp;geocode=&amp;q=37.860477293611,-82.8047541944835")</f>
        <v>http://maps.google.com/maps?f=q&amp;hl=en&amp;geocode=&amp;q=37.860477293611,-82.8047541944835</v>
      </c>
    </row>
    <row r="12247" spans="1:7" ht="15" x14ac:dyDescent="0.3">
      <c r="A12247">
        <v>6.8558897972106898</v>
      </c>
      <c r="B12247">
        <v>-8.7457304000854492</v>
      </c>
      <c r="C12247" t="s">
        <v>41</v>
      </c>
      <c r="D12247" t="s">
        <v>6848</v>
      </c>
      <c r="F12247" s="21"/>
      <c r="G12247" s="16" t="str">
        <f>HYPERLINK("http://maps.google.com/maps?f=q&amp;hl=en&amp;geocode=&amp;q=6.85588979721069,-8.74573040008545")</f>
        <v>http://maps.google.com/maps?f=q&amp;hl=en&amp;geocode=&amp;q=6.85588979721069,-8.74573040008545</v>
      </c>
    </row>
    <row r="12248" spans="1:7" ht="15" x14ac:dyDescent="0.3">
      <c r="A12248">
        <v>42.659824371337898</v>
      </c>
      <c r="B12248">
        <v>23.607048034668001</v>
      </c>
      <c r="C12248" t="s">
        <v>43</v>
      </c>
      <c r="D12248" t="s">
        <v>6850</v>
      </c>
      <c r="F12248" s="21"/>
      <c r="G12248" s="16" t="str">
        <f>HYPERLINK("http://maps.google.com/maps?f=q&amp;hl=en&amp;geocode=&amp;q=42.6598243713379,23.607048034668")</f>
        <v>http://maps.google.com/maps?f=q&amp;hl=en&amp;geocode=&amp;q=42.6598243713379,23.607048034668</v>
      </c>
    </row>
    <row r="12249" spans="1:7" ht="15" x14ac:dyDescent="0.3">
      <c r="A12249">
        <v>6.8558897972106898</v>
      </c>
      <c r="B12249">
        <v>-8.7457304000854492</v>
      </c>
      <c r="C12249" t="s">
        <v>41</v>
      </c>
      <c r="D12249" t="s">
        <v>6848</v>
      </c>
      <c r="F12249" s="21"/>
      <c r="G12249" s="16" t="str">
        <f>HYPERLINK("http://maps.google.com/maps?f=q&amp;hl=en&amp;geocode=&amp;q=6.85588979721069,-8.74573040008545")</f>
        <v>http://maps.google.com/maps?f=q&amp;hl=en&amp;geocode=&amp;q=6.85588979721069,-8.74573040008545</v>
      </c>
    </row>
    <row r="12250" spans="1:7" ht="15" x14ac:dyDescent="0.3">
      <c r="A12250">
        <v>6.8558897972106898</v>
      </c>
      <c r="B12250">
        <v>-8.7457304000854492</v>
      </c>
      <c r="C12250" t="s">
        <v>41</v>
      </c>
      <c r="D12250" t="s">
        <v>6848</v>
      </c>
      <c r="F12250" s="21"/>
      <c r="G12250" s="16" t="str">
        <f>HYPERLINK("http://maps.google.com/maps?f=q&amp;hl=en&amp;geocode=&amp;q=6.85588979721069,-8.74573040008545")</f>
        <v>http://maps.google.com/maps?f=q&amp;hl=en&amp;geocode=&amp;q=6.85588979721069,-8.74573040008545</v>
      </c>
    </row>
    <row r="12251" spans="1:7" ht="15" x14ac:dyDescent="0.3">
      <c r="A12251">
        <v>6.8558897972106898</v>
      </c>
      <c r="B12251">
        <v>-8.7457304000854492</v>
      </c>
      <c r="C12251" t="s">
        <v>41</v>
      </c>
      <c r="D12251" t="s">
        <v>6848</v>
      </c>
      <c r="F12251" s="21"/>
      <c r="G12251" s="16" t="str">
        <f>HYPERLINK("http://maps.google.com/maps?f=q&amp;hl=en&amp;geocode=&amp;q=6.85588979721069,-8.74573040008545")</f>
        <v>http://maps.google.com/maps?f=q&amp;hl=en&amp;geocode=&amp;q=6.85588979721069,-8.74573040008545</v>
      </c>
    </row>
    <row r="12252" spans="1:7" ht="15" x14ac:dyDescent="0.3">
      <c r="A12252">
        <v>6.8558897972106898</v>
      </c>
      <c r="B12252">
        <v>-8.7457304000854492</v>
      </c>
      <c r="C12252" t="s">
        <v>41</v>
      </c>
      <c r="D12252" t="s">
        <v>6848</v>
      </c>
      <c r="F12252" s="21"/>
      <c r="G12252" s="16" t="str">
        <f>HYPERLINK("http://maps.google.com/maps?f=q&amp;hl=en&amp;geocode=&amp;q=6.85588979721069,-8.74573040008545")</f>
        <v>http://maps.google.com/maps?f=q&amp;hl=en&amp;geocode=&amp;q=6.85588979721069,-8.74573040008545</v>
      </c>
    </row>
    <row r="12253" spans="1:7" ht="15" x14ac:dyDescent="0.3">
      <c r="A12253">
        <v>6.8558897972106898</v>
      </c>
      <c r="B12253">
        <v>-8.7457304000854492</v>
      </c>
      <c r="C12253" t="s">
        <v>41</v>
      </c>
      <c r="D12253" t="s">
        <v>6848</v>
      </c>
      <c r="F12253" s="21"/>
      <c r="G12253" s="16" t="str">
        <f>HYPERLINK("http://maps.google.com/maps?f=q&amp;hl=en&amp;geocode=&amp;q=6.85588979721069,-8.74573040008545")</f>
        <v>http://maps.google.com/maps?f=q&amp;hl=en&amp;geocode=&amp;q=6.85588979721069,-8.74573040008545</v>
      </c>
    </row>
    <row r="12254" spans="1:7" ht="15" x14ac:dyDescent="0.3">
      <c r="A12254">
        <v>39.94782</v>
      </c>
      <c r="B12254">
        <v>-75.178169999999994</v>
      </c>
      <c r="C12254" t="s">
        <v>43</v>
      </c>
      <c r="D12254" t="s">
        <v>6255</v>
      </c>
      <c r="F12254" s="21"/>
      <c r="G12254" s="16" t="str">
        <f>HYPERLINK("http://maps.google.com/maps?f=q&amp;hl=en&amp;geocode=&amp;q=39.94782,-75.17817")</f>
        <v>http://maps.google.com/maps?f=q&amp;hl=en&amp;geocode=&amp;q=39.94782,-75.17817</v>
      </c>
    </row>
    <row r="12255" spans="1:7" ht="15" x14ac:dyDescent="0.3">
      <c r="A12255" t="s">
        <v>44</v>
      </c>
      <c r="B12255" t="s">
        <v>44</v>
      </c>
      <c r="C12255" t="s">
        <v>44</v>
      </c>
      <c r="D12255" t="s">
        <v>6201</v>
      </c>
      <c r="F12255" s="21"/>
      <c r="G12255" s="16"/>
    </row>
    <row r="12256" spans="1:7" ht="15" x14ac:dyDescent="0.3">
      <c r="A12256">
        <v>35.243940000000002</v>
      </c>
      <c r="B12256">
        <v>-97.423190000000005</v>
      </c>
      <c r="C12256" t="s">
        <v>41</v>
      </c>
      <c r="D12256" t="s">
        <v>6313</v>
      </c>
      <c r="F12256" s="21"/>
      <c r="G12256" s="16" t="str">
        <f>HYPERLINK("http://maps.google.com/maps?f=q&amp;hl=en&amp;geocode=&amp;q=35.24394,-97.42319")</f>
        <v>http://maps.google.com/maps?f=q&amp;hl=en&amp;geocode=&amp;q=35.24394,-97.42319</v>
      </c>
    </row>
    <row r="12257" spans="1:7" ht="15" x14ac:dyDescent="0.3">
      <c r="A12257">
        <v>35.243940000000002</v>
      </c>
      <c r="B12257">
        <v>-97.423190000000005</v>
      </c>
      <c r="C12257" t="s">
        <v>41</v>
      </c>
      <c r="D12257" t="s">
        <v>6313</v>
      </c>
      <c r="F12257" s="21"/>
      <c r="G12257" s="16" t="str">
        <f>HYPERLINK("http://maps.google.com/maps?f=q&amp;hl=en&amp;geocode=&amp;q=35.24394,-97.42319")</f>
        <v>http://maps.google.com/maps?f=q&amp;hl=en&amp;geocode=&amp;q=35.24394,-97.42319</v>
      </c>
    </row>
    <row r="12258" spans="1:7" ht="15" x14ac:dyDescent="0.3">
      <c r="A12258">
        <v>39.791854966584403</v>
      </c>
      <c r="B12258">
        <v>-84.215687603071601</v>
      </c>
      <c r="C12258" t="s">
        <v>41</v>
      </c>
      <c r="D12258" t="s">
        <v>6851</v>
      </c>
      <c r="F12258" s="21"/>
      <c r="G12258" s="16" t="str">
        <f>HYPERLINK("http://maps.google.com/maps?f=q&amp;hl=en&amp;geocode=&amp;q=39.7918549665844,-84.2156876030716")</f>
        <v>http://maps.google.com/maps?f=q&amp;hl=en&amp;geocode=&amp;q=39.7918549665844,-84.2156876030716</v>
      </c>
    </row>
    <row r="12259" spans="1:7" ht="15" x14ac:dyDescent="0.3">
      <c r="A12259" t="s">
        <v>44</v>
      </c>
      <c r="B12259" t="s">
        <v>44</v>
      </c>
      <c r="C12259" t="s">
        <v>44</v>
      </c>
      <c r="D12259" t="s">
        <v>6852</v>
      </c>
      <c r="F12259" s="21"/>
      <c r="G12259" s="16"/>
    </row>
    <row r="12260" spans="1:7" ht="15" x14ac:dyDescent="0.3">
      <c r="A12260">
        <v>40.576259999999998</v>
      </c>
      <c r="B12260">
        <v>-75.348519999999994</v>
      </c>
      <c r="C12260" t="s">
        <v>43</v>
      </c>
      <c r="D12260" t="s">
        <v>6223</v>
      </c>
      <c r="F12260" s="21"/>
      <c r="G12260" s="16" t="str">
        <f>HYPERLINK("http://maps.google.com/maps?f=q&amp;hl=en&amp;geocode=&amp;q=40.57626,-75.34852")</f>
        <v>http://maps.google.com/maps?f=q&amp;hl=en&amp;geocode=&amp;q=40.57626,-75.34852</v>
      </c>
    </row>
    <row r="12261" spans="1:7" ht="15" x14ac:dyDescent="0.3">
      <c r="A12261">
        <v>37.859785696689499</v>
      </c>
      <c r="B12261">
        <v>-82.805018451891399</v>
      </c>
      <c r="C12261" t="s">
        <v>41</v>
      </c>
      <c r="D12261" t="s">
        <v>6806</v>
      </c>
      <c r="F12261" s="21"/>
      <c r="G12261" s="16" t="str">
        <f>HYPERLINK("http://maps.google.com/maps?f=q&amp;hl=en&amp;geocode=&amp;q=37.8597856966895,-82.8050184518914")</f>
        <v>http://maps.google.com/maps?f=q&amp;hl=en&amp;geocode=&amp;q=37.8597856966895,-82.8050184518914</v>
      </c>
    </row>
    <row r="12262" spans="1:7" ht="15" x14ac:dyDescent="0.3">
      <c r="A12262">
        <v>39.947240000000001</v>
      </c>
      <c r="B12262">
        <v>-75.174689999999998</v>
      </c>
      <c r="C12262" t="s">
        <v>43</v>
      </c>
      <c r="D12262" t="s">
        <v>6228</v>
      </c>
      <c r="F12262" s="21"/>
      <c r="G12262" s="16" t="str">
        <f>HYPERLINK("http://maps.google.com/maps?f=q&amp;hl=en&amp;geocode=&amp;q=39.94724,-75.17469")</f>
        <v>http://maps.google.com/maps?f=q&amp;hl=en&amp;geocode=&amp;q=39.94724,-75.17469</v>
      </c>
    </row>
    <row r="12263" spans="1:7" ht="15" x14ac:dyDescent="0.3">
      <c r="A12263">
        <v>39.98212211293</v>
      </c>
      <c r="B12263">
        <v>-75.151108286146595</v>
      </c>
      <c r="C12263" t="s">
        <v>41</v>
      </c>
      <c r="D12263" t="s">
        <v>6853</v>
      </c>
      <c r="F12263" s="21"/>
      <c r="G12263" s="16" t="str">
        <f>HYPERLINK("http://maps.google.com/maps?f=q&amp;hl=en&amp;geocode=&amp;q=39.98212211293,-75.1511082861466")</f>
        <v>http://maps.google.com/maps?f=q&amp;hl=en&amp;geocode=&amp;q=39.98212211293,-75.1511082861466</v>
      </c>
    </row>
    <row r="12264" spans="1:7" ht="15" x14ac:dyDescent="0.3">
      <c r="A12264">
        <v>39.98212211293</v>
      </c>
      <c r="B12264">
        <v>-75.151108286146595</v>
      </c>
      <c r="C12264" t="s">
        <v>41</v>
      </c>
      <c r="D12264" t="s">
        <v>6853</v>
      </c>
      <c r="F12264" s="21"/>
      <c r="G12264" s="16" t="str">
        <f>HYPERLINK("http://maps.google.com/maps?f=q&amp;hl=en&amp;geocode=&amp;q=39.98212211293,-75.1511082861466")</f>
        <v>http://maps.google.com/maps?f=q&amp;hl=en&amp;geocode=&amp;q=39.98212211293,-75.1511082861466</v>
      </c>
    </row>
    <row r="12265" spans="1:7" ht="15" x14ac:dyDescent="0.3">
      <c r="A12265" t="s">
        <v>44</v>
      </c>
      <c r="B12265" t="s">
        <v>44</v>
      </c>
      <c r="C12265" t="s">
        <v>44</v>
      </c>
      <c r="D12265" t="s">
        <v>6854</v>
      </c>
      <c r="F12265" s="21"/>
      <c r="G12265" s="16"/>
    </row>
    <row r="12266" spans="1:7" ht="15" x14ac:dyDescent="0.3">
      <c r="A12266">
        <v>32.841279999999998</v>
      </c>
      <c r="B12266">
        <v>-79.960250000000002</v>
      </c>
      <c r="C12266" t="s">
        <v>42</v>
      </c>
      <c r="D12266" t="s">
        <v>6855</v>
      </c>
      <c r="F12266" s="21"/>
      <c r="G12266" s="16" t="str">
        <f>HYPERLINK("http://maps.google.com/maps?f=q&amp;hl=en&amp;geocode=&amp;q=32.84128,-79.96025")</f>
        <v>http://maps.google.com/maps?f=q&amp;hl=en&amp;geocode=&amp;q=32.84128,-79.96025</v>
      </c>
    </row>
    <row r="12267" spans="1:7" ht="15" x14ac:dyDescent="0.3">
      <c r="A12267">
        <v>35.859520428974399</v>
      </c>
      <c r="B12267">
        <v>-117.09568779682</v>
      </c>
      <c r="C12267" t="s">
        <v>42</v>
      </c>
      <c r="D12267" t="s">
        <v>6856</v>
      </c>
      <c r="F12267" s="21"/>
      <c r="G12267" s="16" t="str">
        <f>HYPERLINK("http://maps.google.com/maps?f=q&amp;hl=en&amp;geocode=&amp;q=35.8595204289744,-117.09568779682")</f>
        <v>http://maps.google.com/maps?f=q&amp;hl=en&amp;geocode=&amp;q=35.8595204289744,-117.09568779682</v>
      </c>
    </row>
    <row r="12268" spans="1:7" ht="15" x14ac:dyDescent="0.3">
      <c r="A12268">
        <v>39.305960143236497</v>
      </c>
      <c r="B12268">
        <v>-76.594435092052805</v>
      </c>
      <c r="C12268" t="s">
        <v>41</v>
      </c>
      <c r="D12268" t="s">
        <v>4029</v>
      </c>
      <c r="F12268" s="21"/>
      <c r="G12268" s="16" t="str">
        <f>HYPERLINK("http://maps.google.com/maps?f=q&amp;hl=en&amp;geocode=&amp;q=39.3059601432365,-76.5944350920528")</f>
        <v>http://maps.google.com/maps?f=q&amp;hl=en&amp;geocode=&amp;q=39.3059601432365,-76.5944350920528</v>
      </c>
    </row>
    <row r="12269" spans="1:7" ht="15" x14ac:dyDescent="0.3">
      <c r="A12269">
        <v>40.056907534953297</v>
      </c>
      <c r="B12269">
        <v>-75.160530073061494</v>
      </c>
      <c r="C12269" t="s">
        <v>41</v>
      </c>
      <c r="D12269" t="s">
        <v>4418</v>
      </c>
      <c r="F12269" s="21"/>
      <c r="G12269" s="16" t="str">
        <f>HYPERLINK("http://maps.google.com/maps?f=q&amp;hl=en&amp;geocode=&amp;q=40.0569075349533,-75.1605300730615")</f>
        <v>http://maps.google.com/maps?f=q&amp;hl=en&amp;geocode=&amp;q=40.0569075349533,-75.1605300730615</v>
      </c>
    </row>
    <row r="12270" spans="1:7" ht="15" x14ac:dyDescent="0.3">
      <c r="A12270">
        <v>47.847194671630902</v>
      </c>
      <c r="B12270">
        <v>13.0851154327393</v>
      </c>
      <c r="C12270" t="s">
        <v>43</v>
      </c>
      <c r="D12270" t="s">
        <v>6857</v>
      </c>
      <c r="F12270" s="21"/>
      <c r="G12270" s="16" t="str">
        <f>HYPERLINK("http://maps.google.com/maps?f=q&amp;hl=en&amp;geocode=&amp;q=47.8471946716309,13.0851154327393")</f>
        <v>http://maps.google.com/maps?f=q&amp;hl=en&amp;geocode=&amp;q=47.8471946716309,13.0851154327393</v>
      </c>
    </row>
    <row r="12271" spans="1:7" ht="15" x14ac:dyDescent="0.3">
      <c r="A12271">
        <v>36.743826454851501</v>
      </c>
      <c r="B12271">
        <v>-77.7018703999465</v>
      </c>
      <c r="C12271" t="s">
        <v>41</v>
      </c>
      <c r="D12271" t="s">
        <v>6858</v>
      </c>
      <c r="F12271" s="21"/>
      <c r="G12271" s="16" t="str">
        <f>HYPERLINK("http://maps.google.com/maps?f=q&amp;hl=en&amp;geocode=&amp;q=36.7438264548515,-77.7018703999465")</f>
        <v>http://maps.google.com/maps?f=q&amp;hl=en&amp;geocode=&amp;q=36.7438264548515,-77.7018703999465</v>
      </c>
    </row>
    <row r="12272" spans="1:7" ht="15" x14ac:dyDescent="0.3">
      <c r="A12272" t="s">
        <v>44</v>
      </c>
      <c r="B12272" t="s">
        <v>44</v>
      </c>
      <c r="C12272" t="s">
        <v>44</v>
      </c>
      <c r="D12272" t="s">
        <v>6708</v>
      </c>
      <c r="F12272" s="21"/>
      <c r="G12272" s="16"/>
    </row>
    <row r="12273" spans="1:7" ht="15" x14ac:dyDescent="0.3">
      <c r="A12273" t="s">
        <v>44</v>
      </c>
      <c r="B12273" t="s">
        <v>44</v>
      </c>
      <c r="C12273" t="s">
        <v>44</v>
      </c>
      <c r="D12273" t="s">
        <v>6708</v>
      </c>
      <c r="F12273" s="21"/>
      <c r="G12273" s="16"/>
    </row>
    <row r="12274" spans="1:7" ht="15" x14ac:dyDescent="0.3">
      <c r="A12274">
        <v>39.9726</v>
      </c>
      <c r="B12274">
        <v>-75.160920000000004</v>
      </c>
      <c r="C12274" t="s">
        <v>43</v>
      </c>
      <c r="D12274" t="s">
        <v>6859</v>
      </c>
      <c r="F12274" s="21"/>
      <c r="G12274" s="16" t="str">
        <f>HYPERLINK("http://maps.google.com/maps?f=q&amp;hl=en&amp;geocode=&amp;q=39.9726,-75.16092")</f>
        <v>http://maps.google.com/maps?f=q&amp;hl=en&amp;geocode=&amp;q=39.9726,-75.16092</v>
      </c>
    </row>
    <row r="12275" spans="1:7" ht="15" x14ac:dyDescent="0.3">
      <c r="A12275" t="s">
        <v>44</v>
      </c>
      <c r="B12275" t="s">
        <v>44</v>
      </c>
      <c r="C12275" t="s">
        <v>44</v>
      </c>
      <c r="D12275" t="s">
        <v>6860</v>
      </c>
      <c r="F12275" s="21"/>
      <c r="G12275" s="16"/>
    </row>
    <row r="12276" spans="1:7" ht="15" x14ac:dyDescent="0.3">
      <c r="A12276">
        <v>39.965036790043797</v>
      </c>
      <c r="B12276">
        <v>-75.234225861874407</v>
      </c>
      <c r="C12276" t="s">
        <v>41</v>
      </c>
      <c r="D12276" t="s">
        <v>2594</v>
      </c>
      <c r="F12276" s="21"/>
      <c r="G12276" s="16" t="str">
        <f>HYPERLINK("http://maps.google.com/maps?f=q&amp;hl=en&amp;geocode=&amp;q=39.9650367900438,-75.2342258618744")</f>
        <v>http://maps.google.com/maps?f=q&amp;hl=en&amp;geocode=&amp;q=39.9650367900438,-75.2342258618744</v>
      </c>
    </row>
    <row r="12277" spans="1:7" ht="15" x14ac:dyDescent="0.3">
      <c r="A12277" t="s">
        <v>44</v>
      </c>
      <c r="B12277" t="s">
        <v>44</v>
      </c>
      <c r="C12277" t="s">
        <v>44</v>
      </c>
      <c r="D12277" t="s">
        <v>6861</v>
      </c>
      <c r="F12277" s="21"/>
      <c r="G12277" s="16"/>
    </row>
    <row r="12278" spans="1:7" ht="15" x14ac:dyDescent="0.3">
      <c r="A12278">
        <v>40.074821999999998</v>
      </c>
      <c r="B12278">
        <v>-77.482517000000001</v>
      </c>
      <c r="C12278" t="s">
        <v>41</v>
      </c>
      <c r="D12278" t="s">
        <v>6862</v>
      </c>
      <c r="F12278" s="21"/>
      <c r="G12278" s="16" t="str">
        <f>HYPERLINK("http://maps.google.com/maps?f=q&amp;hl=en&amp;geocode=&amp;q=40.074822,-77.482517")</f>
        <v>http://maps.google.com/maps?f=q&amp;hl=en&amp;geocode=&amp;q=40.074822,-77.482517</v>
      </c>
    </row>
    <row r="12279" spans="1:7" ht="15" x14ac:dyDescent="0.3">
      <c r="A12279">
        <v>-25.292289733886701</v>
      </c>
      <c r="B12279">
        <v>-57.6328315734863</v>
      </c>
      <c r="C12279" t="s">
        <v>43</v>
      </c>
      <c r="D12279" t="s">
        <v>6863</v>
      </c>
      <c r="F12279" s="21"/>
      <c r="G12279" s="16" t="str">
        <f>HYPERLINK("http://maps.google.com/maps?f=q&amp;hl=en&amp;geocode=&amp;q=-25.2922897338867,-57.6328315734863")</f>
        <v>http://maps.google.com/maps?f=q&amp;hl=en&amp;geocode=&amp;q=-25.2922897338867,-57.6328315734863</v>
      </c>
    </row>
    <row r="12280" spans="1:7" ht="15" x14ac:dyDescent="0.3">
      <c r="A12280">
        <v>37.860477293610998</v>
      </c>
      <c r="B12280">
        <v>-82.804754194483493</v>
      </c>
      <c r="C12280" t="s">
        <v>41</v>
      </c>
      <c r="D12280" t="s">
        <v>6849</v>
      </c>
      <c r="F12280" s="21"/>
      <c r="G12280" s="16" t="str">
        <f>HYPERLINK("http://maps.google.com/maps?f=q&amp;hl=en&amp;geocode=&amp;q=37.860477293611,-82.8047541944835")</f>
        <v>http://maps.google.com/maps?f=q&amp;hl=en&amp;geocode=&amp;q=37.860477293611,-82.8047541944835</v>
      </c>
    </row>
    <row r="12281" spans="1:7" ht="15" x14ac:dyDescent="0.3">
      <c r="A12281">
        <v>40.576259999999998</v>
      </c>
      <c r="B12281">
        <v>-75.348519999999994</v>
      </c>
      <c r="C12281" t="s">
        <v>43</v>
      </c>
      <c r="D12281" t="s">
        <v>6223</v>
      </c>
      <c r="F12281" s="21"/>
      <c r="G12281" s="16" t="str">
        <f>HYPERLINK("http://maps.google.com/maps?f=q&amp;hl=en&amp;geocode=&amp;q=40.57626,-75.34852")</f>
        <v>http://maps.google.com/maps?f=q&amp;hl=en&amp;geocode=&amp;q=40.57626,-75.34852</v>
      </c>
    </row>
    <row r="12282" spans="1:7" ht="15" x14ac:dyDescent="0.3">
      <c r="A12282">
        <v>39.950119999999998</v>
      </c>
      <c r="B12282">
        <v>-75.168589999999995</v>
      </c>
      <c r="C12282" t="s">
        <v>41</v>
      </c>
      <c r="D12282" t="s">
        <v>6200</v>
      </c>
      <c r="F12282" s="21"/>
      <c r="G12282" s="16" t="str">
        <f>HYPERLINK("http://maps.google.com/maps?f=q&amp;hl=en&amp;geocode=&amp;q=39.95012,-75.16859")</f>
        <v>http://maps.google.com/maps?f=q&amp;hl=en&amp;geocode=&amp;q=39.95012,-75.16859</v>
      </c>
    </row>
    <row r="12283" spans="1:7" ht="15" x14ac:dyDescent="0.3">
      <c r="A12283">
        <v>33.177349999999997</v>
      </c>
      <c r="B12283">
        <v>-84.909649999999999</v>
      </c>
      <c r="C12283" t="s">
        <v>41</v>
      </c>
      <c r="D12283" t="s">
        <v>1767</v>
      </c>
      <c r="F12283" s="21"/>
      <c r="G12283" s="16" t="str">
        <f>HYPERLINK("http://maps.google.com/maps?f=q&amp;hl=en&amp;geocode=&amp;q=33.17735,-84.90965")</f>
        <v>http://maps.google.com/maps?f=q&amp;hl=en&amp;geocode=&amp;q=33.17735,-84.90965</v>
      </c>
    </row>
    <row r="12284" spans="1:7" ht="15" x14ac:dyDescent="0.3">
      <c r="A12284">
        <v>39.723999999999997</v>
      </c>
      <c r="B12284">
        <v>-86.07311</v>
      </c>
      <c r="C12284" t="s">
        <v>43</v>
      </c>
      <c r="D12284" t="s">
        <v>6864</v>
      </c>
      <c r="F12284" s="21"/>
      <c r="G12284" s="16" t="str">
        <f>HYPERLINK("http://maps.google.com/maps?f=q&amp;hl=en&amp;geocode=&amp;q=39.724,-86.07311")</f>
        <v>http://maps.google.com/maps?f=q&amp;hl=en&amp;geocode=&amp;q=39.724,-86.07311</v>
      </c>
    </row>
    <row r="12285" spans="1:7" ht="15" x14ac:dyDescent="0.3">
      <c r="A12285">
        <v>39.948169999999998</v>
      </c>
      <c r="B12285">
        <v>-75.178160000000005</v>
      </c>
      <c r="C12285" t="s">
        <v>41</v>
      </c>
      <c r="D12285" t="s">
        <v>6865</v>
      </c>
      <c r="F12285" s="21"/>
      <c r="G12285" s="16" t="str">
        <f>HYPERLINK("http://maps.google.com/maps?f=q&amp;hl=en&amp;geocode=&amp;q=39.94817,-75.17816")</f>
        <v>http://maps.google.com/maps?f=q&amp;hl=en&amp;geocode=&amp;q=39.94817,-75.17816</v>
      </c>
    </row>
    <row r="12286" spans="1:7" ht="15" x14ac:dyDescent="0.3">
      <c r="A12286">
        <v>39.919229999999999</v>
      </c>
      <c r="B12286">
        <v>-75.231499999999997</v>
      </c>
      <c r="C12286" t="s">
        <v>43</v>
      </c>
      <c r="D12286" t="s">
        <v>6866</v>
      </c>
      <c r="F12286" s="21"/>
      <c r="G12286" s="16" t="str">
        <f>HYPERLINK("http://maps.google.com/maps?f=q&amp;hl=en&amp;geocode=&amp;q=39.91923,-75.2315")</f>
        <v>http://maps.google.com/maps?f=q&amp;hl=en&amp;geocode=&amp;q=39.91923,-75.2315</v>
      </c>
    </row>
    <row r="12287" spans="1:7" ht="15" x14ac:dyDescent="0.3">
      <c r="A12287">
        <v>37.650659623299703</v>
      </c>
      <c r="B12287">
        <v>-88.929787501378399</v>
      </c>
      <c r="C12287" t="s">
        <v>41</v>
      </c>
      <c r="D12287" t="s">
        <v>6867</v>
      </c>
      <c r="F12287" s="21"/>
      <c r="G12287" s="16" t="str">
        <f>HYPERLINK("http://maps.google.com/maps?f=q&amp;hl=en&amp;geocode=&amp;q=37.6506596232997,-88.9297875013784")</f>
        <v>http://maps.google.com/maps?f=q&amp;hl=en&amp;geocode=&amp;q=37.6506596232997,-88.9297875013784</v>
      </c>
    </row>
    <row r="12288" spans="1:7" ht="15" x14ac:dyDescent="0.3">
      <c r="A12288">
        <v>32.994759999999999</v>
      </c>
      <c r="B12288">
        <v>-115.53639</v>
      </c>
      <c r="C12288" t="s">
        <v>41</v>
      </c>
      <c r="D12288" t="s">
        <v>6387</v>
      </c>
      <c r="F12288" s="21"/>
      <c r="G12288" s="16" t="str">
        <f>HYPERLINK("http://maps.google.com/maps?f=q&amp;hl=en&amp;geocode=&amp;q=32.99476,-115.53639")</f>
        <v>http://maps.google.com/maps?f=q&amp;hl=en&amp;geocode=&amp;q=32.99476,-115.53639</v>
      </c>
    </row>
    <row r="12289" spans="1:7" ht="15" x14ac:dyDescent="0.3">
      <c r="A12289">
        <v>39.846272730990798</v>
      </c>
      <c r="B12289">
        <v>-77.010358432745505</v>
      </c>
      <c r="C12289" t="s">
        <v>41</v>
      </c>
      <c r="D12289" t="s">
        <v>6868</v>
      </c>
      <c r="F12289" s="21"/>
      <c r="G12289" s="16" t="str">
        <f>HYPERLINK("http://maps.google.com/maps?f=q&amp;hl=en&amp;geocode=&amp;q=39.8462727309908,-77.0103584327455")</f>
        <v>http://maps.google.com/maps?f=q&amp;hl=en&amp;geocode=&amp;q=39.8462727309908,-77.0103584327455</v>
      </c>
    </row>
    <row r="12290" spans="1:7" ht="15" x14ac:dyDescent="0.3">
      <c r="A12290">
        <v>39.947240000000001</v>
      </c>
      <c r="B12290">
        <v>-75.174689999999998</v>
      </c>
      <c r="C12290" t="s">
        <v>43</v>
      </c>
      <c r="D12290" t="s">
        <v>6228</v>
      </c>
      <c r="F12290" s="21"/>
      <c r="G12290" s="16" t="str">
        <f>HYPERLINK("http://maps.google.com/maps?f=q&amp;hl=en&amp;geocode=&amp;q=39.94724,-75.17469")</f>
        <v>http://maps.google.com/maps?f=q&amp;hl=en&amp;geocode=&amp;q=39.94724,-75.17469</v>
      </c>
    </row>
    <row r="12291" spans="1:7" ht="15" x14ac:dyDescent="0.3">
      <c r="A12291">
        <v>37.859785696689499</v>
      </c>
      <c r="B12291">
        <v>-82.805018451891399</v>
      </c>
      <c r="C12291" t="s">
        <v>41</v>
      </c>
      <c r="D12291" t="s">
        <v>6806</v>
      </c>
      <c r="F12291" s="21"/>
      <c r="G12291" s="16" t="str">
        <f>HYPERLINK("http://maps.google.com/maps?f=q&amp;hl=en&amp;geocode=&amp;q=37.8597856966895,-82.8050184518914")</f>
        <v>http://maps.google.com/maps?f=q&amp;hl=en&amp;geocode=&amp;q=37.8597856966895,-82.8050184518914</v>
      </c>
    </row>
    <row r="12292" spans="1:7" ht="15" x14ac:dyDescent="0.3">
      <c r="A12292">
        <v>30.863006749108401</v>
      </c>
      <c r="B12292">
        <v>-92.588874710340704</v>
      </c>
      <c r="C12292" t="s">
        <v>41</v>
      </c>
      <c r="D12292" t="s">
        <v>6869</v>
      </c>
      <c r="F12292" s="21"/>
      <c r="G12292" s="16" t="str">
        <f>HYPERLINK("http://maps.google.com/maps?f=q&amp;hl=en&amp;geocode=&amp;q=30.8630067491084,-92.5888747103407")</f>
        <v>http://maps.google.com/maps?f=q&amp;hl=en&amp;geocode=&amp;q=30.8630067491084,-92.5888747103407</v>
      </c>
    </row>
    <row r="12293" spans="1:7" ht="15" x14ac:dyDescent="0.3">
      <c r="A12293">
        <v>35.644132448771302</v>
      </c>
      <c r="B12293">
        <v>-101.45130037774599</v>
      </c>
      <c r="C12293" t="s">
        <v>43</v>
      </c>
      <c r="D12293" t="s">
        <v>2158</v>
      </c>
      <c r="F12293" s="21"/>
      <c r="G12293" s="16" t="str">
        <f>HYPERLINK("http://maps.google.com/maps?f=q&amp;hl=en&amp;geocode=&amp;q=35.6441324487713,-101.451300377746")</f>
        <v>http://maps.google.com/maps?f=q&amp;hl=en&amp;geocode=&amp;q=35.6441324487713,-101.451300377746</v>
      </c>
    </row>
    <row r="12294" spans="1:7" ht="15" x14ac:dyDescent="0.3">
      <c r="A12294" t="s">
        <v>44</v>
      </c>
      <c r="B12294" t="s">
        <v>44</v>
      </c>
      <c r="C12294" t="s">
        <v>44</v>
      </c>
      <c r="D12294" t="s">
        <v>6870</v>
      </c>
      <c r="F12294" s="21"/>
      <c r="G12294" s="16"/>
    </row>
    <row r="12295" spans="1:7" ht="15" x14ac:dyDescent="0.3">
      <c r="A12295">
        <v>49.643913269042997</v>
      </c>
      <c r="B12295">
        <v>6.1266407966613796</v>
      </c>
      <c r="C12295" t="s">
        <v>41</v>
      </c>
      <c r="D12295" t="s">
        <v>6871</v>
      </c>
      <c r="F12295" s="21"/>
      <c r="G12295" s="16" t="str">
        <f>HYPERLINK("http://maps.google.com/maps?f=q&amp;hl=en&amp;geocode=&amp;q=49.643913269043,6.12664079666138")</f>
        <v>http://maps.google.com/maps?f=q&amp;hl=en&amp;geocode=&amp;q=49.643913269043,6.12664079666138</v>
      </c>
    </row>
    <row r="12296" spans="1:7" ht="15" x14ac:dyDescent="0.3">
      <c r="A12296">
        <v>50.723228454589801</v>
      </c>
      <c r="B12296">
        <v>4.6152939796447798</v>
      </c>
      <c r="C12296" t="s">
        <v>43</v>
      </c>
      <c r="D12296" t="s">
        <v>5395</v>
      </c>
      <c r="F12296" s="21"/>
      <c r="G12296" s="16" t="str">
        <f>HYPERLINK("http://maps.google.com/maps?f=q&amp;hl=en&amp;geocode=&amp;q=50.7232284545898,4.61529397964478")</f>
        <v>http://maps.google.com/maps?f=q&amp;hl=en&amp;geocode=&amp;q=50.7232284545898,4.61529397964478</v>
      </c>
    </row>
    <row r="12297" spans="1:7" ht="15" x14ac:dyDescent="0.3">
      <c r="A12297">
        <v>39.950060000000001</v>
      </c>
      <c r="B12297">
        <v>-75.168139999999994</v>
      </c>
      <c r="C12297" t="s">
        <v>41</v>
      </c>
      <c r="D12297" t="s">
        <v>5999</v>
      </c>
      <c r="F12297" s="21"/>
      <c r="G12297" s="16" t="str">
        <f>HYPERLINK("http://maps.google.com/maps?f=q&amp;hl=en&amp;geocode=&amp;q=39.95006,-75.16814")</f>
        <v>http://maps.google.com/maps?f=q&amp;hl=en&amp;geocode=&amp;q=39.95006,-75.16814</v>
      </c>
    </row>
    <row r="12298" spans="1:7" ht="15" x14ac:dyDescent="0.3">
      <c r="A12298">
        <v>38.112580000000001</v>
      </c>
      <c r="B12298">
        <v>-122.59246</v>
      </c>
      <c r="C12298" t="s">
        <v>43</v>
      </c>
      <c r="D12298" t="s">
        <v>6872</v>
      </c>
      <c r="F12298" s="21"/>
      <c r="G12298" s="16" t="str">
        <f>HYPERLINK("http://maps.google.com/maps?f=q&amp;hl=en&amp;geocode=&amp;q=38.11258,-122.59246")</f>
        <v>http://maps.google.com/maps?f=q&amp;hl=en&amp;geocode=&amp;q=38.11258,-122.59246</v>
      </c>
    </row>
    <row r="12299" spans="1:7" ht="15" x14ac:dyDescent="0.3">
      <c r="A12299">
        <v>39.984697499291897</v>
      </c>
      <c r="B12299">
        <v>-75.156727659057907</v>
      </c>
      <c r="C12299" t="s">
        <v>41</v>
      </c>
      <c r="D12299" t="s">
        <v>6873</v>
      </c>
      <c r="F12299" s="21"/>
      <c r="G12299" s="16" t="str">
        <f>HYPERLINK("http://maps.google.com/maps?f=q&amp;hl=en&amp;geocode=&amp;q=39.9846974992919,-75.1567276590579")</f>
        <v>http://maps.google.com/maps?f=q&amp;hl=en&amp;geocode=&amp;q=39.9846974992919,-75.1567276590579</v>
      </c>
    </row>
    <row r="12300" spans="1:7" ht="15" x14ac:dyDescent="0.3">
      <c r="A12300">
        <v>39.139458350705702</v>
      </c>
      <c r="B12300">
        <v>-75.981469860472203</v>
      </c>
      <c r="C12300" t="s">
        <v>43</v>
      </c>
      <c r="D12300" t="s">
        <v>6874</v>
      </c>
      <c r="F12300" s="21"/>
      <c r="G12300" s="16" t="str">
        <f>HYPERLINK("http://maps.google.com/maps?f=q&amp;hl=en&amp;geocode=&amp;q=39.1394583507057,-75.9814698604722")</f>
        <v>http://maps.google.com/maps?f=q&amp;hl=en&amp;geocode=&amp;q=39.1394583507057,-75.9814698604722</v>
      </c>
    </row>
    <row r="12301" spans="1:7" ht="15" x14ac:dyDescent="0.3">
      <c r="A12301">
        <v>39.947240000000001</v>
      </c>
      <c r="B12301">
        <v>-75.174689999999998</v>
      </c>
      <c r="C12301" t="s">
        <v>43</v>
      </c>
      <c r="D12301" t="s">
        <v>6228</v>
      </c>
      <c r="F12301" s="21"/>
      <c r="G12301" s="16" t="str">
        <f>HYPERLINK("http://maps.google.com/maps?f=q&amp;hl=en&amp;geocode=&amp;q=39.94724,-75.17469")</f>
        <v>http://maps.google.com/maps?f=q&amp;hl=en&amp;geocode=&amp;q=39.94724,-75.17469</v>
      </c>
    </row>
    <row r="12302" spans="1:7" ht="15" x14ac:dyDescent="0.3">
      <c r="A12302">
        <v>33.6918831054506</v>
      </c>
      <c r="B12302">
        <v>-79.914331348536606</v>
      </c>
      <c r="C12302" t="s">
        <v>41</v>
      </c>
      <c r="D12302" t="s">
        <v>6843</v>
      </c>
      <c r="F12302" s="21"/>
      <c r="G12302" s="16" t="str">
        <f>HYPERLINK("http://maps.google.com/maps?f=q&amp;hl=en&amp;geocode=&amp;q=33.6918831054506,-79.9143313485366")</f>
        <v>http://maps.google.com/maps?f=q&amp;hl=en&amp;geocode=&amp;q=33.6918831054506,-79.9143313485366</v>
      </c>
    </row>
    <row r="12303" spans="1:7" ht="15" x14ac:dyDescent="0.3">
      <c r="A12303">
        <v>39.94782</v>
      </c>
      <c r="B12303">
        <v>-75.178169999999994</v>
      </c>
      <c r="C12303" t="s">
        <v>43</v>
      </c>
      <c r="D12303" t="s">
        <v>6255</v>
      </c>
      <c r="F12303" s="21"/>
      <c r="G12303" s="16" t="str">
        <f>HYPERLINK("http://maps.google.com/maps?f=q&amp;hl=en&amp;geocode=&amp;q=39.94782,-75.17817")</f>
        <v>http://maps.google.com/maps?f=q&amp;hl=en&amp;geocode=&amp;q=39.94782,-75.17817</v>
      </c>
    </row>
    <row r="12304" spans="1:7" ht="15" x14ac:dyDescent="0.3">
      <c r="A12304" t="s">
        <v>44</v>
      </c>
      <c r="B12304" t="s">
        <v>44</v>
      </c>
      <c r="C12304" t="s">
        <v>44</v>
      </c>
      <c r="D12304" t="s">
        <v>6875</v>
      </c>
      <c r="F12304" s="21"/>
      <c r="G12304" s="16"/>
    </row>
    <row r="12305" spans="1:7" ht="15" x14ac:dyDescent="0.3">
      <c r="A12305">
        <v>49.464622497558601</v>
      </c>
      <c r="B12305">
        <v>6.0415139198303196</v>
      </c>
      <c r="C12305" t="s">
        <v>41</v>
      </c>
      <c r="D12305" t="s">
        <v>6876</v>
      </c>
      <c r="F12305" s="21"/>
      <c r="G12305" s="16" t="str">
        <f>HYPERLINK("http://maps.google.com/maps?f=q&amp;hl=en&amp;geocode=&amp;q=49.4646224975586,6.04151391983032")</f>
        <v>http://maps.google.com/maps?f=q&amp;hl=en&amp;geocode=&amp;q=49.4646224975586,6.04151391983032</v>
      </c>
    </row>
    <row r="12306" spans="1:7" ht="15" x14ac:dyDescent="0.3">
      <c r="A12306">
        <v>33.565701992062401</v>
      </c>
      <c r="B12306">
        <v>-82.109405719265496</v>
      </c>
      <c r="C12306" t="s">
        <v>41</v>
      </c>
      <c r="D12306" t="s">
        <v>1613</v>
      </c>
      <c r="F12306" s="21"/>
      <c r="G12306" s="16" t="str">
        <f>HYPERLINK("http://maps.google.com/maps?f=q&amp;hl=en&amp;geocode=&amp;q=33.5657019920624,-82.1094057192655")</f>
        <v>http://maps.google.com/maps?f=q&amp;hl=en&amp;geocode=&amp;q=33.5657019920624,-82.1094057192655</v>
      </c>
    </row>
    <row r="12307" spans="1:7" ht="15" x14ac:dyDescent="0.3">
      <c r="A12307">
        <v>38.701994461112299</v>
      </c>
      <c r="B12307">
        <v>-90.255469613780406</v>
      </c>
      <c r="C12307" t="s">
        <v>41</v>
      </c>
      <c r="D12307" t="s">
        <v>6877</v>
      </c>
      <c r="F12307" s="21"/>
      <c r="G12307" s="16" t="str">
        <f>HYPERLINK("http://maps.google.com/maps?f=q&amp;hl=en&amp;geocode=&amp;q=38.7019944611123,-90.2554696137804")</f>
        <v>http://maps.google.com/maps?f=q&amp;hl=en&amp;geocode=&amp;q=38.7019944611123,-90.2554696137804</v>
      </c>
    </row>
    <row r="12308" spans="1:7" ht="15" x14ac:dyDescent="0.3">
      <c r="A12308">
        <v>48.152229309082003</v>
      </c>
      <c r="B12308">
        <v>15.6888103485107</v>
      </c>
      <c r="C12308" t="s">
        <v>41</v>
      </c>
      <c r="D12308" t="s">
        <v>6878</v>
      </c>
      <c r="F12308" s="21"/>
      <c r="G12308" s="16" t="str">
        <f>HYPERLINK("http://maps.google.com/maps?f=q&amp;hl=en&amp;geocode=&amp;q=48.152229309082,15.6888103485107")</f>
        <v>http://maps.google.com/maps?f=q&amp;hl=en&amp;geocode=&amp;q=48.152229309082,15.6888103485107</v>
      </c>
    </row>
    <row r="12309" spans="1:7" ht="15" x14ac:dyDescent="0.3">
      <c r="A12309">
        <v>41.355855542470898</v>
      </c>
      <c r="B12309">
        <v>-88.855049544273001</v>
      </c>
      <c r="C12309" t="s">
        <v>41</v>
      </c>
      <c r="D12309" t="s">
        <v>1261</v>
      </c>
      <c r="F12309" s="21"/>
      <c r="G12309" s="16" t="str">
        <f>HYPERLINK("http://maps.google.com/maps?f=q&amp;hl=en&amp;geocode=&amp;q=41.3558555424709,-88.855049544273")</f>
        <v>http://maps.google.com/maps?f=q&amp;hl=en&amp;geocode=&amp;q=41.3558555424709,-88.855049544273</v>
      </c>
    </row>
    <row r="12310" spans="1:7" ht="15" x14ac:dyDescent="0.3">
      <c r="A12310">
        <v>39.745369956936102</v>
      </c>
      <c r="B12310">
        <v>-84.637328641982805</v>
      </c>
      <c r="C12310" t="s">
        <v>41</v>
      </c>
      <c r="D12310" t="s">
        <v>1282</v>
      </c>
      <c r="F12310" s="21"/>
      <c r="G12310" s="16" t="str">
        <f>HYPERLINK("http://maps.google.com/maps?f=q&amp;hl=en&amp;geocode=&amp;q=39.7453699569361,-84.6373286419828")</f>
        <v>http://maps.google.com/maps?f=q&amp;hl=en&amp;geocode=&amp;q=39.7453699569361,-84.6373286419828</v>
      </c>
    </row>
    <row r="12311" spans="1:7" ht="15" x14ac:dyDescent="0.3">
      <c r="A12311">
        <v>40.84984</v>
      </c>
      <c r="B12311">
        <v>-73.918869999999998</v>
      </c>
      <c r="C12311" t="s">
        <v>41</v>
      </c>
      <c r="D12311" t="s">
        <v>5874</v>
      </c>
      <c r="F12311" s="21"/>
      <c r="G12311" s="16" t="str">
        <f>HYPERLINK("http://maps.google.com/maps?f=q&amp;hl=en&amp;geocode=&amp;q=40.84984,-73.91887")</f>
        <v>http://maps.google.com/maps?f=q&amp;hl=en&amp;geocode=&amp;q=40.84984,-73.91887</v>
      </c>
    </row>
    <row r="12312" spans="1:7" ht="15" x14ac:dyDescent="0.3">
      <c r="A12312">
        <v>41.255760000000002</v>
      </c>
      <c r="B12312">
        <v>-81.447999999999993</v>
      </c>
      <c r="C12312" t="s">
        <v>41</v>
      </c>
      <c r="D12312" t="s">
        <v>3338</v>
      </c>
      <c r="F12312" s="21"/>
      <c r="G12312" s="16" t="str">
        <f>HYPERLINK("http://maps.google.com/maps?f=q&amp;hl=en&amp;geocode=&amp;q=41.25576,-81.448")</f>
        <v>http://maps.google.com/maps?f=q&amp;hl=en&amp;geocode=&amp;q=41.25576,-81.448</v>
      </c>
    </row>
    <row r="12313" spans="1:7" ht="15" x14ac:dyDescent="0.3">
      <c r="A12313">
        <v>-36.718856811523402</v>
      </c>
      <c r="B12313">
        <v>142.19622802734401</v>
      </c>
      <c r="C12313" t="s">
        <v>43</v>
      </c>
      <c r="D12313" t="s">
        <v>86</v>
      </c>
      <c r="F12313" s="21"/>
      <c r="G12313" s="16" t="str">
        <f>HYPERLINK("http://maps.google.com/maps?f=q&amp;hl=en&amp;geocode=&amp;q=-36.7188568115234,142.196228027344")</f>
        <v>http://maps.google.com/maps?f=q&amp;hl=en&amp;geocode=&amp;q=-36.7188568115234,142.196228027344</v>
      </c>
    </row>
    <row r="12314" spans="1:7" ht="15" x14ac:dyDescent="0.3">
      <c r="A12314">
        <v>39.943182067597299</v>
      </c>
      <c r="B12314">
        <v>-75.170077149699196</v>
      </c>
      <c r="C12314" t="s">
        <v>41</v>
      </c>
      <c r="D12314" t="s">
        <v>6879</v>
      </c>
      <c r="F12314" s="21"/>
      <c r="G12314" s="16" t="str">
        <f>HYPERLINK("http://maps.google.com/maps?f=q&amp;hl=en&amp;geocode=&amp;q=39.9431820675973,-75.1700771496992")</f>
        <v>http://maps.google.com/maps?f=q&amp;hl=en&amp;geocode=&amp;q=39.9431820675973,-75.1700771496992</v>
      </c>
    </row>
    <row r="12315" spans="1:7" ht="15" x14ac:dyDescent="0.3">
      <c r="A12315">
        <v>35.780697571294397</v>
      </c>
      <c r="B12315">
        <v>-81.763800742903001</v>
      </c>
      <c r="C12315" t="s">
        <v>41</v>
      </c>
      <c r="D12315" t="s">
        <v>4777</v>
      </c>
      <c r="F12315" s="21"/>
      <c r="G12315" s="16" t="str">
        <f>HYPERLINK("http://maps.google.com/maps?f=q&amp;hl=en&amp;geocode=&amp;q=35.7806975712944,-81.763800742903")</f>
        <v>http://maps.google.com/maps?f=q&amp;hl=en&amp;geocode=&amp;q=35.7806975712944,-81.763800742903</v>
      </c>
    </row>
    <row r="12316" spans="1:7" ht="15" x14ac:dyDescent="0.3">
      <c r="A12316">
        <v>29.7082328796387</v>
      </c>
      <c r="B12316">
        <v>-90.006401062011705</v>
      </c>
      <c r="C12316" t="s">
        <v>43</v>
      </c>
      <c r="D12316" t="s">
        <v>98</v>
      </c>
      <c r="F12316" s="21"/>
      <c r="G12316" s="16" t="str">
        <f>HYPERLINK("http://maps.google.com/maps?f=q&amp;hl=en&amp;geocode=&amp;q=29.7082328796387,-90.0064010620117")</f>
        <v>http://maps.google.com/maps?f=q&amp;hl=en&amp;geocode=&amp;q=29.7082328796387,-90.0064010620117</v>
      </c>
    </row>
    <row r="12317" spans="1:7" ht="15" x14ac:dyDescent="0.3">
      <c r="A12317">
        <v>40.227849999999997</v>
      </c>
      <c r="B12317">
        <v>-74.019670000000005</v>
      </c>
      <c r="C12317" t="s">
        <v>41</v>
      </c>
      <c r="D12317" t="s">
        <v>6752</v>
      </c>
      <c r="F12317" s="21"/>
      <c r="G12317" s="16" t="str">
        <f>HYPERLINK("http://maps.google.com/maps?f=q&amp;hl=en&amp;geocode=&amp;q=40.22785,-74.01967")</f>
        <v>http://maps.google.com/maps?f=q&amp;hl=en&amp;geocode=&amp;q=40.22785,-74.01967</v>
      </c>
    </row>
    <row r="12318" spans="1:7" ht="15" x14ac:dyDescent="0.3">
      <c r="A12318">
        <v>41.465182225741898</v>
      </c>
      <c r="B12318">
        <v>-91.598904666071206</v>
      </c>
      <c r="C12318" t="s">
        <v>41</v>
      </c>
      <c r="D12318" t="s">
        <v>6880</v>
      </c>
      <c r="F12318" s="21"/>
      <c r="G12318" s="16" t="str">
        <f>HYPERLINK("http://maps.google.com/maps?f=q&amp;hl=en&amp;geocode=&amp;q=41.4651822257419,-91.5989046660712")</f>
        <v>http://maps.google.com/maps?f=q&amp;hl=en&amp;geocode=&amp;q=41.4651822257419,-91.5989046660712</v>
      </c>
    </row>
    <row r="12319" spans="1:7" ht="15" x14ac:dyDescent="0.3">
      <c r="A12319">
        <v>39.7399143909279</v>
      </c>
      <c r="B12319">
        <v>-92.259812854863398</v>
      </c>
      <c r="C12319" t="s">
        <v>41</v>
      </c>
      <c r="D12319" t="s">
        <v>6881</v>
      </c>
      <c r="F12319" s="21"/>
      <c r="G12319" s="16" t="str">
        <f>HYPERLINK("http://maps.google.com/maps?f=q&amp;hl=en&amp;geocode=&amp;q=39.7399143909279,-92.2598128548634")</f>
        <v>http://maps.google.com/maps?f=q&amp;hl=en&amp;geocode=&amp;q=39.7399143909279,-92.2598128548634</v>
      </c>
    </row>
    <row r="12320" spans="1:7" ht="15" x14ac:dyDescent="0.3">
      <c r="A12320">
        <v>41.467540178923002</v>
      </c>
      <c r="B12320">
        <v>-91.595692770513295</v>
      </c>
      <c r="C12320" t="s">
        <v>41</v>
      </c>
      <c r="D12320" t="s">
        <v>6882</v>
      </c>
      <c r="F12320" s="21"/>
      <c r="G12320" s="16" t="str">
        <f>HYPERLINK("http://maps.google.com/maps?f=q&amp;hl=en&amp;geocode=&amp;q=41.467540178923,-91.5956927705133")</f>
        <v>http://maps.google.com/maps?f=q&amp;hl=en&amp;geocode=&amp;q=41.467540178923,-91.5956927705133</v>
      </c>
    </row>
    <row r="12321" spans="1:7" ht="15" x14ac:dyDescent="0.3">
      <c r="A12321">
        <v>39.980200000000004</v>
      </c>
      <c r="B12321">
        <v>-75.156549999999996</v>
      </c>
      <c r="C12321" t="s">
        <v>43</v>
      </c>
      <c r="D12321" t="s">
        <v>4195</v>
      </c>
      <c r="F12321" s="21"/>
      <c r="G12321" s="16" t="str">
        <f>HYPERLINK("http://maps.google.com/maps?f=q&amp;hl=en&amp;geocode=&amp;q=39.9802,-75.15655")</f>
        <v>http://maps.google.com/maps?f=q&amp;hl=en&amp;geocode=&amp;q=39.9802,-75.15655</v>
      </c>
    </row>
    <row r="12322" spans="1:7" ht="15" x14ac:dyDescent="0.3">
      <c r="A12322">
        <v>39.251249000000001</v>
      </c>
      <c r="B12322">
        <v>-76.702269999999999</v>
      </c>
      <c r="C12322" t="s">
        <v>41</v>
      </c>
      <c r="D12322" t="s">
        <v>6747</v>
      </c>
      <c r="F12322" s="21"/>
      <c r="G12322" s="16" t="str">
        <f>HYPERLINK("http://maps.google.com/maps?f=q&amp;hl=en&amp;geocode=&amp;q=39.251249,-76.70227")</f>
        <v>http://maps.google.com/maps?f=q&amp;hl=en&amp;geocode=&amp;q=39.251249,-76.70227</v>
      </c>
    </row>
    <row r="12323" spans="1:7" ht="15" x14ac:dyDescent="0.3">
      <c r="A12323">
        <v>35.927330135227798</v>
      </c>
      <c r="B12323">
        <v>-83.264709291450799</v>
      </c>
      <c r="C12323" t="s">
        <v>41</v>
      </c>
      <c r="D12323" t="s">
        <v>6883</v>
      </c>
      <c r="F12323" s="21"/>
      <c r="G12323" s="16" t="str">
        <f>HYPERLINK("http://maps.google.com/maps?f=q&amp;hl=en&amp;geocode=&amp;q=35.9273301352278,-83.2647092914508")</f>
        <v>http://maps.google.com/maps?f=q&amp;hl=en&amp;geocode=&amp;q=35.9273301352278,-83.2647092914508</v>
      </c>
    </row>
    <row r="12324" spans="1:7" ht="15" x14ac:dyDescent="0.3">
      <c r="A12324">
        <v>41.760345302232103</v>
      </c>
      <c r="B12324">
        <v>-91.132632988712103</v>
      </c>
      <c r="C12324" t="s">
        <v>41</v>
      </c>
      <c r="D12324" t="s">
        <v>6749</v>
      </c>
      <c r="F12324" s="21"/>
      <c r="G12324" s="16" t="str">
        <f>HYPERLINK("http://maps.google.com/maps?f=q&amp;hl=en&amp;geocode=&amp;q=41.7603453022321,-91.1326329887121")</f>
        <v>http://maps.google.com/maps?f=q&amp;hl=en&amp;geocode=&amp;q=41.7603453022321,-91.1326329887121</v>
      </c>
    </row>
    <row r="12325" spans="1:7" ht="15" x14ac:dyDescent="0.3">
      <c r="A12325">
        <v>47.979442802988203</v>
      </c>
      <c r="B12325">
        <v>-122.203049725721</v>
      </c>
      <c r="C12325" t="s">
        <v>41</v>
      </c>
      <c r="D12325" t="s">
        <v>6884</v>
      </c>
      <c r="F12325" s="21"/>
      <c r="G12325" s="16" t="str">
        <f>HYPERLINK("http://maps.google.com/maps?f=q&amp;hl=en&amp;geocode=&amp;q=47.9794428029882,-122.203049725721")</f>
        <v>http://maps.google.com/maps?f=q&amp;hl=en&amp;geocode=&amp;q=47.9794428029882,-122.203049725721</v>
      </c>
    </row>
    <row r="12326" spans="1:7" ht="15" x14ac:dyDescent="0.3">
      <c r="A12326">
        <v>40.341189999999997</v>
      </c>
      <c r="B12326">
        <v>-79.855509999999995</v>
      </c>
      <c r="C12326" t="s">
        <v>41</v>
      </c>
      <c r="D12326" t="s">
        <v>6885</v>
      </c>
      <c r="F12326" s="21"/>
      <c r="G12326" s="16" t="str">
        <f>HYPERLINK("http://maps.google.com/maps?f=q&amp;hl=en&amp;geocode=&amp;q=40.34119,-79.85551")</f>
        <v>http://maps.google.com/maps?f=q&amp;hl=en&amp;geocode=&amp;q=40.34119,-79.85551</v>
      </c>
    </row>
    <row r="12327" spans="1:7" ht="15" x14ac:dyDescent="0.3">
      <c r="A12327">
        <v>40.043469999999999</v>
      </c>
      <c r="B12327">
        <v>-75.075640000000007</v>
      </c>
      <c r="C12327" t="s">
        <v>41</v>
      </c>
      <c r="D12327" t="s">
        <v>6886</v>
      </c>
      <c r="F12327" s="21"/>
      <c r="G12327" s="16" t="str">
        <f>HYPERLINK("http://maps.google.com/maps?f=q&amp;hl=en&amp;geocode=&amp;q=40.04347,-75.07564")</f>
        <v>http://maps.google.com/maps?f=q&amp;hl=en&amp;geocode=&amp;q=40.04347,-75.07564</v>
      </c>
    </row>
    <row r="12328" spans="1:7" ht="15" x14ac:dyDescent="0.3">
      <c r="A12328">
        <v>40.340570356003397</v>
      </c>
      <c r="B12328">
        <v>-74.141410626298594</v>
      </c>
      <c r="C12328" t="s">
        <v>41</v>
      </c>
      <c r="D12328" t="s">
        <v>6887</v>
      </c>
      <c r="F12328" s="21"/>
      <c r="G12328" s="16" t="str">
        <f>HYPERLINK("http://maps.google.com/maps?f=q&amp;hl=en&amp;geocode=&amp;q=40.3405703560034,-74.1414106262986")</f>
        <v>http://maps.google.com/maps?f=q&amp;hl=en&amp;geocode=&amp;q=40.3405703560034,-74.1414106262986</v>
      </c>
    </row>
    <row r="12329" spans="1:7" ht="15" x14ac:dyDescent="0.3">
      <c r="A12329">
        <v>41.302299681139601</v>
      </c>
      <c r="B12329">
        <v>-111.861558708827</v>
      </c>
      <c r="C12329" t="s">
        <v>41</v>
      </c>
      <c r="D12329" t="s">
        <v>6888</v>
      </c>
      <c r="F12329" s="21"/>
      <c r="G12329" s="16" t="str">
        <f>HYPERLINK("http://maps.google.com/maps?f=q&amp;hl=en&amp;geocode=&amp;q=41.3022996811396,-111.861558708827")</f>
        <v>http://maps.google.com/maps?f=q&amp;hl=en&amp;geocode=&amp;q=41.3022996811396,-111.861558708827</v>
      </c>
    </row>
    <row r="12330" spans="1:7" ht="15" x14ac:dyDescent="0.3">
      <c r="A12330" t="s">
        <v>44</v>
      </c>
      <c r="B12330" t="s">
        <v>44</v>
      </c>
      <c r="C12330" t="s">
        <v>44</v>
      </c>
      <c r="D12330" t="s">
        <v>1554</v>
      </c>
      <c r="F12330" s="21"/>
      <c r="G12330" s="16"/>
    </row>
    <row r="12331" spans="1:7" ht="15" x14ac:dyDescent="0.3">
      <c r="A12331">
        <v>42.2949056583372</v>
      </c>
      <c r="B12331">
        <v>-76.619340790296306</v>
      </c>
      <c r="C12331" t="s">
        <v>41</v>
      </c>
      <c r="D12331" t="s">
        <v>6889</v>
      </c>
      <c r="F12331" s="21"/>
      <c r="G12331" s="16" t="str">
        <f>HYPERLINK("http://maps.google.com/maps?f=q&amp;hl=en&amp;geocode=&amp;q=42.2949056583372,-76.6193407902963")</f>
        <v>http://maps.google.com/maps?f=q&amp;hl=en&amp;geocode=&amp;q=42.2949056583372,-76.6193407902963</v>
      </c>
    </row>
    <row r="12332" spans="1:7" ht="15" x14ac:dyDescent="0.3">
      <c r="A12332">
        <v>41.079008650062399</v>
      </c>
      <c r="B12332">
        <v>-80.721013110627894</v>
      </c>
      <c r="C12332" t="s">
        <v>41</v>
      </c>
      <c r="D12332" t="s">
        <v>630</v>
      </c>
      <c r="F12332" s="21"/>
      <c r="G12332" s="16" t="str">
        <f>HYPERLINK("http://maps.google.com/maps?f=q&amp;hl=en&amp;geocode=&amp;q=41.0790086500624,-80.7210131106279")</f>
        <v>http://maps.google.com/maps?f=q&amp;hl=en&amp;geocode=&amp;q=41.0790086500624,-80.7210131106279</v>
      </c>
    </row>
    <row r="12333" spans="1:7" ht="15" x14ac:dyDescent="0.3">
      <c r="A12333">
        <v>-38.374275207519503</v>
      </c>
      <c r="B12333">
        <v>177.95028686523401</v>
      </c>
      <c r="C12333" t="s">
        <v>43</v>
      </c>
      <c r="D12333" t="s">
        <v>3057</v>
      </c>
      <c r="F12333" s="21"/>
      <c r="G12333" s="16" t="str">
        <f>HYPERLINK("http://maps.google.com/maps?f=q&amp;hl=en&amp;geocode=&amp;q=-38.3742752075195,177.950286865234")</f>
        <v>http://maps.google.com/maps?f=q&amp;hl=en&amp;geocode=&amp;q=-38.3742752075195,177.950286865234</v>
      </c>
    </row>
    <row r="12334" spans="1:7" ht="15" x14ac:dyDescent="0.3">
      <c r="A12334">
        <v>38.993110000000001</v>
      </c>
      <c r="B12334">
        <v>-94.655460000000005</v>
      </c>
      <c r="C12334" t="s">
        <v>43</v>
      </c>
      <c r="D12334" t="s">
        <v>6890</v>
      </c>
      <c r="F12334" s="21"/>
      <c r="G12334" s="16" t="str">
        <f>HYPERLINK("http://maps.google.com/maps?f=q&amp;hl=en&amp;geocode=&amp;q=38.99311,-94.65546")</f>
        <v>http://maps.google.com/maps?f=q&amp;hl=en&amp;geocode=&amp;q=38.99311,-94.65546</v>
      </c>
    </row>
    <row r="12335" spans="1:7" ht="15" x14ac:dyDescent="0.3">
      <c r="A12335">
        <v>39.993692840918001</v>
      </c>
      <c r="B12335">
        <v>-75.138946989738599</v>
      </c>
      <c r="C12335" t="s">
        <v>43</v>
      </c>
      <c r="D12335" t="s">
        <v>4248</v>
      </c>
      <c r="F12335" s="21"/>
      <c r="G12335" s="16" t="str">
        <f>HYPERLINK("http://maps.google.com/maps?f=q&amp;hl=en&amp;geocode=&amp;q=39.993692840918,-75.1389469897386")</f>
        <v>http://maps.google.com/maps?f=q&amp;hl=en&amp;geocode=&amp;q=39.993692840918,-75.1389469897386</v>
      </c>
    </row>
    <row r="12336" spans="1:7" ht="15" x14ac:dyDescent="0.3">
      <c r="A12336" t="s">
        <v>44</v>
      </c>
      <c r="B12336" t="s">
        <v>44</v>
      </c>
      <c r="C12336" t="s">
        <v>44</v>
      </c>
      <c r="D12336" t="s">
        <v>2885</v>
      </c>
      <c r="F12336" s="21"/>
      <c r="G12336" s="16"/>
    </row>
    <row r="12337" spans="1:7" ht="15" x14ac:dyDescent="0.3">
      <c r="A12337">
        <v>48.672306060791001</v>
      </c>
      <c r="B12337">
        <v>7.5540661811828604</v>
      </c>
      <c r="C12337" t="s">
        <v>43</v>
      </c>
      <c r="D12337" t="s">
        <v>5375</v>
      </c>
      <c r="F12337" s="21"/>
      <c r="G12337" s="16" t="str">
        <f>HYPERLINK("http://maps.google.com/maps?f=q&amp;hl=en&amp;geocode=&amp;q=48.672306060791,7.55406618118286")</f>
        <v>http://maps.google.com/maps?f=q&amp;hl=en&amp;geocode=&amp;q=48.672306060791,7.55406618118286</v>
      </c>
    </row>
    <row r="12338" spans="1:7" ht="15" x14ac:dyDescent="0.3">
      <c r="A12338" t="s">
        <v>44</v>
      </c>
      <c r="B12338" t="s">
        <v>44</v>
      </c>
      <c r="C12338" t="s">
        <v>44</v>
      </c>
      <c r="D12338" t="s">
        <v>4438</v>
      </c>
      <c r="F12338" s="21"/>
      <c r="G12338" s="16"/>
    </row>
    <row r="12339" spans="1:7" ht="15" x14ac:dyDescent="0.3">
      <c r="A12339">
        <v>47.753849029541001</v>
      </c>
      <c r="B12339">
        <v>27.864404678344702</v>
      </c>
      <c r="C12339" t="s">
        <v>43</v>
      </c>
      <c r="D12339" t="s">
        <v>819</v>
      </c>
      <c r="F12339" s="21"/>
      <c r="G12339" s="16" t="str">
        <f>HYPERLINK("http://maps.google.com/maps?f=q&amp;hl=en&amp;geocode=&amp;q=47.753849029541,27.8644046783447")</f>
        <v>http://maps.google.com/maps?f=q&amp;hl=en&amp;geocode=&amp;q=47.753849029541,27.8644046783447</v>
      </c>
    </row>
    <row r="12340" spans="1:7" ht="15" x14ac:dyDescent="0.3">
      <c r="A12340">
        <v>32.954776879041802</v>
      </c>
      <c r="B12340">
        <v>-96.892770926700607</v>
      </c>
      <c r="C12340" t="s">
        <v>41</v>
      </c>
      <c r="D12340" t="s">
        <v>6891</v>
      </c>
      <c r="F12340" s="21"/>
      <c r="G12340" s="16" t="str">
        <f>HYPERLINK("http://maps.google.com/maps?f=q&amp;hl=en&amp;geocode=&amp;q=32.9547768790418,-96.8927709267006")</f>
        <v>http://maps.google.com/maps?f=q&amp;hl=en&amp;geocode=&amp;q=32.9547768790418,-96.8927709267006</v>
      </c>
    </row>
    <row r="12341" spans="1:7" ht="15" x14ac:dyDescent="0.3">
      <c r="A12341">
        <v>39.27478</v>
      </c>
      <c r="B12341">
        <v>-76.522540000000006</v>
      </c>
      <c r="C12341" t="s">
        <v>41</v>
      </c>
      <c r="D12341" t="s">
        <v>6892</v>
      </c>
      <c r="F12341" s="21"/>
      <c r="G12341" s="16" t="str">
        <f>HYPERLINK("http://maps.google.com/maps?f=q&amp;hl=en&amp;geocode=&amp;q=39.27478,-76.52254")</f>
        <v>http://maps.google.com/maps?f=q&amp;hl=en&amp;geocode=&amp;q=39.27478,-76.52254</v>
      </c>
    </row>
    <row r="12342" spans="1:7" ht="15" x14ac:dyDescent="0.3">
      <c r="A12342">
        <v>42.663318634033203</v>
      </c>
      <c r="B12342">
        <v>-70.998268127441406</v>
      </c>
      <c r="C12342" t="s">
        <v>41</v>
      </c>
      <c r="D12342" t="s">
        <v>6893</v>
      </c>
      <c r="F12342" s="21"/>
      <c r="G12342" s="16" t="str">
        <f>HYPERLINK("http://maps.google.com/maps?f=q&amp;hl=en&amp;geocode=&amp;q=42.6633186340332,-70.9982681274414")</f>
        <v>http://maps.google.com/maps?f=q&amp;hl=en&amp;geocode=&amp;q=42.6633186340332,-70.9982681274414</v>
      </c>
    </row>
    <row r="12343" spans="1:7" ht="15" x14ac:dyDescent="0.3">
      <c r="A12343">
        <v>42.794670104980497</v>
      </c>
      <c r="B12343">
        <v>-70.859596252441406</v>
      </c>
      <c r="C12343" t="s">
        <v>41</v>
      </c>
      <c r="D12343" t="s">
        <v>6894</v>
      </c>
      <c r="F12343" s="21"/>
      <c r="G12343" s="16" t="str">
        <f>HYPERLINK("http://maps.google.com/maps?f=q&amp;hl=en&amp;geocode=&amp;q=42.7946701049805,-70.8595962524414")</f>
        <v>http://maps.google.com/maps?f=q&amp;hl=en&amp;geocode=&amp;q=42.7946701049805,-70.8595962524414</v>
      </c>
    </row>
    <row r="12344" spans="1:7" ht="15" x14ac:dyDescent="0.3">
      <c r="A12344">
        <v>-26.27159</v>
      </c>
      <c r="B12344">
        <v>28.231660000000002</v>
      </c>
      <c r="C12344" t="s">
        <v>41</v>
      </c>
      <c r="D12344" t="s">
        <v>6895</v>
      </c>
      <c r="F12344" s="21"/>
      <c r="G12344" s="16" t="str">
        <f>HYPERLINK("http://maps.google.com/maps?f=q&amp;hl=en&amp;geocode=&amp;q=-26.27159,28.23166")</f>
        <v>http://maps.google.com/maps?f=q&amp;hl=en&amp;geocode=&amp;q=-26.27159,28.23166</v>
      </c>
    </row>
    <row r="12345" spans="1:7" ht="15" x14ac:dyDescent="0.3">
      <c r="A12345">
        <v>34.542929999999998</v>
      </c>
      <c r="B12345">
        <v>-93.182190000000006</v>
      </c>
      <c r="C12345" t="s">
        <v>43</v>
      </c>
      <c r="D12345" t="s">
        <v>6896</v>
      </c>
      <c r="F12345" s="21"/>
      <c r="G12345" s="16" t="str">
        <f>HYPERLINK("http://maps.google.com/maps?f=q&amp;hl=en&amp;geocode=&amp;q=34.54293,-93.18219")</f>
        <v>http://maps.google.com/maps?f=q&amp;hl=en&amp;geocode=&amp;q=34.54293,-93.18219</v>
      </c>
    </row>
    <row r="12346" spans="1:7" ht="15" x14ac:dyDescent="0.3">
      <c r="A12346">
        <v>11.7104902267456</v>
      </c>
      <c r="B12346">
        <v>-6.8503999710082999</v>
      </c>
      <c r="C12346" t="s">
        <v>41</v>
      </c>
      <c r="D12346" t="s">
        <v>6897</v>
      </c>
      <c r="F12346" s="21"/>
      <c r="G12346" s="16" t="str">
        <f>HYPERLINK("http://maps.google.com/maps?f=q&amp;hl=en&amp;geocode=&amp;q=11.7104902267456,-6.8503999710083")</f>
        <v>http://maps.google.com/maps?f=q&amp;hl=en&amp;geocode=&amp;q=11.7104902267456,-6.8503999710083</v>
      </c>
    </row>
    <row r="12347" spans="1:7" ht="15" x14ac:dyDescent="0.3">
      <c r="A12347">
        <v>47.082427978515597</v>
      </c>
      <c r="B12347">
        <v>6.9284501075744602</v>
      </c>
      <c r="C12347" t="s">
        <v>43</v>
      </c>
      <c r="D12347" t="s">
        <v>6898</v>
      </c>
      <c r="F12347" s="21"/>
      <c r="G12347" s="16" t="str">
        <f>HYPERLINK("http://maps.google.com/maps?f=q&amp;hl=en&amp;geocode=&amp;q=47.0824279785156,6.92845010757446")</f>
        <v>http://maps.google.com/maps?f=q&amp;hl=en&amp;geocode=&amp;q=47.0824279785156,6.92845010757446</v>
      </c>
    </row>
    <row r="12348" spans="1:7" ht="15" x14ac:dyDescent="0.3">
      <c r="A12348">
        <v>34.542929999999998</v>
      </c>
      <c r="B12348">
        <v>-93.182190000000006</v>
      </c>
      <c r="C12348" t="s">
        <v>43</v>
      </c>
      <c r="D12348" t="s">
        <v>6899</v>
      </c>
      <c r="F12348" s="21"/>
      <c r="G12348" s="16" t="str">
        <f>HYPERLINK("http://maps.google.com/maps?f=q&amp;hl=en&amp;geocode=&amp;q=34.54293,-93.18219")</f>
        <v>http://maps.google.com/maps?f=q&amp;hl=en&amp;geocode=&amp;q=34.54293,-93.18219</v>
      </c>
    </row>
    <row r="12349" spans="1:7" ht="15" x14ac:dyDescent="0.3">
      <c r="A12349" t="s">
        <v>44</v>
      </c>
      <c r="B12349" t="s">
        <v>44</v>
      </c>
      <c r="C12349" t="s">
        <v>44</v>
      </c>
      <c r="D12349" t="s">
        <v>6407</v>
      </c>
      <c r="F12349" s="21"/>
      <c r="G12349" s="16"/>
    </row>
    <row r="12350" spans="1:7" ht="15" x14ac:dyDescent="0.3">
      <c r="A12350" t="s">
        <v>44</v>
      </c>
      <c r="B12350" t="s">
        <v>44</v>
      </c>
      <c r="C12350" t="s">
        <v>44</v>
      </c>
      <c r="D12350" t="s">
        <v>6407</v>
      </c>
      <c r="F12350" s="21"/>
      <c r="G12350" s="16"/>
    </row>
    <row r="12351" spans="1:7" ht="15" x14ac:dyDescent="0.3">
      <c r="A12351">
        <v>49.5966987609863</v>
      </c>
      <c r="B12351">
        <v>6.1406278610229501</v>
      </c>
      <c r="C12351" t="s">
        <v>41</v>
      </c>
      <c r="D12351" t="s">
        <v>6900</v>
      </c>
      <c r="F12351" s="21"/>
      <c r="G12351" s="16" t="str">
        <f>HYPERLINK("http://maps.google.com/maps?f=q&amp;hl=en&amp;geocode=&amp;q=49.5966987609863,6.14062786102295")</f>
        <v>http://maps.google.com/maps?f=q&amp;hl=en&amp;geocode=&amp;q=49.5966987609863,6.14062786102295</v>
      </c>
    </row>
    <row r="12352" spans="1:7" ht="15" x14ac:dyDescent="0.3">
      <c r="A12352">
        <v>32.954776879041802</v>
      </c>
      <c r="B12352">
        <v>-96.892770926700607</v>
      </c>
      <c r="C12352" t="s">
        <v>41</v>
      </c>
      <c r="D12352" t="s">
        <v>6891</v>
      </c>
      <c r="F12352" s="21"/>
      <c r="G12352" s="16" t="str">
        <f>HYPERLINK("http://maps.google.com/maps?f=q&amp;hl=en&amp;geocode=&amp;q=32.9547768790418,-96.8927709267006")</f>
        <v>http://maps.google.com/maps?f=q&amp;hl=en&amp;geocode=&amp;q=32.9547768790418,-96.8927709267006</v>
      </c>
    </row>
    <row r="12353" spans="1:7" ht="15" x14ac:dyDescent="0.3">
      <c r="A12353">
        <v>34.621390362148098</v>
      </c>
      <c r="B12353">
        <v>-82.1260451203066</v>
      </c>
      <c r="C12353" t="s">
        <v>43</v>
      </c>
      <c r="D12353" t="s">
        <v>4259</v>
      </c>
      <c r="F12353" s="21"/>
      <c r="G12353" s="16" t="str">
        <f>HYPERLINK("http://maps.google.com/maps?f=q&amp;hl=en&amp;geocode=&amp;q=34.6213903621481,-82.1260451203066")</f>
        <v>http://maps.google.com/maps?f=q&amp;hl=en&amp;geocode=&amp;q=34.6213903621481,-82.1260451203066</v>
      </c>
    </row>
    <row r="12354" spans="1:7" ht="15" x14ac:dyDescent="0.3">
      <c r="A12354">
        <v>-26.188575744628899</v>
      </c>
      <c r="B12354">
        <v>27.929327011108398</v>
      </c>
      <c r="C12354" t="s">
        <v>43</v>
      </c>
      <c r="D12354" t="s">
        <v>3207</v>
      </c>
      <c r="F12354" s="21"/>
      <c r="G12354" s="16" t="str">
        <f>HYPERLINK("http://maps.google.com/maps?f=q&amp;hl=en&amp;geocode=&amp;q=-26.1885757446289,27.9293270111084")</f>
        <v>http://maps.google.com/maps?f=q&amp;hl=en&amp;geocode=&amp;q=-26.1885757446289,27.9293270111084</v>
      </c>
    </row>
    <row r="12355" spans="1:7" ht="15" x14ac:dyDescent="0.3">
      <c r="A12355">
        <v>39.182571411132798</v>
      </c>
      <c r="B12355">
        <v>-77.270347595214801</v>
      </c>
      <c r="C12355" t="s">
        <v>41</v>
      </c>
      <c r="D12355" t="s">
        <v>6901</v>
      </c>
      <c r="F12355" s="21"/>
      <c r="G12355" s="16" t="str">
        <f>HYPERLINK("http://maps.google.com/maps?f=q&amp;hl=en&amp;geocode=&amp;q=39.1825714111328,-77.2703475952148")</f>
        <v>http://maps.google.com/maps?f=q&amp;hl=en&amp;geocode=&amp;q=39.1825714111328,-77.2703475952148</v>
      </c>
    </row>
    <row r="12356" spans="1:7" ht="15" x14ac:dyDescent="0.3">
      <c r="A12356" t="s">
        <v>44</v>
      </c>
      <c r="B12356" t="s">
        <v>44</v>
      </c>
      <c r="C12356" t="s">
        <v>44</v>
      </c>
      <c r="D12356" t="s">
        <v>3866</v>
      </c>
      <c r="F12356" s="21"/>
      <c r="G12356" s="16"/>
    </row>
    <row r="12357" spans="1:7" ht="15" x14ac:dyDescent="0.3">
      <c r="A12357">
        <v>-34.7380561828613</v>
      </c>
      <c r="B12357">
        <v>138.63555908203099</v>
      </c>
      <c r="C12357" t="s">
        <v>41</v>
      </c>
      <c r="D12357" t="s">
        <v>6902</v>
      </c>
      <c r="F12357" s="21"/>
      <c r="G12357" s="16" t="str">
        <f>HYPERLINK("http://maps.google.com/maps?f=q&amp;hl=en&amp;geocode=&amp;q=-34.7380561828613,138.635559082031")</f>
        <v>http://maps.google.com/maps?f=q&amp;hl=en&amp;geocode=&amp;q=-34.7380561828613,138.635559082031</v>
      </c>
    </row>
    <row r="12358" spans="1:7" ht="15" x14ac:dyDescent="0.3">
      <c r="A12358">
        <v>35.954746458453499</v>
      </c>
      <c r="B12358">
        <v>-77.474282131778594</v>
      </c>
      <c r="C12358" t="s">
        <v>41</v>
      </c>
      <c r="D12358" t="s">
        <v>4849</v>
      </c>
      <c r="F12358" s="21"/>
      <c r="G12358" s="16" t="str">
        <f>HYPERLINK("http://maps.google.com/maps?f=q&amp;hl=en&amp;geocode=&amp;q=35.9547464584535,-77.4742821317786")</f>
        <v>http://maps.google.com/maps?f=q&amp;hl=en&amp;geocode=&amp;q=35.9547464584535,-77.4742821317786</v>
      </c>
    </row>
    <row r="12359" spans="1:7" ht="15" x14ac:dyDescent="0.3">
      <c r="A12359" t="s">
        <v>44</v>
      </c>
      <c r="B12359" t="s">
        <v>44</v>
      </c>
      <c r="C12359" t="s">
        <v>44</v>
      </c>
      <c r="D12359" t="s">
        <v>1649</v>
      </c>
      <c r="F12359" s="21"/>
      <c r="G12359" s="16"/>
    </row>
    <row r="12360" spans="1:7" ht="15" x14ac:dyDescent="0.3">
      <c r="A12360">
        <v>55.744178771972699</v>
      </c>
      <c r="B12360">
        <v>-97.850669860839801</v>
      </c>
      <c r="C12360" t="s">
        <v>43</v>
      </c>
      <c r="D12360" t="s">
        <v>6903</v>
      </c>
      <c r="F12360" s="21"/>
      <c r="G12360" s="16" t="str">
        <f>HYPERLINK("http://maps.google.com/maps?f=q&amp;hl=en&amp;geocode=&amp;q=55.7441787719727,-97.8506698608398")</f>
        <v>http://maps.google.com/maps?f=q&amp;hl=en&amp;geocode=&amp;q=55.7441787719727,-97.8506698608398</v>
      </c>
    </row>
    <row r="12361" spans="1:7" ht="15" x14ac:dyDescent="0.3">
      <c r="A12361">
        <v>48.672306060791001</v>
      </c>
      <c r="B12361">
        <v>7.5540661811828604</v>
      </c>
      <c r="C12361" t="s">
        <v>43</v>
      </c>
      <c r="D12361" t="s">
        <v>6904</v>
      </c>
      <c r="F12361" s="21"/>
      <c r="G12361" s="16" t="str">
        <f>HYPERLINK("http://maps.google.com/maps?f=q&amp;hl=en&amp;geocode=&amp;q=48.672306060791,7.55406618118286")</f>
        <v>http://maps.google.com/maps?f=q&amp;hl=en&amp;geocode=&amp;q=48.672306060791,7.55406618118286</v>
      </c>
    </row>
    <row r="12362" spans="1:7" ht="15" x14ac:dyDescent="0.3">
      <c r="A12362">
        <v>48.672306060791001</v>
      </c>
      <c r="B12362">
        <v>7.5540661811828604</v>
      </c>
      <c r="C12362" t="s">
        <v>43</v>
      </c>
      <c r="D12362" t="s">
        <v>5375</v>
      </c>
      <c r="F12362" s="21"/>
      <c r="G12362" s="16" t="str">
        <f>HYPERLINK("http://maps.google.com/maps?f=q&amp;hl=en&amp;geocode=&amp;q=48.672306060791,7.55406618118286")</f>
        <v>http://maps.google.com/maps?f=q&amp;hl=en&amp;geocode=&amp;q=48.672306060791,7.55406618118286</v>
      </c>
    </row>
    <row r="12363" spans="1:7" ht="15" x14ac:dyDescent="0.3">
      <c r="A12363">
        <v>45.749568939208999</v>
      </c>
      <c r="B12363">
        <v>-120.201118469238</v>
      </c>
      <c r="C12363" t="s">
        <v>41</v>
      </c>
      <c r="D12363" t="s">
        <v>6905</v>
      </c>
      <c r="F12363" s="21"/>
      <c r="G12363" s="16" t="str">
        <f>HYPERLINK("http://maps.google.com/maps?f=q&amp;hl=en&amp;geocode=&amp;q=45.749568939209,-120.201118469238")</f>
        <v>http://maps.google.com/maps?f=q&amp;hl=en&amp;geocode=&amp;q=45.749568939209,-120.201118469238</v>
      </c>
    </row>
    <row r="12364" spans="1:7" ht="15" x14ac:dyDescent="0.3">
      <c r="A12364">
        <v>47.068611145019503</v>
      </c>
      <c r="B12364">
        <v>15.4432697296143</v>
      </c>
      <c r="C12364" t="s">
        <v>41</v>
      </c>
      <c r="D12364" t="s">
        <v>6906</v>
      </c>
      <c r="F12364" s="21"/>
      <c r="G12364" s="16" t="str">
        <f>HYPERLINK("http://maps.google.com/maps?f=q&amp;hl=en&amp;geocode=&amp;q=47.0686111450195,15.4432697296143")</f>
        <v>http://maps.google.com/maps?f=q&amp;hl=en&amp;geocode=&amp;q=47.0686111450195,15.4432697296143</v>
      </c>
    </row>
    <row r="12365" spans="1:7" ht="15" x14ac:dyDescent="0.3">
      <c r="A12365">
        <v>39.947330000000001</v>
      </c>
      <c r="B12365">
        <v>-75.173829999999995</v>
      </c>
      <c r="C12365" t="s">
        <v>43</v>
      </c>
      <c r="D12365" t="s">
        <v>6907</v>
      </c>
      <c r="F12365" s="21"/>
      <c r="G12365" s="16" t="str">
        <f>HYPERLINK("http://maps.google.com/maps?f=q&amp;hl=en&amp;geocode=&amp;q=39.94733,-75.17383")</f>
        <v>http://maps.google.com/maps?f=q&amp;hl=en&amp;geocode=&amp;q=39.94733,-75.17383</v>
      </c>
    </row>
    <row r="12366" spans="1:7" ht="15" x14ac:dyDescent="0.3">
      <c r="A12366">
        <v>39.938090000000003</v>
      </c>
      <c r="B12366">
        <v>-75.178200000000004</v>
      </c>
      <c r="C12366" t="s">
        <v>41</v>
      </c>
      <c r="D12366" t="s">
        <v>6908</v>
      </c>
      <c r="F12366" s="21"/>
      <c r="G12366" s="16" t="str">
        <f>HYPERLINK("http://maps.google.com/maps?f=q&amp;hl=en&amp;geocode=&amp;q=39.93809,-75.1782")</f>
        <v>http://maps.google.com/maps?f=q&amp;hl=en&amp;geocode=&amp;q=39.93809,-75.1782</v>
      </c>
    </row>
    <row r="12367" spans="1:7" ht="15" x14ac:dyDescent="0.3">
      <c r="A12367">
        <v>33.488544327827398</v>
      </c>
      <c r="B12367">
        <v>-88.093700893774795</v>
      </c>
      <c r="C12367" t="s">
        <v>41</v>
      </c>
      <c r="D12367" t="s">
        <v>6909</v>
      </c>
      <c r="F12367" s="21"/>
      <c r="G12367" s="16" t="str">
        <f>HYPERLINK("http://maps.google.com/maps?f=q&amp;hl=en&amp;geocode=&amp;q=33.4885443278274,-88.0937008937748")</f>
        <v>http://maps.google.com/maps?f=q&amp;hl=en&amp;geocode=&amp;q=33.4885443278274,-88.0937008937748</v>
      </c>
    </row>
    <row r="12368" spans="1:7" ht="15" x14ac:dyDescent="0.3">
      <c r="A12368">
        <v>54.534141540527301</v>
      </c>
      <c r="B12368">
        <v>-1.5354642868042001</v>
      </c>
      <c r="C12368" t="s">
        <v>41</v>
      </c>
      <c r="D12368" t="s">
        <v>6910</v>
      </c>
      <c r="F12368" s="21"/>
      <c r="G12368" s="16" t="str">
        <f>HYPERLINK("http://maps.google.com/maps?f=q&amp;hl=en&amp;geocode=&amp;q=54.5341415405273,-1.5354642868042")</f>
        <v>http://maps.google.com/maps?f=q&amp;hl=en&amp;geocode=&amp;q=54.5341415405273,-1.5354642868042</v>
      </c>
    </row>
    <row r="12369" spans="1:7" ht="15" x14ac:dyDescent="0.3">
      <c r="A12369">
        <v>39.958960501279599</v>
      </c>
      <c r="B12369">
        <v>-75.188490427538696</v>
      </c>
      <c r="C12369" t="s">
        <v>41</v>
      </c>
      <c r="D12369" t="s">
        <v>6911</v>
      </c>
      <c r="F12369" s="21"/>
      <c r="G12369" s="16" t="str">
        <f>HYPERLINK("http://maps.google.com/maps?f=q&amp;hl=en&amp;geocode=&amp;q=39.9589605012796,-75.1884904275387")</f>
        <v>http://maps.google.com/maps?f=q&amp;hl=en&amp;geocode=&amp;q=39.9589605012796,-75.1884904275387</v>
      </c>
    </row>
    <row r="12370" spans="1:7" ht="15" x14ac:dyDescent="0.3">
      <c r="A12370">
        <v>39.958960501279599</v>
      </c>
      <c r="B12370">
        <v>-75.188490427538696</v>
      </c>
      <c r="C12370" t="s">
        <v>41</v>
      </c>
      <c r="D12370" t="s">
        <v>6911</v>
      </c>
      <c r="F12370" s="21"/>
      <c r="G12370" s="16" t="str">
        <f>HYPERLINK("http://maps.google.com/maps?f=q&amp;hl=en&amp;geocode=&amp;q=39.9589605012796,-75.1884904275387")</f>
        <v>http://maps.google.com/maps?f=q&amp;hl=en&amp;geocode=&amp;q=39.9589605012796,-75.1884904275387</v>
      </c>
    </row>
    <row r="12371" spans="1:7" ht="15" x14ac:dyDescent="0.3">
      <c r="A12371">
        <v>39.958960501279599</v>
      </c>
      <c r="B12371">
        <v>-75.188490427538696</v>
      </c>
      <c r="C12371" t="s">
        <v>41</v>
      </c>
      <c r="D12371" t="s">
        <v>6911</v>
      </c>
      <c r="F12371" s="21"/>
      <c r="G12371" s="16" t="str">
        <f>HYPERLINK("http://maps.google.com/maps?f=q&amp;hl=en&amp;geocode=&amp;q=39.9589605012796,-75.1884904275387")</f>
        <v>http://maps.google.com/maps?f=q&amp;hl=en&amp;geocode=&amp;q=39.9589605012796,-75.1884904275387</v>
      </c>
    </row>
    <row r="12372" spans="1:7" ht="15" x14ac:dyDescent="0.3">
      <c r="A12372">
        <v>39.947240000000001</v>
      </c>
      <c r="B12372">
        <v>-75.174689999999998</v>
      </c>
      <c r="C12372" t="s">
        <v>43</v>
      </c>
      <c r="D12372" t="s">
        <v>6228</v>
      </c>
      <c r="F12372" s="21"/>
      <c r="G12372" s="16" t="str">
        <f>HYPERLINK("http://maps.google.com/maps?f=q&amp;hl=en&amp;geocode=&amp;q=39.94724,-75.17469")</f>
        <v>http://maps.google.com/maps?f=q&amp;hl=en&amp;geocode=&amp;q=39.94724,-75.17469</v>
      </c>
    </row>
    <row r="12373" spans="1:7" ht="15" x14ac:dyDescent="0.3">
      <c r="A12373">
        <v>39.947240000000001</v>
      </c>
      <c r="B12373">
        <v>-75.174689999999998</v>
      </c>
      <c r="C12373" t="s">
        <v>43</v>
      </c>
      <c r="D12373" t="s">
        <v>6228</v>
      </c>
      <c r="F12373" s="21"/>
      <c r="G12373" s="16" t="str">
        <f>HYPERLINK("http://maps.google.com/maps?f=q&amp;hl=en&amp;geocode=&amp;q=39.94724,-75.17469")</f>
        <v>http://maps.google.com/maps?f=q&amp;hl=en&amp;geocode=&amp;q=39.94724,-75.17469</v>
      </c>
    </row>
    <row r="12374" spans="1:7" ht="15" x14ac:dyDescent="0.3">
      <c r="A12374">
        <v>39.953064369380201</v>
      </c>
      <c r="B12374">
        <v>-75.1939244234879</v>
      </c>
      <c r="C12374" t="s">
        <v>41</v>
      </c>
      <c r="D12374" t="s">
        <v>6912</v>
      </c>
      <c r="F12374" s="21"/>
      <c r="G12374" s="16" t="str">
        <f>HYPERLINK("http://maps.google.com/maps?f=q&amp;hl=en&amp;geocode=&amp;q=39.9530643693802,-75.1939244234879")</f>
        <v>http://maps.google.com/maps?f=q&amp;hl=en&amp;geocode=&amp;q=39.9530643693802,-75.1939244234879</v>
      </c>
    </row>
    <row r="12375" spans="1:7" ht="15" x14ac:dyDescent="0.3">
      <c r="A12375">
        <v>40.576259999999998</v>
      </c>
      <c r="B12375">
        <v>-75.348519999999994</v>
      </c>
      <c r="C12375" t="s">
        <v>43</v>
      </c>
      <c r="D12375" t="s">
        <v>6223</v>
      </c>
      <c r="F12375" s="21"/>
      <c r="G12375" s="16" t="str">
        <f>HYPERLINK("http://maps.google.com/maps?f=q&amp;hl=en&amp;geocode=&amp;q=40.57626,-75.34852")</f>
        <v>http://maps.google.com/maps?f=q&amp;hl=en&amp;geocode=&amp;q=40.57626,-75.34852</v>
      </c>
    </row>
    <row r="12376" spans="1:7" ht="15" x14ac:dyDescent="0.3">
      <c r="A12376">
        <v>35.220131025888399</v>
      </c>
      <c r="B12376">
        <v>-89.819616201691304</v>
      </c>
      <c r="C12376" t="s">
        <v>41</v>
      </c>
      <c r="D12376" t="s">
        <v>5721</v>
      </c>
      <c r="F12376" s="21"/>
      <c r="G12376" s="16" t="str">
        <f>HYPERLINK("http://maps.google.com/maps?f=q&amp;hl=en&amp;geocode=&amp;q=35.2201310258884,-89.8196162016913")</f>
        <v>http://maps.google.com/maps?f=q&amp;hl=en&amp;geocode=&amp;q=35.2201310258884,-89.8196162016913</v>
      </c>
    </row>
    <row r="12377" spans="1:7" ht="15" x14ac:dyDescent="0.3">
      <c r="A12377">
        <v>-29.628349304199201</v>
      </c>
      <c r="B12377">
        <v>150.32186889648401</v>
      </c>
      <c r="C12377" t="s">
        <v>41</v>
      </c>
      <c r="D12377" t="s">
        <v>6913</v>
      </c>
      <c r="F12377" s="21"/>
      <c r="G12377" s="16" t="str">
        <f>HYPERLINK("http://maps.google.com/maps?f=q&amp;hl=en&amp;geocode=&amp;q=-29.6283493041992,150.321868896484")</f>
        <v>http://maps.google.com/maps?f=q&amp;hl=en&amp;geocode=&amp;q=-29.6283493041992,150.321868896484</v>
      </c>
    </row>
    <row r="12378" spans="1:7" ht="15" x14ac:dyDescent="0.3">
      <c r="A12378">
        <v>-29.628349304199201</v>
      </c>
      <c r="B12378">
        <v>150.32186889648401</v>
      </c>
      <c r="C12378" t="s">
        <v>41</v>
      </c>
      <c r="D12378" t="s">
        <v>6913</v>
      </c>
      <c r="F12378" s="21"/>
      <c r="G12378" s="16" t="str">
        <f>HYPERLINK("http://maps.google.com/maps?f=q&amp;hl=en&amp;geocode=&amp;q=-29.6283493041992,150.321868896484")</f>
        <v>http://maps.google.com/maps?f=q&amp;hl=en&amp;geocode=&amp;q=-29.6283493041992,150.321868896484</v>
      </c>
    </row>
    <row r="12379" spans="1:7" ht="15" x14ac:dyDescent="0.3">
      <c r="A12379">
        <v>-29.628349304199201</v>
      </c>
      <c r="B12379">
        <v>150.32186889648401</v>
      </c>
      <c r="C12379" t="s">
        <v>41</v>
      </c>
      <c r="D12379" t="s">
        <v>6913</v>
      </c>
      <c r="F12379" s="21"/>
      <c r="G12379" s="16" t="str">
        <f>HYPERLINK("http://maps.google.com/maps?f=q&amp;hl=en&amp;geocode=&amp;q=-29.6283493041992,150.321868896484")</f>
        <v>http://maps.google.com/maps?f=q&amp;hl=en&amp;geocode=&amp;q=-29.6283493041992,150.321868896484</v>
      </c>
    </row>
    <row r="12380" spans="1:7" ht="15" x14ac:dyDescent="0.3">
      <c r="A12380">
        <v>-29.628349304199201</v>
      </c>
      <c r="B12380">
        <v>150.32186889648401</v>
      </c>
      <c r="C12380" t="s">
        <v>41</v>
      </c>
      <c r="D12380" t="s">
        <v>6913</v>
      </c>
      <c r="F12380" s="21"/>
      <c r="G12380" s="16" t="str">
        <f>HYPERLINK("http://maps.google.com/maps?f=q&amp;hl=en&amp;geocode=&amp;q=-29.6283493041992,150.321868896484")</f>
        <v>http://maps.google.com/maps?f=q&amp;hl=en&amp;geocode=&amp;q=-29.6283493041992,150.321868896484</v>
      </c>
    </row>
    <row r="12381" spans="1:7" ht="15" x14ac:dyDescent="0.3">
      <c r="A12381">
        <v>39.94782</v>
      </c>
      <c r="B12381">
        <v>-75.178169999999994</v>
      </c>
      <c r="C12381" t="s">
        <v>43</v>
      </c>
      <c r="D12381" t="s">
        <v>6255</v>
      </c>
      <c r="F12381" s="21"/>
      <c r="G12381" s="16" t="str">
        <f>HYPERLINK("http://maps.google.com/maps?f=q&amp;hl=en&amp;geocode=&amp;q=39.94782,-75.17817")</f>
        <v>http://maps.google.com/maps?f=q&amp;hl=en&amp;geocode=&amp;q=39.94782,-75.17817</v>
      </c>
    </row>
    <row r="12382" spans="1:7" ht="15" x14ac:dyDescent="0.3">
      <c r="A12382">
        <v>42.169429999999998</v>
      </c>
      <c r="B12382">
        <v>-87.867440000000002</v>
      </c>
      <c r="C12382" t="s">
        <v>41</v>
      </c>
      <c r="D12382" t="s">
        <v>4196</v>
      </c>
      <c r="F12382" s="21"/>
      <c r="G12382" s="16" t="str">
        <f>HYPERLINK("http://maps.google.com/maps?f=q&amp;hl=en&amp;geocode=&amp;q=42.16943,-87.86744")</f>
        <v>http://maps.google.com/maps?f=q&amp;hl=en&amp;geocode=&amp;q=42.16943,-87.86744</v>
      </c>
    </row>
    <row r="12383" spans="1:7" ht="15" x14ac:dyDescent="0.3">
      <c r="A12383">
        <v>32.806857670336001</v>
      </c>
      <c r="B12383">
        <v>-96.800072816863405</v>
      </c>
      <c r="C12383" t="s">
        <v>41</v>
      </c>
      <c r="D12383" t="s">
        <v>6914</v>
      </c>
      <c r="F12383" s="21"/>
      <c r="G12383" s="16" t="str">
        <f>HYPERLINK("http://maps.google.com/maps?f=q&amp;hl=en&amp;geocode=&amp;q=32.806857670336,-96.8000728168634")</f>
        <v>http://maps.google.com/maps?f=q&amp;hl=en&amp;geocode=&amp;q=32.806857670336,-96.8000728168634</v>
      </c>
    </row>
    <row r="12384" spans="1:7" ht="15" x14ac:dyDescent="0.3">
      <c r="A12384" t="s">
        <v>44</v>
      </c>
      <c r="B12384" t="s">
        <v>44</v>
      </c>
      <c r="C12384" t="s">
        <v>44</v>
      </c>
      <c r="D12384" t="s">
        <v>6915</v>
      </c>
      <c r="F12384" s="21"/>
      <c r="G12384" s="16"/>
    </row>
    <row r="12385" spans="1:7" ht="15" x14ac:dyDescent="0.3">
      <c r="A12385">
        <v>-27.715295791626001</v>
      </c>
      <c r="B12385">
        <v>152.38255310058599</v>
      </c>
      <c r="C12385" t="s">
        <v>41</v>
      </c>
      <c r="D12385" t="s">
        <v>6916</v>
      </c>
      <c r="F12385" s="21"/>
      <c r="G12385" s="16" t="str">
        <f>HYPERLINK("http://maps.google.com/maps?f=q&amp;hl=en&amp;geocode=&amp;q=-27.715295791626,152.382553100586")</f>
        <v>http://maps.google.com/maps?f=q&amp;hl=en&amp;geocode=&amp;q=-27.715295791626,152.382553100586</v>
      </c>
    </row>
    <row r="12386" spans="1:7" ht="15" x14ac:dyDescent="0.3">
      <c r="A12386">
        <v>41.343601226806598</v>
      </c>
      <c r="B12386">
        <v>-82.459877014160199</v>
      </c>
      <c r="C12386" t="s">
        <v>41</v>
      </c>
      <c r="D12386" t="s">
        <v>3332</v>
      </c>
      <c r="F12386" s="21"/>
      <c r="G12386" s="16" t="str">
        <f>HYPERLINK("http://maps.google.com/maps?f=q&amp;hl=en&amp;geocode=&amp;q=41.3436012268066,-82.4598770141602")</f>
        <v>http://maps.google.com/maps?f=q&amp;hl=en&amp;geocode=&amp;q=41.3436012268066,-82.4598770141602</v>
      </c>
    </row>
    <row r="12387" spans="1:7" ht="15" x14ac:dyDescent="0.3">
      <c r="A12387">
        <v>38.590043867295599</v>
      </c>
      <c r="B12387">
        <v>-90.297371600555607</v>
      </c>
      <c r="C12387" t="s">
        <v>41</v>
      </c>
      <c r="D12387" t="s">
        <v>379</v>
      </c>
      <c r="F12387" s="21"/>
      <c r="G12387" s="16" t="str">
        <f>HYPERLINK("http://maps.google.com/maps?f=q&amp;hl=en&amp;geocode=&amp;q=38.5900438672956,-90.2973716005556")</f>
        <v>http://maps.google.com/maps?f=q&amp;hl=en&amp;geocode=&amp;q=38.5900438672956,-90.2973716005556</v>
      </c>
    </row>
    <row r="12388" spans="1:7" ht="15" x14ac:dyDescent="0.3">
      <c r="A12388">
        <v>47.604629516601598</v>
      </c>
      <c r="B12388">
        <v>11.468609809875501</v>
      </c>
      <c r="C12388" t="s">
        <v>43</v>
      </c>
      <c r="D12388" t="s">
        <v>6917</v>
      </c>
      <c r="F12388" s="21"/>
      <c r="G12388" s="16" t="str">
        <f>HYPERLINK("http://maps.google.com/maps?f=q&amp;hl=en&amp;geocode=&amp;q=47.6046295166016,11.4686098098755")</f>
        <v>http://maps.google.com/maps?f=q&amp;hl=en&amp;geocode=&amp;q=47.6046295166016,11.4686098098755</v>
      </c>
    </row>
    <row r="12389" spans="1:7" ht="15" x14ac:dyDescent="0.3">
      <c r="A12389">
        <v>33.4577778684219</v>
      </c>
      <c r="B12389">
        <v>-81.984475675609403</v>
      </c>
      <c r="C12389" t="s">
        <v>41</v>
      </c>
      <c r="D12389" t="s">
        <v>6918</v>
      </c>
      <c r="F12389" s="21"/>
      <c r="G12389" s="16" t="str">
        <f>HYPERLINK("http://maps.google.com/maps?f=q&amp;hl=en&amp;geocode=&amp;q=33.4577778684219,-81.9844756756094")</f>
        <v>http://maps.google.com/maps?f=q&amp;hl=en&amp;geocode=&amp;q=33.4577778684219,-81.9844756756094</v>
      </c>
    </row>
    <row r="12390" spans="1:7" ht="15" x14ac:dyDescent="0.3">
      <c r="A12390">
        <v>33.458016688500997</v>
      </c>
      <c r="B12390">
        <v>-81.984409412426402</v>
      </c>
      <c r="C12390" t="s">
        <v>42</v>
      </c>
      <c r="D12390" t="s">
        <v>6919</v>
      </c>
      <c r="F12390" s="21"/>
      <c r="G12390" s="16" t="str">
        <f>HYPERLINK("http://maps.google.com/maps?f=q&amp;hl=en&amp;geocode=&amp;q=33.458016688501,-81.9844094124264")</f>
        <v>http://maps.google.com/maps?f=q&amp;hl=en&amp;geocode=&amp;q=33.458016688501,-81.9844094124264</v>
      </c>
    </row>
    <row r="12391" spans="1:7" ht="15" x14ac:dyDescent="0.3">
      <c r="A12391" t="s">
        <v>44</v>
      </c>
      <c r="B12391" t="s">
        <v>44</v>
      </c>
      <c r="C12391" t="s">
        <v>44</v>
      </c>
      <c r="D12391" t="s">
        <v>6920</v>
      </c>
      <c r="F12391" s="21"/>
      <c r="G12391" s="16"/>
    </row>
    <row r="12392" spans="1:7" ht="15" x14ac:dyDescent="0.3">
      <c r="A12392">
        <v>48.672306060791001</v>
      </c>
      <c r="B12392">
        <v>7.5540661811828604</v>
      </c>
      <c r="C12392" t="s">
        <v>43</v>
      </c>
      <c r="D12392" t="s">
        <v>5375</v>
      </c>
      <c r="F12392" s="21"/>
      <c r="G12392" s="16" t="str">
        <f>HYPERLINK("http://maps.google.com/maps?f=q&amp;hl=en&amp;geocode=&amp;q=48.672306060791,7.55406618118286")</f>
        <v>http://maps.google.com/maps?f=q&amp;hl=en&amp;geocode=&amp;q=48.672306060791,7.55406618118286</v>
      </c>
    </row>
    <row r="12393" spans="1:7" ht="15" x14ac:dyDescent="0.3">
      <c r="A12393" t="s">
        <v>44</v>
      </c>
      <c r="B12393" t="s">
        <v>44</v>
      </c>
      <c r="C12393" t="s">
        <v>44</v>
      </c>
      <c r="D12393" t="s">
        <v>4438</v>
      </c>
      <c r="F12393" s="21"/>
      <c r="G12393" s="16"/>
    </row>
    <row r="12394" spans="1:7" ht="15" x14ac:dyDescent="0.3">
      <c r="A12394" t="s">
        <v>44</v>
      </c>
      <c r="B12394" t="s">
        <v>44</v>
      </c>
      <c r="C12394" t="s">
        <v>44</v>
      </c>
      <c r="D12394" t="s">
        <v>4438</v>
      </c>
      <c r="F12394" s="21"/>
      <c r="G12394" s="16"/>
    </row>
    <row r="12395" spans="1:7" ht="15" x14ac:dyDescent="0.3">
      <c r="A12395">
        <v>59.898780822753899</v>
      </c>
      <c r="B12395">
        <v>15.560899734497101</v>
      </c>
      <c r="C12395" t="s">
        <v>43</v>
      </c>
      <c r="D12395" t="s">
        <v>4475</v>
      </c>
      <c r="F12395" s="21"/>
      <c r="G12395" s="16" t="str">
        <f>HYPERLINK("http://maps.google.com/maps?f=q&amp;hl=en&amp;geocode=&amp;q=59.8987808227539,15.5608997344971")</f>
        <v>http://maps.google.com/maps?f=q&amp;hl=en&amp;geocode=&amp;q=59.8987808227539,15.5608997344971</v>
      </c>
    </row>
    <row r="12396" spans="1:7" ht="15" x14ac:dyDescent="0.3">
      <c r="A12396">
        <v>33.810472853594</v>
      </c>
      <c r="B12396">
        <v>-117.928295881618</v>
      </c>
      <c r="C12396" t="s">
        <v>41</v>
      </c>
      <c r="D12396" t="s">
        <v>6921</v>
      </c>
      <c r="F12396" s="21"/>
      <c r="G12396" s="16" t="str">
        <f>HYPERLINK("http://maps.google.com/maps?f=q&amp;hl=en&amp;geocode=&amp;q=33.810472853594,-117.928295881618")</f>
        <v>http://maps.google.com/maps?f=q&amp;hl=en&amp;geocode=&amp;q=33.810472853594,-117.928295881618</v>
      </c>
    </row>
    <row r="12397" spans="1:7" ht="15" x14ac:dyDescent="0.3">
      <c r="A12397">
        <v>43.2552302532726</v>
      </c>
      <c r="B12397">
        <v>-73.76374217787</v>
      </c>
      <c r="C12397" t="s">
        <v>41</v>
      </c>
      <c r="D12397" t="s">
        <v>6723</v>
      </c>
      <c r="F12397" s="21"/>
      <c r="G12397" s="16" t="str">
        <f>HYPERLINK("http://maps.google.com/maps?f=q&amp;hl=en&amp;geocode=&amp;q=43.2552302532726,-73.76374217787")</f>
        <v>http://maps.google.com/maps?f=q&amp;hl=en&amp;geocode=&amp;q=43.2552302532726,-73.76374217787</v>
      </c>
    </row>
    <row r="12398" spans="1:7" ht="15" x14ac:dyDescent="0.3">
      <c r="A12398">
        <v>46.539333343505902</v>
      </c>
      <c r="B12398">
        <v>6.6218771934509304</v>
      </c>
      <c r="C12398" t="s">
        <v>43</v>
      </c>
      <c r="D12398" t="s">
        <v>6922</v>
      </c>
      <c r="F12398" s="21"/>
      <c r="G12398" s="16" t="str">
        <f>HYPERLINK("http://maps.google.com/maps?f=q&amp;hl=en&amp;geocode=&amp;q=46.5393333435059,6.62187719345093")</f>
        <v>http://maps.google.com/maps?f=q&amp;hl=en&amp;geocode=&amp;q=46.5393333435059,6.62187719345093</v>
      </c>
    </row>
    <row r="12399" spans="1:7" ht="15" x14ac:dyDescent="0.3">
      <c r="A12399">
        <v>34.542929999999998</v>
      </c>
      <c r="B12399">
        <v>-93.182190000000006</v>
      </c>
      <c r="C12399" t="s">
        <v>43</v>
      </c>
      <c r="D12399" t="s">
        <v>6899</v>
      </c>
      <c r="F12399" s="21"/>
      <c r="G12399" s="16" t="str">
        <f>HYPERLINK("http://maps.google.com/maps?f=q&amp;hl=en&amp;geocode=&amp;q=34.54293,-93.18219")</f>
        <v>http://maps.google.com/maps?f=q&amp;hl=en&amp;geocode=&amp;q=34.54293,-93.18219</v>
      </c>
    </row>
    <row r="12400" spans="1:7" ht="15" x14ac:dyDescent="0.3">
      <c r="A12400" t="s">
        <v>44</v>
      </c>
      <c r="B12400" t="s">
        <v>44</v>
      </c>
      <c r="C12400" t="s">
        <v>44</v>
      </c>
      <c r="D12400" t="s">
        <v>6407</v>
      </c>
      <c r="F12400" s="21"/>
      <c r="G12400" s="16"/>
    </row>
    <row r="12401" spans="1:7" ht="15" x14ac:dyDescent="0.3">
      <c r="A12401">
        <v>35.402269836401302</v>
      </c>
      <c r="B12401">
        <v>-97.761225103720506</v>
      </c>
      <c r="C12401" t="s">
        <v>41</v>
      </c>
      <c r="D12401" t="s">
        <v>6828</v>
      </c>
      <c r="F12401" s="21"/>
      <c r="G12401" s="16" t="str">
        <f>HYPERLINK("http://maps.google.com/maps?f=q&amp;hl=en&amp;geocode=&amp;q=35.4022698364013,-97.7612251037205")</f>
        <v>http://maps.google.com/maps?f=q&amp;hl=en&amp;geocode=&amp;q=35.4022698364013,-97.7612251037205</v>
      </c>
    </row>
    <row r="12402" spans="1:7" ht="15" x14ac:dyDescent="0.3">
      <c r="A12402">
        <v>41.941414348051197</v>
      </c>
      <c r="B12402">
        <v>-85.259857387255096</v>
      </c>
      <c r="C12402" t="s">
        <v>41</v>
      </c>
      <c r="D12402" t="s">
        <v>6923</v>
      </c>
      <c r="F12402" s="21"/>
      <c r="G12402" s="16" t="str">
        <f>HYPERLINK("http://maps.google.com/maps?f=q&amp;hl=en&amp;geocode=&amp;q=41.9414143480512,-85.2598573872551")</f>
        <v>http://maps.google.com/maps?f=q&amp;hl=en&amp;geocode=&amp;q=41.9414143480512,-85.2598573872551</v>
      </c>
    </row>
    <row r="12403" spans="1:7" ht="15" x14ac:dyDescent="0.3">
      <c r="A12403">
        <v>48.672306060791001</v>
      </c>
      <c r="B12403">
        <v>7.5540661811828604</v>
      </c>
      <c r="C12403" t="s">
        <v>43</v>
      </c>
      <c r="D12403" t="s">
        <v>5375</v>
      </c>
      <c r="F12403" s="21"/>
      <c r="G12403" s="16" t="str">
        <f>HYPERLINK("http://maps.google.com/maps?f=q&amp;hl=en&amp;geocode=&amp;q=48.672306060791,7.55406618118286")</f>
        <v>http://maps.google.com/maps?f=q&amp;hl=en&amp;geocode=&amp;q=48.672306060791,7.55406618118286</v>
      </c>
    </row>
    <row r="12404" spans="1:7" ht="15" x14ac:dyDescent="0.3">
      <c r="A12404">
        <v>35.402268558320401</v>
      </c>
      <c r="B12404">
        <v>-97.761316696542707</v>
      </c>
      <c r="C12404" t="s">
        <v>41</v>
      </c>
      <c r="D12404" t="s">
        <v>6924</v>
      </c>
      <c r="F12404" s="21"/>
      <c r="G12404" s="16" t="str">
        <f>HYPERLINK("http://maps.google.com/maps?f=q&amp;hl=en&amp;geocode=&amp;q=35.4022685583204,-97.7613166965427")</f>
        <v>http://maps.google.com/maps?f=q&amp;hl=en&amp;geocode=&amp;q=35.4022685583204,-97.7613166965427</v>
      </c>
    </row>
    <row r="12405" spans="1:7" ht="15" x14ac:dyDescent="0.3">
      <c r="A12405">
        <v>39.294969999999999</v>
      </c>
      <c r="B12405">
        <v>-76.699950000000001</v>
      </c>
      <c r="C12405" t="s">
        <v>41</v>
      </c>
      <c r="D12405" t="s">
        <v>4273</v>
      </c>
      <c r="F12405" s="21"/>
      <c r="G12405" s="16" t="str">
        <f>HYPERLINK("http://maps.google.com/maps?f=q&amp;hl=en&amp;geocode=&amp;q=39.29497,-76.69995")</f>
        <v>http://maps.google.com/maps?f=q&amp;hl=en&amp;geocode=&amp;q=39.29497,-76.69995</v>
      </c>
    </row>
    <row r="12406" spans="1:7" ht="15" x14ac:dyDescent="0.3">
      <c r="A12406">
        <v>37.859785696689499</v>
      </c>
      <c r="B12406">
        <v>-82.805018451891399</v>
      </c>
      <c r="C12406" t="s">
        <v>41</v>
      </c>
      <c r="D12406" t="s">
        <v>6806</v>
      </c>
      <c r="F12406" s="21"/>
      <c r="G12406" s="16" t="str">
        <f>HYPERLINK("http://maps.google.com/maps?f=q&amp;hl=en&amp;geocode=&amp;q=37.8597856966895,-82.8050184518914")</f>
        <v>http://maps.google.com/maps?f=q&amp;hl=en&amp;geocode=&amp;q=37.8597856966895,-82.8050184518914</v>
      </c>
    </row>
    <row r="12407" spans="1:7" ht="15" x14ac:dyDescent="0.3">
      <c r="A12407">
        <v>37.859785696689499</v>
      </c>
      <c r="B12407">
        <v>-82.805018451891399</v>
      </c>
      <c r="C12407" t="s">
        <v>41</v>
      </c>
      <c r="D12407" t="s">
        <v>6806</v>
      </c>
      <c r="F12407" s="21"/>
      <c r="G12407" s="16" t="str">
        <f>HYPERLINK("http://maps.google.com/maps?f=q&amp;hl=en&amp;geocode=&amp;q=37.8597856966895,-82.8050184518914")</f>
        <v>http://maps.google.com/maps?f=q&amp;hl=en&amp;geocode=&amp;q=37.8597856966895,-82.8050184518914</v>
      </c>
    </row>
    <row r="12408" spans="1:7" ht="15" x14ac:dyDescent="0.3">
      <c r="A12408" t="s">
        <v>44</v>
      </c>
      <c r="B12408" t="s">
        <v>44</v>
      </c>
      <c r="C12408" t="s">
        <v>44</v>
      </c>
      <c r="D12408" t="s">
        <v>6704</v>
      </c>
      <c r="F12408" s="21"/>
      <c r="G12408" s="16"/>
    </row>
    <row r="12409" spans="1:7" ht="15" x14ac:dyDescent="0.3">
      <c r="A12409">
        <v>27.508375034623199</v>
      </c>
      <c r="B12409">
        <v>-99.477041826415103</v>
      </c>
      <c r="C12409" t="s">
        <v>43</v>
      </c>
      <c r="D12409" t="s">
        <v>6925</v>
      </c>
      <c r="F12409" s="21"/>
      <c r="G12409" s="16" t="str">
        <f>HYPERLINK("http://maps.google.com/maps?f=q&amp;hl=en&amp;geocode=&amp;q=27.5083750346232,-99.4770418264151")</f>
        <v>http://maps.google.com/maps?f=q&amp;hl=en&amp;geocode=&amp;q=27.5083750346232,-99.4770418264151</v>
      </c>
    </row>
    <row r="12410" spans="1:7" ht="15" x14ac:dyDescent="0.3">
      <c r="A12410">
        <v>41.223848861184599</v>
      </c>
      <c r="B12410">
        <v>-98.402467262898597</v>
      </c>
      <c r="C12410" t="s">
        <v>41</v>
      </c>
      <c r="D12410" t="s">
        <v>3823</v>
      </c>
      <c r="F12410" s="21"/>
      <c r="G12410" s="16" t="str">
        <f>HYPERLINK("http://maps.google.com/maps?f=q&amp;hl=en&amp;geocode=&amp;q=41.2238488611846,-98.4024672628986")</f>
        <v>http://maps.google.com/maps?f=q&amp;hl=en&amp;geocode=&amp;q=41.2238488611846,-98.4024672628986</v>
      </c>
    </row>
    <row r="12411" spans="1:7" ht="15" x14ac:dyDescent="0.3">
      <c r="A12411">
        <v>46.408790588378899</v>
      </c>
      <c r="B12411">
        <v>12.017880439758301</v>
      </c>
      <c r="C12411" t="s">
        <v>41</v>
      </c>
      <c r="D12411" t="s">
        <v>6926</v>
      </c>
      <c r="F12411" s="21"/>
      <c r="G12411" s="16" t="str">
        <f>HYPERLINK("http://maps.google.com/maps?f=q&amp;hl=en&amp;geocode=&amp;q=46.4087905883789,12.0178804397583")</f>
        <v>http://maps.google.com/maps?f=q&amp;hl=en&amp;geocode=&amp;q=46.4087905883789,12.0178804397583</v>
      </c>
    </row>
    <row r="12412" spans="1:7" ht="15" x14ac:dyDescent="0.3">
      <c r="A12412">
        <v>46.408790588378899</v>
      </c>
      <c r="B12412">
        <v>12.017880439758301</v>
      </c>
      <c r="C12412" t="s">
        <v>41</v>
      </c>
      <c r="D12412" t="s">
        <v>6926</v>
      </c>
      <c r="F12412" s="21"/>
      <c r="G12412" s="16" t="str">
        <f>HYPERLINK("http://maps.google.com/maps?f=q&amp;hl=en&amp;geocode=&amp;q=46.4087905883789,12.0178804397583")</f>
        <v>http://maps.google.com/maps?f=q&amp;hl=en&amp;geocode=&amp;q=46.4087905883789,12.0178804397583</v>
      </c>
    </row>
    <row r="12413" spans="1:7" ht="15" x14ac:dyDescent="0.3">
      <c r="F12413" s="21"/>
      <c r="G12413" s="16"/>
    </row>
    <row r="12414" spans="1:7" ht="15" x14ac:dyDescent="0.3">
      <c r="A12414">
        <v>52.209800720214801</v>
      </c>
      <c r="B12414">
        <v>0.111469998955727</v>
      </c>
      <c r="C12414" t="s">
        <v>41</v>
      </c>
      <c r="D12414" t="s">
        <v>6927</v>
      </c>
      <c r="F12414" s="21"/>
      <c r="G12414" s="16" t="str">
        <f>HYPERLINK("http://maps.google.com/maps?f=q&amp;hl=en&amp;geocode=&amp;q=52.2098007202148,0.111469998955727")</f>
        <v>http://maps.google.com/maps?f=q&amp;hl=en&amp;geocode=&amp;q=52.2098007202148,0.111469998955727</v>
      </c>
    </row>
    <row r="12415" spans="1:7" ht="15" x14ac:dyDescent="0.3">
      <c r="A12415">
        <v>18.481002807617202</v>
      </c>
      <c r="B12415">
        <v>120.65517425537099</v>
      </c>
      <c r="C12415" t="s">
        <v>43</v>
      </c>
      <c r="D12415" t="s">
        <v>4728</v>
      </c>
      <c r="F12415" s="21"/>
      <c r="G12415" s="16" t="str">
        <f>HYPERLINK("http://maps.google.com/maps?f=q&amp;hl=en&amp;geocode=&amp;q=18.4810028076172,120.655174255371")</f>
        <v>http://maps.google.com/maps?f=q&amp;hl=en&amp;geocode=&amp;q=18.4810028076172,120.655174255371</v>
      </c>
    </row>
    <row r="12416" spans="1:7" ht="15" x14ac:dyDescent="0.3">
      <c r="A12416">
        <v>51.403228759765597</v>
      </c>
      <c r="B12416">
        <v>4.4538850784301802</v>
      </c>
      <c r="C12416" t="s">
        <v>43</v>
      </c>
      <c r="D12416" t="s">
        <v>4729</v>
      </c>
      <c r="F12416" s="21"/>
      <c r="G12416" s="16" t="str">
        <f>HYPERLINK("http://maps.google.com/maps?f=q&amp;hl=en&amp;geocode=&amp;q=51.4032287597656,4.45388507843018")</f>
        <v>http://maps.google.com/maps?f=q&amp;hl=en&amp;geocode=&amp;q=51.4032287597656,4.45388507843018</v>
      </c>
    </row>
    <row r="12417" spans="1:7" ht="15" x14ac:dyDescent="0.3">
      <c r="A12417">
        <v>39.586315607728103</v>
      </c>
      <c r="B12417">
        <v>-87.462824642939694</v>
      </c>
      <c r="C12417" t="s">
        <v>41</v>
      </c>
      <c r="D12417" t="s">
        <v>6928</v>
      </c>
      <c r="F12417" s="21"/>
      <c r="G12417" s="16" t="str">
        <f>HYPERLINK("http://maps.google.com/maps?f=q&amp;hl=en&amp;geocode=&amp;q=39.5863156077281,-87.4628246429397")</f>
        <v>http://maps.google.com/maps?f=q&amp;hl=en&amp;geocode=&amp;q=39.5863156077281,-87.4628246429397</v>
      </c>
    </row>
    <row r="12418" spans="1:7" ht="15" x14ac:dyDescent="0.3">
      <c r="A12418">
        <v>47.202430725097699</v>
      </c>
      <c r="B12418">
        <v>19.835624694824201</v>
      </c>
      <c r="C12418" t="s">
        <v>43</v>
      </c>
      <c r="D12418" t="s">
        <v>5188</v>
      </c>
      <c r="F12418" s="21"/>
      <c r="G12418" s="16" t="str">
        <f>HYPERLINK("http://maps.google.com/maps?f=q&amp;hl=en&amp;geocode=&amp;q=47.2024307250977,19.8356246948242")</f>
        <v>http://maps.google.com/maps?f=q&amp;hl=en&amp;geocode=&amp;q=47.2024307250977,19.8356246948242</v>
      </c>
    </row>
    <row r="12419" spans="1:7" ht="15" x14ac:dyDescent="0.3">
      <c r="A12419">
        <v>35.593101501464801</v>
      </c>
      <c r="B12419">
        <v>-91.503303527832003</v>
      </c>
      <c r="C12419" t="s">
        <v>41</v>
      </c>
      <c r="D12419" t="s">
        <v>6602</v>
      </c>
      <c r="F12419" s="21"/>
      <c r="G12419" s="16" t="str">
        <f>HYPERLINK("http://maps.google.com/maps?f=q&amp;hl=en&amp;geocode=&amp;q=35.5931015014648,-91.503303527832")</f>
        <v>http://maps.google.com/maps?f=q&amp;hl=en&amp;geocode=&amp;q=35.5931015014648,-91.503303527832</v>
      </c>
    </row>
    <row r="12420" spans="1:7" ht="15" x14ac:dyDescent="0.3">
      <c r="A12420">
        <v>-36.750904083252003</v>
      </c>
      <c r="B12420">
        <v>174.759689331055</v>
      </c>
      <c r="C12420" t="s">
        <v>43</v>
      </c>
      <c r="D12420" t="s">
        <v>6929</v>
      </c>
      <c r="F12420" s="21"/>
      <c r="G12420" s="16" t="str">
        <f>HYPERLINK("http://maps.google.com/maps?f=q&amp;hl=en&amp;geocode=&amp;q=-36.750904083252,174.759689331055")</f>
        <v>http://maps.google.com/maps?f=q&amp;hl=en&amp;geocode=&amp;q=-36.750904083252,174.759689331055</v>
      </c>
    </row>
    <row r="12421" spans="1:7" ht="15" x14ac:dyDescent="0.3">
      <c r="A12421">
        <v>36.23592</v>
      </c>
      <c r="B12421">
        <v>-88.808130000000006</v>
      </c>
      <c r="C12421" t="s">
        <v>42</v>
      </c>
      <c r="D12421" t="s">
        <v>6930</v>
      </c>
      <c r="F12421" s="21"/>
      <c r="G12421" s="16" t="str">
        <f>HYPERLINK("http://maps.google.com/maps?f=q&amp;hl=en&amp;geocode=&amp;q=36.23592,-88.80813")</f>
        <v>http://maps.google.com/maps?f=q&amp;hl=en&amp;geocode=&amp;q=36.23592,-88.80813</v>
      </c>
    </row>
    <row r="12422" spans="1:7" ht="15" x14ac:dyDescent="0.3">
      <c r="A12422">
        <v>42.4620967661469</v>
      </c>
      <c r="B12422">
        <v>-70.936300094321993</v>
      </c>
      <c r="C12422" t="s">
        <v>41</v>
      </c>
      <c r="D12422" t="s">
        <v>6931</v>
      </c>
      <c r="F12422" s="21"/>
      <c r="G12422" s="16" t="str">
        <f>HYPERLINK("http://maps.google.com/maps?f=q&amp;hl=en&amp;geocode=&amp;q=42.4620967661469,-70.936300094322")</f>
        <v>http://maps.google.com/maps?f=q&amp;hl=en&amp;geocode=&amp;q=42.4620967661469,-70.936300094322</v>
      </c>
    </row>
    <row r="12423" spans="1:7" ht="15" x14ac:dyDescent="0.3">
      <c r="A12423">
        <v>35.593101501464801</v>
      </c>
      <c r="B12423">
        <v>-91.503303527832003</v>
      </c>
      <c r="C12423" t="s">
        <v>41</v>
      </c>
      <c r="D12423" t="s">
        <v>6602</v>
      </c>
      <c r="F12423" s="21"/>
      <c r="G12423" s="16" t="str">
        <f>HYPERLINK("http://maps.google.com/maps?f=q&amp;hl=en&amp;geocode=&amp;q=35.5931015014648,-91.503303527832")</f>
        <v>http://maps.google.com/maps?f=q&amp;hl=en&amp;geocode=&amp;q=35.5931015014648,-91.503303527832</v>
      </c>
    </row>
    <row r="12424" spans="1:7" ht="15" x14ac:dyDescent="0.3">
      <c r="A12424">
        <v>35.243940000000002</v>
      </c>
      <c r="B12424">
        <v>-97.423190000000005</v>
      </c>
      <c r="C12424" t="s">
        <v>41</v>
      </c>
      <c r="D12424" t="s">
        <v>6313</v>
      </c>
      <c r="F12424" s="21"/>
      <c r="G12424" s="16" t="str">
        <f>HYPERLINK("http://maps.google.com/maps?f=q&amp;hl=en&amp;geocode=&amp;q=35.24394,-97.42319")</f>
        <v>http://maps.google.com/maps?f=q&amp;hl=en&amp;geocode=&amp;q=35.24394,-97.42319</v>
      </c>
    </row>
    <row r="12425" spans="1:7" ht="15" x14ac:dyDescent="0.3">
      <c r="A12425">
        <v>34.542929999999998</v>
      </c>
      <c r="B12425">
        <v>-93.182190000000006</v>
      </c>
      <c r="C12425" t="s">
        <v>43</v>
      </c>
      <c r="D12425" t="s">
        <v>6436</v>
      </c>
      <c r="F12425" s="21"/>
      <c r="G12425" s="16" t="str">
        <f>HYPERLINK("http://maps.google.com/maps?f=q&amp;hl=en&amp;geocode=&amp;q=34.54293,-93.18219")</f>
        <v>http://maps.google.com/maps?f=q&amp;hl=en&amp;geocode=&amp;q=34.54293,-93.18219</v>
      </c>
    </row>
    <row r="12426" spans="1:7" ht="15" x14ac:dyDescent="0.3">
      <c r="A12426">
        <v>35.402269836401302</v>
      </c>
      <c r="B12426">
        <v>-97.761225103720506</v>
      </c>
      <c r="C12426" t="s">
        <v>41</v>
      </c>
      <c r="D12426" t="s">
        <v>6828</v>
      </c>
      <c r="F12426" s="21"/>
      <c r="G12426" s="16" t="str">
        <f>HYPERLINK("http://maps.google.com/maps?f=q&amp;hl=en&amp;geocode=&amp;q=35.4022698364013,-97.7612251037205")</f>
        <v>http://maps.google.com/maps?f=q&amp;hl=en&amp;geocode=&amp;q=35.4022698364013,-97.7612251037205</v>
      </c>
    </row>
    <row r="12427" spans="1:7" ht="15" x14ac:dyDescent="0.3">
      <c r="A12427">
        <v>35.402266001950501</v>
      </c>
      <c r="B12427">
        <v>-97.7614998822324</v>
      </c>
      <c r="C12427" t="s">
        <v>41</v>
      </c>
      <c r="D12427" t="s">
        <v>6932</v>
      </c>
      <c r="F12427" s="21"/>
      <c r="G12427" s="16" t="str">
        <f>HYPERLINK("http://maps.google.com/maps?f=q&amp;hl=en&amp;geocode=&amp;q=35.4022660019505,-97.7614998822324")</f>
        <v>http://maps.google.com/maps?f=q&amp;hl=en&amp;geocode=&amp;q=35.4022660019505,-97.7614998822324</v>
      </c>
    </row>
    <row r="12428" spans="1:7" ht="15" x14ac:dyDescent="0.3">
      <c r="A12428">
        <v>30.0039172173474</v>
      </c>
      <c r="B12428">
        <v>-90.061902328859901</v>
      </c>
      <c r="C12428" t="s">
        <v>41</v>
      </c>
      <c r="D12428" t="s">
        <v>6933</v>
      </c>
      <c r="F12428" s="21"/>
      <c r="G12428" s="16" t="str">
        <f>HYPERLINK("http://maps.google.com/maps?f=q&amp;hl=en&amp;geocode=&amp;q=30.0039172173474,-90.0619023288599")</f>
        <v>http://maps.google.com/maps?f=q&amp;hl=en&amp;geocode=&amp;q=30.0039172173474,-90.0619023288599</v>
      </c>
    </row>
    <row r="12429" spans="1:7" ht="15" x14ac:dyDescent="0.3">
      <c r="A12429">
        <v>39.9518766952758</v>
      </c>
      <c r="B12429">
        <v>-75.168855805924906</v>
      </c>
      <c r="C12429" t="s">
        <v>41</v>
      </c>
      <c r="D12429" t="s">
        <v>6431</v>
      </c>
      <c r="F12429" s="21"/>
      <c r="G12429" s="16" t="str">
        <f>HYPERLINK("http://maps.google.com/maps?f=q&amp;hl=en&amp;geocode=&amp;q=39.9518766952758,-75.1688558059249")</f>
        <v>http://maps.google.com/maps?f=q&amp;hl=en&amp;geocode=&amp;q=39.9518766952758,-75.1688558059249</v>
      </c>
    </row>
    <row r="12430" spans="1:7" ht="15" x14ac:dyDescent="0.3">
      <c r="A12430">
        <v>33.458016688500997</v>
      </c>
      <c r="B12430">
        <v>-81.984409412426402</v>
      </c>
      <c r="C12430" t="s">
        <v>42</v>
      </c>
      <c r="D12430" t="s">
        <v>6919</v>
      </c>
      <c r="F12430" s="21"/>
      <c r="G12430" s="16" t="str">
        <f>HYPERLINK("http://maps.google.com/maps?f=q&amp;hl=en&amp;geocode=&amp;q=33.458016688501,-81.9844094124264")</f>
        <v>http://maps.google.com/maps?f=q&amp;hl=en&amp;geocode=&amp;q=33.458016688501,-81.9844094124264</v>
      </c>
    </row>
    <row r="12431" spans="1:7" ht="15" x14ac:dyDescent="0.3">
      <c r="A12431">
        <v>35.402268558320401</v>
      </c>
      <c r="B12431">
        <v>-97.761316696542707</v>
      </c>
      <c r="C12431" t="s">
        <v>41</v>
      </c>
      <c r="D12431" t="s">
        <v>6924</v>
      </c>
      <c r="F12431" s="21"/>
      <c r="G12431" s="16" t="str">
        <f>HYPERLINK("http://maps.google.com/maps?f=q&amp;hl=en&amp;geocode=&amp;q=35.4022685583204,-97.7613166965427")</f>
        <v>http://maps.google.com/maps?f=q&amp;hl=en&amp;geocode=&amp;q=35.4022685583204,-97.7613166965427</v>
      </c>
    </row>
    <row r="12432" spans="1:7" ht="15" x14ac:dyDescent="0.3">
      <c r="A12432">
        <v>39.947240000000001</v>
      </c>
      <c r="B12432">
        <v>-75.174689999999998</v>
      </c>
      <c r="C12432" t="s">
        <v>43</v>
      </c>
      <c r="D12432" t="s">
        <v>6228</v>
      </c>
      <c r="F12432" s="21"/>
      <c r="G12432" s="16" t="str">
        <f>HYPERLINK("http://maps.google.com/maps?f=q&amp;hl=en&amp;geocode=&amp;q=39.94724,-75.17469")</f>
        <v>http://maps.google.com/maps?f=q&amp;hl=en&amp;geocode=&amp;q=39.94724,-75.17469</v>
      </c>
    </row>
    <row r="12433" spans="1:7" ht="15" x14ac:dyDescent="0.3">
      <c r="A12433">
        <v>35.243940000000002</v>
      </c>
      <c r="B12433">
        <v>-97.423190000000005</v>
      </c>
      <c r="C12433" t="s">
        <v>41</v>
      </c>
      <c r="D12433" t="s">
        <v>6313</v>
      </c>
      <c r="F12433" s="21"/>
      <c r="G12433" s="16" t="str">
        <f>HYPERLINK("http://maps.google.com/maps?f=q&amp;hl=en&amp;geocode=&amp;q=35.24394,-97.42319")</f>
        <v>http://maps.google.com/maps?f=q&amp;hl=en&amp;geocode=&amp;q=35.24394,-97.42319</v>
      </c>
    </row>
    <row r="12434" spans="1:7" ht="15" x14ac:dyDescent="0.3">
      <c r="A12434">
        <v>36.093150000000001</v>
      </c>
      <c r="B12434">
        <v>-78.968919999999997</v>
      </c>
      <c r="C12434" t="s">
        <v>42</v>
      </c>
      <c r="D12434" t="s">
        <v>6808</v>
      </c>
      <c r="F12434" s="21"/>
      <c r="G12434" s="16" t="str">
        <f>HYPERLINK("http://maps.google.com/maps?f=q&amp;hl=en&amp;geocode=&amp;q=36.09315,-78.96892")</f>
        <v>http://maps.google.com/maps?f=q&amp;hl=en&amp;geocode=&amp;q=36.09315,-78.96892</v>
      </c>
    </row>
    <row r="12435" spans="1:7" ht="15" x14ac:dyDescent="0.3">
      <c r="A12435">
        <v>39.150199999999998</v>
      </c>
      <c r="B12435">
        <v>-76.725449999999995</v>
      </c>
      <c r="C12435" t="s">
        <v>41</v>
      </c>
      <c r="D12435" t="s">
        <v>6934</v>
      </c>
      <c r="F12435" s="21"/>
      <c r="G12435" s="16" t="str">
        <f>HYPERLINK("http://maps.google.com/maps?f=q&amp;hl=en&amp;geocode=&amp;q=39.1502,-76.72545")</f>
        <v>http://maps.google.com/maps?f=q&amp;hl=en&amp;geocode=&amp;q=39.1502,-76.72545</v>
      </c>
    </row>
    <row r="12436" spans="1:7" ht="15" x14ac:dyDescent="0.3">
      <c r="A12436">
        <v>35.402269836401302</v>
      </c>
      <c r="B12436">
        <v>-97.761225103720506</v>
      </c>
      <c r="C12436" t="s">
        <v>41</v>
      </c>
      <c r="D12436" t="s">
        <v>6828</v>
      </c>
      <c r="F12436" s="21"/>
      <c r="G12436" s="16" t="str">
        <f>HYPERLINK("http://maps.google.com/maps?f=q&amp;hl=en&amp;geocode=&amp;q=35.4022698364013,-97.7612251037205")</f>
        <v>http://maps.google.com/maps?f=q&amp;hl=en&amp;geocode=&amp;q=35.4022698364013,-97.7612251037205</v>
      </c>
    </row>
    <row r="12437" spans="1:7" ht="15" x14ac:dyDescent="0.3">
      <c r="A12437">
        <v>39.94782</v>
      </c>
      <c r="B12437">
        <v>-75.178169999999994</v>
      </c>
      <c r="C12437" t="s">
        <v>43</v>
      </c>
      <c r="D12437" t="s">
        <v>6255</v>
      </c>
      <c r="F12437" s="21"/>
      <c r="G12437" s="16" t="str">
        <f>HYPERLINK("http://maps.google.com/maps?f=q&amp;hl=en&amp;geocode=&amp;q=39.94782,-75.17817")</f>
        <v>http://maps.google.com/maps?f=q&amp;hl=en&amp;geocode=&amp;q=39.94782,-75.17817</v>
      </c>
    </row>
    <row r="12438" spans="1:7" ht="15" x14ac:dyDescent="0.3">
      <c r="A12438">
        <v>39.94782</v>
      </c>
      <c r="B12438">
        <v>-75.178169999999994</v>
      </c>
      <c r="C12438" t="s">
        <v>43</v>
      </c>
      <c r="D12438" t="s">
        <v>6255</v>
      </c>
      <c r="F12438" s="21"/>
      <c r="G12438" s="16" t="str">
        <f>HYPERLINK("http://maps.google.com/maps?f=q&amp;hl=en&amp;geocode=&amp;q=39.94782,-75.17817")</f>
        <v>http://maps.google.com/maps?f=q&amp;hl=en&amp;geocode=&amp;q=39.94782,-75.17817</v>
      </c>
    </row>
    <row r="12439" spans="1:7" ht="15" x14ac:dyDescent="0.3">
      <c r="A12439">
        <v>35.243940000000002</v>
      </c>
      <c r="B12439">
        <v>-97.423190000000005</v>
      </c>
      <c r="C12439" t="s">
        <v>41</v>
      </c>
      <c r="D12439" t="s">
        <v>6313</v>
      </c>
      <c r="F12439" s="21"/>
      <c r="G12439" s="16" t="str">
        <f>HYPERLINK("http://maps.google.com/maps?f=q&amp;hl=en&amp;geocode=&amp;q=35.24394,-97.42319")</f>
        <v>http://maps.google.com/maps?f=q&amp;hl=en&amp;geocode=&amp;q=35.24394,-97.42319</v>
      </c>
    </row>
    <row r="12440" spans="1:7" ht="15" x14ac:dyDescent="0.3">
      <c r="A12440">
        <v>37.859785696689499</v>
      </c>
      <c r="B12440">
        <v>-82.805018451891399</v>
      </c>
      <c r="C12440" t="s">
        <v>41</v>
      </c>
      <c r="D12440" t="s">
        <v>6806</v>
      </c>
      <c r="F12440" s="21"/>
      <c r="G12440" s="16" t="str">
        <f>HYPERLINK("http://maps.google.com/maps?f=q&amp;hl=en&amp;geocode=&amp;q=37.8597856966895,-82.8050184518914")</f>
        <v>http://maps.google.com/maps?f=q&amp;hl=en&amp;geocode=&amp;q=37.8597856966895,-82.8050184518914</v>
      </c>
    </row>
    <row r="12441" spans="1:7" ht="15" x14ac:dyDescent="0.3">
      <c r="A12441">
        <v>47.400035858154297</v>
      </c>
      <c r="B12441">
        <v>40.049739837646499</v>
      </c>
      <c r="C12441" t="s">
        <v>43</v>
      </c>
      <c r="D12441" t="s">
        <v>6935</v>
      </c>
      <c r="F12441" s="21"/>
      <c r="G12441" s="16" t="str">
        <f>HYPERLINK("http://maps.google.com/maps?f=q&amp;hl=en&amp;geocode=&amp;q=47.4000358581543,40.0497398376465")</f>
        <v>http://maps.google.com/maps?f=q&amp;hl=en&amp;geocode=&amp;q=47.4000358581543,40.0497398376465</v>
      </c>
    </row>
    <row r="12442" spans="1:7" ht="15" x14ac:dyDescent="0.3">
      <c r="A12442" t="s">
        <v>44</v>
      </c>
      <c r="B12442" t="s">
        <v>44</v>
      </c>
      <c r="C12442" t="s">
        <v>44</v>
      </c>
      <c r="D12442" t="s">
        <v>6704</v>
      </c>
      <c r="F12442" s="21"/>
      <c r="G12442" s="16"/>
    </row>
    <row r="12443" spans="1:7" ht="15" x14ac:dyDescent="0.3">
      <c r="A12443">
        <v>40.84984</v>
      </c>
      <c r="B12443">
        <v>-73.918869999999998</v>
      </c>
      <c r="C12443" t="s">
        <v>41</v>
      </c>
      <c r="D12443" t="s">
        <v>5874</v>
      </c>
      <c r="F12443" s="21"/>
      <c r="G12443" s="16" t="str">
        <f>HYPERLINK("http://maps.google.com/maps?f=q&amp;hl=en&amp;geocode=&amp;q=40.84984,-73.91887")</f>
        <v>http://maps.google.com/maps?f=q&amp;hl=en&amp;geocode=&amp;q=40.84984,-73.91887</v>
      </c>
    </row>
    <row r="12444" spans="1:7" ht="15" x14ac:dyDescent="0.3">
      <c r="A12444">
        <v>-34.624919891357401</v>
      </c>
      <c r="B12444">
        <v>146.401931762695</v>
      </c>
      <c r="C12444" t="s">
        <v>41</v>
      </c>
      <c r="D12444" t="s">
        <v>6936</v>
      </c>
      <c r="F12444" s="21"/>
      <c r="G12444" s="16" t="str">
        <f>HYPERLINK("http://maps.google.com/maps?f=q&amp;hl=en&amp;geocode=&amp;q=-34.6249198913574,146.401931762695")</f>
        <v>http://maps.google.com/maps?f=q&amp;hl=en&amp;geocode=&amp;q=-34.6249198913574,146.401931762695</v>
      </c>
    </row>
    <row r="12445" spans="1:7" ht="15" x14ac:dyDescent="0.3">
      <c r="A12445">
        <v>41.424972094567799</v>
      </c>
      <c r="B12445">
        <v>-74.900908190692107</v>
      </c>
      <c r="C12445" t="s">
        <v>41</v>
      </c>
      <c r="D12445" t="s">
        <v>6937</v>
      </c>
      <c r="F12445" s="21"/>
      <c r="G12445" s="16" t="str">
        <f>HYPERLINK("http://maps.google.com/maps?f=q&amp;hl=en&amp;geocode=&amp;q=41.4249720945678,-74.9009081906921")</f>
        <v>http://maps.google.com/maps?f=q&amp;hl=en&amp;geocode=&amp;q=41.4249720945678,-74.9009081906921</v>
      </c>
    </row>
    <row r="12446" spans="1:7" ht="15" x14ac:dyDescent="0.3">
      <c r="A12446">
        <v>32.306834365939302</v>
      </c>
      <c r="B12446">
        <v>-84.785814057968295</v>
      </c>
      <c r="C12446" t="s">
        <v>41</v>
      </c>
      <c r="D12446" t="s">
        <v>367</v>
      </c>
      <c r="F12446" s="21"/>
      <c r="G12446" s="16" t="str">
        <f>HYPERLINK("http://maps.google.com/maps?f=q&amp;hl=en&amp;geocode=&amp;q=32.3068343659393,-84.7858140579683")</f>
        <v>http://maps.google.com/maps?f=q&amp;hl=en&amp;geocode=&amp;q=32.3068343659393,-84.7858140579683</v>
      </c>
    </row>
    <row r="12447" spans="1:7" ht="15" x14ac:dyDescent="0.3">
      <c r="A12447">
        <v>40.677719116210902</v>
      </c>
      <c r="B12447">
        <v>-73.417778015136705</v>
      </c>
      <c r="C12447" t="s">
        <v>41</v>
      </c>
      <c r="D12447" t="s">
        <v>1752</v>
      </c>
      <c r="F12447" s="21"/>
      <c r="G12447" s="16" t="str">
        <f>HYPERLINK("http://maps.google.com/maps?f=q&amp;hl=en&amp;geocode=&amp;q=40.6777191162109,-73.4177780151367")</f>
        <v>http://maps.google.com/maps?f=q&amp;hl=en&amp;geocode=&amp;q=40.6777191162109,-73.4177780151367</v>
      </c>
    </row>
    <row r="12448" spans="1:7" ht="15" x14ac:dyDescent="0.3">
      <c r="A12448">
        <v>39.943689951656097</v>
      </c>
      <c r="B12448">
        <v>-75.177456428954301</v>
      </c>
      <c r="C12448" t="s">
        <v>41</v>
      </c>
      <c r="D12448" t="s">
        <v>6367</v>
      </c>
      <c r="F12448" s="21"/>
      <c r="G12448" s="16" t="str">
        <f>HYPERLINK("http://maps.google.com/maps?f=q&amp;hl=en&amp;geocode=&amp;q=39.9436899516561,-75.1774564289543")</f>
        <v>http://maps.google.com/maps?f=q&amp;hl=en&amp;geocode=&amp;q=39.9436899516561,-75.1774564289543</v>
      </c>
    </row>
    <row r="12449" spans="1:7" ht="15" x14ac:dyDescent="0.3">
      <c r="A12449">
        <v>39.479007226788703</v>
      </c>
      <c r="B12449">
        <v>-74.696297169138802</v>
      </c>
      <c r="C12449" t="s">
        <v>43</v>
      </c>
      <c r="D12449" t="s">
        <v>6938</v>
      </c>
      <c r="F12449" s="21"/>
      <c r="G12449" s="16" t="str">
        <f>HYPERLINK("http://maps.google.com/maps?f=q&amp;hl=en&amp;geocode=&amp;q=39.4790072267887,-74.6962971691388")</f>
        <v>http://maps.google.com/maps?f=q&amp;hl=en&amp;geocode=&amp;q=39.4790072267887,-74.6962971691388</v>
      </c>
    </row>
    <row r="12450" spans="1:7" ht="15" x14ac:dyDescent="0.3">
      <c r="A12450">
        <v>34.026931762695298</v>
      </c>
      <c r="B12450">
        <v>-117.84049987793</v>
      </c>
      <c r="C12450" t="s">
        <v>43</v>
      </c>
      <c r="D12450" t="s">
        <v>6939</v>
      </c>
      <c r="F12450" s="21"/>
      <c r="G12450" s="16" t="str">
        <f>HYPERLINK("http://maps.google.com/maps?f=q&amp;hl=en&amp;geocode=&amp;q=34.0269317626953,-117.84049987793")</f>
        <v>http://maps.google.com/maps?f=q&amp;hl=en&amp;geocode=&amp;q=34.0269317626953,-117.84049987793</v>
      </c>
    </row>
    <row r="12451" spans="1:7" ht="15" x14ac:dyDescent="0.3">
      <c r="A12451">
        <v>43.524909999999998</v>
      </c>
      <c r="B12451">
        <v>-84.196119999999993</v>
      </c>
      <c r="C12451" t="s">
        <v>41</v>
      </c>
      <c r="D12451" t="s">
        <v>1295</v>
      </c>
      <c r="F12451" s="21"/>
      <c r="G12451" s="16" t="str">
        <f>HYPERLINK("http://maps.google.com/maps?f=q&amp;hl=en&amp;geocode=&amp;q=43.52491,-84.19612")</f>
        <v>http://maps.google.com/maps?f=q&amp;hl=en&amp;geocode=&amp;q=43.52491,-84.19612</v>
      </c>
    </row>
    <row r="12452" spans="1:7" ht="15" x14ac:dyDescent="0.3">
      <c r="A12452">
        <v>40.062532671079303</v>
      </c>
      <c r="B12452">
        <v>-75.188473343708097</v>
      </c>
      <c r="C12452" t="s">
        <v>41</v>
      </c>
      <c r="D12452" t="s">
        <v>6940</v>
      </c>
      <c r="F12452" s="21"/>
      <c r="G12452" s="16" t="str">
        <f>HYPERLINK("http://maps.google.com/maps?f=q&amp;hl=en&amp;geocode=&amp;q=40.0625326710793,-75.1884733437081")</f>
        <v>http://maps.google.com/maps?f=q&amp;hl=en&amp;geocode=&amp;q=40.0625326710793,-75.1884733437081</v>
      </c>
    </row>
    <row r="12453" spans="1:7" ht="15" x14ac:dyDescent="0.3">
      <c r="A12453">
        <v>40.703510000000001</v>
      </c>
      <c r="B12453">
        <v>-80.276160000000004</v>
      </c>
      <c r="C12453" t="s">
        <v>41</v>
      </c>
      <c r="D12453" t="s">
        <v>6941</v>
      </c>
      <c r="F12453" s="21"/>
      <c r="G12453" s="16" t="str">
        <f>HYPERLINK("http://maps.google.com/maps?f=q&amp;hl=en&amp;geocode=&amp;q=40.70351,-80.27616")</f>
        <v>http://maps.google.com/maps?f=q&amp;hl=en&amp;geocode=&amp;q=40.70351,-80.27616</v>
      </c>
    </row>
    <row r="12454" spans="1:7" ht="15" x14ac:dyDescent="0.3">
      <c r="A12454">
        <v>35.780697571294397</v>
      </c>
      <c r="B12454">
        <v>-81.763800742903001</v>
      </c>
      <c r="C12454" t="s">
        <v>41</v>
      </c>
      <c r="D12454" t="s">
        <v>4777</v>
      </c>
      <c r="F12454" s="21"/>
      <c r="G12454" s="16" t="str">
        <f>HYPERLINK("http://maps.google.com/maps?f=q&amp;hl=en&amp;geocode=&amp;q=35.7806975712944,-81.763800742903")</f>
        <v>http://maps.google.com/maps?f=q&amp;hl=en&amp;geocode=&amp;q=35.7806975712944,-81.763800742903</v>
      </c>
    </row>
    <row r="12455" spans="1:7" ht="15" x14ac:dyDescent="0.3">
      <c r="A12455">
        <v>36.799280000000003</v>
      </c>
      <c r="B12455">
        <v>-76.502009999999999</v>
      </c>
      <c r="C12455" t="s">
        <v>42</v>
      </c>
      <c r="D12455" t="s">
        <v>3480</v>
      </c>
      <c r="F12455" s="21"/>
      <c r="G12455" s="16" t="str">
        <f>HYPERLINK("http://maps.google.com/maps?f=q&amp;hl=en&amp;geocode=&amp;q=36.79928,-76.50201")</f>
        <v>http://maps.google.com/maps?f=q&amp;hl=en&amp;geocode=&amp;q=36.79928,-76.50201</v>
      </c>
    </row>
    <row r="12456" spans="1:7" ht="15" x14ac:dyDescent="0.3">
      <c r="A12456">
        <v>36.799280000000003</v>
      </c>
      <c r="B12456">
        <v>-76.502009999999999</v>
      </c>
      <c r="C12456" t="s">
        <v>42</v>
      </c>
      <c r="D12456" t="s">
        <v>3480</v>
      </c>
      <c r="F12456" s="21"/>
      <c r="G12456" s="16" t="str">
        <f>HYPERLINK("http://maps.google.com/maps?f=q&amp;hl=en&amp;geocode=&amp;q=36.79928,-76.50201")</f>
        <v>http://maps.google.com/maps?f=q&amp;hl=en&amp;geocode=&amp;q=36.79928,-76.50201</v>
      </c>
    </row>
    <row r="12457" spans="1:7" ht="15" x14ac:dyDescent="0.3">
      <c r="A12457">
        <v>41.947446009812602</v>
      </c>
      <c r="B12457">
        <v>-71.8861133054113</v>
      </c>
      <c r="C12457" t="s">
        <v>43</v>
      </c>
      <c r="D12457" t="s">
        <v>6942</v>
      </c>
      <c r="F12457" s="21"/>
      <c r="G12457" s="16" t="str">
        <f>HYPERLINK("http://maps.google.com/maps?f=q&amp;hl=en&amp;geocode=&amp;q=41.9474460098126,-71.8861133054113")</f>
        <v>http://maps.google.com/maps?f=q&amp;hl=en&amp;geocode=&amp;q=41.9474460098126,-71.8861133054113</v>
      </c>
    </row>
    <row r="12458" spans="1:7" ht="15" x14ac:dyDescent="0.3">
      <c r="A12458">
        <v>40.048859999999998</v>
      </c>
      <c r="B12458">
        <v>-75.15146</v>
      </c>
      <c r="C12458" t="s">
        <v>41</v>
      </c>
      <c r="D12458" t="s">
        <v>6943</v>
      </c>
      <c r="F12458" s="21"/>
      <c r="G12458" s="16" t="str">
        <f>HYPERLINK("http://maps.google.com/maps?f=q&amp;hl=en&amp;geocode=&amp;q=40.04886,-75.15146")</f>
        <v>http://maps.google.com/maps?f=q&amp;hl=en&amp;geocode=&amp;q=40.04886,-75.15146</v>
      </c>
    </row>
    <row r="12459" spans="1:7" ht="15" x14ac:dyDescent="0.3">
      <c r="A12459">
        <v>40.048830000000002</v>
      </c>
      <c r="B12459">
        <v>-75.151430000000005</v>
      </c>
      <c r="C12459" t="s">
        <v>41</v>
      </c>
      <c r="D12459" t="s">
        <v>6944</v>
      </c>
      <c r="F12459" s="21"/>
      <c r="G12459" s="16" t="str">
        <f>HYPERLINK("http://maps.google.com/maps?f=q&amp;hl=en&amp;geocode=&amp;q=40.04883,-75.15143")</f>
        <v>http://maps.google.com/maps?f=q&amp;hl=en&amp;geocode=&amp;q=40.04883,-75.15143</v>
      </c>
    </row>
    <row r="12460" spans="1:7" ht="15" x14ac:dyDescent="0.3">
      <c r="A12460">
        <v>-27.601240000000001</v>
      </c>
      <c r="B12460">
        <v>152.84434999999999</v>
      </c>
      <c r="C12460" t="s">
        <v>41</v>
      </c>
      <c r="D12460" t="s">
        <v>6945</v>
      </c>
      <c r="F12460" s="21"/>
      <c r="G12460" s="16" t="str">
        <f>HYPERLINK("http://maps.google.com/maps?f=q&amp;hl=en&amp;geocode=&amp;q=-27.60124,152.84435")</f>
        <v>http://maps.google.com/maps?f=q&amp;hl=en&amp;geocode=&amp;q=-27.60124,152.84435</v>
      </c>
    </row>
    <row r="12461" spans="1:7" ht="15" x14ac:dyDescent="0.3">
      <c r="A12461">
        <v>34.029350000000001</v>
      </c>
      <c r="B12461">
        <v>-81.287610000000001</v>
      </c>
      <c r="C12461" t="s">
        <v>41</v>
      </c>
      <c r="D12461" t="s">
        <v>6946</v>
      </c>
      <c r="F12461" s="21"/>
      <c r="G12461" s="16" t="str">
        <f>HYPERLINK("http://maps.google.com/maps?f=q&amp;hl=en&amp;geocode=&amp;q=34.02935,-81.28761")</f>
        <v>http://maps.google.com/maps?f=q&amp;hl=en&amp;geocode=&amp;q=34.02935,-81.28761</v>
      </c>
    </row>
    <row r="12462" spans="1:7" ht="15" x14ac:dyDescent="0.3">
      <c r="A12462">
        <v>39.982709999999997</v>
      </c>
      <c r="B12462">
        <v>-75.165170000000003</v>
      </c>
      <c r="C12462" t="s">
        <v>42</v>
      </c>
      <c r="D12462" t="s">
        <v>6947</v>
      </c>
      <c r="F12462" s="21"/>
      <c r="G12462" s="16" t="str">
        <f>HYPERLINK("http://maps.google.com/maps?f=q&amp;hl=en&amp;geocode=&amp;q=39.98271,-75.16517")</f>
        <v>http://maps.google.com/maps?f=q&amp;hl=en&amp;geocode=&amp;q=39.98271,-75.16517</v>
      </c>
    </row>
    <row r="12463" spans="1:7" ht="15" x14ac:dyDescent="0.3">
      <c r="A12463">
        <v>39.982709999999997</v>
      </c>
      <c r="B12463">
        <v>-75.165170000000003</v>
      </c>
      <c r="C12463" t="s">
        <v>42</v>
      </c>
      <c r="D12463" t="s">
        <v>6947</v>
      </c>
      <c r="F12463" s="21"/>
      <c r="G12463" s="16" t="str">
        <f>HYPERLINK("http://maps.google.com/maps?f=q&amp;hl=en&amp;geocode=&amp;q=39.98271,-75.16517")</f>
        <v>http://maps.google.com/maps?f=q&amp;hl=en&amp;geocode=&amp;q=39.98271,-75.16517</v>
      </c>
    </row>
    <row r="12464" spans="1:7" ht="15" x14ac:dyDescent="0.3">
      <c r="A12464">
        <v>39.982709999999997</v>
      </c>
      <c r="B12464">
        <v>-75.165170000000003</v>
      </c>
      <c r="C12464" t="s">
        <v>42</v>
      </c>
      <c r="D12464" t="s">
        <v>6947</v>
      </c>
      <c r="F12464" s="21"/>
      <c r="G12464" s="16" t="str">
        <f>HYPERLINK("http://maps.google.com/maps?f=q&amp;hl=en&amp;geocode=&amp;q=39.98271,-75.16517")</f>
        <v>http://maps.google.com/maps?f=q&amp;hl=en&amp;geocode=&amp;q=39.98271,-75.16517</v>
      </c>
    </row>
    <row r="12465" spans="1:7" ht="15" x14ac:dyDescent="0.3">
      <c r="A12465">
        <v>39.982709999999997</v>
      </c>
      <c r="B12465">
        <v>-75.165170000000003</v>
      </c>
      <c r="C12465" t="s">
        <v>42</v>
      </c>
      <c r="D12465" t="s">
        <v>6947</v>
      </c>
      <c r="F12465" s="21"/>
      <c r="G12465" s="16" t="str">
        <f>HYPERLINK("http://maps.google.com/maps?f=q&amp;hl=en&amp;geocode=&amp;q=39.98271,-75.16517")</f>
        <v>http://maps.google.com/maps?f=q&amp;hl=en&amp;geocode=&amp;q=39.98271,-75.16517</v>
      </c>
    </row>
    <row r="12466" spans="1:7" ht="15" x14ac:dyDescent="0.3">
      <c r="A12466">
        <v>40.132370000000002</v>
      </c>
      <c r="B12466">
        <v>-75.007909999999995</v>
      </c>
      <c r="C12466" t="s">
        <v>41</v>
      </c>
      <c r="D12466" t="s">
        <v>55</v>
      </c>
      <c r="F12466" s="21"/>
      <c r="G12466" s="16" t="str">
        <f>HYPERLINK("http://maps.google.com/maps?f=q&amp;hl=en&amp;geocode=&amp;q=40.13237,-75.00791")</f>
        <v>http://maps.google.com/maps?f=q&amp;hl=en&amp;geocode=&amp;q=40.13237,-75.00791</v>
      </c>
    </row>
    <row r="12467" spans="1:7" ht="15" x14ac:dyDescent="0.3">
      <c r="A12467" t="s">
        <v>44</v>
      </c>
      <c r="B12467" t="s">
        <v>44</v>
      </c>
      <c r="C12467" t="s">
        <v>44</v>
      </c>
      <c r="D12467" t="s">
        <v>6948</v>
      </c>
      <c r="F12467" s="21"/>
      <c r="G12467" s="16"/>
    </row>
    <row r="12468" spans="1:7" ht="15" x14ac:dyDescent="0.3">
      <c r="A12468">
        <v>37.859785696689499</v>
      </c>
      <c r="B12468">
        <v>-82.805018451891399</v>
      </c>
      <c r="C12468" t="s">
        <v>41</v>
      </c>
      <c r="D12468" t="s">
        <v>6806</v>
      </c>
      <c r="F12468" s="21"/>
      <c r="G12468" s="16" t="str">
        <f>HYPERLINK("http://maps.google.com/maps?f=q&amp;hl=en&amp;geocode=&amp;q=37.8597856966895,-82.8050184518914")</f>
        <v>http://maps.google.com/maps?f=q&amp;hl=en&amp;geocode=&amp;q=37.8597856966895,-82.8050184518914</v>
      </c>
    </row>
    <row r="12469" spans="1:7" ht="15" x14ac:dyDescent="0.3">
      <c r="A12469">
        <v>35.593101501464801</v>
      </c>
      <c r="B12469">
        <v>-91.503303527832003</v>
      </c>
      <c r="C12469" t="s">
        <v>41</v>
      </c>
      <c r="D12469" t="s">
        <v>6602</v>
      </c>
      <c r="F12469" s="21"/>
      <c r="G12469" s="16" t="str">
        <f>HYPERLINK("http://maps.google.com/maps?f=q&amp;hl=en&amp;geocode=&amp;q=35.5931015014648,-91.503303527832")</f>
        <v>http://maps.google.com/maps?f=q&amp;hl=en&amp;geocode=&amp;q=35.5931015014648,-91.503303527832</v>
      </c>
    </row>
    <row r="12470" spans="1:7" ht="15" x14ac:dyDescent="0.3">
      <c r="A12470">
        <v>-25.292289733886701</v>
      </c>
      <c r="B12470">
        <v>-57.6328315734863</v>
      </c>
      <c r="C12470" t="s">
        <v>43</v>
      </c>
      <c r="D12470" t="s">
        <v>6863</v>
      </c>
      <c r="F12470" s="21"/>
      <c r="G12470" s="16" t="str">
        <f>HYPERLINK("http://maps.google.com/maps?f=q&amp;hl=en&amp;geocode=&amp;q=-25.2922897338867,-57.6328315734863")</f>
        <v>http://maps.google.com/maps?f=q&amp;hl=en&amp;geocode=&amp;q=-25.2922897338867,-57.6328315734863</v>
      </c>
    </row>
    <row r="12471" spans="1:7" ht="15" x14ac:dyDescent="0.3">
      <c r="A12471">
        <v>-25.292289733886701</v>
      </c>
      <c r="B12471">
        <v>-57.6328315734863</v>
      </c>
      <c r="C12471" t="s">
        <v>43</v>
      </c>
      <c r="D12471" t="s">
        <v>6863</v>
      </c>
      <c r="F12471" s="21"/>
      <c r="G12471" s="16" t="str">
        <f>HYPERLINK("http://maps.google.com/maps?f=q&amp;hl=en&amp;geocode=&amp;q=-25.2922897338867,-57.6328315734863")</f>
        <v>http://maps.google.com/maps?f=q&amp;hl=en&amp;geocode=&amp;q=-25.2922897338867,-57.6328315734863</v>
      </c>
    </row>
    <row r="12472" spans="1:7" ht="15" x14ac:dyDescent="0.3">
      <c r="A12472">
        <v>-25.292289733886701</v>
      </c>
      <c r="B12472">
        <v>-57.6328315734863</v>
      </c>
      <c r="C12472" t="s">
        <v>43</v>
      </c>
      <c r="D12472" t="s">
        <v>6863</v>
      </c>
      <c r="F12472" s="21"/>
      <c r="G12472" s="16" t="str">
        <f>HYPERLINK("http://maps.google.com/maps?f=q&amp;hl=en&amp;geocode=&amp;q=-25.2922897338867,-57.6328315734863")</f>
        <v>http://maps.google.com/maps?f=q&amp;hl=en&amp;geocode=&amp;q=-25.2922897338867,-57.6328315734863</v>
      </c>
    </row>
    <row r="12473" spans="1:7" ht="15" x14ac:dyDescent="0.3">
      <c r="A12473">
        <v>-25.292289733886701</v>
      </c>
      <c r="B12473">
        <v>-57.6328315734863</v>
      </c>
      <c r="C12473" t="s">
        <v>43</v>
      </c>
      <c r="D12473" t="s">
        <v>6863</v>
      </c>
      <c r="F12473" s="21"/>
      <c r="G12473" s="16" t="str">
        <f>HYPERLINK("http://maps.google.com/maps?f=q&amp;hl=en&amp;geocode=&amp;q=-25.2922897338867,-57.6328315734863")</f>
        <v>http://maps.google.com/maps?f=q&amp;hl=en&amp;geocode=&amp;q=-25.2922897338867,-57.6328315734863</v>
      </c>
    </row>
    <row r="12474" spans="1:7" ht="15" x14ac:dyDescent="0.3">
      <c r="A12474">
        <v>35.402268558320401</v>
      </c>
      <c r="B12474">
        <v>-97.761316696542707</v>
      </c>
      <c r="C12474" t="s">
        <v>41</v>
      </c>
      <c r="D12474" t="s">
        <v>6924</v>
      </c>
      <c r="F12474" s="21"/>
      <c r="G12474" s="16" t="str">
        <f>HYPERLINK("http://maps.google.com/maps?f=q&amp;hl=en&amp;geocode=&amp;q=35.4022685583204,-97.7613166965427")</f>
        <v>http://maps.google.com/maps?f=q&amp;hl=en&amp;geocode=&amp;q=35.4022685583204,-97.7613166965427</v>
      </c>
    </row>
    <row r="12475" spans="1:7" ht="15" x14ac:dyDescent="0.3">
      <c r="A12475">
        <v>40.598379693791301</v>
      </c>
      <c r="B12475">
        <v>-75.519807374201207</v>
      </c>
      <c r="C12475" t="s">
        <v>41</v>
      </c>
      <c r="D12475" t="s">
        <v>6949</v>
      </c>
      <c r="F12475" s="21"/>
      <c r="G12475" s="16" t="str">
        <f>HYPERLINK("http://maps.google.com/maps?f=q&amp;hl=en&amp;geocode=&amp;q=40.5983796937913,-75.5198073742012")</f>
        <v>http://maps.google.com/maps?f=q&amp;hl=en&amp;geocode=&amp;q=40.5983796937913,-75.5198073742012</v>
      </c>
    </row>
    <row r="12476" spans="1:7" ht="15" x14ac:dyDescent="0.3">
      <c r="A12476">
        <v>-26.034427642822301</v>
      </c>
      <c r="B12476">
        <v>28.5431098937988</v>
      </c>
      <c r="C12476" t="s">
        <v>43</v>
      </c>
      <c r="D12476" t="s">
        <v>6148</v>
      </c>
      <c r="F12476" s="21"/>
      <c r="G12476" s="16" t="str">
        <f>HYPERLINK("http://maps.google.com/maps?f=q&amp;hl=en&amp;geocode=&amp;q=-26.0344276428223,28.5431098937988")</f>
        <v>http://maps.google.com/maps?f=q&amp;hl=en&amp;geocode=&amp;q=-26.0344276428223,28.5431098937988</v>
      </c>
    </row>
    <row r="12477" spans="1:7" ht="15" x14ac:dyDescent="0.3">
      <c r="A12477">
        <v>42.601547146378003</v>
      </c>
      <c r="B12477">
        <v>-85.878931088609406</v>
      </c>
      <c r="C12477" t="s">
        <v>41</v>
      </c>
      <c r="D12477" t="s">
        <v>6950</v>
      </c>
      <c r="F12477" s="21"/>
      <c r="G12477" s="16" t="str">
        <f>HYPERLINK("http://maps.google.com/maps?f=q&amp;hl=en&amp;geocode=&amp;q=42.601547146378,-85.8789310886094")</f>
        <v>http://maps.google.com/maps?f=q&amp;hl=en&amp;geocode=&amp;q=42.601547146378,-85.8789310886094</v>
      </c>
    </row>
    <row r="12478" spans="1:7" ht="15" x14ac:dyDescent="0.3">
      <c r="A12478">
        <v>42.601547146378003</v>
      </c>
      <c r="B12478">
        <v>-85.878931088609406</v>
      </c>
      <c r="C12478" t="s">
        <v>41</v>
      </c>
      <c r="D12478" t="s">
        <v>6950</v>
      </c>
      <c r="F12478" s="21"/>
      <c r="G12478" s="16" t="str">
        <f>HYPERLINK("http://maps.google.com/maps?f=q&amp;hl=en&amp;geocode=&amp;q=42.601547146378,-85.8789310886094")</f>
        <v>http://maps.google.com/maps?f=q&amp;hl=en&amp;geocode=&amp;q=42.601547146378,-85.8789310886094</v>
      </c>
    </row>
    <row r="12479" spans="1:7" ht="15" x14ac:dyDescent="0.3">
      <c r="A12479">
        <v>39.150199999999998</v>
      </c>
      <c r="B12479">
        <v>-76.725449999999995</v>
      </c>
      <c r="C12479" t="s">
        <v>41</v>
      </c>
      <c r="D12479" t="s">
        <v>6934</v>
      </c>
      <c r="F12479" s="21"/>
      <c r="G12479" s="16" t="str">
        <f>HYPERLINK("http://maps.google.com/maps?f=q&amp;hl=en&amp;geocode=&amp;q=39.1502,-76.72545")</f>
        <v>http://maps.google.com/maps?f=q&amp;hl=en&amp;geocode=&amp;q=39.1502,-76.72545</v>
      </c>
    </row>
    <row r="12480" spans="1:7" ht="15" x14ac:dyDescent="0.3">
      <c r="A12480">
        <v>39.947240000000001</v>
      </c>
      <c r="B12480">
        <v>-75.174689999999998</v>
      </c>
      <c r="C12480" t="s">
        <v>43</v>
      </c>
      <c r="D12480" t="s">
        <v>6228</v>
      </c>
      <c r="F12480" s="21"/>
      <c r="G12480" s="16" t="str">
        <f>HYPERLINK("http://maps.google.com/maps?f=q&amp;hl=en&amp;geocode=&amp;q=39.94724,-75.17469")</f>
        <v>http://maps.google.com/maps?f=q&amp;hl=en&amp;geocode=&amp;q=39.94724,-75.17469</v>
      </c>
    </row>
    <row r="12481" spans="1:7" ht="15" x14ac:dyDescent="0.3">
      <c r="A12481">
        <v>39.94782</v>
      </c>
      <c r="B12481">
        <v>-75.178169999999994</v>
      </c>
      <c r="C12481" t="s">
        <v>43</v>
      </c>
      <c r="D12481" t="s">
        <v>6255</v>
      </c>
      <c r="F12481" s="21"/>
      <c r="G12481" s="16" t="str">
        <f>HYPERLINK("http://maps.google.com/maps?f=q&amp;hl=en&amp;geocode=&amp;q=39.94782,-75.17817")</f>
        <v>http://maps.google.com/maps?f=q&amp;hl=en&amp;geocode=&amp;q=39.94782,-75.17817</v>
      </c>
    </row>
    <row r="12482" spans="1:7" ht="15" x14ac:dyDescent="0.3">
      <c r="A12482">
        <v>35.4022675358055</v>
      </c>
      <c r="B12482">
        <v>-97.761389970830805</v>
      </c>
      <c r="C12482" t="s">
        <v>41</v>
      </c>
      <c r="D12482" t="s">
        <v>6845</v>
      </c>
      <c r="F12482" s="21"/>
      <c r="G12482" s="16" t="str">
        <f>HYPERLINK("http://maps.google.com/maps?f=q&amp;hl=en&amp;geocode=&amp;q=35.4022675358055,-97.7613899708308")</f>
        <v>http://maps.google.com/maps?f=q&amp;hl=en&amp;geocode=&amp;q=35.4022675358055,-97.7613899708308</v>
      </c>
    </row>
    <row r="12483" spans="1:7" ht="15" x14ac:dyDescent="0.3">
      <c r="A12483">
        <v>41.853650000000002</v>
      </c>
      <c r="B12483">
        <v>-87.77834</v>
      </c>
      <c r="C12483" t="s">
        <v>41</v>
      </c>
      <c r="D12483" t="s">
        <v>6951</v>
      </c>
      <c r="F12483" s="21"/>
      <c r="G12483" s="16" t="str">
        <f>HYPERLINK("http://maps.google.com/maps?f=q&amp;hl=en&amp;geocode=&amp;q=41.85365,-87.77834")</f>
        <v>http://maps.google.com/maps?f=q&amp;hl=en&amp;geocode=&amp;q=41.85365,-87.77834</v>
      </c>
    </row>
    <row r="12484" spans="1:7" ht="15" x14ac:dyDescent="0.3">
      <c r="A12484">
        <v>35.243940000000002</v>
      </c>
      <c r="B12484">
        <v>-97.423190000000005</v>
      </c>
      <c r="C12484" t="s">
        <v>41</v>
      </c>
      <c r="D12484" t="s">
        <v>6313</v>
      </c>
      <c r="F12484" s="21"/>
      <c r="G12484" s="16" t="str">
        <f>HYPERLINK("http://maps.google.com/maps?f=q&amp;hl=en&amp;geocode=&amp;q=35.24394,-97.42319")</f>
        <v>http://maps.google.com/maps?f=q&amp;hl=en&amp;geocode=&amp;q=35.24394,-97.42319</v>
      </c>
    </row>
    <row r="12485" spans="1:7" ht="15" x14ac:dyDescent="0.3">
      <c r="A12485">
        <v>-26.034427642822301</v>
      </c>
      <c r="B12485">
        <v>28.5431098937988</v>
      </c>
      <c r="C12485" t="s">
        <v>43</v>
      </c>
      <c r="D12485" t="s">
        <v>6148</v>
      </c>
      <c r="F12485" s="21"/>
      <c r="G12485" s="16" t="str">
        <f>HYPERLINK("http://maps.google.com/maps?f=q&amp;hl=en&amp;geocode=&amp;q=-26.0344276428223,28.5431098937988")</f>
        <v>http://maps.google.com/maps?f=q&amp;hl=en&amp;geocode=&amp;q=-26.0344276428223,28.5431098937988</v>
      </c>
    </row>
    <row r="12486" spans="1:7" ht="15" x14ac:dyDescent="0.3">
      <c r="A12486">
        <v>39.947240000000001</v>
      </c>
      <c r="B12486">
        <v>-75.174689999999998</v>
      </c>
      <c r="C12486" t="s">
        <v>43</v>
      </c>
      <c r="D12486" t="s">
        <v>6228</v>
      </c>
      <c r="F12486" s="21"/>
      <c r="G12486" s="16" t="str">
        <f>HYPERLINK("http://maps.google.com/maps?f=q&amp;hl=en&amp;geocode=&amp;q=39.94724,-75.17469")</f>
        <v>http://maps.google.com/maps?f=q&amp;hl=en&amp;geocode=&amp;q=39.94724,-75.17469</v>
      </c>
    </row>
    <row r="12487" spans="1:7" ht="15" x14ac:dyDescent="0.3">
      <c r="A12487">
        <v>39.94782</v>
      </c>
      <c r="B12487">
        <v>-75.178169999999994</v>
      </c>
      <c r="C12487" t="s">
        <v>43</v>
      </c>
      <c r="D12487" t="s">
        <v>6255</v>
      </c>
      <c r="F12487" s="21"/>
      <c r="G12487" s="16" t="str">
        <f>HYPERLINK("http://maps.google.com/maps?f=q&amp;hl=en&amp;geocode=&amp;q=39.94782,-75.17817")</f>
        <v>http://maps.google.com/maps?f=q&amp;hl=en&amp;geocode=&amp;q=39.94782,-75.17817</v>
      </c>
    </row>
    <row r="12488" spans="1:7" ht="15" x14ac:dyDescent="0.3">
      <c r="A12488">
        <v>39.15099</v>
      </c>
      <c r="B12488">
        <v>-76.725099999999998</v>
      </c>
      <c r="C12488" t="s">
        <v>41</v>
      </c>
      <c r="D12488" t="s">
        <v>6470</v>
      </c>
      <c r="F12488" s="21"/>
      <c r="G12488" s="16" t="str">
        <f>HYPERLINK("http://maps.google.com/maps?f=q&amp;hl=en&amp;geocode=&amp;q=39.15099,-76.7251")</f>
        <v>http://maps.google.com/maps?f=q&amp;hl=en&amp;geocode=&amp;q=39.15099,-76.7251</v>
      </c>
    </row>
    <row r="12489" spans="1:7" ht="15" x14ac:dyDescent="0.3">
      <c r="A12489">
        <v>40.395588353959901</v>
      </c>
      <c r="B12489">
        <v>-79.441816668650404</v>
      </c>
      <c r="C12489" t="s">
        <v>43</v>
      </c>
      <c r="D12489" t="s">
        <v>6952</v>
      </c>
      <c r="F12489" s="21"/>
      <c r="G12489" s="16" t="str">
        <f>HYPERLINK("http://maps.google.com/maps?f=q&amp;hl=en&amp;geocode=&amp;q=40.3955883539599,-79.4418166686504")</f>
        <v>http://maps.google.com/maps?f=q&amp;hl=en&amp;geocode=&amp;q=40.3955883539599,-79.4418166686504</v>
      </c>
    </row>
    <row r="12490" spans="1:7" ht="15" x14ac:dyDescent="0.3">
      <c r="A12490">
        <v>56.283229827880902</v>
      </c>
      <c r="B12490">
        <v>10.072130203247101</v>
      </c>
      <c r="C12490" t="s">
        <v>43</v>
      </c>
      <c r="D12490" t="s">
        <v>6953</v>
      </c>
      <c r="F12490" s="21"/>
      <c r="G12490" s="16" t="str">
        <f>HYPERLINK("http://maps.google.com/maps?f=q&amp;hl=en&amp;geocode=&amp;q=56.2832298278809,10.0721302032471")</f>
        <v>http://maps.google.com/maps?f=q&amp;hl=en&amp;geocode=&amp;q=56.2832298278809,10.0721302032471</v>
      </c>
    </row>
    <row r="12491" spans="1:7" ht="15" x14ac:dyDescent="0.3">
      <c r="A12491">
        <v>51.426620483398402</v>
      </c>
      <c r="B12491">
        <v>-5.48299998044968E-2</v>
      </c>
      <c r="C12491" t="s">
        <v>41</v>
      </c>
      <c r="D12491" t="s">
        <v>6954</v>
      </c>
      <c r="F12491" s="21"/>
      <c r="G12491" s="16" t="str">
        <f>HYPERLINK("http://maps.google.com/maps?f=q&amp;hl=en&amp;geocode=&amp;q=51.4266204833984,-0.0548299998044968")</f>
        <v>http://maps.google.com/maps?f=q&amp;hl=en&amp;geocode=&amp;q=51.4266204833984,-0.0548299998044968</v>
      </c>
    </row>
    <row r="12492" spans="1:7" ht="15" x14ac:dyDescent="0.3">
      <c r="A12492">
        <v>46.280399322509801</v>
      </c>
      <c r="B12492">
        <v>9.0028400421142596</v>
      </c>
      <c r="C12492" t="s">
        <v>41</v>
      </c>
      <c r="D12492" t="s">
        <v>6955</v>
      </c>
      <c r="F12492" s="21"/>
      <c r="G12492" s="16" t="str">
        <f>HYPERLINK("http://maps.google.com/maps?f=q&amp;hl=en&amp;geocode=&amp;q=46.2803993225098,9.00284004211426")</f>
        <v>http://maps.google.com/maps?f=q&amp;hl=en&amp;geocode=&amp;q=46.2803993225098,9.00284004211426</v>
      </c>
    </row>
    <row r="12493" spans="1:7" ht="15" x14ac:dyDescent="0.3">
      <c r="A12493">
        <v>41.478964073617298</v>
      </c>
      <c r="B12493">
        <v>-81.726523443574706</v>
      </c>
      <c r="C12493" t="s">
        <v>41</v>
      </c>
      <c r="D12493" t="s">
        <v>6956</v>
      </c>
      <c r="F12493" s="21"/>
      <c r="G12493" s="16" t="str">
        <f>HYPERLINK("http://maps.google.com/maps?f=q&amp;hl=en&amp;geocode=&amp;q=41.4789640736173,-81.7265234435747")</f>
        <v>http://maps.google.com/maps?f=q&amp;hl=en&amp;geocode=&amp;q=41.4789640736173,-81.7265234435747</v>
      </c>
    </row>
    <row r="12494" spans="1:7" ht="15" x14ac:dyDescent="0.3">
      <c r="A12494">
        <v>39.971670000000003</v>
      </c>
      <c r="B12494">
        <v>-75.16113</v>
      </c>
      <c r="C12494" t="s">
        <v>43</v>
      </c>
      <c r="D12494" t="s">
        <v>6957</v>
      </c>
      <c r="F12494" s="21"/>
      <c r="G12494" s="16" t="str">
        <f>HYPERLINK("http://maps.google.com/maps?f=q&amp;hl=en&amp;geocode=&amp;q=39.97167,-75.16113")</f>
        <v>http://maps.google.com/maps?f=q&amp;hl=en&amp;geocode=&amp;q=39.97167,-75.16113</v>
      </c>
    </row>
    <row r="12495" spans="1:7" ht="15" x14ac:dyDescent="0.3">
      <c r="A12495">
        <v>39.971473972150299</v>
      </c>
      <c r="B12495">
        <v>-75.159605242826203</v>
      </c>
      <c r="C12495" t="s">
        <v>41</v>
      </c>
      <c r="D12495" t="s">
        <v>3736</v>
      </c>
      <c r="F12495" s="21"/>
      <c r="G12495" s="16" t="str">
        <f>HYPERLINK("http://maps.google.com/maps?f=q&amp;hl=en&amp;geocode=&amp;q=39.9714739721503,-75.1596052428262")</f>
        <v>http://maps.google.com/maps?f=q&amp;hl=en&amp;geocode=&amp;q=39.9714739721503,-75.1596052428262</v>
      </c>
    </row>
    <row r="12496" spans="1:7" ht="15" x14ac:dyDescent="0.3">
      <c r="A12496">
        <v>29.6881652121067</v>
      </c>
      <c r="B12496">
        <v>-95.355010711929296</v>
      </c>
      <c r="C12496" t="s">
        <v>41</v>
      </c>
      <c r="D12496" t="s">
        <v>6958</v>
      </c>
      <c r="F12496" s="21"/>
      <c r="G12496" s="16" t="str">
        <f>HYPERLINK("http://maps.google.com/maps?f=q&amp;hl=en&amp;geocode=&amp;q=29.6881652121067,-95.3550107119293")</f>
        <v>http://maps.google.com/maps?f=q&amp;hl=en&amp;geocode=&amp;q=29.6881652121067,-95.3550107119293</v>
      </c>
    </row>
    <row r="12497" spans="1:7" ht="15" x14ac:dyDescent="0.3">
      <c r="A12497">
        <v>28.951051301066599</v>
      </c>
      <c r="B12497">
        <v>-81.185340674718702</v>
      </c>
      <c r="C12497" t="s">
        <v>41</v>
      </c>
      <c r="D12497" t="s">
        <v>4585</v>
      </c>
      <c r="F12497" s="21"/>
      <c r="G12497" s="16" t="str">
        <f>HYPERLINK("http://maps.google.com/maps?f=q&amp;hl=en&amp;geocode=&amp;q=28.9510513010666,-81.1853406747187")</f>
        <v>http://maps.google.com/maps?f=q&amp;hl=en&amp;geocode=&amp;q=28.9510513010666,-81.1853406747187</v>
      </c>
    </row>
    <row r="12498" spans="1:7" ht="15" x14ac:dyDescent="0.3">
      <c r="A12498">
        <v>-37.818040000000003</v>
      </c>
      <c r="B12498">
        <v>144.96095</v>
      </c>
      <c r="C12498" t="s">
        <v>41</v>
      </c>
      <c r="D12498" t="s">
        <v>4582</v>
      </c>
      <c r="F12498" s="21"/>
      <c r="G12498" s="16" t="str">
        <f>HYPERLINK("http://maps.google.com/maps?f=q&amp;hl=en&amp;geocode=&amp;q=-37.81804,144.96095")</f>
        <v>http://maps.google.com/maps?f=q&amp;hl=en&amp;geocode=&amp;q=-37.81804,144.96095</v>
      </c>
    </row>
    <row r="12499" spans="1:7" ht="15" x14ac:dyDescent="0.3">
      <c r="A12499">
        <v>-37.815635681152301</v>
      </c>
      <c r="B12499">
        <v>144.96734619140599</v>
      </c>
      <c r="C12499" t="s">
        <v>43</v>
      </c>
      <c r="D12499" t="s">
        <v>4845</v>
      </c>
      <c r="F12499" s="21"/>
      <c r="G12499" s="16" t="str">
        <f>HYPERLINK("http://maps.google.com/maps?f=q&amp;hl=en&amp;geocode=&amp;q=-37.8156356811523,144.967346191406")</f>
        <v>http://maps.google.com/maps?f=q&amp;hl=en&amp;geocode=&amp;q=-37.8156356811523,144.967346191406</v>
      </c>
    </row>
    <row r="12500" spans="1:7" ht="15" x14ac:dyDescent="0.3">
      <c r="A12500">
        <v>40.024619260599501</v>
      </c>
      <c r="B12500">
        <v>-75.131679512591504</v>
      </c>
      <c r="C12500" t="s">
        <v>41</v>
      </c>
      <c r="D12500" t="s">
        <v>513</v>
      </c>
      <c r="F12500" s="21"/>
      <c r="G12500" s="16" t="str">
        <f>HYPERLINK("http://maps.google.com/maps?f=q&amp;hl=en&amp;geocode=&amp;q=40.0246192605995,-75.1316795125915")</f>
        <v>http://maps.google.com/maps?f=q&amp;hl=en&amp;geocode=&amp;q=40.0246192605995,-75.1316795125915</v>
      </c>
    </row>
    <row r="12501" spans="1:7" ht="15" x14ac:dyDescent="0.3">
      <c r="A12501">
        <v>48.672306060791001</v>
      </c>
      <c r="B12501">
        <v>7.5540661811828604</v>
      </c>
      <c r="C12501" t="s">
        <v>43</v>
      </c>
      <c r="D12501" t="s">
        <v>5375</v>
      </c>
      <c r="F12501" s="21"/>
      <c r="G12501" s="16" t="str">
        <f>HYPERLINK("http://maps.google.com/maps?f=q&amp;hl=en&amp;geocode=&amp;q=48.672306060791,7.55406618118286")</f>
        <v>http://maps.google.com/maps?f=q&amp;hl=en&amp;geocode=&amp;q=48.672306060791,7.55406618118286</v>
      </c>
    </row>
    <row r="12502" spans="1:7" ht="15" x14ac:dyDescent="0.3">
      <c r="A12502">
        <v>48.672306060791001</v>
      </c>
      <c r="B12502">
        <v>7.5540661811828604</v>
      </c>
      <c r="C12502" t="s">
        <v>43</v>
      </c>
      <c r="D12502" t="s">
        <v>5375</v>
      </c>
      <c r="F12502" s="21"/>
      <c r="G12502" s="16" t="str">
        <f>HYPERLINK("http://maps.google.com/maps?f=q&amp;hl=en&amp;geocode=&amp;q=48.672306060791,7.55406618118286")</f>
        <v>http://maps.google.com/maps?f=q&amp;hl=en&amp;geocode=&amp;q=48.672306060791,7.55406618118286</v>
      </c>
    </row>
    <row r="12503" spans="1:7" ht="15" x14ac:dyDescent="0.3">
      <c r="A12503">
        <v>40.014466440373397</v>
      </c>
      <c r="B12503">
        <v>-75.085079392133395</v>
      </c>
      <c r="C12503" t="s">
        <v>41</v>
      </c>
      <c r="D12503" t="s">
        <v>6959</v>
      </c>
      <c r="F12503" s="21"/>
      <c r="G12503" s="16" t="str">
        <f>HYPERLINK("http://maps.google.com/maps?f=q&amp;hl=en&amp;geocode=&amp;q=40.0144664403734,-75.0850793921334")</f>
        <v>http://maps.google.com/maps?f=q&amp;hl=en&amp;geocode=&amp;q=40.0144664403734,-75.0850793921334</v>
      </c>
    </row>
    <row r="12504" spans="1:7" ht="15" x14ac:dyDescent="0.3">
      <c r="A12504">
        <v>48.672306060791001</v>
      </c>
      <c r="B12504">
        <v>7.5540661811828604</v>
      </c>
      <c r="C12504" t="s">
        <v>43</v>
      </c>
      <c r="D12504" t="s">
        <v>5375</v>
      </c>
      <c r="F12504" s="21"/>
      <c r="G12504" s="16" t="str">
        <f>HYPERLINK("http://maps.google.com/maps?f=q&amp;hl=en&amp;geocode=&amp;q=48.672306060791,7.55406618118286")</f>
        <v>http://maps.google.com/maps?f=q&amp;hl=en&amp;geocode=&amp;q=48.672306060791,7.55406618118286</v>
      </c>
    </row>
    <row r="12505" spans="1:7" ht="15" x14ac:dyDescent="0.3">
      <c r="A12505">
        <v>29.7082328796387</v>
      </c>
      <c r="B12505">
        <v>-90.006401062011705</v>
      </c>
      <c r="C12505" t="s">
        <v>43</v>
      </c>
      <c r="D12505" t="s">
        <v>98</v>
      </c>
      <c r="F12505" s="21"/>
      <c r="G12505" s="16" t="str">
        <f>HYPERLINK("http://maps.google.com/maps?f=q&amp;hl=en&amp;geocode=&amp;q=29.7082328796387,-90.0064010620117")</f>
        <v>http://maps.google.com/maps?f=q&amp;hl=en&amp;geocode=&amp;q=29.7082328796387,-90.0064010620117</v>
      </c>
    </row>
    <row r="12506" spans="1:7" ht="15" x14ac:dyDescent="0.3">
      <c r="A12506">
        <v>48.672306060791001</v>
      </c>
      <c r="B12506">
        <v>7.5540661811828604</v>
      </c>
      <c r="C12506" t="s">
        <v>43</v>
      </c>
      <c r="D12506" t="s">
        <v>5375</v>
      </c>
      <c r="F12506" s="21"/>
      <c r="G12506" s="16" t="str">
        <f>HYPERLINK("http://maps.google.com/maps?f=q&amp;hl=en&amp;geocode=&amp;q=48.672306060791,7.55406618118286")</f>
        <v>http://maps.google.com/maps?f=q&amp;hl=en&amp;geocode=&amp;q=48.672306060791,7.55406618118286</v>
      </c>
    </row>
    <row r="12507" spans="1:7" ht="15" x14ac:dyDescent="0.3">
      <c r="A12507">
        <v>35.402269836401302</v>
      </c>
      <c r="B12507">
        <v>-97.761225103720506</v>
      </c>
      <c r="C12507" t="s">
        <v>41</v>
      </c>
      <c r="D12507" t="s">
        <v>6828</v>
      </c>
      <c r="F12507" s="21"/>
      <c r="G12507" s="16" t="str">
        <f>HYPERLINK("http://maps.google.com/maps?f=q&amp;hl=en&amp;geocode=&amp;q=35.4022698364013,-97.7612251037205")</f>
        <v>http://maps.google.com/maps?f=q&amp;hl=en&amp;geocode=&amp;q=35.4022698364013,-97.7612251037205</v>
      </c>
    </row>
    <row r="12508" spans="1:7" ht="15" x14ac:dyDescent="0.3">
      <c r="A12508">
        <v>35.402267280170399</v>
      </c>
      <c r="B12508">
        <v>-97.761408289361995</v>
      </c>
      <c r="C12508" t="s">
        <v>41</v>
      </c>
      <c r="D12508" t="s">
        <v>6960</v>
      </c>
      <c r="F12508" s="21"/>
      <c r="G12508" s="16" t="str">
        <f>HYPERLINK("http://maps.google.com/maps?f=q&amp;hl=en&amp;geocode=&amp;q=35.4022672801704,-97.761408289362")</f>
        <v>http://maps.google.com/maps?f=q&amp;hl=en&amp;geocode=&amp;q=35.4022672801704,-97.761408289362</v>
      </c>
    </row>
    <row r="12509" spans="1:7" ht="15" x14ac:dyDescent="0.3">
      <c r="A12509">
        <v>37.183880000000002</v>
      </c>
      <c r="B12509">
        <v>-89.481269999999995</v>
      </c>
      <c r="C12509" t="s">
        <v>42</v>
      </c>
      <c r="D12509" t="s">
        <v>6961</v>
      </c>
      <c r="F12509" s="21"/>
      <c r="G12509" s="16" t="str">
        <f>HYPERLINK("http://maps.google.com/maps?f=q&amp;hl=en&amp;geocode=&amp;q=37.18388,-89.48127")</f>
        <v>http://maps.google.com/maps?f=q&amp;hl=en&amp;geocode=&amp;q=37.18388,-89.48127</v>
      </c>
    </row>
    <row r="12510" spans="1:7" ht="15" x14ac:dyDescent="0.3">
      <c r="A12510">
        <v>32.955187943581997</v>
      </c>
      <c r="B12510">
        <v>-96.902570077539593</v>
      </c>
      <c r="C12510" t="s">
        <v>41</v>
      </c>
      <c r="D12510" t="s">
        <v>6962</v>
      </c>
      <c r="F12510" s="21"/>
      <c r="G12510" s="16" t="str">
        <f>HYPERLINK("http://maps.google.com/maps?f=q&amp;hl=en&amp;geocode=&amp;q=32.955187943582,-96.9025700775396")</f>
        <v>http://maps.google.com/maps?f=q&amp;hl=en&amp;geocode=&amp;q=32.955187943582,-96.9025700775396</v>
      </c>
    </row>
    <row r="12511" spans="1:7" ht="15" x14ac:dyDescent="0.3">
      <c r="A12511">
        <v>35.402268558320401</v>
      </c>
      <c r="B12511">
        <v>-97.761316696542707</v>
      </c>
      <c r="C12511" t="s">
        <v>41</v>
      </c>
      <c r="D12511" t="s">
        <v>6924</v>
      </c>
      <c r="F12511" s="21"/>
      <c r="G12511" s="16" t="str">
        <f>HYPERLINK("http://maps.google.com/maps?f=q&amp;hl=en&amp;geocode=&amp;q=35.4022685583204,-97.7613166965427")</f>
        <v>http://maps.google.com/maps?f=q&amp;hl=en&amp;geocode=&amp;q=35.4022685583204,-97.7613166965427</v>
      </c>
    </row>
    <row r="12512" spans="1:7" ht="15" x14ac:dyDescent="0.3">
      <c r="A12512">
        <v>35.402267280170399</v>
      </c>
      <c r="B12512">
        <v>-97.761408289361995</v>
      </c>
      <c r="C12512" t="s">
        <v>41</v>
      </c>
      <c r="D12512" t="s">
        <v>6960</v>
      </c>
      <c r="F12512" s="21"/>
      <c r="G12512" s="16" t="str">
        <f>HYPERLINK("http://maps.google.com/maps?f=q&amp;hl=en&amp;geocode=&amp;q=35.4022672801704,-97.761408289362")</f>
        <v>http://maps.google.com/maps?f=q&amp;hl=en&amp;geocode=&amp;q=35.4022672801704,-97.761408289362</v>
      </c>
    </row>
    <row r="12513" spans="1:7" ht="15" x14ac:dyDescent="0.3">
      <c r="A12513">
        <v>51.426620483398402</v>
      </c>
      <c r="B12513">
        <v>-5.48299998044968E-2</v>
      </c>
      <c r="C12513" t="s">
        <v>41</v>
      </c>
      <c r="D12513" t="s">
        <v>6963</v>
      </c>
      <c r="F12513" s="21"/>
      <c r="G12513" s="16" t="str">
        <f>HYPERLINK("http://maps.google.com/maps?f=q&amp;hl=en&amp;geocode=&amp;q=51.4266204833984,-0.0548299998044968")</f>
        <v>http://maps.google.com/maps?f=q&amp;hl=en&amp;geocode=&amp;q=51.4266204833984,-0.0548299998044968</v>
      </c>
    </row>
    <row r="12514" spans="1:7" ht="15" x14ac:dyDescent="0.3">
      <c r="A12514">
        <v>38.112580000000001</v>
      </c>
      <c r="B12514">
        <v>-122.59246</v>
      </c>
      <c r="C12514" t="s">
        <v>42</v>
      </c>
      <c r="D12514" t="s">
        <v>6293</v>
      </c>
      <c r="F12514" s="21"/>
      <c r="G12514" s="16" t="str">
        <f>HYPERLINK("http://maps.google.com/maps?f=q&amp;hl=en&amp;geocode=&amp;q=38.11258,-122.59246")</f>
        <v>http://maps.google.com/maps?f=q&amp;hl=en&amp;geocode=&amp;q=38.11258,-122.59246</v>
      </c>
    </row>
    <row r="12515" spans="1:7" ht="15" x14ac:dyDescent="0.3">
      <c r="A12515">
        <v>51.426620483398402</v>
      </c>
      <c r="B12515">
        <v>-5.48299998044968E-2</v>
      </c>
      <c r="C12515" t="s">
        <v>41</v>
      </c>
      <c r="D12515" t="s">
        <v>6963</v>
      </c>
      <c r="F12515" s="21"/>
      <c r="G12515" s="16" t="str">
        <f>HYPERLINK("http://maps.google.com/maps?f=q&amp;hl=en&amp;geocode=&amp;q=51.4266204833984,-0.0548299998044968")</f>
        <v>http://maps.google.com/maps?f=q&amp;hl=en&amp;geocode=&amp;q=51.4266204833984,-0.0548299998044968</v>
      </c>
    </row>
    <row r="12516" spans="1:7" ht="15" x14ac:dyDescent="0.3">
      <c r="A12516">
        <v>40.254190000000001</v>
      </c>
      <c r="B12516">
        <v>-111.638783</v>
      </c>
      <c r="C12516" t="s">
        <v>41</v>
      </c>
      <c r="D12516" t="s">
        <v>6964</v>
      </c>
      <c r="F12516" s="21"/>
      <c r="G12516" s="16" t="str">
        <f>HYPERLINK("http://maps.google.com/maps?f=q&amp;hl=en&amp;geocode=&amp;q=40.25419,-111.638783")</f>
        <v>http://maps.google.com/maps?f=q&amp;hl=en&amp;geocode=&amp;q=40.25419,-111.638783</v>
      </c>
    </row>
    <row r="12517" spans="1:7" ht="15" x14ac:dyDescent="0.3">
      <c r="A12517">
        <v>37.860477293610998</v>
      </c>
      <c r="B12517">
        <v>-82.804754194483493</v>
      </c>
      <c r="C12517" t="s">
        <v>41</v>
      </c>
      <c r="D12517" t="s">
        <v>6849</v>
      </c>
      <c r="F12517" s="21"/>
      <c r="G12517" s="16" t="str">
        <f>HYPERLINK("http://maps.google.com/maps?f=q&amp;hl=en&amp;geocode=&amp;q=37.860477293611,-82.8047541944835")</f>
        <v>http://maps.google.com/maps?f=q&amp;hl=en&amp;geocode=&amp;q=37.860477293611,-82.8047541944835</v>
      </c>
    </row>
    <row r="12518" spans="1:7" ht="15" x14ac:dyDescent="0.3">
      <c r="A12518">
        <v>39.947240000000001</v>
      </c>
      <c r="B12518">
        <v>-75.174689999999998</v>
      </c>
      <c r="C12518" t="s">
        <v>43</v>
      </c>
      <c r="D12518" t="s">
        <v>6228</v>
      </c>
      <c r="F12518" s="21"/>
      <c r="G12518" s="16" t="str">
        <f>HYPERLINK("http://maps.google.com/maps?f=q&amp;hl=en&amp;geocode=&amp;q=39.94724,-75.17469")</f>
        <v>http://maps.google.com/maps?f=q&amp;hl=en&amp;geocode=&amp;q=39.94724,-75.17469</v>
      </c>
    </row>
    <row r="12519" spans="1:7" ht="15" x14ac:dyDescent="0.3">
      <c r="A12519">
        <v>35.243940000000002</v>
      </c>
      <c r="B12519">
        <v>-97.423190000000005</v>
      </c>
      <c r="C12519" t="s">
        <v>41</v>
      </c>
      <c r="D12519" t="s">
        <v>6313</v>
      </c>
      <c r="F12519" s="21"/>
      <c r="G12519" s="16" t="str">
        <f>HYPERLINK("http://maps.google.com/maps?f=q&amp;hl=en&amp;geocode=&amp;q=35.24394,-97.42319")</f>
        <v>http://maps.google.com/maps?f=q&amp;hl=en&amp;geocode=&amp;q=35.24394,-97.42319</v>
      </c>
    </row>
    <row r="12520" spans="1:7" ht="15" x14ac:dyDescent="0.3">
      <c r="A12520">
        <v>39.94782</v>
      </c>
      <c r="B12520">
        <v>-75.178169999999994</v>
      </c>
      <c r="C12520" t="s">
        <v>43</v>
      </c>
      <c r="D12520" t="s">
        <v>6255</v>
      </c>
      <c r="F12520" s="21"/>
      <c r="G12520" s="16" t="str">
        <f>HYPERLINK("http://maps.google.com/maps?f=q&amp;hl=en&amp;geocode=&amp;q=39.94782,-75.17817")</f>
        <v>http://maps.google.com/maps?f=q&amp;hl=en&amp;geocode=&amp;q=39.94782,-75.17817</v>
      </c>
    </row>
    <row r="12521" spans="1:7" ht="15" x14ac:dyDescent="0.3">
      <c r="A12521">
        <v>37.859785696689499</v>
      </c>
      <c r="B12521">
        <v>-82.805018451891399</v>
      </c>
      <c r="C12521" t="s">
        <v>41</v>
      </c>
      <c r="D12521" t="s">
        <v>6806</v>
      </c>
      <c r="F12521" s="21"/>
      <c r="G12521" s="16" t="str">
        <f>HYPERLINK("http://maps.google.com/maps?f=q&amp;hl=en&amp;geocode=&amp;q=37.8597856966895,-82.8050184518914")</f>
        <v>http://maps.google.com/maps?f=q&amp;hl=en&amp;geocode=&amp;q=37.8597856966895,-82.8050184518914</v>
      </c>
    </row>
    <row r="12522" spans="1:7" ht="15" x14ac:dyDescent="0.3">
      <c r="A12522">
        <v>35.402267280170399</v>
      </c>
      <c r="B12522">
        <v>-97.761408289361995</v>
      </c>
      <c r="C12522" t="s">
        <v>41</v>
      </c>
      <c r="D12522" t="s">
        <v>6960</v>
      </c>
      <c r="F12522" s="21"/>
      <c r="G12522" s="16" t="str">
        <f>HYPERLINK("http://maps.google.com/maps?f=q&amp;hl=en&amp;geocode=&amp;q=35.4022672801704,-97.761408289362")</f>
        <v>http://maps.google.com/maps?f=q&amp;hl=en&amp;geocode=&amp;q=35.4022672801704,-97.761408289362</v>
      </c>
    </row>
    <row r="12523" spans="1:7" ht="15" x14ac:dyDescent="0.3">
      <c r="A12523">
        <v>39.947240000000001</v>
      </c>
      <c r="B12523">
        <v>-75.174689999999998</v>
      </c>
      <c r="C12523" t="s">
        <v>43</v>
      </c>
      <c r="D12523" t="s">
        <v>6228</v>
      </c>
      <c r="F12523" s="21"/>
      <c r="G12523" s="16" t="str">
        <f>HYPERLINK("http://maps.google.com/maps?f=q&amp;hl=en&amp;geocode=&amp;q=39.94724,-75.17469")</f>
        <v>http://maps.google.com/maps?f=q&amp;hl=en&amp;geocode=&amp;q=39.94724,-75.17469</v>
      </c>
    </row>
    <row r="12524" spans="1:7" ht="15" x14ac:dyDescent="0.3">
      <c r="A12524">
        <v>37.327150000000003</v>
      </c>
      <c r="B12524">
        <v>-79.902649999999994</v>
      </c>
      <c r="C12524" t="s">
        <v>41</v>
      </c>
      <c r="D12524" t="s">
        <v>6965</v>
      </c>
      <c r="F12524" s="21"/>
      <c r="G12524" s="16" t="str">
        <f>HYPERLINK("http://maps.google.com/maps?f=q&amp;hl=en&amp;geocode=&amp;q=37.32715,-79.90265")</f>
        <v>http://maps.google.com/maps?f=q&amp;hl=en&amp;geocode=&amp;q=37.32715,-79.90265</v>
      </c>
    </row>
    <row r="12525" spans="1:7" ht="15" x14ac:dyDescent="0.3">
      <c r="A12525">
        <v>41.794036267454302</v>
      </c>
      <c r="B12525">
        <v>-83.562498702532807</v>
      </c>
      <c r="C12525" t="s">
        <v>41</v>
      </c>
      <c r="D12525" t="s">
        <v>6966</v>
      </c>
      <c r="F12525" s="21"/>
      <c r="G12525" s="16" t="str">
        <f>HYPERLINK("http://maps.google.com/maps?f=q&amp;hl=en&amp;geocode=&amp;q=41.7940362674543,-83.5624987025328")</f>
        <v>http://maps.google.com/maps?f=q&amp;hl=en&amp;geocode=&amp;q=41.7940362674543,-83.5624987025328</v>
      </c>
    </row>
    <row r="12526" spans="1:7" ht="15" x14ac:dyDescent="0.3">
      <c r="A12526">
        <v>34.794686040065102</v>
      </c>
      <c r="B12526">
        <v>-87.686794930204897</v>
      </c>
      <c r="C12526" t="s">
        <v>41</v>
      </c>
      <c r="D12526" t="s">
        <v>6967</v>
      </c>
      <c r="F12526" s="21"/>
      <c r="G12526" s="16" t="str">
        <f>HYPERLINK("http://maps.google.com/maps?f=q&amp;hl=en&amp;geocode=&amp;q=34.7946860400651,-87.6867949302049")</f>
        <v>http://maps.google.com/maps?f=q&amp;hl=en&amp;geocode=&amp;q=34.7946860400651,-87.6867949302049</v>
      </c>
    </row>
    <row r="12527" spans="1:7" ht="15" x14ac:dyDescent="0.3">
      <c r="A12527">
        <v>40.227849999999997</v>
      </c>
      <c r="B12527">
        <v>-74.019670000000005</v>
      </c>
      <c r="C12527" t="s">
        <v>41</v>
      </c>
      <c r="D12527" t="s">
        <v>6752</v>
      </c>
      <c r="F12527" s="21"/>
      <c r="G12527" s="16" t="str">
        <f>HYPERLINK("http://maps.google.com/maps?f=q&amp;hl=en&amp;geocode=&amp;q=40.22785,-74.01967")</f>
        <v>http://maps.google.com/maps?f=q&amp;hl=en&amp;geocode=&amp;q=40.22785,-74.01967</v>
      </c>
    </row>
    <row r="12528" spans="1:7" ht="15" x14ac:dyDescent="0.3">
      <c r="A12528" t="s">
        <v>44</v>
      </c>
      <c r="B12528" t="s">
        <v>44</v>
      </c>
      <c r="C12528" t="s">
        <v>44</v>
      </c>
      <c r="D12528" t="s">
        <v>5012</v>
      </c>
      <c r="F12528" s="21"/>
      <c r="G12528" s="16"/>
    </row>
    <row r="12529" spans="1:7" ht="15" x14ac:dyDescent="0.3">
      <c r="A12529" t="s">
        <v>44</v>
      </c>
      <c r="B12529" t="s">
        <v>44</v>
      </c>
      <c r="C12529" t="s">
        <v>44</v>
      </c>
      <c r="D12529" t="s">
        <v>6968</v>
      </c>
      <c r="F12529" s="21"/>
      <c r="G12529" s="16"/>
    </row>
    <row r="12530" spans="1:7" ht="15" x14ac:dyDescent="0.3">
      <c r="A12530">
        <v>42.512774904027403</v>
      </c>
      <c r="B12530">
        <v>-83.120778198937799</v>
      </c>
      <c r="C12530" t="s">
        <v>41</v>
      </c>
      <c r="D12530" t="s">
        <v>6969</v>
      </c>
      <c r="F12530" s="21"/>
      <c r="G12530" s="16" t="str">
        <f>HYPERLINK("http://maps.google.com/maps?f=q&amp;hl=en&amp;geocode=&amp;q=42.5127749040274,-83.1207781989378")</f>
        <v>http://maps.google.com/maps?f=q&amp;hl=en&amp;geocode=&amp;q=42.5127749040274,-83.1207781989378</v>
      </c>
    </row>
    <row r="12531" spans="1:7" ht="15" x14ac:dyDescent="0.3">
      <c r="A12531">
        <v>47.068611145019503</v>
      </c>
      <c r="B12531">
        <v>15.4432697296143</v>
      </c>
      <c r="C12531" t="s">
        <v>41</v>
      </c>
      <c r="D12531" t="s">
        <v>6906</v>
      </c>
      <c r="F12531" s="21"/>
      <c r="G12531" s="16" t="str">
        <f>HYPERLINK("http://maps.google.com/maps?f=q&amp;hl=en&amp;geocode=&amp;q=47.0686111450195,15.4432697296143")</f>
        <v>http://maps.google.com/maps?f=q&amp;hl=en&amp;geocode=&amp;q=47.0686111450195,15.4432697296143</v>
      </c>
    </row>
    <row r="12532" spans="1:7" ht="15" x14ac:dyDescent="0.3">
      <c r="A12532">
        <v>40.632786351994397</v>
      </c>
      <c r="B12532">
        <v>-81.466818570641195</v>
      </c>
      <c r="C12532" t="s">
        <v>43</v>
      </c>
      <c r="D12532" t="s">
        <v>4817</v>
      </c>
      <c r="F12532" s="21"/>
      <c r="G12532" s="16" t="str">
        <f>HYPERLINK("http://maps.google.com/maps?f=q&amp;hl=en&amp;geocode=&amp;q=40.6327863519944,-81.4668185706412")</f>
        <v>http://maps.google.com/maps?f=q&amp;hl=en&amp;geocode=&amp;q=40.6327863519944,-81.4668185706412</v>
      </c>
    </row>
    <row r="12533" spans="1:7" ht="15" x14ac:dyDescent="0.3">
      <c r="A12533">
        <v>-26.188575744628899</v>
      </c>
      <c r="B12533">
        <v>27.929327011108398</v>
      </c>
      <c r="C12533" t="s">
        <v>43</v>
      </c>
      <c r="D12533" t="s">
        <v>3207</v>
      </c>
      <c r="F12533" s="21"/>
      <c r="G12533" s="16" t="str">
        <f>HYPERLINK("http://maps.google.com/maps?f=q&amp;hl=en&amp;geocode=&amp;q=-26.1885757446289,27.9293270111084")</f>
        <v>http://maps.google.com/maps?f=q&amp;hl=en&amp;geocode=&amp;q=-26.1885757446289,27.9293270111084</v>
      </c>
    </row>
    <row r="12534" spans="1:7" ht="15" x14ac:dyDescent="0.3">
      <c r="A12534">
        <v>59.922351837158203</v>
      </c>
      <c r="B12534">
        <v>11.178321838378899</v>
      </c>
      <c r="C12534" t="s">
        <v>43</v>
      </c>
      <c r="D12534" t="s">
        <v>5651</v>
      </c>
      <c r="F12534" s="21"/>
      <c r="G12534" s="16" t="str">
        <f>HYPERLINK("http://maps.google.com/maps?f=q&amp;hl=en&amp;geocode=&amp;q=59.9223518371582,11.1783218383789")</f>
        <v>http://maps.google.com/maps?f=q&amp;hl=en&amp;geocode=&amp;q=59.9223518371582,11.1783218383789</v>
      </c>
    </row>
    <row r="12535" spans="1:7" ht="15" x14ac:dyDescent="0.3">
      <c r="A12535">
        <v>47.116134643554702</v>
      </c>
      <c r="B12535">
        <v>6.8440089225768999</v>
      </c>
      <c r="C12535" t="s">
        <v>43</v>
      </c>
      <c r="D12535" t="s">
        <v>3751</v>
      </c>
      <c r="F12535" s="21"/>
      <c r="G12535" s="16" t="str">
        <f>HYPERLINK("http://maps.google.com/maps?f=q&amp;hl=en&amp;geocode=&amp;q=47.1161346435547,6.8440089225769")</f>
        <v>http://maps.google.com/maps?f=q&amp;hl=en&amp;geocode=&amp;q=47.1161346435547,6.8440089225769</v>
      </c>
    </row>
    <row r="12536" spans="1:7" ht="15" x14ac:dyDescent="0.3">
      <c r="A12536">
        <v>48.672306060791001</v>
      </c>
      <c r="B12536">
        <v>7.5540661811828604</v>
      </c>
      <c r="C12536" t="s">
        <v>43</v>
      </c>
      <c r="D12536" t="s">
        <v>5375</v>
      </c>
      <c r="F12536" s="21"/>
      <c r="G12536" s="16" t="str">
        <f>HYPERLINK("http://maps.google.com/maps?f=q&amp;hl=en&amp;geocode=&amp;q=48.672306060791,7.55406618118286")</f>
        <v>http://maps.google.com/maps?f=q&amp;hl=en&amp;geocode=&amp;q=48.672306060791,7.55406618118286</v>
      </c>
    </row>
    <row r="12537" spans="1:7" ht="15" x14ac:dyDescent="0.3">
      <c r="A12537">
        <v>46.947303771972699</v>
      </c>
      <c r="B12537">
        <v>7.4241647720336896</v>
      </c>
      <c r="C12537" t="s">
        <v>41</v>
      </c>
      <c r="D12537" t="s">
        <v>6970</v>
      </c>
      <c r="F12537" s="21"/>
      <c r="G12537" s="16" t="str">
        <f>HYPERLINK("http://maps.google.com/maps?f=q&amp;hl=en&amp;geocode=&amp;q=46.9473037719727,7.42416477203369")</f>
        <v>http://maps.google.com/maps?f=q&amp;hl=en&amp;geocode=&amp;q=46.9473037719727,7.42416477203369</v>
      </c>
    </row>
    <row r="12538" spans="1:7" ht="15" x14ac:dyDescent="0.3">
      <c r="A12538">
        <v>35.954746458453499</v>
      </c>
      <c r="B12538">
        <v>-77.474282131778594</v>
      </c>
      <c r="C12538" t="s">
        <v>41</v>
      </c>
      <c r="D12538" t="s">
        <v>4849</v>
      </c>
      <c r="F12538" s="21"/>
      <c r="G12538" s="16" t="str">
        <f>HYPERLINK("http://maps.google.com/maps?f=q&amp;hl=en&amp;geocode=&amp;q=35.9547464584535,-77.4742821317786")</f>
        <v>http://maps.google.com/maps?f=q&amp;hl=en&amp;geocode=&amp;q=35.9547464584535,-77.4742821317786</v>
      </c>
    </row>
    <row r="12539" spans="1:7" ht="15" x14ac:dyDescent="0.3">
      <c r="A12539">
        <v>-27.692499999999999</v>
      </c>
      <c r="B12539">
        <v>153.01018999999999</v>
      </c>
      <c r="C12539" t="s">
        <v>41</v>
      </c>
      <c r="D12539" t="s">
        <v>6971</v>
      </c>
      <c r="F12539" s="21"/>
      <c r="G12539" s="16" t="str">
        <f>HYPERLINK("http://maps.google.com/maps?f=q&amp;hl=en&amp;geocode=&amp;q=-27.6925,153.01019")</f>
        <v>http://maps.google.com/maps?f=q&amp;hl=en&amp;geocode=&amp;q=-27.6925,153.01019</v>
      </c>
    </row>
    <row r="12540" spans="1:7" ht="15" x14ac:dyDescent="0.3">
      <c r="A12540">
        <v>-32.141361236572301</v>
      </c>
      <c r="B12540">
        <v>-63.798503875732401</v>
      </c>
      <c r="C12540" t="s">
        <v>43</v>
      </c>
      <c r="D12540" t="s">
        <v>4601</v>
      </c>
      <c r="F12540" s="21"/>
      <c r="G12540" s="16" t="str">
        <f>HYPERLINK("http://maps.google.com/maps?f=q&amp;hl=en&amp;geocode=&amp;q=-32.1413612365723,-63.7985038757324")</f>
        <v>http://maps.google.com/maps?f=q&amp;hl=en&amp;geocode=&amp;q=-32.1413612365723,-63.7985038757324</v>
      </c>
    </row>
    <row r="12541" spans="1:7" ht="15" x14ac:dyDescent="0.3">
      <c r="A12541">
        <v>40.84984</v>
      </c>
      <c r="B12541">
        <v>-73.918869999999998</v>
      </c>
      <c r="C12541" t="s">
        <v>41</v>
      </c>
      <c r="D12541" t="s">
        <v>5874</v>
      </c>
      <c r="F12541" s="21"/>
      <c r="G12541" s="16" t="str">
        <f>HYPERLINK("http://maps.google.com/maps?f=q&amp;hl=en&amp;geocode=&amp;q=40.84984,-73.91887")</f>
        <v>http://maps.google.com/maps?f=q&amp;hl=en&amp;geocode=&amp;q=40.84984,-73.91887</v>
      </c>
    </row>
    <row r="12542" spans="1:7" ht="15" x14ac:dyDescent="0.3">
      <c r="A12542">
        <v>47.404800415039098</v>
      </c>
      <c r="B12542">
        <v>12.462211608886699</v>
      </c>
      <c r="C12542" t="s">
        <v>43</v>
      </c>
      <c r="D12542" t="s">
        <v>6972</v>
      </c>
      <c r="F12542" s="21"/>
      <c r="G12542" s="16" t="str">
        <f>HYPERLINK("http://maps.google.com/maps?f=q&amp;hl=en&amp;geocode=&amp;q=47.4048004150391,12.4622116088867")</f>
        <v>http://maps.google.com/maps?f=q&amp;hl=en&amp;geocode=&amp;q=47.4048004150391,12.4622116088867</v>
      </c>
    </row>
    <row r="12543" spans="1:7" ht="15" x14ac:dyDescent="0.3">
      <c r="A12543">
        <v>40.632860070281701</v>
      </c>
      <c r="B12543">
        <v>-81.466991581026406</v>
      </c>
      <c r="C12543" t="s">
        <v>43</v>
      </c>
      <c r="D12543" t="s">
        <v>6973</v>
      </c>
      <c r="F12543" s="21"/>
      <c r="G12543" s="16" t="str">
        <f>HYPERLINK("http://maps.google.com/maps?f=q&amp;hl=en&amp;geocode=&amp;q=40.6328600702817,-81.4669915810264")</f>
        <v>http://maps.google.com/maps?f=q&amp;hl=en&amp;geocode=&amp;q=40.6328600702817,-81.4669915810264</v>
      </c>
    </row>
    <row r="12544" spans="1:7" ht="15" x14ac:dyDescent="0.3">
      <c r="A12544">
        <v>32.987343667725497</v>
      </c>
      <c r="B12544">
        <v>-96.740307588167894</v>
      </c>
      <c r="C12544" t="s">
        <v>43</v>
      </c>
      <c r="D12544" t="s">
        <v>5825</v>
      </c>
      <c r="F12544" s="21"/>
      <c r="G12544" s="16" t="str">
        <f>HYPERLINK("http://maps.google.com/maps?f=q&amp;hl=en&amp;geocode=&amp;q=32.9873436677255,-96.7403075881679")</f>
        <v>http://maps.google.com/maps?f=q&amp;hl=en&amp;geocode=&amp;q=32.9873436677255,-96.7403075881679</v>
      </c>
    </row>
    <row r="12545" spans="1:7" ht="15" x14ac:dyDescent="0.3">
      <c r="A12545">
        <v>40.056759999999997</v>
      </c>
      <c r="B12545">
        <v>-75.180490000000006</v>
      </c>
      <c r="C12545" t="s">
        <v>42</v>
      </c>
      <c r="D12545" t="s">
        <v>6974</v>
      </c>
      <c r="F12545" s="21"/>
      <c r="G12545" s="16" t="str">
        <f>HYPERLINK("http://maps.google.com/maps?f=q&amp;hl=en&amp;geocode=&amp;q=40.05676,-75.18049")</f>
        <v>http://maps.google.com/maps?f=q&amp;hl=en&amp;geocode=&amp;q=40.05676,-75.18049</v>
      </c>
    </row>
    <row r="12546" spans="1:7" ht="15" x14ac:dyDescent="0.3">
      <c r="A12546">
        <v>0.57650297880172696</v>
      </c>
      <c r="B12546">
        <v>37.839889526367202</v>
      </c>
      <c r="C12546" t="s">
        <v>41</v>
      </c>
      <c r="D12546" t="s">
        <v>6975</v>
      </c>
      <c r="F12546" s="21"/>
      <c r="G12546" s="16" t="str">
        <f>HYPERLINK("http://maps.google.com/maps?f=q&amp;hl=en&amp;geocode=&amp;q=0.576502978801727,37.8398895263672")</f>
        <v>http://maps.google.com/maps?f=q&amp;hl=en&amp;geocode=&amp;q=0.576502978801727,37.8398895263672</v>
      </c>
    </row>
    <row r="12547" spans="1:7" ht="15" x14ac:dyDescent="0.3">
      <c r="A12547">
        <v>0.57650297880172696</v>
      </c>
      <c r="B12547">
        <v>37.839889526367202</v>
      </c>
      <c r="C12547" t="s">
        <v>41</v>
      </c>
      <c r="D12547" t="s">
        <v>6975</v>
      </c>
      <c r="F12547" s="21"/>
      <c r="G12547" s="16" t="str">
        <f>HYPERLINK("http://maps.google.com/maps?f=q&amp;hl=en&amp;geocode=&amp;q=0.576502978801727,37.8398895263672")</f>
        <v>http://maps.google.com/maps?f=q&amp;hl=en&amp;geocode=&amp;q=0.576502978801727,37.8398895263672</v>
      </c>
    </row>
    <row r="12548" spans="1:7" ht="15" x14ac:dyDescent="0.3">
      <c r="A12548" t="s">
        <v>44</v>
      </c>
      <c r="B12548" t="s">
        <v>44</v>
      </c>
      <c r="C12548" t="s">
        <v>44</v>
      </c>
      <c r="D12548">
        <v>200</v>
      </c>
      <c r="F12548" s="21"/>
      <c r="G12548" s="16"/>
    </row>
    <row r="12549" spans="1:7" ht="15" x14ac:dyDescent="0.3">
      <c r="A12549">
        <v>36.189419244301803</v>
      </c>
      <c r="B12549">
        <v>-115.041971899267</v>
      </c>
      <c r="C12549" t="s">
        <v>43</v>
      </c>
      <c r="D12549" t="s">
        <v>5271</v>
      </c>
      <c r="F12549" s="21"/>
      <c r="G12549" s="16" t="str">
        <f>HYPERLINK("http://maps.google.com/maps?f=q&amp;hl=en&amp;geocode=&amp;q=36.1894192443018,-115.041971899267")</f>
        <v>http://maps.google.com/maps?f=q&amp;hl=en&amp;geocode=&amp;q=36.1894192443018,-115.041971899267</v>
      </c>
    </row>
    <row r="12550" spans="1:7" ht="15" x14ac:dyDescent="0.3">
      <c r="A12550">
        <v>43.3756713867188</v>
      </c>
      <c r="B12550">
        <v>22.866447448730501</v>
      </c>
      <c r="C12550" t="s">
        <v>41</v>
      </c>
      <c r="D12550" t="s">
        <v>6976</v>
      </c>
      <c r="F12550" s="21"/>
      <c r="G12550" s="16" t="str">
        <f>HYPERLINK("http://maps.google.com/maps?f=q&amp;hl=en&amp;geocode=&amp;q=43.3756713867188,22.8664474487305")</f>
        <v>http://maps.google.com/maps?f=q&amp;hl=en&amp;geocode=&amp;q=43.3756713867188,22.8664474487305</v>
      </c>
    </row>
    <row r="12551" spans="1:7" ht="15" x14ac:dyDescent="0.3">
      <c r="A12551">
        <v>31.010861794446299</v>
      </c>
      <c r="B12551">
        <v>-86.338552900126203</v>
      </c>
      <c r="C12551" t="s">
        <v>41</v>
      </c>
      <c r="D12551" t="s">
        <v>5601</v>
      </c>
      <c r="F12551" s="21"/>
      <c r="G12551" s="16" t="str">
        <f>HYPERLINK("http://maps.google.com/maps?f=q&amp;hl=en&amp;geocode=&amp;q=31.0108617944463,-86.3385529001262")</f>
        <v>http://maps.google.com/maps?f=q&amp;hl=en&amp;geocode=&amp;q=31.0108617944463,-86.3385529001262</v>
      </c>
    </row>
    <row r="12552" spans="1:7" ht="15" x14ac:dyDescent="0.3">
      <c r="A12552">
        <v>31.010861794446299</v>
      </c>
      <c r="B12552">
        <v>-86.338552900126203</v>
      </c>
      <c r="C12552" t="s">
        <v>41</v>
      </c>
      <c r="D12552" t="s">
        <v>5601</v>
      </c>
      <c r="F12552" s="21"/>
      <c r="G12552" s="16" t="str">
        <f>HYPERLINK("http://maps.google.com/maps?f=q&amp;hl=en&amp;geocode=&amp;q=31.0108617944463,-86.3385529001262")</f>
        <v>http://maps.google.com/maps?f=q&amp;hl=en&amp;geocode=&amp;q=31.0108617944463,-86.3385529001262</v>
      </c>
    </row>
    <row r="12553" spans="1:7" ht="15" x14ac:dyDescent="0.3">
      <c r="A12553">
        <v>32.8281513865889</v>
      </c>
      <c r="B12553">
        <v>-98.559014550259107</v>
      </c>
      <c r="C12553" t="s">
        <v>43</v>
      </c>
      <c r="D12553" t="s">
        <v>5133</v>
      </c>
      <c r="F12553" s="21"/>
      <c r="G12553" s="16" t="str">
        <f>HYPERLINK("http://maps.google.com/maps?f=q&amp;hl=en&amp;geocode=&amp;q=32.8281513865889,-98.5590145502591")</f>
        <v>http://maps.google.com/maps?f=q&amp;hl=en&amp;geocode=&amp;q=32.8281513865889,-98.5590145502591</v>
      </c>
    </row>
    <row r="12554" spans="1:7" ht="15" x14ac:dyDescent="0.3">
      <c r="A12554">
        <v>45.535631779459997</v>
      </c>
      <c r="B12554">
        <v>-122.920589346822</v>
      </c>
      <c r="C12554" t="s">
        <v>41</v>
      </c>
      <c r="D12554" t="s">
        <v>6977</v>
      </c>
      <c r="F12554" s="21"/>
      <c r="G12554" s="16" t="str">
        <f>HYPERLINK("http://maps.google.com/maps?f=q&amp;hl=en&amp;geocode=&amp;q=45.53563177946,-122.920589346822")</f>
        <v>http://maps.google.com/maps?f=q&amp;hl=en&amp;geocode=&amp;q=45.53563177946,-122.920589346822</v>
      </c>
    </row>
    <row r="12555" spans="1:7" ht="15" x14ac:dyDescent="0.3">
      <c r="A12555">
        <v>36.076194753478099</v>
      </c>
      <c r="B12555">
        <v>-83.794777011795205</v>
      </c>
      <c r="C12555" t="s">
        <v>41</v>
      </c>
      <c r="D12555" t="s">
        <v>6978</v>
      </c>
      <c r="F12555" s="21"/>
      <c r="G12555" s="16" t="str">
        <f>HYPERLINK("http://maps.google.com/maps?f=q&amp;hl=en&amp;geocode=&amp;q=36.0761947534781,-83.7947770117952")</f>
        <v>http://maps.google.com/maps?f=q&amp;hl=en&amp;geocode=&amp;q=36.0761947534781,-83.7947770117952</v>
      </c>
    </row>
    <row r="12556" spans="1:7" ht="15" x14ac:dyDescent="0.3">
      <c r="A12556">
        <v>42.169429999999998</v>
      </c>
      <c r="B12556">
        <v>-87.867440000000002</v>
      </c>
      <c r="C12556" t="s">
        <v>41</v>
      </c>
      <c r="D12556" t="s">
        <v>4196</v>
      </c>
      <c r="F12556" s="21"/>
      <c r="G12556" s="16" t="str">
        <f>HYPERLINK("http://maps.google.com/maps?f=q&amp;hl=en&amp;geocode=&amp;q=42.16943,-87.86744")</f>
        <v>http://maps.google.com/maps?f=q&amp;hl=en&amp;geocode=&amp;q=42.16943,-87.86744</v>
      </c>
    </row>
    <row r="12557" spans="1:7" ht="15" x14ac:dyDescent="0.3">
      <c r="A12557">
        <v>41.092313487596797</v>
      </c>
      <c r="B12557">
        <v>-85.112541453908094</v>
      </c>
      <c r="C12557" t="s">
        <v>41</v>
      </c>
      <c r="D12557" t="s">
        <v>3457</v>
      </c>
      <c r="F12557" s="21"/>
      <c r="G12557" s="16" t="str">
        <f>HYPERLINK("http://maps.google.com/maps?f=q&amp;hl=en&amp;geocode=&amp;q=41.0923134875968,-85.1125414539081")</f>
        <v>http://maps.google.com/maps?f=q&amp;hl=en&amp;geocode=&amp;q=41.0923134875968,-85.1125414539081</v>
      </c>
    </row>
    <row r="12558" spans="1:7" ht="15" x14ac:dyDescent="0.3">
      <c r="A12558">
        <v>40.570225705213403</v>
      </c>
      <c r="B12558">
        <v>-85.447010182953093</v>
      </c>
      <c r="C12558" t="s">
        <v>43</v>
      </c>
      <c r="D12558" t="s">
        <v>6979</v>
      </c>
      <c r="F12558" s="21"/>
      <c r="G12558" s="16" t="str">
        <f>HYPERLINK("http://maps.google.com/maps?f=q&amp;hl=en&amp;geocode=&amp;q=40.5702257052134,-85.4470101829531")</f>
        <v>http://maps.google.com/maps?f=q&amp;hl=en&amp;geocode=&amp;q=40.5702257052134,-85.4470101829531</v>
      </c>
    </row>
    <row r="12559" spans="1:7" ht="15" x14ac:dyDescent="0.3">
      <c r="A12559">
        <v>39.953200000000002</v>
      </c>
      <c r="B12559">
        <v>-75.192890000000006</v>
      </c>
      <c r="C12559" t="s">
        <v>41</v>
      </c>
      <c r="D12559" t="s">
        <v>6980</v>
      </c>
      <c r="F12559" s="21"/>
      <c r="G12559" s="16" t="str">
        <f>HYPERLINK("http://maps.google.com/maps?f=q&amp;hl=en&amp;geocode=&amp;q=39.9532,-75.19289")</f>
        <v>http://maps.google.com/maps?f=q&amp;hl=en&amp;geocode=&amp;q=39.9532,-75.19289</v>
      </c>
    </row>
    <row r="12560" spans="1:7" ht="15" x14ac:dyDescent="0.3">
      <c r="A12560">
        <v>43.623632196895798</v>
      </c>
      <c r="B12560">
        <v>-82.909818373719901</v>
      </c>
      <c r="C12560" t="s">
        <v>41</v>
      </c>
      <c r="D12560" t="s">
        <v>6578</v>
      </c>
      <c r="F12560" s="21"/>
      <c r="G12560" s="16" t="str">
        <f>HYPERLINK("http://maps.google.com/maps?f=q&amp;hl=en&amp;geocode=&amp;q=43.6236321968958,-82.9098183737199")</f>
        <v>http://maps.google.com/maps?f=q&amp;hl=en&amp;geocode=&amp;q=43.6236321968958,-82.9098183737199</v>
      </c>
    </row>
    <row r="12561" spans="1:7" ht="15" x14ac:dyDescent="0.3">
      <c r="A12561">
        <v>43.3756713867188</v>
      </c>
      <c r="B12561">
        <v>22.866447448730501</v>
      </c>
      <c r="C12561" t="s">
        <v>41</v>
      </c>
      <c r="D12561" t="s">
        <v>6976</v>
      </c>
      <c r="F12561" s="21"/>
      <c r="G12561" s="16" t="str">
        <f>HYPERLINK("http://maps.google.com/maps?f=q&amp;hl=en&amp;geocode=&amp;q=43.3756713867188,22.8664474487305")</f>
        <v>http://maps.google.com/maps?f=q&amp;hl=en&amp;geocode=&amp;q=43.3756713867188,22.8664474487305</v>
      </c>
    </row>
    <row r="12562" spans="1:7" ht="15" x14ac:dyDescent="0.3">
      <c r="A12562">
        <v>42.746749226772202</v>
      </c>
      <c r="B12562">
        <v>-88.975713120614401</v>
      </c>
      <c r="C12562" t="s">
        <v>41</v>
      </c>
      <c r="D12562" t="s">
        <v>6981</v>
      </c>
      <c r="F12562" s="21"/>
      <c r="G12562" s="16" t="str">
        <f>HYPERLINK("http://maps.google.com/maps?f=q&amp;hl=en&amp;geocode=&amp;q=42.7467492267722,-88.9757131206144")</f>
        <v>http://maps.google.com/maps?f=q&amp;hl=en&amp;geocode=&amp;q=42.7467492267722,-88.9757131206144</v>
      </c>
    </row>
    <row r="12563" spans="1:7" ht="15" x14ac:dyDescent="0.3">
      <c r="F12563" s="21"/>
      <c r="G12563" s="16"/>
    </row>
    <row r="12564" spans="1:7" ht="15" x14ac:dyDescent="0.3">
      <c r="A12564">
        <v>40.037979125976598</v>
      </c>
      <c r="B12564">
        <v>-75.223060607910199</v>
      </c>
      <c r="C12564" t="s">
        <v>41</v>
      </c>
      <c r="D12564" t="s">
        <v>2505</v>
      </c>
      <c r="F12564" s="21"/>
      <c r="G12564" s="16" t="str">
        <f>HYPERLINK("http://maps.google.com/maps?f=q&amp;hl=en&amp;geocode=&amp;q=40.0379791259766,-75.2230606079102")</f>
        <v>http://maps.google.com/maps?f=q&amp;hl=en&amp;geocode=&amp;q=40.0379791259766,-75.2230606079102</v>
      </c>
    </row>
    <row r="12565" spans="1:7" ht="15" x14ac:dyDescent="0.3">
      <c r="A12565">
        <v>37.058410000000002</v>
      </c>
      <c r="B12565">
        <v>-81.762090000000001</v>
      </c>
      <c r="C12565" t="s">
        <v>43</v>
      </c>
      <c r="D12565" t="s">
        <v>6982</v>
      </c>
      <c r="F12565" s="21"/>
      <c r="G12565" s="16" t="str">
        <f>HYPERLINK("http://maps.google.com/maps?f=q&amp;hl=en&amp;geocode=&amp;q=37.05841,-81.76209")</f>
        <v>http://maps.google.com/maps?f=q&amp;hl=en&amp;geocode=&amp;q=37.05841,-81.76209</v>
      </c>
    </row>
    <row r="12566" spans="1:7" ht="15" x14ac:dyDescent="0.3">
      <c r="A12566">
        <v>40.048650000000002</v>
      </c>
      <c r="B12566">
        <v>-75.066590000000005</v>
      </c>
      <c r="C12566" t="s">
        <v>42</v>
      </c>
      <c r="D12566" t="s">
        <v>6983</v>
      </c>
      <c r="F12566" s="21"/>
      <c r="G12566" s="16" t="str">
        <f>HYPERLINK("http://maps.google.com/maps?f=q&amp;hl=en&amp;geocode=&amp;q=40.04865,-75.06659")</f>
        <v>http://maps.google.com/maps?f=q&amp;hl=en&amp;geocode=&amp;q=40.04865,-75.06659</v>
      </c>
    </row>
    <row r="12567" spans="1:7" ht="15" x14ac:dyDescent="0.3">
      <c r="A12567">
        <v>51.508949279785199</v>
      </c>
      <c r="B12567">
        <v>-1.7500000074505799E-2</v>
      </c>
      <c r="C12567" t="s">
        <v>41</v>
      </c>
      <c r="D12567" t="s">
        <v>6984</v>
      </c>
      <c r="F12567" s="21"/>
      <c r="G12567" s="16" t="str">
        <f>HYPERLINK("http://maps.google.com/maps?f=q&amp;hl=en&amp;geocode=&amp;q=51.5089492797852,-0.0175000000745058")</f>
        <v>http://maps.google.com/maps?f=q&amp;hl=en&amp;geocode=&amp;q=51.5089492797852,-0.0175000000745058</v>
      </c>
    </row>
    <row r="12568" spans="1:7" ht="15" x14ac:dyDescent="0.3">
      <c r="A12568">
        <v>39.182571411132798</v>
      </c>
      <c r="B12568">
        <v>-77.270347595214801</v>
      </c>
      <c r="C12568" t="s">
        <v>41</v>
      </c>
      <c r="D12568" t="s">
        <v>3450</v>
      </c>
      <c r="F12568" s="21"/>
      <c r="G12568" s="16" t="str">
        <f>HYPERLINK("http://maps.google.com/maps?f=q&amp;hl=en&amp;geocode=&amp;q=39.1825714111328,-77.2703475952148")</f>
        <v>http://maps.google.com/maps?f=q&amp;hl=en&amp;geocode=&amp;q=39.1825714111328,-77.2703475952148</v>
      </c>
    </row>
    <row r="12569" spans="1:7" ht="15" x14ac:dyDescent="0.3">
      <c r="A12569">
        <v>39.182571411132798</v>
      </c>
      <c r="B12569">
        <v>-77.270347595214801</v>
      </c>
      <c r="C12569" t="s">
        <v>41</v>
      </c>
      <c r="D12569" t="s">
        <v>3450</v>
      </c>
      <c r="F12569" s="21"/>
      <c r="G12569" s="16" t="str">
        <f>HYPERLINK("http://maps.google.com/maps?f=q&amp;hl=en&amp;geocode=&amp;q=39.1825714111328,-77.2703475952148")</f>
        <v>http://maps.google.com/maps?f=q&amp;hl=en&amp;geocode=&amp;q=39.1825714111328,-77.2703475952148</v>
      </c>
    </row>
    <row r="12570" spans="1:7" ht="15" x14ac:dyDescent="0.3">
      <c r="A12570">
        <v>0.57650297880172696</v>
      </c>
      <c r="B12570">
        <v>37.839889526367202</v>
      </c>
      <c r="C12570" t="s">
        <v>41</v>
      </c>
      <c r="D12570" t="s">
        <v>6975</v>
      </c>
      <c r="F12570" s="21"/>
      <c r="G12570" s="16" t="str">
        <f>HYPERLINK("http://maps.google.com/maps?f=q&amp;hl=en&amp;geocode=&amp;q=0.576502978801727,37.8398895263672")</f>
        <v>http://maps.google.com/maps?f=q&amp;hl=en&amp;geocode=&amp;q=0.576502978801727,37.8398895263672</v>
      </c>
    </row>
    <row r="12571" spans="1:7" ht="15" x14ac:dyDescent="0.3">
      <c r="A12571">
        <v>38.217660000000002</v>
      </c>
      <c r="B12571">
        <v>-104.65282000000001</v>
      </c>
      <c r="C12571" t="s">
        <v>41</v>
      </c>
      <c r="D12571" t="s">
        <v>6985</v>
      </c>
      <c r="F12571" s="21"/>
      <c r="G12571" s="16" t="str">
        <f>HYPERLINK("http://maps.google.com/maps?f=q&amp;hl=en&amp;geocode=&amp;q=38.21766,-104.65282")</f>
        <v>http://maps.google.com/maps?f=q&amp;hl=en&amp;geocode=&amp;q=38.21766,-104.65282</v>
      </c>
    </row>
    <row r="12572" spans="1:7" ht="15" x14ac:dyDescent="0.3">
      <c r="A12572">
        <v>48.026901245117202</v>
      </c>
      <c r="B12572">
        <v>3.6677799224853498</v>
      </c>
      <c r="C12572" t="s">
        <v>43</v>
      </c>
      <c r="D12572" t="s">
        <v>551</v>
      </c>
      <c r="F12572" s="21"/>
      <c r="G12572" s="16" t="str">
        <f>HYPERLINK("http://maps.google.com/maps?f=q&amp;hl=en&amp;geocode=&amp;q=48.0269012451172,3.66777992248535")</f>
        <v>http://maps.google.com/maps?f=q&amp;hl=en&amp;geocode=&amp;q=48.0269012451172,3.66777992248535</v>
      </c>
    </row>
    <row r="12573" spans="1:7" ht="15" x14ac:dyDescent="0.3">
      <c r="A12573">
        <v>35.350504602861797</v>
      </c>
      <c r="B12573">
        <v>-79.886077614436701</v>
      </c>
      <c r="C12573" t="s">
        <v>41</v>
      </c>
      <c r="D12573" t="s">
        <v>6986</v>
      </c>
      <c r="F12573" s="21"/>
      <c r="G12573" s="16" t="str">
        <f>HYPERLINK("http://maps.google.com/maps?f=q&amp;hl=en&amp;geocode=&amp;q=35.3505046028618,-79.8860776144367")</f>
        <v>http://maps.google.com/maps?f=q&amp;hl=en&amp;geocode=&amp;q=35.3505046028618,-79.8860776144367</v>
      </c>
    </row>
    <row r="12574" spans="1:7" ht="15" x14ac:dyDescent="0.3">
      <c r="A12574">
        <v>-31.886900000000001</v>
      </c>
      <c r="B12574">
        <v>115.94752</v>
      </c>
      <c r="C12574" t="s">
        <v>41</v>
      </c>
      <c r="D12574" t="s">
        <v>6987</v>
      </c>
      <c r="F12574" s="21"/>
      <c r="G12574" s="16" t="str">
        <f>HYPERLINK("http://maps.google.com/maps?f=q&amp;hl=en&amp;geocode=&amp;q=-31.8869,115.94752")</f>
        <v>http://maps.google.com/maps?f=q&amp;hl=en&amp;geocode=&amp;q=-31.8869,115.94752</v>
      </c>
    </row>
    <row r="12575" spans="1:7" ht="15" x14ac:dyDescent="0.3">
      <c r="A12575">
        <v>39.964120000000001</v>
      </c>
      <c r="B12575">
        <v>-75.2303</v>
      </c>
      <c r="C12575" t="s">
        <v>41</v>
      </c>
      <c r="D12575" t="s">
        <v>827</v>
      </c>
      <c r="F12575" s="21"/>
      <c r="G12575" s="16" t="str">
        <f>HYPERLINK("http://maps.google.com/maps?f=q&amp;hl=en&amp;geocode=&amp;q=39.96412,-75.2303")</f>
        <v>http://maps.google.com/maps?f=q&amp;hl=en&amp;geocode=&amp;q=39.96412,-75.2303</v>
      </c>
    </row>
    <row r="12576" spans="1:7" ht="15" x14ac:dyDescent="0.3">
      <c r="A12576">
        <v>40.052390000000003</v>
      </c>
      <c r="B12576">
        <v>-75.158050000000003</v>
      </c>
      <c r="C12576" t="s">
        <v>41</v>
      </c>
      <c r="D12576" t="s">
        <v>6988</v>
      </c>
      <c r="F12576" s="21"/>
      <c r="G12576" s="16" t="str">
        <f>HYPERLINK("http://maps.google.com/maps?f=q&amp;hl=en&amp;geocode=&amp;q=40.05239,-75.15805")</f>
        <v>http://maps.google.com/maps?f=q&amp;hl=en&amp;geocode=&amp;q=40.05239,-75.15805</v>
      </c>
    </row>
    <row r="12577" spans="1:7" ht="15" x14ac:dyDescent="0.3">
      <c r="A12577">
        <v>35.644132448771302</v>
      </c>
      <c r="B12577">
        <v>-101.45130037774599</v>
      </c>
      <c r="C12577" t="s">
        <v>43</v>
      </c>
      <c r="D12577" t="s">
        <v>2158</v>
      </c>
      <c r="F12577" s="21"/>
      <c r="G12577" s="16" t="str">
        <f>HYPERLINK("http://maps.google.com/maps?f=q&amp;hl=en&amp;geocode=&amp;q=35.6441324487713,-101.451300377746")</f>
        <v>http://maps.google.com/maps?f=q&amp;hl=en&amp;geocode=&amp;q=35.6441324487713,-101.451300377746</v>
      </c>
    </row>
    <row r="12578" spans="1:7" ht="15" x14ac:dyDescent="0.3">
      <c r="A12578">
        <v>40.343330383300803</v>
      </c>
      <c r="B12578">
        <v>-75.805000305175795</v>
      </c>
      <c r="C12578" t="s">
        <v>41</v>
      </c>
      <c r="D12578" t="s">
        <v>6989</v>
      </c>
      <c r="F12578" s="21"/>
      <c r="G12578" s="16" t="str">
        <f>HYPERLINK("http://maps.google.com/maps?f=q&amp;hl=en&amp;geocode=&amp;q=40.3433303833008,-75.8050003051758")</f>
        <v>http://maps.google.com/maps?f=q&amp;hl=en&amp;geocode=&amp;q=40.3433303833008,-75.8050003051758</v>
      </c>
    </row>
    <row r="12579" spans="1:7" ht="15" x14ac:dyDescent="0.3">
      <c r="A12579" t="s">
        <v>44</v>
      </c>
      <c r="B12579" t="s">
        <v>44</v>
      </c>
      <c r="C12579" t="s">
        <v>44</v>
      </c>
      <c r="D12579" t="s">
        <v>6990</v>
      </c>
      <c r="F12579" s="21"/>
      <c r="G12579" s="16"/>
    </row>
    <row r="12580" spans="1:7" ht="15" x14ac:dyDescent="0.3">
      <c r="A12580">
        <v>39.962665857783499</v>
      </c>
      <c r="B12580">
        <v>-77.074246203038598</v>
      </c>
      <c r="C12580" t="s">
        <v>41</v>
      </c>
      <c r="D12580" t="s">
        <v>6991</v>
      </c>
      <c r="F12580" s="21"/>
      <c r="G12580" s="16" t="str">
        <f>HYPERLINK("http://maps.google.com/maps?f=q&amp;hl=en&amp;geocode=&amp;q=39.9626658577835,-77.0742462030386")</f>
        <v>http://maps.google.com/maps?f=q&amp;hl=en&amp;geocode=&amp;q=39.9626658577835,-77.0742462030386</v>
      </c>
    </row>
    <row r="12581" spans="1:7" ht="15" x14ac:dyDescent="0.3">
      <c r="A12581">
        <v>40.240113182502803</v>
      </c>
      <c r="B12581">
        <v>-77.051440745918896</v>
      </c>
      <c r="C12581" t="s">
        <v>41</v>
      </c>
      <c r="D12581" t="s">
        <v>2448</v>
      </c>
      <c r="F12581" s="21"/>
      <c r="G12581" s="16" t="str">
        <f>HYPERLINK("http://maps.google.com/maps?f=q&amp;hl=en&amp;geocode=&amp;q=40.2401131825028,-77.0514407459189")</f>
        <v>http://maps.google.com/maps?f=q&amp;hl=en&amp;geocode=&amp;q=40.2401131825028,-77.0514407459189</v>
      </c>
    </row>
    <row r="12582" spans="1:7" ht="15" x14ac:dyDescent="0.3">
      <c r="A12582">
        <v>40.240113182502803</v>
      </c>
      <c r="B12582">
        <v>-77.051440745918896</v>
      </c>
      <c r="C12582" t="s">
        <v>41</v>
      </c>
      <c r="D12582" t="s">
        <v>2448</v>
      </c>
      <c r="F12582" s="21"/>
      <c r="G12582" s="16" t="str">
        <f>HYPERLINK("http://maps.google.com/maps?f=q&amp;hl=en&amp;geocode=&amp;q=40.2401131825028,-77.0514407459189")</f>
        <v>http://maps.google.com/maps?f=q&amp;hl=en&amp;geocode=&amp;q=40.2401131825028,-77.0514407459189</v>
      </c>
    </row>
    <row r="12583" spans="1:7" ht="15" x14ac:dyDescent="0.3">
      <c r="A12583" t="s">
        <v>44</v>
      </c>
      <c r="B12583" t="s">
        <v>44</v>
      </c>
      <c r="C12583" t="s">
        <v>44</v>
      </c>
      <c r="D12583" t="s">
        <v>6992</v>
      </c>
      <c r="F12583" s="21"/>
      <c r="G12583" s="16"/>
    </row>
    <row r="12584" spans="1:7" ht="15" x14ac:dyDescent="0.3">
      <c r="A12584" t="s">
        <v>44</v>
      </c>
      <c r="B12584" t="s">
        <v>44</v>
      </c>
      <c r="C12584" t="s">
        <v>44</v>
      </c>
      <c r="D12584" t="s">
        <v>5376</v>
      </c>
      <c r="F12584" s="21"/>
      <c r="G12584" s="16"/>
    </row>
    <row r="12585" spans="1:7" ht="15" x14ac:dyDescent="0.3">
      <c r="A12585">
        <v>36.354469999999999</v>
      </c>
      <c r="B12585">
        <v>-82.222139999999996</v>
      </c>
      <c r="C12585" t="s">
        <v>42</v>
      </c>
      <c r="D12585" t="s">
        <v>3096</v>
      </c>
      <c r="F12585" s="21"/>
      <c r="G12585" s="16" t="str">
        <f>HYPERLINK("http://maps.google.com/maps?f=q&amp;hl=en&amp;geocode=&amp;q=36.35447,-82.22214")</f>
        <v>http://maps.google.com/maps?f=q&amp;hl=en&amp;geocode=&amp;q=36.35447,-82.22214</v>
      </c>
    </row>
    <row r="12586" spans="1:7" ht="15" x14ac:dyDescent="0.3">
      <c r="A12586">
        <v>37.1526</v>
      </c>
      <c r="B12586">
        <v>-88.725070000000002</v>
      </c>
      <c r="C12586" t="s">
        <v>43</v>
      </c>
      <c r="D12586" t="s">
        <v>6993</v>
      </c>
      <c r="F12586" s="21"/>
      <c r="G12586" s="16" t="str">
        <f>HYPERLINK("http://maps.google.com/maps?f=q&amp;hl=en&amp;geocode=&amp;q=37.1526,-88.72507")</f>
        <v>http://maps.google.com/maps?f=q&amp;hl=en&amp;geocode=&amp;q=37.1526,-88.72507</v>
      </c>
    </row>
    <row r="12587" spans="1:7" ht="15" x14ac:dyDescent="0.3">
      <c r="A12587">
        <v>36.093150000000001</v>
      </c>
      <c r="B12587">
        <v>-78.968919999999997</v>
      </c>
      <c r="C12587" t="s">
        <v>42</v>
      </c>
      <c r="D12587" t="s">
        <v>6844</v>
      </c>
      <c r="F12587" s="21"/>
      <c r="G12587" s="16" t="str">
        <f>HYPERLINK("http://maps.google.com/maps?f=q&amp;hl=en&amp;geocode=&amp;q=36.09315,-78.96892")</f>
        <v>http://maps.google.com/maps?f=q&amp;hl=en&amp;geocode=&amp;q=36.09315,-78.96892</v>
      </c>
    </row>
    <row r="12588" spans="1:7" ht="15" x14ac:dyDescent="0.3">
      <c r="A12588">
        <v>43.156482636522803</v>
      </c>
      <c r="B12588">
        <v>-96.432189274564095</v>
      </c>
      <c r="C12588" t="s">
        <v>41</v>
      </c>
      <c r="D12588" t="s">
        <v>6994</v>
      </c>
      <c r="F12588" s="21"/>
      <c r="G12588" s="16" t="str">
        <f>HYPERLINK("http://maps.google.com/maps?f=q&amp;hl=en&amp;geocode=&amp;q=43.1564826365228,-96.4321892745641")</f>
        <v>http://maps.google.com/maps?f=q&amp;hl=en&amp;geocode=&amp;q=43.1564826365228,-96.4321892745641</v>
      </c>
    </row>
    <row r="12589" spans="1:7" ht="15" x14ac:dyDescent="0.3">
      <c r="A12589">
        <v>59.922351837158203</v>
      </c>
      <c r="B12589">
        <v>11.178321838378899</v>
      </c>
      <c r="C12589" t="s">
        <v>43</v>
      </c>
      <c r="D12589" t="s">
        <v>6995</v>
      </c>
      <c r="F12589" s="21"/>
      <c r="G12589" s="16" t="str">
        <f>HYPERLINK("http://maps.google.com/maps?f=q&amp;hl=en&amp;geocode=&amp;q=59.9223518371582,11.1783218383789")</f>
        <v>http://maps.google.com/maps?f=q&amp;hl=en&amp;geocode=&amp;q=59.9223518371582,11.1783218383789</v>
      </c>
    </row>
    <row r="12590" spans="1:7" ht="15" x14ac:dyDescent="0.3">
      <c r="A12590">
        <v>59.922351837158203</v>
      </c>
      <c r="B12590">
        <v>11.178321838378899</v>
      </c>
      <c r="C12590" t="s">
        <v>43</v>
      </c>
      <c r="D12590" t="s">
        <v>6995</v>
      </c>
      <c r="F12590" s="21"/>
      <c r="G12590" s="16" t="str">
        <f>HYPERLINK("http://maps.google.com/maps?f=q&amp;hl=en&amp;geocode=&amp;q=59.9223518371582,11.1783218383789")</f>
        <v>http://maps.google.com/maps?f=q&amp;hl=en&amp;geocode=&amp;q=59.9223518371582,11.1783218383789</v>
      </c>
    </row>
    <row r="12591" spans="1:7" ht="15" x14ac:dyDescent="0.3">
      <c r="A12591">
        <v>37.860477293610998</v>
      </c>
      <c r="B12591">
        <v>-82.804754194483493</v>
      </c>
      <c r="C12591" t="s">
        <v>41</v>
      </c>
      <c r="D12591" t="s">
        <v>6849</v>
      </c>
      <c r="F12591" s="21"/>
      <c r="G12591" s="16" t="str">
        <f>HYPERLINK("http://maps.google.com/maps?f=q&amp;hl=en&amp;geocode=&amp;q=37.860477293611,-82.8047541944835")</f>
        <v>http://maps.google.com/maps?f=q&amp;hl=en&amp;geocode=&amp;q=37.860477293611,-82.8047541944835</v>
      </c>
    </row>
    <row r="12592" spans="1:7" ht="15" x14ac:dyDescent="0.3">
      <c r="A12592">
        <v>32.305099543763099</v>
      </c>
      <c r="B12592">
        <v>-83.164669940711903</v>
      </c>
      <c r="C12592" t="s">
        <v>41</v>
      </c>
      <c r="D12592" t="s">
        <v>6996</v>
      </c>
      <c r="F12592" s="21"/>
      <c r="G12592" s="16" t="str">
        <f>HYPERLINK("http://maps.google.com/maps?f=q&amp;hl=en&amp;geocode=&amp;q=32.3050995437631,-83.1646699407119")</f>
        <v>http://maps.google.com/maps?f=q&amp;hl=en&amp;geocode=&amp;q=32.3050995437631,-83.1646699407119</v>
      </c>
    </row>
    <row r="12593" spans="1:7" ht="15" x14ac:dyDescent="0.3">
      <c r="A12593">
        <v>-25.292289733886701</v>
      </c>
      <c r="B12593">
        <v>-57.6328315734863</v>
      </c>
      <c r="C12593" t="s">
        <v>43</v>
      </c>
      <c r="D12593" t="s">
        <v>6997</v>
      </c>
      <c r="F12593" s="21"/>
      <c r="G12593" s="16" t="str">
        <f>HYPERLINK("http://maps.google.com/maps?f=q&amp;hl=en&amp;geocode=&amp;q=-25.2922897338867,-57.6328315734863")</f>
        <v>http://maps.google.com/maps?f=q&amp;hl=en&amp;geocode=&amp;q=-25.2922897338867,-57.6328315734863</v>
      </c>
    </row>
    <row r="12594" spans="1:7" ht="15" x14ac:dyDescent="0.3">
      <c r="A12594">
        <v>39.4432563781738</v>
      </c>
      <c r="B12594">
        <v>-98.957336425781307</v>
      </c>
      <c r="C12594" t="s">
        <v>43</v>
      </c>
      <c r="D12594" t="s">
        <v>6998</v>
      </c>
      <c r="F12594" s="21"/>
      <c r="G12594" s="16" t="str">
        <f>HYPERLINK("http://maps.google.com/maps?f=q&amp;hl=en&amp;geocode=&amp;q=39.4432563781738,-98.9573364257813")</f>
        <v>http://maps.google.com/maps?f=q&amp;hl=en&amp;geocode=&amp;q=39.4432563781738,-98.9573364257813</v>
      </c>
    </row>
    <row r="12595" spans="1:7" ht="15" x14ac:dyDescent="0.3">
      <c r="A12595">
        <v>36.093150000000001</v>
      </c>
      <c r="B12595">
        <v>-78.968919999999997</v>
      </c>
      <c r="C12595" t="s">
        <v>42</v>
      </c>
      <c r="D12595" t="s">
        <v>6844</v>
      </c>
      <c r="F12595" s="21"/>
      <c r="G12595" s="16" t="str">
        <f>HYPERLINK("http://maps.google.com/maps?f=q&amp;hl=en&amp;geocode=&amp;q=36.09315,-78.96892")</f>
        <v>http://maps.google.com/maps?f=q&amp;hl=en&amp;geocode=&amp;q=36.09315,-78.96892</v>
      </c>
    </row>
    <row r="12596" spans="1:7" ht="15" x14ac:dyDescent="0.3">
      <c r="A12596">
        <v>34.542929999999998</v>
      </c>
      <c r="B12596">
        <v>-93.182190000000006</v>
      </c>
      <c r="C12596" t="s">
        <v>43</v>
      </c>
      <c r="D12596" t="s">
        <v>6436</v>
      </c>
      <c r="F12596" s="21"/>
      <c r="G12596" s="16" t="str">
        <f>HYPERLINK("http://maps.google.com/maps?f=q&amp;hl=en&amp;geocode=&amp;q=34.54293,-93.18219")</f>
        <v>http://maps.google.com/maps?f=q&amp;hl=en&amp;geocode=&amp;q=34.54293,-93.18219</v>
      </c>
    </row>
    <row r="12597" spans="1:7" ht="15" x14ac:dyDescent="0.3">
      <c r="A12597">
        <v>31.846613616730799</v>
      </c>
      <c r="B12597">
        <v>-84.754748946477704</v>
      </c>
      <c r="C12597" t="s">
        <v>41</v>
      </c>
      <c r="D12597" t="s">
        <v>6999</v>
      </c>
      <c r="F12597" s="21"/>
      <c r="G12597" s="16" t="str">
        <f>HYPERLINK("http://maps.google.com/maps?f=q&amp;hl=en&amp;geocode=&amp;q=31.8466136167308,-84.7547489464777")</f>
        <v>http://maps.google.com/maps?f=q&amp;hl=en&amp;geocode=&amp;q=31.8466136167308,-84.7547489464777</v>
      </c>
    </row>
    <row r="12598" spans="1:7" ht="15" x14ac:dyDescent="0.3">
      <c r="A12598">
        <v>40.84984</v>
      </c>
      <c r="B12598">
        <v>-73.918869999999998</v>
      </c>
      <c r="C12598" t="s">
        <v>41</v>
      </c>
      <c r="D12598" t="s">
        <v>5874</v>
      </c>
      <c r="F12598" s="21"/>
      <c r="G12598" s="16" t="str">
        <f>HYPERLINK("http://maps.google.com/maps?f=q&amp;hl=en&amp;geocode=&amp;q=40.84984,-73.91887")</f>
        <v>http://maps.google.com/maps?f=q&amp;hl=en&amp;geocode=&amp;q=40.84984,-73.91887</v>
      </c>
    </row>
    <row r="12599" spans="1:7" ht="15" x14ac:dyDescent="0.3">
      <c r="A12599">
        <v>50.5953559875488</v>
      </c>
      <c r="B12599">
        <v>4.6214451789856001</v>
      </c>
      <c r="C12599" t="s">
        <v>41</v>
      </c>
      <c r="D12599" t="s">
        <v>7000</v>
      </c>
      <c r="F12599" s="21"/>
      <c r="G12599" s="16" t="str">
        <f>HYPERLINK("http://maps.google.com/maps?f=q&amp;hl=en&amp;geocode=&amp;q=50.5953559875488,4.6214451789856")</f>
        <v>http://maps.google.com/maps?f=q&amp;hl=en&amp;geocode=&amp;q=50.5953559875488,4.6214451789856</v>
      </c>
    </row>
    <row r="12600" spans="1:7" ht="15" x14ac:dyDescent="0.3">
      <c r="A12600">
        <v>50.723228454589801</v>
      </c>
      <c r="B12600">
        <v>4.6152939796447798</v>
      </c>
      <c r="C12600" t="s">
        <v>43</v>
      </c>
      <c r="D12600" t="s">
        <v>7001</v>
      </c>
      <c r="F12600" s="21"/>
      <c r="G12600" s="16" t="str">
        <f>HYPERLINK("http://maps.google.com/maps?f=q&amp;hl=en&amp;geocode=&amp;q=50.7232284545898,4.61529397964478")</f>
        <v>http://maps.google.com/maps?f=q&amp;hl=en&amp;geocode=&amp;q=50.7232284545898,4.61529397964478</v>
      </c>
    </row>
    <row r="12601" spans="1:7" ht="15" x14ac:dyDescent="0.3">
      <c r="A12601">
        <v>34.995820000000002</v>
      </c>
      <c r="B12601">
        <v>-81.136610000000005</v>
      </c>
      <c r="C12601" t="s">
        <v>42</v>
      </c>
      <c r="D12601" t="s">
        <v>3198</v>
      </c>
      <c r="F12601" s="21"/>
      <c r="G12601" s="16" t="str">
        <f>HYPERLINK("http://maps.google.com/maps?f=q&amp;hl=en&amp;geocode=&amp;q=34.99582,-81.13661")</f>
        <v>http://maps.google.com/maps?f=q&amp;hl=en&amp;geocode=&amp;q=34.99582,-81.13661</v>
      </c>
    </row>
    <row r="12602" spans="1:7" ht="15" x14ac:dyDescent="0.3">
      <c r="A12602">
        <v>43.5252716445084</v>
      </c>
      <c r="B12602">
        <v>-84.1974625212071</v>
      </c>
      <c r="C12602" t="s">
        <v>41</v>
      </c>
      <c r="D12602" t="s">
        <v>7002</v>
      </c>
      <c r="F12602" s="21"/>
      <c r="G12602" s="16" t="str">
        <f>HYPERLINK("http://maps.google.com/maps?f=q&amp;hl=en&amp;geocode=&amp;q=43.5252716445084,-84.1974625212071")</f>
        <v>http://maps.google.com/maps?f=q&amp;hl=en&amp;geocode=&amp;q=43.5252716445084,-84.1974625212071</v>
      </c>
    </row>
    <row r="12603" spans="1:7" ht="15" x14ac:dyDescent="0.3">
      <c r="A12603">
        <v>27.8518991526864</v>
      </c>
      <c r="B12603">
        <v>-82.494309160829502</v>
      </c>
      <c r="C12603" t="s">
        <v>43</v>
      </c>
      <c r="D12603" t="s">
        <v>7003</v>
      </c>
      <c r="F12603" s="21"/>
      <c r="G12603" s="16" t="str">
        <f>HYPERLINK("http://maps.google.com/maps?f=q&amp;hl=en&amp;geocode=&amp;q=27.8518991526864,-82.4943091608295")</f>
        <v>http://maps.google.com/maps?f=q&amp;hl=en&amp;geocode=&amp;q=27.8518991526864,-82.4943091608295</v>
      </c>
    </row>
    <row r="12604" spans="1:7" ht="15" x14ac:dyDescent="0.3">
      <c r="A12604">
        <v>39.182571411132798</v>
      </c>
      <c r="B12604">
        <v>-77.270347595214801</v>
      </c>
      <c r="C12604" t="s">
        <v>41</v>
      </c>
      <c r="D12604" t="s">
        <v>3450</v>
      </c>
      <c r="F12604" s="21"/>
      <c r="G12604" s="16" t="str">
        <f>HYPERLINK("http://maps.google.com/maps?f=q&amp;hl=en&amp;geocode=&amp;q=39.1825714111328,-77.2703475952148")</f>
        <v>http://maps.google.com/maps?f=q&amp;hl=en&amp;geocode=&amp;q=39.1825714111328,-77.2703475952148</v>
      </c>
    </row>
    <row r="12605" spans="1:7" ht="15" x14ac:dyDescent="0.3">
      <c r="A12605">
        <v>39.954070000000002</v>
      </c>
      <c r="B12605">
        <v>-75.211920000000006</v>
      </c>
      <c r="C12605" t="s">
        <v>43</v>
      </c>
      <c r="D12605" t="s">
        <v>7004</v>
      </c>
      <c r="F12605" s="21"/>
      <c r="G12605" s="16" t="str">
        <f>HYPERLINK("http://maps.google.com/maps?f=q&amp;hl=en&amp;geocode=&amp;q=39.95407,-75.21192")</f>
        <v>http://maps.google.com/maps?f=q&amp;hl=en&amp;geocode=&amp;q=39.95407,-75.21192</v>
      </c>
    </row>
    <row r="12606" spans="1:7" ht="15" x14ac:dyDescent="0.3">
      <c r="A12606">
        <v>42.999576568603501</v>
      </c>
      <c r="B12606">
        <v>-107.551513671875</v>
      </c>
      <c r="C12606" t="s">
        <v>41</v>
      </c>
      <c r="D12606" t="s">
        <v>7005</v>
      </c>
      <c r="F12606" s="21"/>
      <c r="G12606" s="16" t="str">
        <f>HYPERLINK("http://maps.google.com/maps?f=q&amp;hl=en&amp;geocode=&amp;q=42.9995765686035,-107.551513671875")</f>
        <v>http://maps.google.com/maps?f=q&amp;hl=en&amp;geocode=&amp;q=42.9995765686035,-107.551513671875</v>
      </c>
    </row>
    <row r="12607" spans="1:7" ht="15" x14ac:dyDescent="0.3">
      <c r="A12607">
        <v>41.419338226318402</v>
      </c>
      <c r="B12607">
        <v>-75.072662353515597</v>
      </c>
      <c r="C12607" t="s">
        <v>41</v>
      </c>
      <c r="D12607" t="s">
        <v>3911</v>
      </c>
      <c r="F12607" s="21"/>
      <c r="G12607" s="16" t="str">
        <f>HYPERLINK("http://maps.google.com/maps?f=q&amp;hl=en&amp;geocode=&amp;q=41.4193382263184,-75.0726623535156")</f>
        <v>http://maps.google.com/maps?f=q&amp;hl=en&amp;geocode=&amp;q=41.4193382263184,-75.0726623535156</v>
      </c>
    </row>
    <row r="12608" spans="1:7" ht="15" x14ac:dyDescent="0.3">
      <c r="A12608">
        <v>39.182571411132798</v>
      </c>
      <c r="B12608">
        <v>-77.270347595214801</v>
      </c>
      <c r="C12608" t="s">
        <v>41</v>
      </c>
      <c r="D12608" t="s">
        <v>3450</v>
      </c>
      <c r="F12608" s="21"/>
      <c r="G12608" s="16" t="str">
        <f>HYPERLINK("http://maps.google.com/maps?f=q&amp;hl=en&amp;geocode=&amp;q=39.1825714111328,-77.2703475952148")</f>
        <v>http://maps.google.com/maps?f=q&amp;hl=en&amp;geocode=&amp;q=39.1825714111328,-77.2703475952148</v>
      </c>
    </row>
    <row r="12609" spans="1:7" ht="15" x14ac:dyDescent="0.3">
      <c r="A12609" t="s">
        <v>44</v>
      </c>
      <c r="B12609" t="s">
        <v>44</v>
      </c>
      <c r="C12609" t="s">
        <v>44</v>
      </c>
      <c r="D12609" t="s">
        <v>6875</v>
      </c>
      <c r="F12609" s="21"/>
      <c r="G12609" s="16"/>
    </row>
    <row r="12610" spans="1:7" ht="15" x14ac:dyDescent="0.3">
      <c r="A12610">
        <v>32.7229478782439</v>
      </c>
      <c r="B12610">
        <v>-96.832599826110496</v>
      </c>
      <c r="C12610" t="s">
        <v>41</v>
      </c>
      <c r="D12610" t="s">
        <v>1662</v>
      </c>
      <c r="F12610" s="21"/>
      <c r="G12610" s="16" t="str">
        <f>HYPERLINK("http://maps.google.com/maps?f=q&amp;hl=en&amp;geocode=&amp;q=32.7229478782439,-96.8325998261105")</f>
        <v>http://maps.google.com/maps?f=q&amp;hl=en&amp;geocode=&amp;q=32.7229478782439,-96.8325998261105</v>
      </c>
    </row>
    <row r="12611" spans="1:7" ht="15" x14ac:dyDescent="0.3">
      <c r="A12611" t="s">
        <v>44</v>
      </c>
      <c r="B12611" t="s">
        <v>44</v>
      </c>
      <c r="C12611" t="s">
        <v>44</v>
      </c>
      <c r="D12611" t="s">
        <v>7006</v>
      </c>
      <c r="F12611" s="21"/>
      <c r="G12611" s="16"/>
    </row>
    <row r="12612" spans="1:7" ht="15" x14ac:dyDescent="0.3">
      <c r="A12612">
        <v>40.00141</v>
      </c>
      <c r="B12612">
        <v>-75.076650000000001</v>
      </c>
      <c r="C12612" t="s">
        <v>41</v>
      </c>
      <c r="D12612" t="s">
        <v>7007</v>
      </c>
      <c r="F12612" s="21"/>
      <c r="G12612" s="16" t="str">
        <f>HYPERLINK("http://maps.google.com/maps?f=q&amp;hl=en&amp;geocode=&amp;q=40.00141,-75.07665")</f>
        <v>http://maps.google.com/maps?f=q&amp;hl=en&amp;geocode=&amp;q=40.00141,-75.07665</v>
      </c>
    </row>
    <row r="12613" spans="1:7" ht="15" x14ac:dyDescent="0.3">
      <c r="A12613">
        <v>42.470289999999999</v>
      </c>
      <c r="B12613">
        <v>-83.077780000000004</v>
      </c>
      <c r="C12613" t="s">
        <v>42</v>
      </c>
      <c r="D12613" t="s">
        <v>130</v>
      </c>
      <c r="F12613" s="21"/>
      <c r="G12613" s="16" t="str">
        <f>HYPERLINK("http://maps.google.com/maps?f=q&amp;hl=en&amp;geocode=&amp;q=42.47029,-83.07778")</f>
        <v>http://maps.google.com/maps?f=q&amp;hl=en&amp;geocode=&amp;q=42.47029,-83.07778</v>
      </c>
    </row>
    <row r="12614" spans="1:7" ht="15" x14ac:dyDescent="0.3">
      <c r="A12614">
        <v>41.078392516104003</v>
      </c>
      <c r="B12614">
        <v>-90.223289191927293</v>
      </c>
      <c r="C12614" t="s">
        <v>41</v>
      </c>
      <c r="D12614" t="s">
        <v>1753</v>
      </c>
      <c r="F12614" s="21"/>
      <c r="G12614" s="16" t="str">
        <f>HYPERLINK("http://maps.google.com/maps?f=q&amp;hl=en&amp;geocode=&amp;q=41.078392516104,-90.2232891919273")</f>
        <v>http://maps.google.com/maps?f=q&amp;hl=en&amp;geocode=&amp;q=41.078392516104,-90.2232891919273</v>
      </c>
    </row>
    <row r="12615" spans="1:7" ht="15" x14ac:dyDescent="0.3">
      <c r="A12615">
        <v>40.036731719970703</v>
      </c>
      <c r="B12615">
        <v>-74.908149719238295</v>
      </c>
      <c r="C12615" t="s">
        <v>43</v>
      </c>
      <c r="D12615" t="s">
        <v>3663</v>
      </c>
      <c r="F12615" s="21"/>
      <c r="G12615" s="16" t="str">
        <f>HYPERLINK("http://maps.google.com/maps?f=q&amp;hl=en&amp;geocode=&amp;q=40.0367317199707,-74.9081497192383")</f>
        <v>http://maps.google.com/maps?f=q&amp;hl=en&amp;geocode=&amp;q=40.0367317199707,-74.9081497192383</v>
      </c>
    </row>
    <row r="12616" spans="1:7" ht="15" x14ac:dyDescent="0.3">
      <c r="A12616">
        <v>40.132370000000002</v>
      </c>
      <c r="B12616">
        <v>-75.007909999999995</v>
      </c>
      <c r="C12616" t="s">
        <v>41</v>
      </c>
      <c r="D12616" t="s">
        <v>55</v>
      </c>
      <c r="F12616" s="21"/>
      <c r="G12616" s="16" t="str">
        <f>HYPERLINK("http://maps.google.com/maps?f=q&amp;hl=en&amp;geocode=&amp;q=40.13237,-75.00791")</f>
        <v>http://maps.google.com/maps?f=q&amp;hl=en&amp;geocode=&amp;q=40.13237,-75.00791</v>
      </c>
    </row>
    <row r="12617" spans="1:7" ht="15" x14ac:dyDescent="0.3">
      <c r="A12617">
        <v>39.949610320660298</v>
      </c>
      <c r="B12617">
        <v>-75.160566511971297</v>
      </c>
      <c r="C12617" t="s">
        <v>41</v>
      </c>
      <c r="D12617" t="s">
        <v>7008</v>
      </c>
      <c r="F12617" s="21"/>
      <c r="G12617" s="16" t="str">
        <f>HYPERLINK("http://maps.google.com/maps?f=q&amp;hl=en&amp;geocode=&amp;q=39.9496103206603,-75.1605665119713")</f>
        <v>http://maps.google.com/maps?f=q&amp;hl=en&amp;geocode=&amp;q=39.9496103206603,-75.1605665119713</v>
      </c>
    </row>
    <row r="12618" spans="1:7" ht="15" x14ac:dyDescent="0.3">
      <c r="A12618">
        <v>22.0663356781006</v>
      </c>
      <c r="B12618">
        <v>-79.453147888183594</v>
      </c>
      <c r="C12618" t="s">
        <v>41</v>
      </c>
      <c r="D12618" t="s">
        <v>4919</v>
      </c>
      <c r="F12618" s="21"/>
      <c r="G12618" s="16" t="str">
        <f>HYPERLINK("http://maps.google.com/maps?f=q&amp;hl=en&amp;geocode=&amp;q=22.0663356781006,-79.4531478881836")</f>
        <v>http://maps.google.com/maps?f=q&amp;hl=en&amp;geocode=&amp;q=22.0663356781006,-79.4531478881836</v>
      </c>
    </row>
    <row r="12619" spans="1:7" ht="15" x14ac:dyDescent="0.3">
      <c r="A12619">
        <v>36.093150000000001</v>
      </c>
      <c r="B12619">
        <v>-78.968919999999997</v>
      </c>
      <c r="C12619" t="s">
        <v>42</v>
      </c>
      <c r="D12619" t="s">
        <v>6844</v>
      </c>
      <c r="F12619" s="21"/>
      <c r="G12619" s="16" t="str">
        <f>HYPERLINK("http://maps.google.com/maps?f=q&amp;hl=en&amp;geocode=&amp;q=36.09315,-78.96892")</f>
        <v>http://maps.google.com/maps?f=q&amp;hl=en&amp;geocode=&amp;q=36.09315,-78.96892</v>
      </c>
    </row>
    <row r="12620" spans="1:7" ht="15" x14ac:dyDescent="0.3">
      <c r="A12620">
        <v>38.894852213008498</v>
      </c>
      <c r="B12620">
        <v>-84.233245863317606</v>
      </c>
      <c r="C12620" t="s">
        <v>41</v>
      </c>
      <c r="D12620" t="s">
        <v>6137</v>
      </c>
      <c r="F12620" s="21"/>
      <c r="G12620" s="16" t="str">
        <f>HYPERLINK("http://maps.google.com/maps?f=q&amp;hl=en&amp;geocode=&amp;q=38.8948522130085,-84.2332458633176")</f>
        <v>http://maps.google.com/maps?f=q&amp;hl=en&amp;geocode=&amp;q=38.8948522130085,-84.2332458633176</v>
      </c>
    </row>
    <row r="12621" spans="1:7" ht="15" x14ac:dyDescent="0.3">
      <c r="A12621">
        <v>34.682781219482401</v>
      </c>
      <c r="B12621">
        <v>50.188331604003899</v>
      </c>
      <c r="C12621" t="s">
        <v>41</v>
      </c>
      <c r="D12621" t="s">
        <v>7009</v>
      </c>
      <c r="F12621" s="21"/>
      <c r="G12621" s="16" t="str">
        <f>HYPERLINK("http://maps.google.com/maps?f=q&amp;hl=en&amp;geocode=&amp;q=34.6827812194824,50.1883316040039")</f>
        <v>http://maps.google.com/maps?f=q&amp;hl=en&amp;geocode=&amp;q=34.6827812194824,50.1883316040039</v>
      </c>
    </row>
    <row r="12622" spans="1:7" ht="15" x14ac:dyDescent="0.3">
      <c r="A12622">
        <v>39.950119999999998</v>
      </c>
      <c r="B12622">
        <v>-75.168589999999995</v>
      </c>
      <c r="C12622" t="s">
        <v>41</v>
      </c>
      <c r="D12622" t="s">
        <v>6200</v>
      </c>
      <c r="F12622" s="21"/>
      <c r="G12622" s="16" t="str">
        <f>HYPERLINK("http://maps.google.com/maps?f=q&amp;hl=en&amp;geocode=&amp;q=39.95012,-75.16859")</f>
        <v>http://maps.google.com/maps?f=q&amp;hl=en&amp;geocode=&amp;q=39.95012,-75.16859</v>
      </c>
    </row>
    <row r="12623" spans="1:7" ht="15" x14ac:dyDescent="0.3">
      <c r="A12623">
        <v>40.845025034213698</v>
      </c>
      <c r="B12623">
        <v>-111.91408349138899</v>
      </c>
      <c r="C12623" t="s">
        <v>41</v>
      </c>
      <c r="D12623" t="s">
        <v>7010</v>
      </c>
      <c r="F12623" s="21"/>
      <c r="G12623" s="16" t="str">
        <f>HYPERLINK("http://maps.google.com/maps?f=q&amp;hl=en&amp;geocode=&amp;q=40.8450250342137,-111.914083491389")</f>
        <v>http://maps.google.com/maps?f=q&amp;hl=en&amp;geocode=&amp;q=40.8450250342137,-111.914083491389</v>
      </c>
    </row>
    <row r="12624" spans="1:7" ht="15" x14ac:dyDescent="0.3">
      <c r="A12624">
        <v>35.402269836401302</v>
      </c>
      <c r="B12624">
        <v>-97.761225103720506</v>
      </c>
      <c r="C12624" t="s">
        <v>41</v>
      </c>
      <c r="D12624" t="s">
        <v>6828</v>
      </c>
      <c r="F12624" s="21"/>
      <c r="G12624" s="16" t="str">
        <f>HYPERLINK("http://maps.google.com/maps?f=q&amp;hl=en&amp;geocode=&amp;q=35.4022698364013,-97.7612251037205")</f>
        <v>http://maps.google.com/maps?f=q&amp;hl=en&amp;geocode=&amp;q=35.4022698364013,-97.7612251037205</v>
      </c>
    </row>
    <row r="12625" spans="1:7" ht="15" x14ac:dyDescent="0.3">
      <c r="A12625">
        <v>39.948779999999999</v>
      </c>
      <c r="B12625">
        <v>-75.178030000000007</v>
      </c>
      <c r="C12625" t="s">
        <v>41</v>
      </c>
      <c r="D12625" t="s">
        <v>6684</v>
      </c>
      <c r="F12625" s="21"/>
      <c r="G12625" s="16" t="str">
        <f>HYPERLINK("http://maps.google.com/maps?f=q&amp;hl=en&amp;geocode=&amp;q=39.94878,-75.17803")</f>
        <v>http://maps.google.com/maps?f=q&amp;hl=en&amp;geocode=&amp;q=39.94878,-75.17803</v>
      </c>
    </row>
    <row r="12626" spans="1:7" ht="15" x14ac:dyDescent="0.3">
      <c r="A12626">
        <v>36.093150000000001</v>
      </c>
      <c r="B12626">
        <v>-78.968919999999997</v>
      </c>
      <c r="C12626" t="s">
        <v>42</v>
      </c>
      <c r="D12626" t="s">
        <v>7011</v>
      </c>
      <c r="F12626" s="21"/>
      <c r="G12626" s="16" t="str">
        <f>HYPERLINK("http://maps.google.com/maps?f=q&amp;hl=en&amp;geocode=&amp;q=36.09315,-78.96892")</f>
        <v>http://maps.google.com/maps?f=q&amp;hl=en&amp;geocode=&amp;q=36.09315,-78.96892</v>
      </c>
    </row>
    <row r="12627" spans="1:7" ht="15" x14ac:dyDescent="0.3">
      <c r="A12627">
        <v>36.093150000000001</v>
      </c>
      <c r="B12627">
        <v>-78.968919999999997</v>
      </c>
      <c r="C12627" t="s">
        <v>42</v>
      </c>
      <c r="D12627" t="s">
        <v>6844</v>
      </c>
      <c r="F12627" s="21"/>
      <c r="G12627" s="16" t="str">
        <f>HYPERLINK("http://maps.google.com/maps?f=q&amp;hl=en&amp;geocode=&amp;q=36.09315,-78.96892")</f>
        <v>http://maps.google.com/maps?f=q&amp;hl=en&amp;geocode=&amp;q=36.09315,-78.96892</v>
      </c>
    </row>
    <row r="12628" spans="1:7" ht="15" x14ac:dyDescent="0.3">
      <c r="A12628">
        <v>35.402269836401302</v>
      </c>
      <c r="B12628">
        <v>-97.761225103720506</v>
      </c>
      <c r="C12628" t="s">
        <v>41</v>
      </c>
      <c r="D12628" t="s">
        <v>6828</v>
      </c>
      <c r="F12628" s="21"/>
      <c r="G12628" s="16" t="str">
        <f>HYPERLINK("http://maps.google.com/maps?f=q&amp;hl=en&amp;geocode=&amp;q=35.4022698364013,-97.7612251037205")</f>
        <v>http://maps.google.com/maps?f=q&amp;hl=en&amp;geocode=&amp;q=35.4022698364013,-97.7612251037205</v>
      </c>
    </row>
    <row r="12629" spans="1:7" ht="15" x14ac:dyDescent="0.3">
      <c r="A12629">
        <v>32.994759999999999</v>
      </c>
      <c r="B12629">
        <v>-115.53639</v>
      </c>
      <c r="C12629" t="s">
        <v>41</v>
      </c>
      <c r="D12629" t="s">
        <v>6387</v>
      </c>
      <c r="F12629" s="21"/>
      <c r="G12629" s="16" t="str">
        <f>HYPERLINK("http://maps.google.com/maps?f=q&amp;hl=en&amp;geocode=&amp;q=32.99476,-115.53639")</f>
        <v>http://maps.google.com/maps?f=q&amp;hl=en&amp;geocode=&amp;q=32.99476,-115.53639</v>
      </c>
    </row>
    <row r="12630" spans="1:7" ht="15" x14ac:dyDescent="0.3">
      <c r="A12630">
        <v>39.947240000000001</v>
      </c>
      <c r="B12630">
        <v>-75.174689999999998</v>
      </c>
      <c r="C12630" t="s">
        <v>43</v>
      </c>
      <c r="D12630" t="s">
        <v>6228</v>
      </c>
      <c r="F12630" s="21"/>
      <c r="G12630" s="16" t="str">
        <f>HYPERLINK("http://maps.google.com/maps?f=q&amp;hl=en&amp;geocode=&amp;q=39.94724,-75.17469")</f>
        <v>http://maps.google.com/maps?f=q&amp;hl=en&amp;geocode=&amp;q=39.94724,-75.17469</v>
      </c>
    </row>
    <row r="12631" spans="1:7" ht="15" x14ac:dyDescent="0.3">
      <c r="A12631">
        <v>39.947240000000001</v>
      </c>
      <c r="B12631">
        <v>-75.174689999999998</v>
      </c>
      <c r="C12631" t="s">
        <v>43</v>
      </c>
      <c r="D12631" t="s">
        <v>6228</v>
      </c>
      <c r="F12631" s="21"/>
      <c r="G12631" s="16" t="str">
        <f>HYPERLINK("http://maps.google.com/maps?f=q&amp;hl=en&amp;geocode=&amp;q=39.94724,-75.17469")</f>
        <v>http://maps.google.com/maps?f=q&amp;hl=en&amp;geocode=&amp;q=39.94724,-75.17469</v>
      </c>
    </row>
    <row r="12632" spans="1:7" ht="15" x14ac:dyDescent="0.3">
      <c r="A12632">
        <v>40.029389999999999</v>
      </c>
      <c r="B12632">
        <v>-75.138069999999999</v>
      </c>
      <c r="C12632" t="s">
        <v>41</v>
      </c>
      <c r="D12632" t="s">
        <v>7012</v>
      </c>
      <c r="F12632" s="21"/>
      <c r="G12632" s="16" t="str">
        <f>HYPERLINK("http://maps.google.com/maps?f=q&amp;hl=en&amp;geocode=&amp;q=40.02939,-75.13807")</f>
        <v>http://maps.google.com/maps?f=q&amp;hl=en&amp;geocode=&amp;q=40.02939,-75.13807</v>
      </c>
    </row>
    <row r="12633" spans="1:7" ht="15" x14ac:dyDescent="0.3">
      <c r="A12633">
        <v>34.357109999999999</v>
      </c>
      <c r="B12633">
        <v>-88.688230000000004</v>
      </c>
      <c r="C12633" t="s">
        <v>41</v>
      </c>
      <c r="D12633" t="s">
        <v>4153</v>
      </c>
      <c r="F12633" s="21"/>
      <c r="G12633" s="16" t="str">
        <f>HYPERLINK("http://maps.google.com/maps?f=q&amp;hl=en&amp;geocode=&amp;q=34.35711,-88.68823")</f>
        <v>http://maps.google.com/maps?f=q&amp;hl=en&amp;geocode=&amp;q=34.35711,-88.68823</v>
      </c>
    </row>
    <row r="12634" spans="1:7" ht="15" x14ac:dyDescent="0.3">
      <c r="A12634">
        <v>52.323841094970703</v>
      </c>
      <c r="B12634">
        <v>4.9728231430053702</v>
      </c>
      <c r="C12634" t="s">
        <v>41</v>
      </c>
      <c r="D12634" t="s">
        <v>7013</v>
      </c>
      <c r="F12634" s="21"/>
      <c r="G12634" s="16" t="str">
        <f>HYPERLINK("http://maps.google.com/maps?f=q&amp;hl=en&amp;geocode=&amp;q=52.3238410949707,4.97282314300537")</f>
        <v>http://maps.google.com/maps?f=q&amp;hl=en&amp;geocode=&amp;q=52.3238410949707,4.97282314300537</v>
      </c>
    </row>
    <row r="12635" spans="1:7" ht="15" x14ac:dyDescent="0.3">
      <c r="A12635">
        <v>39.947240000000001</v>
      </c>
      <c r="B12635">
        <v>-75.174689999999998</v>
      </c>
      <c r="C12635" t="s">
        <v>43</v>
      </c>
      <c r="D12635" t="s">
        <v>6228</v>
      </c>
      <c r="F12635" s="21"/>
      <c r="G12635" s="16" t="str">
        <f>HYPERLINK("http://maps.google.com/maps?f=q&amp;hl=en&amp;geocode=&amp;q=39.94724,-75.17469")</f>
        <v>http://maps.google.com/maps?f=q&amp;hl=en&amp;geocode=&amp;q=39.94724,-75.17469</v>
      </c>
    </row>
    <row r="12636" spans="1:7" ht="15" x14ac:dyDescent="0.3">
      <c r="A12636">
        <v>47.411106109619098</v>
      </c>
      <c r="B12636">
        <v>13.218259811401399</v>
      </c>
      <c r="C12636" t="s">
        <v>43</v>
      </c>
      <c r="D12636" t="s">
        <v>7014</v>
      </c>
      <c r="F12636" s="21"/>
      <c r="G12636" s="16" t="str">
        <f>HYPERLINK("http://maps.google.com/maps?f=q&amp;hl=en&amp;geocode=&amp;q=47.4111061096191,13.2182598114014")</f>
        <v>http://maps.google.com/maps?f=q&amp;hl=en&amp;geocode=&amp;q=47.4111061096191,13.2182598114014</v>
      </c>
    </row>
    <row r="12637" spans="1:7" ht="15" x14ac:dyDescent="0.3">
      <c r="A12637">
        <v>40.570871823310597</v>
      </c>
      <c r="B12637">
        <v>-75.470753780191302</v>
      </c>
      <c r="C12637" t="s">
        <v>41</v>
      </c>
      <c r="D12637" t="s">
        <v>7015</v>
      </c>
      <c r="F12637" s="21"/>
      <c r="G12637" s="16" t="str">
        <f>HYPERLINK("http://maps.google.com/maps?f=q&amp;hl=en&amp;geocode=&amp;q=40.5708718233106,-75.4707537801913")</f>
        <v>http://maps.google.com/maps?f=q&amp;hl=en&amp;geocode=&amp;q=40.5708718233106,-75.4707537801913</v>
      </c>
    </row>
    <row r="12638" spans="1:7" ht="15" x14ac:dyDescent="0.3">
      <c r="A12638">
        <v>35.243940000000002</v>
      </c>
      <c r="B12638">
        <v>-97.423190000000005</v>
      </c>
      <c r="C12638" t="s">
        <v>41</v>
      </c>
      <c r="D12638" t="s">
        <v>6313</v>
      </c>
      <c r="F12638" s="21"/>
      <c r="G12638" s="16" t="str">
        <f>HYPERLINK("http://maps.google.com/maps?f=q&amp;hl=en&amp;geocode=&amp;q=35.24394,-97.42319")</f>
        <v>http://maps.google.com/maps?f=q&amp;hl=en&amp;geocode=&amp;q=35.24394,-97.42319</v>
      </c>
    </row>
    <row r="12639" spans="1:7" ht="15" x14ac:dyDescent="0.3">
      <c r="A12639">
        <v>39.947240000000001</v>
      </c>
      <c r="B12639">
        <v>-75.174689999999998</v>
      </c>
      <c r="C12639" t="s">
        <v>43</v>
      </c>
      <c r="D12639" t="s">
        <v>6228</v>
      </c>
      <c r="F12639" s="21"/>
      <c r="G12639" s="16" t="str">
        <f>HYPERLINK("http://maps.google.com/maps?f=q&amp;hl=en&amp;geocode=&amp;q=39.94724,-75.17469")</f>
        <v>http://maps.google.com/maps?f=q&amp;hl=en&amp;geocode=&amp;q=39.94724,-75.17469</v>
      </c>
    </row>
    <row r="12640" spans="1:7" ht="15" x14ac:dyDescent="0.3">
      <c r="A12640">
        <v>-26.034427642822301</v>
      </c>
      <c r="B12640">
        <v>28.5431098937988</v>
      </c>
      <c r="C12640" t="s">
        <v>43</v>
      </c>
      <c r="D12640" t="s">
        <v>6148</v>
      </c>
      <c r="F12640" s="21"/>
      <c r="G12640" s="16" t="str">
        <f>HYPERLINK("http://maps.google.com/maps?f=q&amp;hl=en&amp;geocode=&amp;q=-26.0344276428223,28.5431098937988")</f>
        <v>http://maps.google.com/maps?f=q&amp;hl=en&amp;geocode=&amp;q=-26.0344276428223,28.5431098937988</v>
      </c>
    </row>
    <row r="12641" spans="1:7" ht="15" x14ac:dyDescent="0.3">
      <c r="A12641">
        <v>39.911269626023099</v>
      </c>
      <c r="B12641">
        <v>-75.179057263875606</v>
      </c>
      <c r="C12641" t="s">
        <v>43</v>
      </c>
      <c r="D12641" t="s">
        <v>4286</v>
      </c>
      <c r="F12641" s="21"/>
      <c r="G12641" s="16" t="str">
        <f>HYPERLINK("http://maps.google.com/maps?f=q&amp;hl=en&amp;geocode=&amp;q=39.9112696260231,-75.1790572638756")</f>
        <v>http://maps.google.com/maps?f=q&amp;hl=en&amp;geocode=&amp;q=39.9112696260231,-75.1790572638756</v>
      </c>
    </row>
    <row r="12642" spans="1:7" ht="15" x14ac:dyDescent="0.3">
      <c r="A12642">
        <v>42.020828247070298</v>
      </c>
      <c r="B12642">
        <v>-79.628883361816406</v>
      </c>
      <c r="C12642" t="s">
        <v>43</v>
      </c>
      <c r="D12642" t="s">
        <v>7016</v>
      </c>
      <c r="F12642" s="21"/>
      <c r="G12642" s="16" t="str">
        <f>HYPERLINK("http://maps.google.com/maps?f=q&amp;hl=en&amp;geocode=&amp;q=42.0208282470703,-79.6288833618164")</f>
        <v>http://maps.google.com/maps?f=q&amp;hl=en&amp;geocode=&amp;q=42.0208282470703,-79.6288833618164</v>
      </c>
    </row>
    <row r="12643" spans="1:7" ht="15" x14ac:dyDescent="0.3">
      <c r="A12643">
        <v>31.090544000000001</v>
      </c>
      <c r="B12643">
        <v>-97.767481000000004</v>
      </c>
      <c r="C12643" t="s">
        <v>41</v>
      </c>
      <c r="D12643" t="s">
        <v>6098</v>
      </c>
      <c r="F12643" s="21"/>
      <c r="G12643" s="16" t="str">
        <f>HYPERLINK("http://maps.google.com/maps?f=q&amp;hl=en&amp;geocode=&amp;q=31.090544,-97.767481")</f>
        <v>http://maps.google.com/maps?f=q&amp;hl=en&amp;geocode=&amp;q=31.090544,-97.767481</v>
      </c>
    </row>
    <row r="12644" spans="1:7" ht="15" x14ac:dyDescent="0.3">
      <c r="A12644">
        <v>-26.268756866455099</v>
      </c>
      <c r="B12644">
        <v>27.833053588867202</v>
      </c>
      <c r="C12644" t="s">
        <v>43</v>
      </c>
      <c r="D12644" t="s">
        <v>7017</v>
      </c>
      <c r="F12644" s="21"/>
      <c r="G12644" s="16" t="str">
        <f>HYPERLINK("http://maps.google.com/maps?f=q&amp;hl=en&amp;geocode=&amp;q=-26.2687568664551,27.8330535888672")</f>
        <v>http://maps.google.com/maps?f=q&amp;hl=en&amp;geocode=&amp;q=-26.2687568664551,27.8330535888672</v>
      </c>
    </row>
    <row r="12645" spans="1:7" ht="15" x14ac:dyDescent="0.3">
      <c r="A12645">
        <v>27.820302795903299</v>
      </c>
      <c r="B12645">
        <v>-81.382550643249701</v>
      </c>
      <c r="C12645" t="s">
        <v>41</v>
      </c>
      <c r="D12645" t="s">
        <v>3115</v>
      </c>
      <c r="F12645" s="21"/>
      <c r="G12645" s="16" t="str">
        <f>HYPERLINK("http://maps.google.com/maps?f=q&amp;hl=en&amp;geocode=&amp;q=27.8203027959033,-81.3825506432497")</f>
        <v>http://maps.google.com/maps?f=q&amp;hl=en&amp;geocode=&amp;q=27.8203027959033,-81.3825506432497</v>
      </c>
    </row>
    <row r="12646" spans="1:7" ht="15" x14ac:dyDescent="0.3">
      <c r="A12646">
        <v>53.856391906738303</v>
      </c>
      <c r="B12646">
        <v>-3.0279386043548602</v>
      </c>
      <c r="C12646" t="s">
        <v>43</v>
      </c>
      <c r="D12646" t="s">
        <v>7018</v>
      </c>
      <c r="F12646" s="21"/>
      <c r="G12646" s="16" t="str">
        <f>HYPERLINK("http://maps.google.com/maps?f=q&amp;hl=en&amp;geocode=&amp;q=53.8563919067383,-3.02793860435486")</f>
        <v>http://maps.google.com/maps?f=q&amp;hl=en&amp;geocode=&amp;q=53.8563919067383,-3.02793860435486</v>
      </c>
    </row>
    <row r="12647" spans="1:7" ht="15" x14ac:dyDescent="0.3">
      <c r="A12647">
        <v>39.052810000000001</v>
      </c>
      <c r="B12647">
        <v>-94.580489999999998</v>
      </c>
      <c r="C12647" t="s">
        <v>43</v>
      </c>
      <c r="D12647" t="s">
        <v>356</v>
      </c>
      <c r="F12647" s="21"/>
      <c r="G12647" s="16" t="str">
        <f>HYPERLINK("http://maps.google.com/maps?f=q&amp;hl=en&amp;geocode=&amp;q=39.05281,-94.58049")</f>
        <v>http://maps.google.com/maps?f=q&amp;hl=en&amp;geocode=&amp;q=39.05281,-94.58049</v>
      </c>
    </row>
    <row r="12648" spans="1:7" ht="15" x14ac:dyDescent="0.3">
      <c r="A12648">
        <v>34.542929999999998</v>
      </c>
      <c r="B12648">
        <v>-93.182190000000006</v>
      </c>
      <c r="C12648" t="s">
        <v>43</v>
      </c>
      <c r="D12648" t="s">
        <v>6899</v>
      </c>
      <c r="F12648" s="21"/>
      <c r="G12648" s="16" t="str">
        <f>HYPERLINK("http://maps.google.com/maps?f=q&amp;hl=en&amp;geocode=&amp;q=34.54293,-93.18219")</f>
        <v>http://maps.google.com/maps?f=q&amp;hl=en&amp;geocode=&amp;q=34.54293,-93.18219</v>
      </c>
    </row>
    <row r="12649" spans="1:7" ht="15" x14ac:dyDescent="0.3">
      <c r="A12649">
        <v>35.780637133998503</v>
      </c>
      <c r="B12649">
        <v>-81.763866846289901</v>
      </c>
      <c r="C12649" t="s">
        <v>41</v>
      </c>
      <c r="D12649" t="s">
        <v>7019</v>
      </c>
      <c r="F12649" s="21"/>
      <c r="G12649" s="16" t="str">
        <f>HYPERLINK("http://maps.google.com/maps?f=q&amp;hl=en&amp;geocode=&amp;q=35.7806371339985,-81.7638668462899")</f>
        <v>http://maps.google.com/maps?f=q&amp;hl=en&amp;geocode=&amp;q=35.7806371339985,-81.7638668462899</v>
      </c>
    </row>
    <row r="12650" spans="1:7" ht="15" x14ac:dyDescent="0.3">
      <c r="A12650">
        <v>35.780619002799703</v>
      </c>
      <c r="B12650">
        <v>-81.763886677289705</v>
      </c>
      <c r="C12650" t="s">
        <v>41</v>
      </c>
      <c r="D12650" t="s">
        <v>7020</v>
      </c>
      <c r="F12650" s="21"/>
      <c r="G12650" s="16" t="str">
        <f>HYPERLINK("http://maps.google.com/maps?f=q&amp;hl=en&amp;geocode=&amp;q=35.7806190027997,-81.7638866772897")</f>
        <v>http://maps.google.com/maps?f=q&amp;hl=en&amp;geocode=&amp;q=35.7806190027997,-81.7638866772897</v>
      </c>
    </row>
    <row r="12651" spans="1:7" ht="15" x14ac:dyDescent="0.3">
      <c r="A12651" t="s">
        <v>44</v>
      </c>
      <c r="B12651" t="s">
        <v>44</v>
      </c>
      <c r="C12651" t="s">
        <v>44</v>
      </c>
      <c r="D12651" t="s">
        <v>7021</v>
      </c>
      <c r="F12651" s="21"/>
      <c r="G12651" s="16"/>
    </row>
    <row r="12652" spans="1:7" ht="15" x14ac:dyDescent="0.3">
      <c r="A12652">
        <v>40.221249999999998</v>
      </c>
      <c r="B12652">
        <v>-76.289599999999993</v>
      </c>
      <c r="C12652" t="s">
        <v>42</v>
      </c>
      <c r="D12652" t="s">
        <v>3915</v>
      </c>
      <c r="F12652" s="21"/>
      <c r="G12652" s="16" t="str">
        <f>HYPERLINK("http://maps.google.com/maps?f=q&amp;hl=en&amp;geocode=&amp;q=40.22125,-76.2896")</f>
        <v>http://maps.google.com/maps?f=q&amp;hl=en&amp;geocode=&amp;q=40.22125,-76.2896</v>
      </c>
    </row>
    <row r="12653" spans="1:7" ht="15" x14ac:dyDescent="0.3">
      <c r="A12653" t="s">
        <v>44</v>
      </c>
      <c r="B12653" t="s">
        <v>44</v>
      </c>
      <c r="C12653" t="s">
        <v>44</v>
      </c>
      <c r="D12653" t="s">
        <v>4584</v>
      </c>
      <c r="F12653" s="21"/>
      <c r="G12653" s="16"/>
    </row>
    <row r="12654" spans="1:7" ht="15" x14ac:dyDescent="0.3">
      <c r="A12654">
        <v>40.04712</v>
      </c>
      <c r="B12654">
        <v>-75.158339999999995</v>
      </c>
      <c r="C12654" t="s">
        <v>41</v>
      </c>
      <c r="D12654" t="s">
        <v>5791</v>
      </c>
      <c r="F12654" s="21"/>
      <c r="G12654" s="16" t="str">
        <f>HYPERLINK("http://maps.google.com/maps?f=q&amp;hl=en&amp;geocode=&amp;q=40.04712,-75.15834")</f>
        <v>http://maps.google.com/maps?f=q&amp;hl=en&amp;geocode=&amp;q=40.04712,-75.15834</v>
      </c>
    </row>
    <row r="12655" spans="1:7" ht="15" x14ac:dyDescent="0.3">
      <c r="A12655">
        <v>42.876343934023701</v>
      </c>
      <c r="B12655">
        <v>-77.160606810067605</v>
      </c>
      <c r="C12655" t="s">
        <v>41</v>
      </c>
      <c r="D12655" t="s">
        <v>7022</v>
      </c>
      <c r="F12655" s="21"/>
      <c r="G12655" s="16" t="str">
        <f>HYPERLINK("http://maps.google.com/maps?f=q&amp;hl=en&amp;geocode=&amp;q=42.8763439340237,-77.1606068100676")</f>
        <v>http://maps.google.com/maps?f=q&amp;hl=en&amp;geocode=&amp;q=42.8763439340237,-77.1606068100676</v>
      </c>
    </row>
    <row r="12656" spans="1:7" ht="15" x14ac:dyDescent="0.3">
      <c r="A12656" t="s">
        <v>44</v>
      </c>
      <c r="B12656" t="s">
        <v>44</v>
      </c>
      <c r="C12656" t="s">
        <v>44</v>
      </c>
      <c r="D12656" t="s">
        <v>993</v>
      </c>
      <c r="F12656" s="21"/>
      <c r="G12656" s="16"/>
    </row>
    <row r="12657" spans="1:7" ht="15" x14ac:dyDescent="0.3">
      <c r="A12657">
        <v>59.922351837158203</v>
      </c>
      <c r="B12657">
        <v>11.178321838378899</v>
      </c>
      <c r="C12657" t="s">
        <v>43</v>
      </c>
      <c r="D12657" t="s">
        <v>6033</v>
      </c>
      <c r="F12657" s="21"/>
      <c r="G12657" s="16" t="str">
        <f>HYPERLINK("http://maps.google.com/maps?f=q&amp;hl=en&amp;geocode=&amp;q=59.9223518371582,11.1783218383789")</f>
        <v>http://maps.google.com/maps?f=q&amp;hl=en&amp;geocode=&amp;q=59.9223518371582,11.1783218383789</v>
      </c>
    </row>
    <row r="12658" spans="1:7" ht="15" x14ac:dyDescent="0.3">
      <c r="A12658">
        <v>35.780697571294397</v>
      </c>
      <c r="B12658">
        <v>-81.763800742903001</v>
      </c>
      <c r="C12658" t="s">
        <v>41</v>
      </c>
      <c r="D12658" t="s">
        <v>4777</v>
      </c>
      <c r="F12658" s="21"/>
      <c r="G12658" s="16" t="str">
        <f>HYPERLINK("http://maps.google.com/maps?f=q&amp;hl=en&amp;geocode=&amp;q=35.7806975712944,-81.763800742903")</f>
        <v>http://maps.google.com/maps?f=q&amp;hl=en&amp;geocode=&amp;q=35.7806975712944,-81.763800742903</v>
      </c>
    </row>
    <row r="12659" spans="1:7" ht="15" x14ac:dyDescent="0.3">
      <c r="A12659">
        <v>51.501274108886697</v>
      </c>
      <c r="B12659">
        <v>-0.224337592720985</v>
      </c>
      <c r="C12659" t="s">
        <v>41</v>
      </c>
      <c r="D12659" t="s">
        <v>5878</v>
      </c>
      <c r="F12659" s="21"/>
      <c r="G12659" s="16" t="str">
        <f>HYPERLINK("http://maps.google.com/maps?f=q&amp;hl=en&amp;geocode=&amp;q=51.5012741088867,-0.224337592720985")</f>
        <v>http://maps.google.com/maps?f=q&amp;hl=en&amp;geocode=&amp;q=51.5012741088867,-0.224337592720985</v>
      </c>
    </row>
    <row r="12660" spans="1:7" ht="15" x14ac:dyDescent="0.3">
      <c r="A12660">
        <v>39.974550000000001</v>
      </c>
      <c r="B12660">
        <v>-75.181569999999994</v>
      </c>
      <c r="C12660" t="s">
        <v>41</v>
      </c>
      <c r="D12660" t="s">
        <v>7023</v>
      </c>
      <c r="F12660" s="21"/>
      <c r="G12660" s="16" t="str">
        <f>HYPERLINK("http://maps.google.com/maps?f=q&amp;hl=en&amp;geocode=&amp;q=39.97455,-75.18157")</f>
        <v>http://maps.google.com/maps?f=q&amp;hl=en&amp;geocode=&amp;q=39.97455,-75.18157</v>
      </c>
    </row>
    <row r="12661" spans="1:7" ht="15" x14ac:dyDescent="0.3">
      <c r="A12661">
        <v>19.598516464233398</v>
      </c>
      <c r="B12661">
        <v>-155.5185546875</v>
      </c>
      <c r="C12661" t="s">
        <v>43</v>
      </c>
      <c r="D12661" t="s">
        <v>7024</v>
      </c>
      <c r="F12661" s="21"/>
      <c r="G12661" s="16" t="str">
        <f>HYPERLINK("http://maps.google.com/maps?f=q&amp;hl=en&amp;geocode=&amp;q=19.5985164642334,-155.5185546875")</f>
        <v>http://maps.google.com/maps?f=q&amp;hl=en&amp;geocode=&amp;q=19.5985164642334,-155.5185546875</v>
      </c>
    </row>
    <row r="12662" spans="1:7" ht="15" x14ac:dyDescent="0.3">
      <c r="A12662">
        <v>35.593101501464801</v>
      </c>
      <c r="B12662">
        <v>-91.503303527832003</v>
      </c>
      <c r="C12662" t="s">
        <v>41</v>
      </c>
      <c r="D12662" t="s">
        <v>6602</v>
      </c>
      <c r="F12662" s="21"/>
      <c r="G12662" s="16" t="str">
        <f>HYPERLINK("http://maps.google.com/maps?f=q&amp;hl=en&amp;geocode=&amp;q=35.5931015014648,-91.503303527832")</f>
        <v>http://maps.google.com/maps?f=q&amp;hl=en&amp;geocode=&amp;q=35.5931015014648,-91.503303527832</v>
      </c>
    </row>
    <row r="12663" spans="1:7" ht="15" x14ac:dyDescent="0.3">
      <c r="A12663">
        <v>31.008949999999999</v>
      </c>
      <c r="B12663">
        <v>-86.337400000000002</v>
      </c>
      <c r="C12663" t="s">
        <v>42</v>
      </c>
      <c r="D12663" t="s">
        <v>6521</v>
      </c>
      <c r="F12663" s="21"/>
      <c r="G12663" s="16" t="str">
        <f>HYPERLINK("http://maps.google.com/maps?f=q&amp;hl=en&amp;geocode=&amp;q=31.00895,-86.3374")</f>
        <v>http://maps.google.com/maps?f=q&amp;hl=en&amp;geocode=&amp;q=31.00895,-86.3374</v>
      </c>
    </row>
    <row r="12664" spans="1:7" ht="15" x14ac:dyDescent="0.3">
      <c r="A12664">
        <v>-28.1275939941406</v>
      </c>
      <c r="B12664">
        <v>153.45494079589801</v>
      </c>
      <c r="C12664" t="s">
        <v>41</v>
      </c>
      <c r="D12664" t="s">
        <v>7025</v>
      </c>
      <c r="F12664" s="21"/>
      <c r="G12664" s="16" t="str">
        <f>HYPERLINK("http://maps.google.com/maps?f=q&amp;hl=en&amp;geocode=&amp;q=-28.1275939941406,153.454940795898")</f>
        <v>http://maps.google.com/maps?f=q&amp;hl=en&amp;geocode=&amp;q=-28.1275939941406,153.454940795898</v>
      </c>
    </row>
    <row r="12665" spans="1:7" ht="15" x14ac:dyDescent="0.3">
      <c r="A12665">
        <v>40.019219999999997</v>
      </c>
      <c r="B12665">
        <v>-75.11806</v>
      </c>
      <c r="C12665" t="s">
        <v>41</v>
      </c>
      <c r="D12665" t="s">
        <v>5555</v>
      </c>
      <c r="F12665" s="21"/>
      <c r="G12665" s="16" t="str">
        <f>HYPERLINK("http://maps.google.com/maps?f=q&amp;hl=en&amp;geocode=&amp;q=40.01922,-75.11806")</f>
        <v>http://maps.google.com/maps?f=q&amp;hl=en&amp;geocode=&amp;q=40.01922,-75.11806</v>
      </c>
    </row>
    <row r="12666" spans="1:7" ht="15" x14ac:dyDescent="0.3">
      <c r="A12666">
        <v>40.019219999999997</v>
      </c>
      <c r="B12666">
        <v>-75.11806</v>
      </c>
      <c r="C12666" t="s">
        <v>41</v>
      </c>
      <c r="D12666" t="s">
        <v>5555</v>
      </c>
      <c r="F12666" s="21"/>
      <c r="G12666" s="16" t="str">
        <f>HYPERLINK("http://maps.google.com/maps?f=q&amp;hl=en&amp;geocode=&amp;q=40.01922,-75.11806")</f>
        <v>http://maps.google.com/maps?f=q&amp;hl=en&amp;geocode=&amp;q=40.01922,-75.11806</v>
      </c>
    </row>
    <row r="12667" spans="1:7" ht="15" x14ac:dyDescent="0.3">
      <c r="A12667">
        <v>32.752870000000001</v>
      </c>
      <c r="B12667">
        <v>-97.096350000000001</v>
      </c>
      <c r="C12667" t="s">
        <v>41</v>
      </c>
      <c r="D12667" t="s">
        <v>7026</v>
      </c>
      <c r="F12667" s="21"/>
      <c r="G12667" s="16" t="str">
        <f>HYPERLINK("http://maps.google.com/maps?f=q&amp;hl=en&amp;geocode=&amp;q=32.75287,-97.09635")</f>
        <v>http://maps.google.com/maps?f=q&amp;hl=en&amp;geocode=&amp;q=32.75287,-97.09635</v>
      </c>
    </row>
    <row r="12668" spans="1:7" ht="15" x14ac:dyDescent="0.3">
      <c r="A12668">
        <v>40.576259999999998</v>
      </c>
      <c r="B12668">
        <v>-75.348519999999994</v>
      </c>
      <c r="C12668" t="s">
        <v>43</v>
      </c>
      <c r="D12668" t="s">
        <v>6223</v>
      </c>
      <c r="F12668" s="21"/>
      <c r="G12668" s="16" t="str">
        <f>HYPERLINK("http://maps.google.com/maps?f=q&amp;hl=en&amp;geocode=&amp;q=40.57626,-75.34852")</f>
        <v>http://maps.google.com/maps?f=q&amp;hl=en&amp;geocode=&amp;q=40.57626,-75.34852</v>
      </c>
    </row>
    <row r="12669" spans="1:7" ht="15" x14ac:dyDescent="0.3">
      <c r="A12669">
        <v>-3.0964000225067099</v>
      </c>
      <c r="B12669">
        <v>-79.007461547851605</v>
      </c>
      <c r="C12669" t="s">
        <v>41</v>
      </c>
      <c r="D12669" t="s">
        <v>4081</v>
      </c>
      <c r="F12669" s="21"/>
      <c r="G12669" s="16" t="str">
        <f>HYPERLINK("http://maps.google.com/maps?f=q&amp;hl=en&amp;geocode=&amp;q=-3.09640002250671,-79.0074615478516")</f>
        <v>http://maps.google.com/maps?f=q&amp;hl=en&amp;geocode=&amp;q=-3.09640002250671,-79.0074615478516</v>
      </c>
    </row>
    <row r="12670" spans="1:7" ht="15" x14ac:dyDescent="0.3">
      <c r="A12670">
        <v>39.59187</v>
      </c>
      <c r="B12670">
        <v>-75.66919</v>
      </c>
      <c r="C12670" t="s">
        <v>42</v>
      </c>
      <c r="D12670" t="s">
        <v>7027</v>
      </c>
      <c r="F12670" s="21"/>
      <c r="G12670" s="16" t="str">
        <f>HYPERLINK("http://maps.google.com/maps?f=q&amp;hl=en&amp;geocode=&amp;q=39.59187,-75.66919")</f>
        <v>http://maps.google.com/maps?f=q&amp;hl=en&amp;geocode=&amp;q=39.59187,-75.66919</v>
      </c>
    </row>
    <row r="12671" spans="1:7" ht="15" x14ac:dyDescent="0.3">
      <c r="A12671">
        <v>49.647453308105497</v>
      </c>
      <c r="B12671">
        <v>6.1309771537780797</v>
      </c>
      <c r="C12671" t="s">
        <v>41</v>
      </c>
      <c r="D12671" t="s">
        <v>7028</v>
      </c>
      <c r="F12671" s="21"/>
      <c r="G12671" s="16" t="str">
        <f>HYPERLINK("http://maps.google.com/maps?f=q&amp;hl=en&amp;geocode=&amp;q=49.6474533081055,6.13097715377808")</f>
        <v>http://maps.google.com/maps?f=q&amp;hl=en&amp;geocode=&amp;q=49.6474533081055,6.13097715377808</v>
      </c>
    </row>
    <row r="12672" spans="1:7" ht="15" x14ac:dyDescent="0.3">
      <c r="A12672">
        <v>39.995800000000003</v>
      </c>
      <c r="B12672">
        <v>-75.170929999999998</v>
      </c>
      <c r="C12672" t="s">
        <v>41</v>
      </c>
      <c r="D12672" t="s">
        <v>3739</v>
      </c>
      <c r="F12672" s="21"/>
      <c r="G12672" s="16" t="str">
        <f>HYPERLINK("http://maps.google.com/maps?f=q&amp;hl=en&amp;geocode=&amp;q=39.9958,-75.17093")</f>
        <v>http://maps.google.com/maps?f=q&amp;hl=en&amp;geocode=&amp;q=39.9958,-75.17093</v>
      </c>
    </row>
    <row r="12673" spans="1:7" ht="15" x14ac:dyDescent="0.3">
      <c r="A12673">
        <v>32.994759999999999</v>
      </c>
      <c r="B12673">
        <v>-115.53639</v>
      </c>
      <c r="C12673" t="s">
        <v>41</v>
      </c>
      <c r="D12673" t="s">
        <v>6387</v>
      </c>
      <c r="F12673" s="21"/>
      <c r="G12673" s="16" t="str">
        <f>HYPERLINK("http://maps.google.com/maps?f=q&amp;hl=en&amp;geocode=&amp;q=32.99476,-115.53639")</f>
        <v>http://maps.google.com/maps?f=q&amp;hl=en&amp;geocode=&amp;q=32.99476,-115.53639</v>
      </c>
    </row>
    <row r="12674" spans="1:7" ht="15" x14ac:dyDescent="0.3">
      <c r="A12674">
        <v>49.612476348877003</v>
      </c>
      <c r="B12674">
        <v>6.1724100112915004</v>
      </c>
      <c r="C12674" t="s">
        <v>41</v>
      </c>
      <c r="D12674" t="s">
        <v>6541</v>
      </c>
      <c r="F12674" s="21"/>
      <c r="G12674" s="16" t="str">
        <f>HYPERLINK("http://maps.google.com/maps?f=q&amp;hl=en&amp;geocode=&amp;q=49.612476348877,6.1724100112915")</f>
        <v>http://maps.google.com/maps?f=q&amp;hl=en&amp;geocode=&amp;q=49.612476348877,6.1724100112915</v>
      </c>
    </row>
    <row r="12675" spans="1:7" ht="15" x14ac:dyDescent="0.3">
      <c r="A12675">
        <v>35.243940000000002</v>
      </c>
      <c r="B12675">
        <v>-97.423190000000005</v>
      </c>
      <c r="C12675" t="s">
        <v>41</v>
      </c>
      <c r="D12675" t="s">
        <v>6313</v>
      </c>
      <c r="F12675" s="21"/>
      <c r="G12675" s="16" t="str">
        <f>HYPERLINK("http://maps.google.com/maps?f=q&amp;hl=en&amp;geocode=&amp;q=35.24394,-97.42319")</f>
        <v>http://maps.google.com/maps?f=q&amp;hl=en&amp;geocode=&amp;q=35.24394,-97.42319</v>
      </c>
    </row>
    <row r="12676" spans="1:7" ht="15" x14ac:dyDescent="0.3">
      <c r="A12676">
        <v>35.499647028551003</v>
      </c>
      <c r="B12676">
        <v>-80.641046745065196</v>
      </c>
      <c r="C12676" t="s">
        <v>41</v>
      </c>
      <c r="D12676" t="s">
        <v>7029</v>
      </c>
      <c r="F12676" s="21"/>
      <c r="G12676" s="16" t="str">
        <f>HYPERLINK("http://maps.google.com/maps?f=q&amp;hl=en&amp;geocode=&amp;q=35.499647028551,-80.6410467450652")</f>
        <v>http://maps.google.com/maps?f=q&amp;hl=en&amp;geocode=&amp;q=35.499647028551,-80.6410467450652</v>
      </c>
    </row>
    <row r="12677" spans="1:7" ht="15" x14ac:dyDescent="0.3">
      <c r="A12677">
        <v>39.950060000000001</v>
      </c>
      <c r="B12677">
        <v>-75.168139999999994</v>
      </c>
      <c r="C12677" t="s">
        <v>41</v>
      </c>
      <c r="D12677" t="s">
        <v>5999</v>
      </c>
      <c r="F12677" s="21"/>
      <c r="G12677" s="16" t="str">
        <f>HYPERLINK("http://maps.google.com/maps?f=q&amp;hl=en&amp;geocode=&amp;q=39.95006,-75.16814")</f>
        <v>http://maps.google.com/maps?f=q&amp;hl=en&amp;geocode=&amp;q=39.95006,-75.16814</v>
      </c>
    </row>
    <row r="12678" spans="1:7" ht="15" x14ac:dyDescent="0.3">
      <c r="A12678">
        <v>39.59187</v>
      </c>
      <c r="B12678">
        <v>-75.66919</v>
      </c>
      <c r="C12678" t="s">
        <v>42</v>
      </c>
      <c r="D12678" t="s">
        <v>7027</v>
      </c>
      <c r="F12678" s="21"/>
      <c r="G12678" s="16" t="str">
        <f>HYPERLINK("http://maps.google.com/maps?f=q&amp;hl=en&amp;geocode=&amp;q=39.59187,-75.66919")</f>
        <v>http://maps.google.com/maps?f=q&amp;hl=en&amp;geocode=&amp;q=39.59187,-75.66919</v>
      </c>
    </row>
    <row r="12679" spans="1:7" ht="15" x14ac:dyDescent="0.3">
      <c r="A12679">
        <v>39.59187</v>
      </c>
      <c r="B12679">
        <v>-75.66919</v>
      </c>
      <c r="C12679" t="s">
        <v>42</v>
      </c>
      <c r="D12679" t="s">
        <v>7027</v>
      </c>
      <c r="F12679" s="21"/>
      <c r="G12679" s="16" t="str">
        <f>HYPERLINK("http://maps.google.com/maps?f=q&amp;hl=en&amp;geocode=&amp;q=39.59187,-75.66919")</f>
        <v>http://maps.google.com/maps?f=q&amp;hl=en&amp;geocode=&amp;q=39.59187,-75.66919</v>
      </c>
    </row>
    <row r="12680" spans="1:7" ht="15" x14ac:dyDescent="0.3">
      <c r="A12680">
        <v>49.647453308105497</v>
      </c>
      <c r="B12680">
        <v>6.1309771537780797</v>
      </c>
      <c r="C12680" t="s">
        <v>41</v>
      </c>
      <c r="D12680" t="s">
        <v>7028</v>
      </c>
      <c r="F12680" s="21"/>
      <c r="G12680" s="16" t="str">
        <f>HYPERLINK("http://maps.google.com/maps?f=q&amp;hl=en&amp;geocode=&amp;q=49.6474533081055,6.13097715377808")</f>
        <v>http://maps.google.com/maps?f=q&amp;hl=en&amp;geocode=&amp;q=49.6474533081055,6.13097715377808</v>
      </c>
    </row>
    <row r="12681" spans="1:7" ht="15" x14ac:dyDescent="0.3">
      <c r="A12681">
        <v>39.947240000000001</v>
      </c>
      <c r="B12681">
        <v>-75.174689999999998</v>
      </c>
      <c r="C12681" t="s">
        <v>43</v>
      </c>
      <c r="D12681" t="s">
        <v>6228</v>
      </c>
      <c r="F12681" s="21"/>
      <c r="G12681" s="16" t="str">
        <f>HYPERLINK("http://maps.google.com/maps?f=q&amp;hl=en&amp;geocode=&amp;q=39.94724,-75.17469")</f>
        <v>http://maps.google.com/maps?f=q&amp;hl=en&amp;geocode=&amp;q=39.94724,-75.17469</v>
      </c>
    </row>
    <row r="12682" spans="1:7" ht="15" x14ac:dyDescent="0.3">
      <c r="A12682">
        <v>49.647453308105497</v>
      </c>
      <c r="B12682">
        <v>6.1309771537780797</v>
      </c>
      <c r="C12682" t="s">
        <v>41</v>
      </c>
      <c r="D12682" t="s">
        <v>7028</v>
      </c>
      <c r="F12682" s="21"/>
      <c r="G12682" s="16" t="str">
        <f>HYPERLINK("http://maps.google.com/maps?f=q&amp;hl=en&amp;geocode=&amp;q=49.6474533081055,6.13097715377808")</f>
        <v>http://maps.google.com/maps?f=q&amp;hl=en&amp;geocode=&amp;q=49.6474533081055,6.13097715377808</v>
      </c>
    </row>
    <row r="12683" spans="1:7" ht="15" x14ac:dyDescent="0.3">
      <c r="A12683">
        <v>49.647453308105497</v>
      </c>
      <c r="B12683">
        <v>6.1309771537780797</v>
      </c>
      <c r="C12683" t="s">
        <v>41</v>
      </c>
      <c r="D12683" t="s">
        <v>7028</v>
      </c>
      <c r="F12683" s="21"/>
      <c r="G12683" s="16" t="str">
        <f>HYPERLINK("http://maps.google.com/maps?f=q&amp;hl=en&amp;geocode=&amp;q=49.6474533081055,6.13097715377808")</f>
        <v>http://maps.google.com/maps?f=q&amp;hl=en&amp;geocode=&amp;q=49.6474533081055,6.13097715377808</v>
      </c>
    </row>
    <row r="12684" spans="1:7" ht="15" x14ac:dyDescent="0.3">
      <c r="A12684">
        <v>39.947240000000001</v>
      </c>
      <c r="B12684">
        <v>-75.174689999999998</v>
      </c>
      <c r="C12684" t="s">
        <v>43</v>
      </c>
      <c r="D12684" t="s">
        <v>6228</v>
      </c>
      <c r="F12684" s="21"/>
      <c r="G12684" s="16" t="str">
        <f>HYPERLINK("http://maps.google.com/maps?f=q&amp;hl=en&amp;geocode=&amp;q=39.94724,-75.17469")</f>
        <v>http://maps.google.com/maps?f=q&amp;hl=en&amp;geocode=&amp;q=39.94724,-75.17469</v>
      </c>
    </row>
    <row r="12685" spans="1:7" ht="15" x14ac:dyDescent="0.3">
      <c r="A12685">
        <v>39.947240000000001</v>
      </c>
      <c r="B12685">
        <v>-75.174689999999998</v>
      </c>
      <c r="C12685" t="s">
        <v>43</v>
      </c>
      <c r="D12685" t="s">
        <v>6228</v>
      </c>
      <c r="F12685" s="21"/>
      <c r="G12685" s="16" t="str">
        <f>HYPERLINK("http://maps.google.com/maps?f=q&amp;hl=en&amp;geocode=&amp;q=39.94724,-75.17469")</f>
        <v>http://maps.google.com/maps?f=q&amp;hl=en&amp;geocode=&amp;q=39.94724,-75.17469</v>
      </c>
    </row>
    <row r="12686" spans="1:7" ht="15" x14ac:dyDescent="0.3">
      <c r="A12686">
        <v>37.700311708270299</v>
      </c>
      <c r="B12686">
        <v>-93.555154033111506</v>
      </c>
      <c r="C12686" t="s">
        <v>41</v>
      </c>
      <c r="D12686" t="s">
        <v>7030</v>
      </c>
      <c r="F12686" s="21"/>
      <c r="G12686" s="16" t="str">
        <f>HYPERLINK("http://maps.google.com/maps?f=q&amp;hl=en&amp;geocode=&amp;q=37.7003117082703,-93.5551540331115")</f>
        <v>http://maps.google.com/maps?f=q&amp;hl=en&amp;geocode=&amp;q=37.7003117082703,-93.5551540331115</v>
      </c>
    </row>
    <row r="12687" spans="1:7" ht="15" x14ac:dyDescent="0.3">
      <c r="A12687">
        <v>49.647453308105497</v>
      </c>
      <c r="B12687">
        <v>6.1309771537780797</v>
      </c>
      <c r="C12687" t="s">
        <v>41</v>
      </c>
      <c r="D12687" t="s">
        <v>7028</v>
      </c>
      <c r="F12687" s="21"/>
      <c r="G12687" s="16" t="str">
        <f>HYPERLINK("http://maps.google.com/maps?f=q&amp;hl=en&amp;geocode=&amp;q=49.6474533081055,6.13097715377808")</f>
        <v>http://maps.google.com/maps?f=q&amp;hl=en&amp;geocode=&amp;q=49.6474533081055,6.13097715377808</v>
      </c>
    </row>
    <row r="12688" spans="1:7" ht="15" x14ac:dyDescent="0.3">
      <c r="A12688" t="s">
        <v>44</v>
      </c>
      <c r="B12688" t="s">
        <v>44</v>
      </c>
      <c r="C12688" t="s">
        <v>44</v>
      </c>
      <c r="D12688" t="s">
        <v>5376</v>
      </c>
      <c r="F12688" s="21"/>
      <c r="G12688" s="16"/>
    </row>
    <row r="12689" spans="1:7" ht="15" x14ac:dyDescent="0.3">
      <c r="A12689">
        <v>40.576259999999998</v>
      </c>
      <c r="B12689">
        <v>-75.348519999999994</v>
      </c>
      <c r="C12689" t="s">
        <v>43</v>
      </c>
      <c r="D12689" t="s">
        <v>6223</v>
      </c>
      <c r="F12689" s="21"/>
      <c r="G12689" s="16" t="str">
        <f>HYPERLINK("http://maps.google.com/maps?f=q&amp;hl=en&amp;geocode=&amp;q=40.57626,-75.34852")</f>
        <v>http://maps.google.com/maps?f=q&amp;hl=en&amp;geocode=&amp;q=40.57626,-75.34852</v>
      </c>
    </row>
    <row r="12690" spans="1:7" ht="15" x14ac:dyDescent="0.3">
      <c r="A12690">
        <v>34.542929999999998</v>
      </c>
      <c r="B12690">
        <v>-93.182190000000006</v>
      </c>
      <c r="C12690" t="s">
        <v>43</v>
      </c>
      <c r="D12690" t="s">
        <v>6540</v>
      </c>
      <c r="F12690" s="21"/>
      <c r="G12690" s="16" t="str">
        <f>HYPERLINK("http://maps.google.com/maps?f=q&amp;hl=en&amp;geocode=&amp;q=34.54293,-93.18219")</f>
        <v>http://maps.google.com/maps?f=q&amp;hl=en&amp;geocode=&amp;q=34.54293,-93.18219</v>
      </c>
    </row>
    <row r="12691" spans="1:7" ht="15" x14ac:dyDescent="0.3">
      <c r="A12691">
        <v>41.336360052413802</v>
      </c>
      <c r="B12691">
        <v>-91.600209022395703</v>
      </c>
      <c r="C12691" t="s">
        <v>41</v>
      </c>
      <c r="D12691" t="s">
        <v>7031</v>
      </c>
      <c r="F12691" s="21"/>
      <c r="G12691" s="16" t="str">
        <f>HYPERLINK("http://maps.google.com/maps?f=q&amp;hl=en&amp;geocode=&amp;q=41.3363600524138,-91.6002090223957")</f>
        <v>http://maps.google.com/maps?f=q&amp;hl=en&amp;geocode=&amp;q=41.3363600524138,-91.6002090223957</v>
      </c>
    </row>
    <row r="12692" spans="1:7" ht="15" x14ac:dyDescent="0.3">
      <c r="A12692">
        <v>40.028930000000003</v>
      </c>
      <c r="B12692">
        <v>-75.173519999999996</v>
      </c>
      <c r="C12692" t="s">
        <v>41</v>
      </c>
      <c r="D12692" t="s">
        <v>3391</v>
      </c>
      <c r="F12692" s="21"/>
      <c r="G12692" s="16" t="str">
        <f>HYPERLINK("http://maps.google.com/maps?f=q&amp;hl=en&amp;geocode=&amp;q=40.02893,-75.17352")</f>
        <v>http://maps.google.com/maps?f=q&amp;hl=en&amp;geocode=&amp;q=40.02893,-75.17352</v>
      </c>
    </row>
    <row r="12693" spans="1:7" ht="15" x14ac:dyDescent="0.3">
      <c r="A12693">
        <v>31.010861794446299</v>
      </c>
      <c r="B12693">
        <v>-86.338552900126203</v>
      </c>
      <c r="C12693" t="s">
        <v>41</v>
      </c>
      <c r="D12693" t="s">
        <v>5601</v>
      </c>
      <c r="F12693" s="21"/>
      <c r="G12693" s="16" t="str">
        <f>HYPERLINK("http://maps.google.com/maps?f=q&amp;hl=en&amp;geocode=&amp;q=31.0108617944463,-86.3385529001262")</f>
        <v>http://maps.google.com/maps?f=q&amp;hl=en&amp;geocode=&amp;q=31.0108617944463,-86.3385529001262</v>
      </c>
    </row>
    <row r="12694" spans="1:7" ht="15" x14ac:dyDescent="0.3">
      <c r="A12694">
        <v>29.9786589132197</v>
      </c>
      <c r="B12694">
        <v>-81.8199699986978</v>
      </c>
      <c r="C12694" t="s">
        <v>41</v>
      </c>
      <c r="D12694" t="s">
        <v>7032</v>
      </c>
      <c r="F12694" s="21"/>
      <c r="G12694" s="16" t="str">
        <f>HYPERLINK("http://maps.google.com/maps?f=q&amp;hl=en&amp;geocode=&amp;q=29.9786589132197,-81.8199699986978")</f>
        <v>http://maps.google.com/maps?f=q&amp;hl=en&amp;geocode=&amp;q=29.9786589132197,-81.8199699986978</v>
      </c>
    </row>
    <row r="12695" spans="1:7" ht="15" x14ac:dyDescent="0.3">
      <c r="A12695">
        <v>49.701650000000001</v>
      </c>
      <c r="B12695">
        <v>5.7476599999999998</v>
      </c>
      <c r="C12695" t="s">
        <v>41</v>
      </c>
      <c r="D12695" t="s">
        <v>1023</v>
      </c>
      <c r="F12695" s="21"/>
      <c r="G12695" s="16" t="str">
        <f>HYPERLINK("http://maps.google.com/maps?f=q&amp;hl=en&amp;geocode=&amp;q=49.70165,5.74766")</f>
        <v>http://maps.google.com/maps?f=q&amp;hl=en&amp;geocode=&amp;q=49.70165,5.74766</v>
      </c>
    </row>
    <row r="12696" spans="1:7" ht="15" x14ac:dyDescent="0.3">
      <c r="A12696">
        <v>49.701650000000001</v>
      </c>
      <c r="B12696">
        <v>5.7476599999999998</v>
      </c>
      <c r="C12696" t="s">
        <v>41</v>
      </c>
      <c r="D12696" t="s">
        <v>1023</v>
      </c>
      <c r="F12696" s="21"/>
      <c r="G12696" s="16" t="str">
        <f>HYPERLINK("http://maps.google.com/maps?f=q&amp;hl=en&amp;geocode=&amp;q=49.70165,5.74766")</f>
        <v>http://maps.google.com/maps?f=q&amp;hl=en&amp;geocode=&amp;q=49.70165,5.74766</v>
      </c>
    </row>
    <row r="12697" spans="1:7" ht="15" x14ac:dyDescent="0.3">
      <c r="A12697">
        <v>32.348633357171799</v>
      </c>
      <c r="B12697">
        <v>-83.886367972780704</v>
      </c>
      <c r="C12697" t="s">
        <v>41</v>
      </c>
      <c r="D12697" t="s">
        <v>2006</v>
      </c>
      <c r="F12697" s="21"/>
      <c r="G12697" s="16" t="str">
        <f>HYPERLINK("http://maps.google.com/maps?f=q&amp;hl=en&amp;geocode=&amp;q=32.3486333571718,-83.8863679727807")</f>
        <v>http://maps.google.com/maps?f=q&amp;hl=en&amp;geocode=&amp;q=32.3486333571718,-83.8863679727807</v>
      </c>
    </row>
    <row r="12698" spans="1:7" ht="15" x14ac:dyDescent="0.3">
      <c r="A12698">
        <v>36.236499999999999</v>
      </c>
      <c r="B12698">
        <v>-119.35789</v>
      </c>
      <c r="C12698" t="s">
        <v>42</v>
      </c>
      <c r="D12698" t="s">
        <v>7033</v>
      </c>
      <c r="F12698" s="21"/>
      <c r="G12698" s="16" t="str">
        <f>HYPERLINK("http://maps.google.com/maps?f=q&amp;hl=en&amp;geocode=&amp;q=36.2365,-119.35789")</f>
        <v>http://maps.google.com/maps?f=q&amp;hl=en&amp;geocode=&amp;q=36.2365,-119.35789</v>
      </c>
    </row>
    <row r="12699" spans="1:7" ht="15" x14ac:dyDescent="0.3">
      <c r="A12699">
        <v>36.7413234390499</v>
      </c>
      <c r="B12699">
        <v>-119.736139519993</v>
      </c>
      <c r="C12699" t="s">
        <v>41</v>
      </c>
      <c r="D12699" t="s">
        <v>2631</v>
      </c>
      <c r="F12699" s="21"/>
      <c r="G12699" s="16" t="str">
        <f>HYPERLINK("http://maps.google.com/maps?f=q&amp;hl=en&amp;geocode=&amp;q=36.7413234390499,-119.736139519993")</f>
        <v>http://maps.google.com/maps?f=q&amp;hl=en&amp;geocode=&amp;q=36.7413234390499,-119.736139519993</v>
      </c>
    </row>
    <row r="12700" spans="1:7" ht="15" x14ac:dyDescent="0.3">
      <c r="A12700">
        <v>32.642203514985603</v>
      </c>
      <c r="B12700">
        <v>-97.030505738964806</v>
      </c>
      <c r="C12700" t="s">
        <v>41</v>
      </c>
      <c r="D12700" t="s">
        <v>6040</v>
      </c>
      <c r="F12700" s="21"/>
      <c r="G12700" s="16" t="str">
        <f>HYPERLINK("http://maps.google.com/maps?f=q&amp;hl=en&amp;geocode=&amp;q=32.6422035149856,-97.0305057389648")</f>
        <v>http://maps.google.com/maps?f=q&amp;hl=en&amp;geocode=&amp;q=32.6422035149856,-97.0305057389648</v>
      </c>
    </row>
    <row r="12701" spans="1:7" ht="15" x14ac:dyDescent="0.3">
      <c r="A12701">
        <v>39.745310000000003</v>
      </c>
      <c r="B12701">
        <v>-84.636489999999995</v>
      </c>
      <c r="C12701" t="s">
        <v>42</v>
      </c>
      <c r="D12701" t="s">
        <v>7034</v>
      </c>
      <c r="F12701" s="21"/>
      <c r="G12701" s="16" t="str">
        <f>HYPERLINK("http://maps.google.com/maps?f=q&amp;hl=en&amp;geocode=&amp;q=39.74531,-84.63649")</f>
        <v>http://maps.google.com/maps?f=q&amp;hl=en&amp;geocode=&amp;q=39.74531,-84.63649</v>
      </c>
    </row>
    <row r="12702" spans="1:7" ht="15" x14ac:dyDescent="0.3">
      <c r="A12702">
        <v>57.220451354980497</v>
      </c>
      <c r="B12702">
        <v>18.588710784912099</v>
      </c>
      <c r="C12702" t="s">
        <v>41</v>
      </c>
      <c r="D12702" t="s">
        <v>7035</v>
      </c>
      <c r="F12702" s="21"/>
      <c r="G12702" s="16" t="str">
        <f>HYPERLINK("http://maps.google.com/maps?f=q&amp;hl=en&amp;geocode=&amp;q=57.2204513549805,18.5887107849121")</f>
        <v>http://maps.google.com/maps?f=q&amp;hl=en&amp;geocode=&amp;q=57.2204513549805,18.5887107849121</v>
      </c>
    </row>
    <row r="12703" spans="1:7" ht="15" x14ac:dyDescent="0.3">
      <c r="A12703">
        <v>57.220451354980497</v>
      </c>
      <c r="B12703">
        <v>18.588710784912099</v>
      </c>
      <c r="C12703" t="s">
        <v>41</v>
      </c>
      <c r="D12703" t="s">
        <v>7035</v>
      </c>
      <c r="F12703" s="21"/>
      <c r="G12703" s="16" t="str">
        <f>HYPERLINK("http://maps.google.com/maps?f=q&amp;hl=en&amp;geocode=&amp;q=57.2204513549805,18.5887107849121")</f>
        <v>http://maps.google.com/maps?f=q&amp;hl=en&amp;geocode=&amp;q=57.2204513549805,18.5887107849121</v>
      </c>
    </row>
    <row r="12704" spans="1:7" ht="15" x14ac:dyDescent="0.3">
      <c r="A12704">
        <v>41.7426147460938</v>
      </c>
      <c r="B12704">
        <v>-70.654312133789105</v>
      </c>
      <c r="C12704" t="s">
        <v>43</v>
      </c>
      <c r="D12704" t="s">
        <v>7036</v>
      </c>
      <c r="F12704" s="21"/>
      <c r="G12704" s="16" t="str">
        <f>HYPERLINK("http://maps.google.com/maps?f=q&amp;hl=en&amp;geocode=&amp;q=41.7426147460938,-70.6543121337891")</f>
        <v>http://maps.google.com/maps?f=q&amp;hl=en&amp;geocode=&amp;q=41.7426147460938,-70.6543121337891</v>
      </c>
    </row>
    <row r="12705" spans="1:7" ht="15" x14ac:dyDescent="0.3">
      <c r="A12705">
        <v>46.408790588378899</v>
      </c>
      <c r="B12705">
        <v>12.017880439758301</v>
      </c>
      <c r="C12705" t="s">
        <v>41</v>
      </c>
      <c r="D12705" t="s">
        <v>7037</v>
      </c>
      <c r="F12705" s="21"/>
      <c r="G12705" s="16" t="str">
        <f>HYPERLINK("http://maps.google.com/maps?f=q&amp;hl=en&amp;geocode=&amp;q=46.4087905883789,12.0178804397583")</f>
        <v>http://maps.google.com/maps?f=q&amp;hl=en&amp;geocode=&amp;q=46.4087905883789,12.0178804397583</v>
      </c>
    </row>
    <row r="12706" spans="1:7" ht="15" x14ac:dyDescent="0.3">
      <c r="A12706">
        <v>40.576259999999998</v>
      </c>
      <c r="B12706">
        <v>-75.348519999999994</v>
      </c>
      <c r="C12706" t="s">
        <v>43</v>
      </c>
      <c r="D12706" t="s">
        <v>6223</v>
      </c>
      <c r="F12706" s="21"/>
      <c r="G12706" s="16" t="str">
        <f>HYPERLINK("http://maps.google.com/maps?f=q&amp;hl=en&amp;geocode=&amp;q=40.57626,-75.34852")</f>
        <v>http://maps.google.com/maps?f=q&amp;hl=en&amp;geocode=&amp;q=40.57626,-75.34852</v>
      </c>
    </row>
    <row r="12707" spans="1:7" ht="15" x14ac:dyDescent="0.3">
      <c r="A12707">
        <v>39.947240000000001</v>
      </c>
      <c r="B12707">
        <v>-75.174689999999998</v>
      </c>
      <c r="C12707" t="s">
        <v>43</v>
      </c>
      <c r="D12707" t="s">
        <v>6228</v>
      </c>
      <c r="F12707" s="21"/>
      <c r="G12707" s="16" t="str">
        <f>HYPERLINK("http://maps.google.com/maps?f=q&amp;hl=en&amp;geocode=&amp;q=39.94724,-75.17469")</f>
        <v>http://maps.google.com/maps?f=q&amp;hl=en&amp;geocode=&amp;q=39.94724,-75.17469</v>
      </c>
    </row>
    <row r="12708" spans="1:7" ht="15" x14ac:dyDescent="0.3">
      <c r="A12708">
        <v>39.947240000000001</v>
      </c>
      <c r="B12708">
        <v>-75.174689999999998</v>
      </c>
      <c r="C12708" t="s">
        <v>43</v>
      </c>
      <c r="D12708" t="s">
        <v>6228</v>
      </c>
      <c r="F12708" s="21"/>
      <c r="G12708" s="16" t="str">
        <f>HYPERLINK("http://maps.google.com/maps?f=q&amp;hl=en&amp;geocode=&amp;q=39.94724,-75.17469")</f>
        <v>http://maps.google.com/maps?f=q&amp;hl=en&amp;geocode=&amp;q=39.94724,-75.17469</v>
      </c>
    </row>
    <row r="12709" spans="1:7" ht="15" x14ac:dyDescent="0.3">
      <c r="A12709">
        <v>39.94782</v>
      </c>
      <c r="B12709">
        <v>-75.178169999999994</v>
      </c>
      <c r="C12709" t="s">
        <v>43</v>
      </c>
      <c r="D12709" t="s">
        <v>6255</v>
      </c>
      <c r="F12709" s="21"/>
      <c r="G12709" s="16" t="str">
        <f>HYPERLINK("http://maps.google.com/maps?f=q&amp;hl=en&amp;geocode=&amp;q=39.94782,-75.17817")</f>
        <v>http://maps.google.com/maps?f=q&amp;hl=en&amp;geocode=&amp;q=39.94782,-75.17817</v>
      </c>
    </row>
    <row r="12710" spans="1:7" ht="15" x14ac:dyDescent="0.3">
      <c r="A12710">
        <v>43.2552302532726</v>
      </c>
      <c r="B12710">
        <v>-73.76374217787</v>
      </c>
      <c r="C12710" t="s">
        <v>41</v>
      </c>
      <c r="D12710" t="s">
        <v>6723</v>
      </c>
      <c r="F12710" s="21"/>
      <c r="G12710" s="16" t="str">
        <f>HYPERLINK("http://maps.google.com/maps?f=q&amp;hl=en&amp;geocode=&amp;q=43.2552302532726,-73.76374217787")</f>
        <v>http://maps.google.com/maps?f=q&amp;hl=en&amp;geocode=&amp;q=43.2552302532726,-73.76374217787</v>
      </c>
    </row>
    <row r="12711" spans="1:7" ht="15" x14ac:dyDescent="0.3">
      <c r="A12711">
        <v>48.672306060791001</v>
      </c>
      <c r="B12711">
        <v>7.5540661811828604</v>
      </c>
      <c r="C12711" t="s">
        <v>43</v>
      </c>
      <c r="D12711" t="s">
        <v>7038</v>
      </c>
      <c r="F12711" s="21"/>
      <c r="G12711" s="16" t="str">
        <f>HYPERLINK("http://maps.google.com/maps?f=q&amp;hl=en&amp;geocode=&amp;q=48.672306060791,7.55406618118286")</f>
        <v>http://maps.google.com/maps?f=q&amp;hl=en&amp;geocode=&amp;q=48.672306060791,7.55406618118286</v>
      </c>
    </row>
    <row r="12712" spans="1:7" ht="15" x14ac:dyDescent="0.3">
      <c r="A12712">
        <v>31.531070870062901</v>
      </c>
      <c r="B12712">
        <v>-81.364645665152096</v>
      </c>
      <c r="C12712" t="s">
        <v>41</v>
      </c>
      <c r="D12712" t="s">
        <v>6104</v>
      </c>
      <c r="F12712" s="21"/>
      <c r="G12712" s="16" t="str">
        <f>HYPERLINK("http://maps.google.com/maps?f=q&amp;hl=en&amp;geocode=&amp;q=31.5310708700629,-81.3646456651521")</f>
        <v>http://maps.google.com/maps?f=q&amp;hl=en&amp;geocode=&amp;q=31.5310708700629,-81.3646456651521</v>
      </c>
    </row>
    <row r="12713" spans="1:7" ht="15" x14ac:dyDescent="0.3">
      <c r="A12713">
        <v>39.94782</v>
      </c>
      <c r="B12713">
        <v>-75.178169999999994</v>
      </c>
      <c r="C12713" t="s">
        <v>43</v>
      </c>
      <c r="D12713" t="s">
        <v>6255</v>
      </c>
      <c r="F12713" s="21"/>
      <c r="G12713" s="16" t="str">
        <f>HYPERLINK("http://maps.google.com/maps?f=q&amp;hl=en&amp;geocode=&amp;q=39.94782,-75.17817")</f>
        <v>http://maps.google.com/maps?f=q&amp;hl=en&amp;geocode=&amp;q=39.94782,-75.17817</v>
      </c>
    </row>
    <row r="12714" spans="1:7" ht="15" x14ac:dyDescent="0.3">
      <c r="A12714">
        <v>34.357109999999999</v>
      </c>
      <c r="B12714">
        <v>-88.688230000000004</v>
      </c>
      <c r="C12714" t="s">
        <v>41</v>
      </c>
      <c r="D12714" t="s">
        <v>4153</v>
      </c>
      <c r="F12714" s="21"/>
      <c r="G12714" s="16" t="str">
        <f>HYPERLINK("http://maps.google.com/maps?f=q&amp;hl=en&amp;geocode=&amp;q=34.35711,-88.68823")</f>
        <v>http://maps.google.com/maps?f=q&amp;hl=en&amp;geocode=&amp;q=34.35711,-88.68823</v>
      </c>
    </row>
    <row r="12715" spans="1:7" ht="15" x14ac:dyDescent="0.3">
      <c r="A12715">
        <v>39.920672357806197</v>
      </c>
      <c r="B12715">
        <v>-75.171717841765499</v>
      </c>
      <c r="C12715" t="s">
        <v>43</v>
      </c>
      <c r="D12715" t="s">
        <v>7039</v>
      </c>
      <c r="F12715" s="21"/>
      <c r="G12715" s="16" t="str">
        <f>HYPERLINK("http://maps.google.com/maps?f=q&amp;hl=en&amp;geocode=&amp;q=39.9206723578062,-75.1717178417655")</f>
        <v>http://maps.google.com/maps?f=q&amp;hl=en&amp;geocode=&amp;q=39.9206723578062,-75.1717178417655</v>
      </c>
    </row>
    <row r="12716" spans="1:7" ht="15" x14ac:dyDescent="0.3">
      <c r="A12716">
        <v>-27.549879074096701</v>
      </c>
      <c r="B12716">
        <v>152.33633422851599</v>
      </c>
      <c r="C12716" t="s">
        <v>41</v>
      </c>
      <c r="D12716" t="s">
        <v>7040</v>
      </c>
      <c r="F12716" s="21"/>
      <c r="G12716" s="16" t="str">
        <f>HYPERLINK("http://maps.google.com/maps?f=q&amp;hl=en&amp;geocode=&amp;q=-27.5498790740967,152.336334228516")</f>
        <v>http://maps.google.com/maps?f=q&amp;hl=en&amp;geocode=&amp;q=-27.5498790740967,152.336334228516</v>
      </c>
    </row>
    <row r="12717" spans="1:7" ht="15" x14ac:dyDescent="0.3">
      <c r="A12717">
        <v>31.028939999999999</v>
      </c>
      <c r="B12717">
        <v>-87.526110000000003</v>
      </c>
      <c r="C12717" t="s">
        <v>41</v>
      </c>
      <c r="D12717" t="s">
        <v>3474</v>
      </c>
      <c r="F12717" s="21"/>
      <c r="G12717" s="16" t="str">
        <f>HYPERLINK("http://maps.google.com/maps?f=q&amp;hl=en&amp;geocode=&amp;q=31.02894,-87.52611")</f>
        <v>http://maps.google.com/maps?f=q&amp;hl=en&amp;geocode=&amp;q=31.02894,-87.52611</v>
      </c>
    </row>
    <row r="12718" spans="1:7" ht="15" x14ac:dyDescent="0.3">
      <c r="A12718">
        <v>46.623293062362698</v>
      </c>
      <c r="B12718">
        <v>-111.917940537083</v>
      </c>
      <c r="C12718" t="s">
        <v>43</v>
      </c>
      <c r="D12718" t="s">
        <v>7041</v>
      </c>
      <c r="F12718" s="21"/>
      <c r="G12718" s="16" t="str">
        <f>HYPERLINK("http://maps.google.com/maps?f=q&amp;hl=en&amp;geocode=&amp;q=46.6232930623627,-111.917940537083")</f>
        <v>http://maps.google.com/maps?f=q&amp;hl=en&amp;geocode=&amp;q=46.6232930623627,-111.917940537083</v>
      </c>
    </row>
    <row r="12719" spans="1:7" ht="15" x14ac:dyDescent="0.3">
      <c r="A12719">
        <v>41.243700609750498</v>
      </c>
      <c r="B12719">
        <v>-86.577369802228503</v>
      </c>
      <c r="C12719" t="s">
        <v>43</v>
      </c>
      <c r="D12719" t="s">
        <v>7042</v>
      </c>
      <c r="F12719" s="21"/>
      <c r="G12719" s="16" t="str">
        <f>HYPERLINK("http://maps.google.com/maps?f=q&amp;hl=en&amp;geocode=&amp;q=41.2437006097505,-86.5773698022285")</f>
        <v>http://maps.google.com/maps?f=q&amp;hl=en&amp;geocode=&amp;q=41.2437006097505,-86.5773698022285</v>
      </c>
    </row>
    <row r="12720" spans="1:7" ht="15" x14ac:dyDescent="0.3">
      <c r="A12720">
        <v>39.95599</v>
      </c>
      <c r="B12720">
        <v>-75.211510000000004</v>
      </c>
      <c r="C12720" t="s">
        <v>43</v>
      </c>
      <c r="D12720" t="s">
        <v>7043</v>
      </c>
      <c r="F12720" s="21"/>
      <c r="G12720" s="16" t="str">
        <f>HYPERLINK("http://maps.google.com/maps?f=q&amp;hl=en&amp;geocode=&amp;q=39.95599,-75.21151")</f>
        <v>http://maps.google.com/maps?f=q&amp;hl=en&amp;geocode=&amp;q=39.95599,-75.21151</v>
      </c>
    </row>
    <row r="12721" spans="1:7" ht="15" x14ac:dyDescent="0.3">
      <c r="A12721">
        <v>35.538849999999996</v>
      </c>
      <c r="B12721">
        <v>-100.96662000000001</v>
      </c>
      <c r="C12721" t="s">
        <v>41</v>
      </c>
      <c r="D12721" t="s">
        <v>7044</v>
      </c>
      <c r="F12721" s="21"/>
      <c r="G12721" s="16" t="str">
        <f>HYPERLINK("http://maps.google.com/maps?f=q&amp;hl=en&amp;geocode=&amp;q=35.53885,-100.96662")</f>
        <v>http://maps.google.com/maps?f=q&amp;hl=en&amp;geocode=&amp;q=35.53885,-100.96662</v>
      </c>
    </row>
    <row r="12722" spans="1:7" ht="15" x14ac:dyDescent="0.3">
      <c r="A12722">
        <v>40.446689605712898</v>
      </c>
      <c r="B12722">
        <v>-76.231819152832003</v>
      </c>
      <c r="C12722" t="s">
        <v>41</v>
      </c>
      <c r="D12722" t="s">
        <v>7045</v>
      </c>
      <c r="F12722" s="21"/>
      <c r="G12722" s="16" t="str">
        <f>HYPERLINK("http://maps.google.com/maps?f=q&amp;hl=en&amp;geocode=&amp;q=40.4466896057129,-76.231819152832")</f>
        <v>http://maps.google.com/maps?f=q&amp;hl=en&amp;geocode=&amp;q=40.4466896057129,-76.231819152832</v>
      </c>
    </row>
    <row r="12723" spans="1:7" ht="15" x14ac:dyDescent="0.3">
      <c r="A12723">
        <v>36.337464273838897</v>
      </c>
      <c r="B12723">
        <v>-89.161859063854394</v>
      </c>
      <c r="C12723" t="s">
        <v>41</v>
      </c>
      <c r="D12723" t="s">
        <v>1346</v>
      </c>
      <c r="F12723" s="21"/>
      <c r="G12723" s="16" t="str">
        <f>HYPERLINK("http://maps.google.com/maps?f=q&amp;hl=en&amp;geocode=&amp;q=36.3374642738389,-89.1618590638544")</f>
        <v>http://maps.google.com/maps?f=q&amp;hl=en&amp;geocode=&amp;q=36.3374642738389,-89.1618590638544</v>
      </c>
    </row>
    <row r="12724" spans="1:7" ht="15" x14ac:dyDescent="0.3">
      <c r="A12724">
        <v>28.309629392087601</v>
      </c>
      <c r="B12724">
        <v>-81.227677881379904</v>
      </c>
      <c r="C12724" t="s">
        <v>41</v>
      </c>
      <c r="D12724" t="s">
        <v>2427</v>
      </c>
      <c r="F12724" s="21"/>
      <c r="G12724" s="16" t="str">
        <f>HYPERLINK("http://maps.google.com/maps?f=q&amp;hl=en&amp;geocode=&amp;q=28.3096293920876,-81.2276778813799")</f>
        <v>http://maps.google.com/maps?f=q&amp;hl=en&amp;geocode=&amp;q=28.3096293920876,-81.2276778813799</v>
      </c>
    </row>
    <row r="12725" spans="1:7" ht="15" x14ac:dyDescent="0.3">
      <c r="A12725">
        <v>35.603259999999999</v>
      </c>
      <c r="B12725">
        <v>-86.743480000000005</v>
      </c>
      <c r="C12725" t="s">
        <v>42</v>
      </c>
      <c r="D12725" t="s">
        <v>7046</v>
      </c>
      <c r="F12725" s="21"/>
      <c r="G12725" s="16" t="str">
        <f>HYPERLINK("http://maps.google.com/maps?f=q&amp;hl=en&amp;geocode=&amp;q=35.60326,-86.74348")</f>
        <v>http://maps.google.com/maps?f=q&amp;hl=en&amp;geocode=&amp;q=35.60326,-86.74348</v>
      </c>
    </row>
    <row r="12726" spans="1:7" ht="15" x14ac:dyDescent="0.3">
      <c r="A12726">
        <v>39.974913000000001</v>
      </c>
      <c r="B12726">
        <v>-75.196803000000003</v>
      </c>
      <c r="C12726" t="s">
        <v>41</v>
      </c>
      <c r="D12726" t="s">
        <v>7047</v>
      </c>
      <c r="F12726" s="21"/>
      <c r="G12726" s="16" t="str">
        <f>HYPERLINK("http://maps.google.com/maps?f=q&amp;hl=en&amp;geocode=&amp;q=39.974913,-75.196803")</f>
        <v>http://maps.google.com/maps?f=q&amp;hl=en&amp;geocode=&amp;q=39.974913,-75.196803</v>
      </c>
    </row>
    <row r="12727" spans="1:7" ht="15" x14ac:dyDescent="0.3">
      <c r="A12727">
        <v>39.425251007080099</v>
      </c>
      <c r="B12727">
        <v>-123.657768249512</v>
      </c>
      <c r="C12727" t="s">
        <v>43</v>
      </c>
      <c r="D12727" t="s">
        <v>7048</v>
      </c>
      <c r="F12727" s="21"/>
      <c r="G12727" s="16" t="str">
        <f>HYPERLINK("http://maps.google.com/maps?f=q&amp;hl=en&amp;geocode=&amp;q=39.4252510070801,-123.657768249512")</f>
        <v>http://maps.google.com/maps?f=q&amp;hl=en&amp;geocode=&amp;q=39.4252510070801,-123.657768249512</v>
      </c>
    </row>
    <row r="12728" spans="1:7" ht="15" x14ac:dyDescent="0.3">
      <c r="A12728">
        <v>42.7791938781738</v>
      </c>
      <c r="B12728">
        <v>-73.691421508789105</v>
      </c>
      <c r="C12728" t="s">
        <v>43</v>
      </c>
      <c r="D12728" t="s">
        <v>1559</v>
      </c>
      <c r="F12728" s="21"/>
      <c r="G12728" s="16" t="str">
        <f>HYPERLINK("http://maps.google.com/maps?f=q&amp;hl=en&amp;geocode=&amp;q=42.7791938781738,-73.6914215087891")</f>
        <v>http://maps.google.com/maps?f=q&amp;hl=en&amp;geocode=&amp;q=42.7791938781738,-73.6914215087891</v>
      </c>
    </row>
    <row r="12729" spans="1:7" ht="15" x14ac:dyDescent="0.3">
      <c r="A12729">
        <v>35.906739999999999</v>
      </c>
      <c r="B12729">
        <v>-94.959850000000003</v>
      </c>
      <c r="C12729" t="s">
        <v>42</v>
      </c>
      <c r="D12729" t="s">
        <v>7049</v>
      </c>
      <c r="F12729" s="21"/>
      <c r="G12729" s="16" t="str">
        <f>HYPERLINK("http://maps.google.com/maps?f=q&amp;hl=en&amp;geocode=&amp;q=35.90674,-94.95985")</f>
        <v>http://maps.google.com/maps?f=q&amp;hl=en&amp;geocode=&amp;q=35.90674,-94.95985</v>
      </c>
    </row>
    <row r="12730" spans="1:7" ht="15" x14ac:dyDescent="0.3">
      <c r="A12730">
        <v>-37.74953</v>
      </c>
      <c r="B12730">
        <v>144.96537000000001</v>
      </c>
      <c r="C12730" t="s">
        <v>41</v>
      </c>
      <c r="D12730" t="s">
        <v>7050</v>
      </c>
      <c r="F12730" s="21"/>
      <c r="G12730" s="16" t="str">
        <f>HYPERLINK("http://maps.google.com/maps?f=q&amp;hl=en&amp;geocode=&amp;q=-37.74953,144.96537")</f>
        <v>http://maps.google.com/maps?f=q&amp;hl=en&amp;geocode=&amp;q=-37.74953,144.96537</v>
      </c>
    </row>
    <row r="12731" spans="1:7" ht="15" x14ac:dyDescent="0.3">
      <c r="A12731" t="s">
        <v>44</v>
      </c>
      <c r="B12731" t="s">
        <v>44</v>
      </c>
      <c r="C12731" t="s">
        <v>44</v>
      </c>
      <c r="D12731" t="s">
        <v>7051</v>
      </c>
      <c r="F12731" s="21"/>
      <c r="G12731" s="16"/>
    </row>
    <row r="12732" spans="1:7" ht="15" x14ac:dyDescent="0.3">
      <c r="A12732">
        <v>-37.74953</v>
      </c>
      <c r="B12732">
        <v>144.96537000000001</v>
      </c>
      <c r="C12732" t="s">
        <v>41</v>
      </c>
      <c r="D12732" t="s">
        <v>7050</v>
      </c>
      <c r="F12732" s="21"/>
      <c r="G12732" s="16" t="str">
        <f>HYPERLINK("http://maps.google.com/maps?f=q&amp;hl=en&amp;geocode=&amp;q=-37.74953,144.96537")</f>
        <v>http://maps.google.com/maps?f=q&amp;hl=en&amp;geocode=&amp;q=-37.74953,144.96537</v>
      </c>
    </row>
    <row r="12733" spans="1:7" ht="15" x14ac:dyDescent="0.3">
      <c r="A12733">
        <v>49.647453308105497</v>
      </c>
      <c r="B12733">
        <v>6.1309771537780797</v>
      </c>
      <c r="C12733" t="s">
        <v>41</v>
      </c>
      <c r="D12733" t="s">
        <v>7028</v>
      </c>
      <c r="F12733" s="21"/>
      <c r="G12733" s="16" t="str">
        <f>HYPERLINK("http://maps.google.com/maps?f=q&amp;hl=en&amp;geocode=&amp;q=49.6474533081055,6.13097715377808")</f>
        <v>http://maps.google.com/maps?f=q&amp;hl=en&amp;geocode=&amp;q=49.6474533081055,6.13097715377808</v>
      </c>
    </row>
    <row r="12734" spans="1:7" ht="15" x14ac:dyDescent="0.3">
      <c r="A12734">
        <v>49.647453308105497</v>
      </c>
      <c r="B12734">
        <v>6.1309771537780797</v>
      </c>
      <c r="C12734" t="s">
        <v>41</v>
      </c>
      <c r="D12734" t="s">
        <v>7028</v>
      </c>
      <c r="F12734" s="21"/>
      <c r="G12734" s="16" t="str">
        <f>HYPERLINK("http://maps.google.com/maps?f=q&amp;hl=en&amp;geocode=&amp;q=49.6474533081055,6.13097715377808")</f>
        <v>http://maps.google.com/maps?f=q&amp;hl=en&amp;geocode=&amp;q=49.6474533081055,6.13097715377808</v>
      </c>
    </row>
    <row r="12735" spans="1:7" ht="15" x14ac:dyDescent="0.3">
      <c r="A12735">
        <v>-37.74953</v>
      </c>
      <c r="B12735">
        <v>144.96537000000001</v>
      </c>
      <c r="C12735" t="s">
        <v>41</v>
      </c>
      <c r="D12735" t="s">
        <v>7050</v>
      </c>
      <c r="F12735" s="21"/>
      <c r="G12735" s="16" t="str">
        <f>HYPERLINK("http://maps.google.com/maps?f=q&amp;hl=en&amp;geocode=&amp;q=-37.74953,144.96537")</f>
        <v>http://maps.google.com/maps?f=q&amp;hl=en&amp;geocode=&amp;q=-37.74953,144.96537</v>
      </c>
    </row>
    <row r="12736" spans="1:7" ht="15" x14ac:dyDescent="0.3">
      <c r="A12736">
        <v>-37.74953</v>
      </c>
      <c r="B12736">
        <v>144.96537000000001</v>
      </c>
      <c r="C12736" t="s">
        <v>41</v>
      </c>
      <c r="D12736" t="s">
        <v>7050</v>
      </c>
      <c r="F12736" s="21"/>
      <c r="G12736" s="16" t="str">
        <f>HYPERLINK("http://maps.google.com/maps?f=q&amp;hl=en&amp;geocode=&amp;q=-37.74953,144.96537")</f>
        <v>http://maps.google.com/maps?f=q&amp;hl=en&amp;geocode=&amp;q=-37.74953,144.96537</v>
      </c>
    </row>
    <row r="12737" spans="1:7" ht="15" x14ac:dyDescent="0.3">
      <c r="A12737">
        <v>-37.74953</v>
      </c>
      <c r="B12737">
        <v>144.96537000000001</v>
      </c>
      <c r="C12737" t="s">
        <v>41</v>
      </c>
      <c r="D12737" t="s">
        <v>7050</v>
      </c>
      <c r="F12737" s="21"/>
      <c r="G12737" s="16" t="str">
        <f>HYPERLINK("http://maps.google.com/maps?f=q&amp;hl=en&amp;geocode=&amp;q=-37.74953,144.96537")</f>
        <v>http://maps.google.com/maps?f=q&amp;hl=en&amp;geocode=&amp;q=-37.74953,144.96537</v>
      </c>
    </row>
    <row r="12738" spans="1:7" ht="15" x14ac:dyDescent="0.3">
      <c r="A12738">
        <v>-37.74953</v>
      </c>
      <c r="B12738">
        <v>144.96537000000001</v>
      </c>
      <c r="C12738" t="s">
        <v>41</v>
      </c>
      <c r="D12738" t="s">
        <v>7050</v>
      </c>
      <c r="F12738" s="21"/>
      <c r="G12738" s="16" t="str">
        <f>HYPERLINK("http://maps.google.com/maps?f=q&amp;hl=en&amp;geocode=&amp;q=-37.74953,144.96537")</f>
        <v>http://maps.google.com/maps?f=q&amp;hl=en&amp;geocode=&amp;q=-37.74953,144.96537</v>
      </c>
    </row>
    <row r="12739" spans="1:7" ht="15" x14ac:dyDescent="0.3">
      <c r="A12739">
        <v>39.947240000000001</v>
      </c>
      <c r="B12739">
        <v>-75.174689999999998</v>
      </c>
      <c r="C12739" t="s">
        <v>43</v>
      </c>
      <c r="D12739" t="s">
        <v>6228</v>
      </c>
      <c r="F12739" s="21"/>
      <c r="G12739" s="16" t="str">
        <f>HYPERLINK("http://maps.google.com/maps?f=q&amp;hl=en&amp;geocode=&amp;q=39.94724,-75.17469")</f>
        <v>http://maps.google.com/maps?f=q&amp;hl=en&amp;geocode=&amp;q=39.94724,-75.17469</v>
      </c>
    </row>
    <row r="12740" spans="1:7" ht="15" x14ac:dyDescent="0.3">
      <c r="A12740">
        <v>49.647453308105497</v>
      </c>
      <c r="B12740">
        <v>6.1309771537780797</v>
      </c>
      <c r="C12740" t="s">
        <v>41</v>
      </c>
      <c r="D12740" t="s">
        <v>7028</v>
      </c>
      <c r="F12740" s="21"/>
      <c r="G12740" s="16" t="str">
        <f>HYPERLINK("http://maps.google.com/maps?f=q&amp;hl=en&amp;geocode=&amp;q=49.6474533081055,6.13097715377808")</f>
        <v>http://maps.google.com/maps?f=q&amp;hl=en&amp;geocode=&amp;q=49.6474533081055,6.13097715377808</v>
      </c>
    </row>
    <row r="12741" spans="1:7" ht="15" x14ac:dyDescent="0.3">
      <c r="A12741" t="s">
        <v>44</v>
      </c>
      <c r="B12741" t="s">
        <v>44</v>
      </c>
      <c r="C12741" t="s">
        <v>44</v>
      </c>
      <c r="D12741" t="s">
        <v>7052</v>
      </c>
      <c r="F12741" s="21"/>
      <c r="G12741" s="16"/>
    </row>
    <row r="12742" spans="1:7" ht="15" x14ac:dyDescent="0.3">
      <c r="A12742">
        <v>-37.74953</v>
      </c>
      <c r="B12742">
        <v>144.96537000000001</v>
      </c>
      <c r="C12742" t="s">
        <v>41</v>
      </c>
      <c r="D12742" t="s">
        <v>7050</v>
      </c>
      <c r="F12742" s="21"/>
      <c r="G12742" s="16" t="str">
        <f>HYPERLINK("http://maps.google.com/maps?f=q&amp;hl=en&amp;geocode=&amp;q=-37.74953,144.96537")</f>
        <v>http://maps.google.com/maps?f=q&amp;hl=en&amp;geocode=&amp;q=-37.74953,144.96537</v>
      </c>
    </row>
    <row r="12743" spans="1:7" ht="15" x14ac:dyDescent="0.3">
      <c r="A12743">
        <v>34.542929999999998</v>
      </c>
      <c r="B12743">
        <v>-93.182190000000006</v>
      </c>
      <c r="C12743" t="s">
        <v>43</v>
      </c>
      <c r="D12743" t="s">
        <v>6436</v>
      </c>
      <c r="F12743" s="21"/>
      <c r="G12743" s="16" t="str">
        <f>HYPERLINK("http://maps.google.com/maps?f=q&amp;hl=en&amp;geocode=&amp;q=34.54293,-93.18219")</f>
        <v>http://maps.google.com/maps?f=q&amp;hl=en&amp;geocode=&amp;q=34.54293,-93.18219</v>
      </c>
    </row>
    <row r="12744" spans="1:7" ht="15" x14ac:dyDescent="0.3">
      <c r="A12744">
        <v>49.647453308105497</v>
      </c>
      <c r="B12744">
        <v>6.1309771537780797</v>
      </c>
      <c r="C12744" t="s">
        <v>41</v>
      </c>
      <c r="D12744" t="s">
        <v>7028</v>
      </c>
      <c r="F12744" s="21"/>
      <c r="G12744" s="16" t="str">
        <f>HYPERLINK("http://maps.google.com/maps?f=q&amp;hl=en&amp;geocode=&amp;q=49.6474533081055,6.13097715377808")</f>
        <v>http://maps.google.com/maps?f=q&amp;hl=en&amp;geocode=&amp;q=49.6474533081055,6.13097715377808</v>
      </c>
    </row>
    <row r="12745" spans="1:7" ht="15" x14ac:dyDescent="0.3">
      <c r="A12745">
        <v>33.458016688500997</v>
      </c>
      <c r="B12745">
        <v>-81.984409412426402</v>
      </c>
      <c r="C12745" t="s">
        <v>42</v>
      </c>
      <c r="D12745" t="s">
        <v>6919</v>
      </c>
      <c r="F12745" s="21"/>
      <c r="G12745" s="16" t="str">
        <f>HYPERLINK("http://maps.google.com/maps?f=q&amp;hl=en&amp;geocode=&amp;q=33.458016688501,-81.9844094124264")</f>
        <v>http://maps.google.com/maps?f=q&amp;hl=en&amp;geocode=&amp;q=33.458016688501,-81.9844094124264</v>
      </c>
    </row>
    <row r="12746" spans="1:7" ht="15" x14ac:dyDescent="0.3">
      <c r="A12746">
        <v>34.542929999999998</v>
      </c>
      <c r="B12746">
        <v>-93.182190000000006</v>
      </c>
      <c r="C12746" t="s">
        <v>43</v>
      </c>
      <c r="D12746" t="s">
        <v>7053</v>
      </c>
      <c r="F12746" s="21"/>
      <c r="G12746" s="16" t="str">
        <f>HYPERLINK("http://maps.google.com/maps?f=q&amp;hl=en&amp;geocode=&amp;q=34.54293,-93.18219")</f>
        <v>http://maps.google.com/maps?f=q&amp;hl=en&amp;geocode=&amp;q=34.54293,-93.18219</v>
      </c>
    </row>
    <row r="12747" spans="1:7" ht="15" x14ac:dyDescent="0.3">
      <c r="A12747">
        <v>35.644132448771302</v>
      </c>
      <c r="B12747">
        <v>-101.45130037774599</v>
      </c>
      <c r="C12747" t="s">
        <v>43</v>
      </c>
      <c r="D12747" t="s">
        <v>2158</v>
      </c>
      <c r="F12747" s="21"/>
      <c r="G12747" s="16" t="str">
        <f>HYPERLINK("http://maps.google.com/maps?f=q&amp;hl=en&amp;geocode=&amp;q=35.6441324487713,-101.451300377746")</f>
        <v>http://maps.google.com/maps?f=q&amp;hl=en&amp;geocode=&amp;q=35.6441324487713,-101.451300377746</v>
      </c>
    </row>
    <row r="12748" spans="1:7" ht="15" x14ac:dyDescent="0.3">
      <c r="A12748">
        <v>-37.74953</v>
      </c>
      <c r="B12748">
        <v>144.96537000000001</v>
      </c>
      <c r="C12748" t="s">
        <v>41</v>
      </c>
      <c r="D12748" t="s">
        <v>7050</v>
      </c>
      <c r="F12748" s="21"/>
      <c r="G12748" s="16" t="str">
        <f>HYPERLINK("http://maps.google.com/maps?f=q&amp;hl=en&amp;geocode=&amp;q=-37.74953,144.96537")</f>
        <v>http://maps.google.com/maps?f=q&amp;hl=en&amp;geocode=&amp;q=-37.74953,144.96537</v>
      </c>
    </row>
    <row r="12749" spans="1:7" ht="15" x14ac:dyDescent="0.3">
      <c r="A12749">
        <v>49.647453308105497</v>
      </c>
      <c r="B12749">
        <v>6.1309771537780797</v>
      </c>
      <c r="C12749" t="s">
        <v>41</v>
      </c>
      <c r="D12749" t="s">
        <v>7028</v>
      </c>
      <c r="F12749" s="21"/>
      <c r="G12749" s="16" t="str">
        <f>HYPERLINK("http://maps.google.com/maps?f=q&amp;hl=en&amp;geocode=&amp;q=49.6474533081055,6.13097715377808")</f>
        <v>http://maps.google.com/maps?f=q&amp;hl=en&amp;geocode=&amp;q=49.6474533081055,6.13097715377808</v>
      </c>
    </row>
    <row r="12750" spans="1:7" ht="15" x14ac:dyDescent="0.3">
      <c r="A12750">
        <v>49.647453308105497</v>
      </c>
      <c r="B12750">
        <v>6.1309771537780797</v>
      </c>
      <c r="C12750" t="s">
        <v>41</v>
      </c>
      <c r="D12750" t="s">
        <v>7028</v>
      </c>
      <c r="F12750" s="21"/>
      <c r="G12750" s="16" t="str">
        <f>HYPERLINK("http://maps.google.com/maps?f=q&amp;hl=en&amp;geocode=&amp;q=49.6474533081055,6.13097715377808")</f>
        <v>http://maps.google.com/maps?f=q&amp;hl=en&amp;geocode=&amp;q=49.6474533081055,6.13097715377808</v>
      </c>
    </row>
    <row r="12751" spans="1:7" ht="15" x14ac:dyDescent="0.3">
      <c r="A12751">
        <v>49.647453308105497</v>
      </c>
      <c r="B12751">
        <v>6.1309771537780797</v>
      </c>
      <c r="C12751" t="s">
        <v>41</v>
      </c>
      <c r="D12751" t="s">
        <v>7028</v>
      </c>
      <c r="F12751" s="21"/>
      <c r="G12751" s="16" t="str">
        <f>HYPERLINK("http://maps.google.com/maps?f=q&amp;hl=en&amp;geocode=&amp;q=49.6474533081055,6.13097715377808")</f>
        <v>http://maps.google.com/maps?f=q&amp;hl=en&amp;geocode=&amp;q=49.6474533081055,6.13097715377808</v>
      </c>
    </row>
    <row r="12752" spans="1:7" ht="15" x14ac:dyDescent="0.3">
      <c r="A12752">
        <v>49.647453308105497</v>
      </c>
      <c r="B12752">
        <v>6.1309771537780797</v>
      </c>
      <c r="C12752" t="s">
        <v>41</v>
      </c>
      <c r="D12752" t="s">
        <v>7028</v>
      </c>
      <c r="F12752" s="21"/>
      <c r="G12752" s="16" t="str">
        <f>HYPERLINK("http://maps.google.com/maps?f=q&amp;hl=en&amp;geocode=&amp;q=49.6474533081055,6.13097715377808")</f>
        <v>http://maps.google.com/maps?f=q&amp;hl=en&amp;geocode=&amp;q=49.6474533081055,6.13097715377808</v>
      </c>
    </row>
    <row r="12753" spans="1:7" ht="15" x14ac:dyDescent="0.3">
      <c r="A12753">
        <v>-37.74953</v>
      </c>
      <c r="B12753">
        <v>144.96537000000001</v>
      </c>
      <c r="C12753" t="s">
        <v>41</v>
      </c>
      <c r="D12753" t="s">
        <v>7050</v>
      </c>
      <c r="F12753" s="21"/>
      <c r="G12753" s="16" t="str">
        <f>HYPERLINK("http://maps.google.com/maps?f=q&amp;hl=en&amp;geocode=&amp;q=-37.74953,144.96537")</f>
        <v>http://maps.google.com/maps?f=q&amp;hl=en&amp;geocode=&amp;q=-37.74953,144.96537</v>
      </c>
    </row>
    <row r="12754" spans="1:7" ht="15" x14ac:dyDescent="0.3">
      <c r="A12754" t="s">
        <v>44</v>
      </c>
      <c r="B12754" t="s">
        <v>44</v>
      </c>
      <c r="C12754" t="s">
        <v>44</v>
      </c>
      <c r="D12754" t="s">
        <v>7054</v>
      </c>
      <c r="F12754" s="21"/>
      <c r="G12754" s="16"/>
    </row>
    <row r="12755" spans="1:7" ht="15" x14ac:dyDescent="0.3">
      <c r="A12755">
        <v>41.699300000000001</v>
      </c>
      <c r="B12755">
        <v>-88.251320000000007</v>
      </c>
      <c r="C12755" t="s">
        <v>43</v>
      </c>
      <c r="D12755" t="s">
        <v>3015</v>
      </c>
      <c r="F12755" s="21"/>
      <c r="G12755" s="16" t="str">
        <f>HYPERLINK("http://maps.google.com/maps?f=q&amp;hl=en&amp;geocode=&amp;q=41.6993,-88.25132")</f>
        <v>http://maps.google.com/maps?f=q&amp;hl=en&amp;geocode=&amp;q=41.6993,-88.25132</v>
      </c>
    </row>
    <row r="12756" spans="1:7" ht="15" x14ac:dyDescent="0.3">
      <c r="A12756">
        <v>38.751690000000004</v>
      </c>
      <c r="B12756">
        <v>-90.607799999999997</v>
      </c>
      <c r="C12756" t="s">
        <v>43</v>
      </c>
      <c r="D12756" t="s">
        <v>7055</v>
      </c>
      <c r="F12756" s="21"/>
      <c r="G12756" s="16" t="str">
        <f>HYPERLINK("http://maps.google.com/maps?f=q&amp;hl=en&amp;geocode=&amp;q=38.75169,-90.6078")</f>
        <v>http://maps.google.com/maps?f=q&amp;hl=en&amp;geocode=&amp;q=38.75169,-90.6078</v>
      </c>
    </row>
    <row r="12757" spans="1:7" ht="15" x14ac:dyDescent="0.3">
      <c r="A12757" t="s">
        <v>44</v>
      </c>
      <c r="B12757" t="s">
        <v>44</v>
      </c>
      <c r="C12757" t="s">
        <v>44</v>
      </c>
      <c r="D12757" t="s">
        <v>7056</v>
      </c>
      <c r="F12757" s="21"/>
      <c r="G12757" s="16"/>
    </row>
    <row r="12758" spans="1:7" ht="15" x14ac:dyDescent="0.3">
      <c r="A12758">
        <v>50.780136108398402</v>
      </c>
      <c r="B12758">
        <v>4.2288222312927202</v>
      </c>
      <c r="C12758" t="s">
        <v>43</v>
      </c>
      <c r="D12758" t="s">
        <v>7057</v>
      </c>
      <c r="F12758" s="21"/>
      <c r="G12758" s="16" t="str">
        <f>HYPERLINK("http://maps.google.com/maps?f=q&amp;hl=en&amp;geocode=&amp;q=50.7801361083984,4.22882223129272")</f>
        <v>http://maps.google.com/maps?f=q&amp;hl=en&amp;geocode=&amp;q=50.7801361083984,4.22882223129272</v>
      </c>
    </row>
    <row r="12759" spans="1:7" ht="15" x14ac:dyDescent="0.3">
      <c r="A12759">
        <v>31.5317402752558</v>
      </c>
      <c r="B12759">
        <v>-84.412381273877401</v>
      </c>
      <c r="C12759" t="s">
        <v>41</v>
      </c>
      <c r="D12759" t="s">
        <v>7058</v>
      </c>
      <c r="F12759" s="21"/>
      <c r="G12759" s="16" t="str">
        <f>HYPERLINK("http://maps.google.com/maps?f=q&amp;hl=en&amp;geocode=&amp;q=31.5317402752558,-84.4123812738774")</f>
        <v>http://maps.google.com/maps?f=q&amp;hl=en&amp;geocode=&amp;q=31.5317402752558,-84.4123812738774</v>
      </c>
    </row>
    <row r="12760" spans="1:7" ht="15" x14ac:dyDescent="0.3">
      <c r="A12760">
        <v>37.289001338348399</v>
      </c>
      <c r="B12760">
        <v>-79.737807705293505</v>
      </c>
      <c r="C12760" t="s">
        <v>41</v>
      </c>
      <c r="D12760" t="s">
        <v>7059</v>
      </c>
      <c r="F12760" s="21"/>
      <c r="G12760" s="16" t="str">
        <f>HYPERLINK("http://maps.google.com/maps?f=q&amp;hl=en&amp;geocode=&amp;q=37.2890013383484,-79.7378077052935")</f>
        <v>http://maps.google.com/maps?f=q&amp;hl=en&amp;geocode=&amp;q=37.2890013383484,-79.7378077052935</v>
      </c>
    </row>
    <row r="12761" spans="1:7" ht="15" x14ac:dyDescent="0.3">
      <c r="A12761">
        <v>44.914077412840498</v>
      </c>
      <c r="B12761">
        <v>-87.906477662908401</v>
      </c>
      <c r="C12761" t="s">
        <v>41</v>
      </c>
      <c r="D12761" t="s">
        <v>7060</v>
      </c>
      <c r="F12761" s="21"/>
      <c r="G12761" s="16" t="str">
        <f>HYPERLINK("http://maps.google.com/maps?f=q&amp;hl=en&amp;geocode=&amp;q=44.9140774128405,-87.9064776629084")</f>
        <v>http://maps.google.com/maps?f=q&amp;hl=en&amp;geocode=&amp;q=44.9140774128405,-87.9064776629084</v>
      </c>
    </row>
    <row r="12762" spans="1:7" ht="15" x14ac:dyDescent="0.3">
      <c r="A12762">
        <v>44.769248962402301</v>
      </c>
      <c r="B12762">
        <v>-72.053298950195298</v>
      </c>
      <c r="C12762" t="s">
        <v>43</v>
      </c>
      <c r="D12762" t="s">
        <v>7061</v>
      </c>
      <c r="F12762" s="21"/>
      <c r="G12762" s="16" t="str">
        <f>HYPERLINK("http://maps.google.com/maps?f=q&amp;hl=en&amp;geocode=&amp;q=44.7692489624023,-72.0532989501953")</f>
        <v>http://maps.google.com/maps?f=q&amp;hl=en&amp;geocode=&amp;q=44.7692489624023,-72.0532989501953</v>
      </c>
    </row>
    <row r="12763" spans="1:7" ht="15" x14ac:dyDescent="0.3">
      <c r="A12763">
        <v>36.093150000000001</v>
      </c>
      <c r="B12763">
        <v>-78.968919999999997</v>
      </c>
      <c r="C12763" t="s">
        <v>42</v>
      </c>
      <c r="D12763" t="s">
        <v>7062</v>
      </c>
      <c r="F12763" s="21"/>
      <c r="G12763" s="16" t="str">
        <f>HYPERLINK("http://maps.google.com/maps?f=q&amp;hl=en&amp;geocode=&amp;q=36.09315,-78.96892")</f>
        <v>http://maps.google.com/maps?f=q&amp;hl=en&amp;geocode=&amp;q=36.09315,-78.96892</v>
      </c>
    </row>
    <row r="12764" spans="1:7" ht="15" x14ac:dyDescent="0.3">
      <c r="A12764">
        <v>37.825487533980997</v>
      </c>
      <c r="B12764">
        <v>-75.993601558897794</v>
      </c>
      <c r="C12764" t="s">
        <v>41</v>
      </c>
      <c r="D12764" t="s">
        <v>7063</v>
      </c>
      <c r="F12764" s="21"/>
      <c r="G12764" s="16" t="str">
        <f>HYPERLINK("http://maps.google.com/maps?f=q&amp;hl=en&amp;geocode=&amp;q=37.825487533981,-75.9936015588978")</f>
        <v>http://maps.google.com/maps?f=q&amp;hl=en&amp;geocode=&amp;q=37.825487533981,-75.9936015588978</v>
      </c>
    </row>
    <row r="12765" spans="1:7" ht="15" x14ac:dyDescent="0.3">
      <c r="A12765">
        <v>33.028111183341998</v>
      </c>
      <c r="B12765">
        <v>-116.837315504215</v>
      </c>
      <c r="C12765" t="s">
        <v>41</v>
      </c>
      <c r="D12765" t="s">
        <v>7064</v>
      </c>
      <c r="F12765" s="21"/>
      <c r="G12765" s="16" t="str">
        <f>HYPERLINK("http://maps.google.com/maps?f=q&amp;hl=en&amp;geocode=&amp;q=33.028111183342,-116.837315504215")</f>
        <v>http://maps.google.com/maps?f=q&amp;hl=en&amp;geocode=&amp;q=33.028111183342,-116.837315504215</v>
      </c>
    </row>
    <row r="12766" spans="1:7" ht="15" x14ac:dyDescent="0.3">
      <c r="A12766">
        <v>50.587699890136697</v>
      </c>
      <c r="B12766">
        <v>4.32674217224121</v>
      </c>
      <c r="C12766" t="s">
        <v>43</v>
      </c>
      <c r="D12766" t="s">
        <v>3369</v>
      </c>
      <c r="F12766" s="21"/>
      <c r="G12766" s="16" t="str">
        <f>HYPERLINK("http://maps.google.com/maps?f=q&amp;hl=en&amp;geocode=&amp;q=50.5876998901367,4.32674217224121")</f>
        <v>http://maps.google.com/maps?f=q&amp;hl=en&amp;geocode=&amp;q=50.5876998901367,4.32674217224121</v>
      </c>
    </row>
    <row r="12767" spans="1:7" ht="15" x14ac:dyDescent="0.3">
      <c r="A12767">
        <v>41.255760000000002</v>
      </c>
      <c r="B12767">
        <v>-81.447999999999993</v>
      </c>
      <c r="C12767" t="s">
        <v>41</v>
      </c>
      <c r="D12767" t="s">
        <v>3338</v>
      </c>
      <c r="F12767" s="21"/>
      <c r="G12767" s="16" t="str">
        <f>HYPERLINK("http://maps.google.com/maps?f=q&amp;hl=en&amp;geocode=&amp;q=41.25576,-81.448")</f>
        <v>http://maps.google.com/maps?f=q&amp;hl=en&amp;geocode=&amp;q=41.25576,-81.448</v>
      </c>
    </row>
    <row r="12768" spans="1:7" ht="15" x14ac:dyDescent="0.3">
      <c r="A12768" t="s">
        <v>44</v>
      </c>
      <c r="B12768" t="s">
        <v>44</v>
      </c>
      <c r="C12768" t="s">
        <v>44</v>
      </c>
      <c r="D12768" t="s">
        <v>7065</v>
      </c>
      <c r="F12768" s="21"/>
      <c r="G12768" s="16"/>
    </row>
    <row r="12769" spans="1:7" ht="15" x14ac:dyDescent="0.3">
      <c r="A12769">
        <v>41.163020000000003</v>
      </c>
      <c r="B12769">
        <v>-111.9272</v>
      </c>
      <c r="C12769" t="s">
        <v>42</v>
      </c>
      <c r="D12769" t="s">
        <v>7066</v>
      </c>
      <c r="F12769" s="21"/>
      <c r="G12769" s="16" t="str">
        <f>HYPERLINK("http://maps.google.com/maps?f=q&amp;hl=en&amp;geocode=&amp;q=41.16302,-111.9272")</f>
        <v>http://maps.google.com/maps?f=q&amp;hl=en&amp;geocode=&amp;q=41.16302,-111.9272</v>
      </c>
    </row>
    <row r="12770" spans="1:7" ht="15" x14ac:dyDescent="0.3">
      <c r="A12770" t="s">
        <v>44</v>
      </c>
      <c r="B12770" t="s">
        <v>44</v>
      </c>
      <c r="C12770" t="s">
        <v>44</v>
      </c>
      <c r="D12770" t="s">
        <v>3132</v>
      </c>
      <c r="F12770" s="21"/>
      <c r="G12770" s="16"/>
    </row>
    <row r="12771" spans="1:7" ht="15" x14ac:dyDescent="0.3">
      <c r="A12771">
        <v>27.508463447893799</v>
      </c>
      <c r="B12771">
        <v>-99.476084821026802</v>
      </c>
      <c r="C12771" t="s">
        <v>43</v>
      </c>
      <c r="D12771" t="s">
        <v>7067</v>
      </c>
      <c r="F12771" s="21"/>
      <c r="G12771" s="16" t="str">
        <f>HYPERLINK("http://maps.google.com/maps?f=q&amp;hl=en&amp;geocode=&amp;q=27.5084634478938,-99.4760848210268")</f>
        <v>http://maps.google.com/maps?f=q&amp;hl=en&amp;geocode=&amp;q=27.5084634478938,-99.4760848210268</v>
      </c>
    </row>
    <row r="12772" spans="1:7" ht="15" x14ac:dyDescent="0.3">
      <c r="A12772">
        <v>42.659824371337898</v>
      </c>
      <c r="B12772">
        <v>23.607048034668001</v>
      </c>
      <c r="C12772" t="s">
        <v>43</v>
      </c>
      <c r="D12772" t="s">
        <v>7068</v>
      </c>
      <c r="F12772" s="21"/>
      <c r="G12772" s="16" t="str">
        <f>HYPERLINK("http://maps.google.com/maps?f=q&amp;hl=en&amp;geocode=&amp;q=42.6598243713379,23.607048034668")</f>
        <v>http://maps.google.com/maps?f=q&amp;hl=en&amp;geocode=&amp;q=42.6598243713379,23.607048034668</v>
      </c>
    </row>
    <row r="12773" spans="1:7" ht="15" x14ac:dyDescent="0.3">
      <c r="A12773">
        <v>-32.229873657226598</v>
      </c>
      <c r="B12773">
        <v>151.61503601074199</v>
      </c>
      <c r="C12773" t="s">
        <v>43</v>
      </c>
      <c r="D12773" t="s">
        <v>7069</v>
      </c>
      <c r="F12773" s="21"/>
      <c r="G12773" s="16" t="str">
        <f>HYPERLINK("http://maps.google.com/maps?f=q&amp;hl=en&amp;geocode=&amp;q=-32.2298736572266,151.615036010742")</f>
        <v>http://maps.google.com/maps?f=q&amp;hl=en&amp;geocode=&amp;q=-32.2298736572266,151.615036010742</v>
      </c>
    </row>
    <row r="12774" spans="1:7" ht="15" x14ac:dyDescent="0.3">
      <c r="A12774">
        <v>27.834674966743499</v>
      </c>
      <c r="B12774">
        <v>-82.789358738326101</v>
      </c>
      <c r="C12774" t="s">
        <v>42</v>
      </c>
      <c r="D12774" t="s">
        <v>7070</v>
      </c>
      <c r="F12774" s="21"/>
      <c r="G12774" s="16" t="str">
        <f>HYPERLINK("http://maps.google.com/maps?f=q&amp;hl=en&amp;geocode=&amp;q=27.8346749667435,-82.7893587383261")</f>
        <v>http://maps.google.com/maps?f=q&amp;hl=en&amp;geocode=&amp;q=27.8346749667435,-82.7893587383261</v>
      </c>
    </row>
    <row r="12775" spans="1:7" ht="15" x14ac:dyDescent="0.3">
      <c r="A12775">
        <v>40.060079999999999</v>
      </c>
      <c r="B12775">
        <v>-75.078249999999997</v>
      </c>
      <c r="C12775" t="s">
        <v>41</v>
      </c>
      <c r="D12775" t="s">
        <v>7071</v>
      </c>
      <c r="F12775" s="21"/>
      <c r="G12775" s="16" t="str">
        <f>HYPERLINK("http://maps.google.com/maps?f=q&amp;hl=en&amp;geocode=&amp;q=40.06008,-75.07825")</f>
        <v>http://maps.google.com/maps?f=q&amp;hl=en&amp;geocode=&amp;q=40.06008,-75.07825</v>
      </c>
    </row>
    <row r="12776" spans="1:7" ht="15" x14ac:dyDescent="0.3">
      <c r="A12776">
        <v>33.290967775503702</v>
      </c>
      <c r="B12776">
        <v>-80.802670126782502</v>
      </c>
      <c r="C12776" t="s">
        <v>41</v>
      </c>
      <c r="D12776" t="s">
        <v>1965</v>
      </c>
      <c r="F12776" s="21"/>
      <c r="G12776" s="16" t="str">
        <f>HYPERLINK("http://maps.google.com/maps?f=q&amp;hl=en&amp;geocode=&amp;q=33.2909677755037,-80.8026701267825")</f>
        <v>http://maps.google.com/maps?f=q&amp;hl=en&amp;geocode=&amp;q=33.2909677755037,-80.8026701267825</v>
      </c>
    </row>
    <row r="12777" spans="1:7" ht="15" x14ac:dyDescent="0.3">
      <c r="A12777">
        <v>-43.390037536621101</v>
      </c>
      <c r="B12777">
        <v>172.02110290527301</v>
      </c>
      <c r="C12777" t="s">
        <v>43</v>
      </c>
      <c r="D12777" t="s">
        <v>7072</v>
      </c>
      <c r="F12777" s="21"/>
      <c r="G12777" s="16" t="str">
        <f>HYPERLINK("http://maps.google.com/maps?f=q&amp;hl=en&amp;geocode=&amp;q=-43.3900375366211,172.021102905273")</f>
        <v>http://maps.google.com/maps?f=q&amp;hl=en&amp;geocode=&amp;q=-43.3900375366211,172.021102905273</v>
      </c>
    </row>
    <row r="12778" spans="1:7" ht="15" x14ac:dyDescent="0.3">
      <c r="A12778">
        <v>33.290967775503702</v>
      </c>
      <c r="B12778">
        <v>-80.802670126782502</v>
      </c>
      <c r="C12778" t="s">
        <v>41</v>
      </c>
      <c r="D12778" t="s">
        <v>1965</v>
      </c>
      <c r="F12778" s="21"/>
      <c r="G12778" s="16" t="str">
        <f>HYPERLINK("http://maps.google.com/maps?f=q&amp;hl=en&amp;geocode=&amp;q=33.2909677755037,-80.8026701267825")</f>
        <v>http://maps.google.com/maps?f=q&amp;hl=en&amp;geocode=&amp;q=33.2909677755037,-80.8026701267825</v>
      </c>
    </row>
    <row r="12779" spans="1:7" ht="15" x14ac:dyDescent="0.3">
      <c r="A12779">
        <v>32.766984154910197</v>
      </c>
      <c r="B12779">
        <v>-115.43048658800799</v>
      </c>
      <c r="C12779" t="s">
        <v>41</v>
      </c>
      <c r="D12779" t="s">
        <v>3192</v>
      </c>
      <c r="F12779" s="21"/>
      <c r="G12779" s="16" t="str">
        <f>HYPERLINK("http://maps.google.com/maps?f=q&amp;hl=en&amp;geocode=&amp;q=32.7669841549102,-115.430486588008")</f>
        <v>http://maps.google.com/maps?f=q&amp;hl=en&amp;geocode=&amp;q=32.7669841549102,-115.430486588008</v>
      </c>
    </row>
    <row r="12780" spans="1:7" ht="15" x14ac:dyDescent="0.3">
      <c r="A12780">
        <v>40.0095026692955</v>
      </c>
      <c r="B12780">
        <v>-75.103838500995806</v>
      </c>
      <c r="C12780" t="s">
        <v>41</v>
      </c>
      <c r="D12780" t="s">
        <v>1922</v>
      </c>
      <c r="F12780" s="21"/>
      <c r="G12780" s="16" t="str">
        <f>HYPERLINK("http://maps.google.com/maps?f=q&amp;hl=en&amp;geocode=&amp;q=40.0095026692955,-75.1038385009958")</f>
        <v>http://maps.google.com/maps?f=q&amp;hl=en&amp;geocode=&amp;q=40.0095026692955,-75.1038385009958</v>
      </c>
    </row>
    <row r="12781" spans="1:7" ht="15" x14ac:dyDescent="0.3">
      <c r="A12781">
        <v>42.935874938964801</v>
      </c>
      <c r="B12781">
        <v>22.987648010253899</v>
      </c>
      <c r="C12781" t="s">
        <v>41</v>
      </c>
      <c r="D12781" t="s">
        <v>7073</v>
      </c>
      <c r="F12781" s="21"/>
      <c r="G12781" s="16" t="str">
        <f>HYPERLINK("http://maps.google.com/maps?f=q&amp;hl=en&amp;geocode=&amp;q=42.9358749389648,22.9876480102539")</f>
        <v>http://maps.google.com/maps?f=q&amp;hl=en&amp;geocode=&amp;q=42.9358749389648,22.9876480102539</v>
      </c>
    </row>
    <row r="12782" spans="1:7" ht="15" x14ac:dyDescent="0.3">
      <c r="A12782">
        <v>49.637584686279297</v>
      </c>
      <c r="B12782">
        <v>6.1397600173950204</v>
      </c>
      <c r="C12782" t="s">
        <v>41</v>
      </c>
      <c r="D12782" t="s">
        <v>7074</v>
      </c>
      <c r="F12782" s="21"/>
      <c r="G12782" s="16" t="str">
        <f>HYPERLINK("http://maps.google.com/maps?f=q&amp;hl=en&amp;geocode=&amp;q=49.6375846862793,6.13976001739502")</f>
        <v>http://maps.google.com/maps?f=q&amp;hl=en&amp;geocode=&amp;q=49.6375846862793,6.13976001739502</v>
      </c>
    </row>
    <row r="12783" spans="1:7" ht="15" x14ac:dyDescent="0.3">
      <c r="A12783" t="s">
        <v>44</v>
      </c>
      <c r="B12783" t="s">
        <v>44</v>
      </c>
      <c r="C12783" t="s">
        <v>44</v>
      </c>
      <c r="D12783" t="s">
        <v>7075</v>
      </c>
      <c r="F12783" s="21"/>
      <c r="G12783" s="16"/>
    </row>
    <row r="12784" spans="1:7" ht="15" x14ac:dyDescent="0.3">
      <c r="A12784" t="s">
        <v>44</v>
      </c>
      <c r="B12784" t="s">
        <v>44</v>
      </c>
      <c r="C12784" t="s">
        <v>44</v>
      </c>
      <c r="D12784" t="s">
        <v>7075</v>
      </c>
      <c r="F12784" s="21"/>
      <c r="G12784" s="16"/>
    </row>
    <row r="12785" spans="1:7" ht="15" x14ac:dyDescent="0.3">
      <c r="A12785" t="s">
        <v>44</v>
      </c>
      <c r="B12785" t="s">
        <v>44</v>
      </c>
      <c r="C12785" t="s">
        <v>44</v>
      </c>
      <c r="D12785" t="s">
        <v>7076</v>
      </c>
      <c r="F12785" s="21"/>
      <c r="G12785" s="16"/>
    </row>
    <row r="12786" spans="1:7" ht="15" x14ac:dyDescent="0.3">
      <c r="A12786">
        <v>36.180398246908197</v>
      </c>
      <c r="B12786">
        <v>-75.867921165676606</v>
      </c>
      <c r="C12786" t="s">
        <v>43</v>
      </c>
      <c r="D12786" t="s">
        <v>629</v>
      </c>
      <c r="F12786" s="21"/>
      <c r="G12786" s="16" t="str">
        <f>HYPERLINK("http://maps.google.com/maps?f=q&amp;hl=en&amp;geocode=&amp;q=36.1803982469082,-75.8679211656766")</f>
        <v>http://maps.google.com/maps?f=q&amp;hl=en&amp;geocode=&amp;q=36.1803982469082,-75.8679211656766</v>
      </c>
    </row>
    <row r="12787" spans="1:7" ht="15" x14ac:dyDescent="0.3">
      <c r="A12787">
        <v>48.672306060791001</v>
      </c>
      <c r="B12787">
        <v>7.5540661811828604</v>
      </c>
      <c r="C12787" t="s">
        <v>43</v>
      </c>
      <c r="D12787" t="s">
        <v>5375</v>
      </c>
      <c r="F12787" s="21"/>
      <c r="G12787" s="16" t="str">
        <f>HYPERLINK("http://maps.google.com/maps?f=q&amp;hl=en&amp;geocode=&amp;q=48.672306060791,7.55406618118286")</f>
        <v>http://maps.google.com/maps?f=q&amp;hl=en&amp;geocode=&amp;q=48.672306060791,7.55406618118286</v>
      </c>
    </row>
    <row r="12788" spans="1:7" ht="15" x14ac:dyDescent="0.3">
      <c r="A12788">
        <v>39.935839999999999</v>
      </c>
      <c r="B12788">
        <v>-75.177009999999996</v>
      </c>
      <c r="C12788" t="s">
        <v>43</v>
      </c>
      <c r="D12788" t="s">
        <v>7077</v>
      </c>
      <c r="F12788" s="21"/>
      <c r="G12788" s="16" t="str">
        <f>HYPERLINK("http://maps.google.com/maps?f=q&amp;hl=en&amp;geocode=&amp;q=39.93584,-75.17701")</f>
        <v>http://maps.google.com/maps?f=q&amp;hl=en&amp;geocode=&amp;q=39.93584,-75.17701</v>
      </c>
    </row>
    <row r="12789" spans="1:7" ht="15" x14ac:dyDescent="0.3">
      <c r="A12789" t="s">
        <v>44</v>
      </c>
      <c r="B12789" t="s">
        <v>44</v>
      </c>
      <c r="C12789" t="s">
        <v>44</v>
      </c>
      <c r="D12789" t="s">
        <v>7078</v>
      </c>
      <c r="F12789" s="21"/>
      <c r="G12789" s="16"/>
    </row>
    <row r="12790" spans="1:7" ht="15" x14ac:dyDescent="0.3">
      <c r="A12790">
        <v>33.908496033772103</v>
      </c>
      <c r="B12790">
        <v>-83.436222335170399</v>
      </c>
      <c r="C12790" t="s">
        <v>41</v>
      </c>
      <c r="D12790" t="s">
        <v>6203</v>
      </c>
      <c r="F12790" s="21"/>
      <c r="G12790" s="16" t="str">
        <f>HYPERLINK("http://maps.google.com/maps?f=q&amp;hl=en&amp;geocode=&amp;q=33.9084960337721,-83.4362223351704")</f>
        <v>http://maps.google.com/maps?f=q&amp;hl=en&amp;geocode=&amp;q=33.9084960337721,-83.4362223351704</v>
      </c>
    </row>
    <row r="12791" spans="1:7" ht="15" x14ac:dyDescent="0.3">
      <c r="A12791">
        <v>-43.747161865234403</v>
      </c>
      <c r="B12791">
        <v>171.78347778320301</v>
      </c>
      <c r="C12791" t="s">
        <v>41</v>
      </c>
      <c r="D12791" t="s">
        <v>2326</v>
      </c>
      <c r="F12791" s="21"/>
      <c r="G12791" s="16" t="str">
        <f>HYPERLINK("http://maps.google.com/maps?f=q&amp;hl=en&amp;geocode=&amp;q=-43.7471618652344,171.783477783203")</f>
        <v>http://maps.google.com/maps?f=q&amp;hl=en&amp;geocode=&amp;q=-43.7471618652344,171.783477783203</v>
      </c>
    </row>
    <row r="12792" spans="1:7" ht="15" x14ac:dyDescent="0.3">
      <c r="A12792">
        <v>39.948079999999997</v>
      </c>
      <c r="B12792">
        <v>-75.168639999999996</v>
      </c>
      <c r="C12792" t="s">
        <v>41</v>
      </c>
      <c r="D12792" t="s">
        <v>7079</v>
      </c>
      <c r="F12792" s="21"/>
      <c r="G12792" s="16" t="str">
        <f>HYPERLINK("http://maps.google.com/maps?f=q&amp;hl=en&amp;geocode=&amp;q=39.94808,-75.16864")</f>
        <v>http://maps.google.com/maps?f=q&amp;hl=en&amp;geocode=&amp;q=39.94808,-75.16864</v>
      </c>
    </row>
    <row r="12793" spans="1:7" ht="15" x14ac:dyDescent="0.3">
      <c r="A12793" t="s">
        <v>44</v>
      </c>
      <c r="B12793" t="s">
        <v>44</v>
      </c>
      <c r="C12793" t="s">
        <v>44</v>
      </c>
      <c r="D12793" t="s">
        <v>7080</v>
      </c>
      <c r="F12793" s="21"/>
      <c r="G12793" s="16"/>
    </row>
    <row r="12794" spans="1:7" ht="15" x14ac:dyDescent="0.3">
      <c r="A12794" t="s">
        <v>44</v>
      </c>
      <c r="B12794" t="s">
        <v>44</v>
      </c>
      <c r="C12794" t="s">
        <v>44</v>
      </c>
      <c r="D12794" t="s">
        <v>7081</v>
      </c>
      <c r="F12794" s="21"/>
      <c r="G12794" s="16"/>
    </row>
    <row r="12795" spans="1:7" ht="15" x14ac:dyDescent="0.3">
      <c r="A12795" t="s">
        <v>44</v>
      </c>
      <c r="B12795" t="s">
        <v>44</v>
      </c>
      <c r="C12795" t="s">
        <v>44</v>
      </c>
      <c r="D12795" t="s">
        <v>7081</v>
      </c>
      <c r="F12795" s="21"/>
      <c r="G12795" s="16"/>
    </row>
    <row r="12796" spans="1:7" ht="15" x14ac:dyDescent="0.3">
      <c r="A12796" t="s">
        <v>44</v>
      </c>
      <c r="B12796" t="s">
        <v>44</v>
      </c>
      <c r="C12796" t="s">
        <v>44</v>
      </c>
      <c r="D12796" t="s">
        <v>7081</v>
      </c>
      <c r="F12796" s="21"/>
      <c r="G12796" s="16"/>
    </row>
    <row r="12797" spans="1:7" ht="15" x14ac:dyDescent="0.3">
      <c r="A12797">
        <v>39.950060000000001</v>
      </c>
      <c r="B12797">
        <v>-75.168139999999994</v>
      </c>
      <c r="C12797" t="s">
        <v>41</v>
      </c>
      <c r="D12797" t="s">
        <v>5999</v>
      </c>
      <c r="F12797" s="21"/>
      <c r="G12797" s="16" t="str">
        <f>HYPERLINK("http://maps.google.com/maps?f=q&amp;hl=en&amp;geocode=&amp;q=39.95006,-75.16814")</f>
        <v>http://maps.google.com/maps?f=q&amp;hl=en&amp;geocode=&amp;q=39.95006,-75.16814</v>
      </c>
    </row>
    <row r="12798" spans="1:7" ht="15" x14ac:dyDescent="0.3">
      <c r="A12798" t="s">
        <v>44</v>
      </c>
      <c r="B12798" t="s">
        <v>44</v>
      </c>
      <c r="C12798" t="s">
        <v>44</v>
      </c>
      <c r="D12798" t="s">
        <v>2606</v>
      </c>
      <c r="F12798" s="21"/>
      <c r="G12798" s="16"/>
    </row>
    <row r="12799" spans="1:7" ht="15" x14ac:dyDescent="0.3">
      <c r="A12799">
        <v>-33.7525444030762</v>
      </c>
      <c r="B12799">
        <v>151.16474914550801</v>
      </c>
      <c r="C12799" t="s">
        <v>41</v>
      </c>
      <c r="D12799" t="s">
        <v>7082</v>
      </c>
      <c r="F12799" s="21"/>
      <c r="G12799" s="16" t="str">
        <f>HYPERLINK("http://maps.google.com/maps?f=q&amp;hl=en&amp;geocode=&amp;q=-33.7525444030762,151.164749145508")</f>
        <v>http://maps.google.com/maps?f=q&amp;hl=en&amp;geocode=&amp;q=-33.7525444030762,151.164749145508</v>
      </c>
    </row>
    <row r="12800" spans="1:7" ht="15" x14ac:dyDescent="0.3">
      <c r="A12800">
        <v>39.993569999999998</v>
      </c>
      <c r="B12800">
        <v>-75.169799999999995</v>
      </c>
      <c r="C12800" t="s">
        <v>43</v>
      </c>
      <c r="D12800" t="s">
        <v>2407</v>
      </c>
      <c r="F12800" s="21"/>
      <c r="G12800" s="16" t="str">
        <f>HYPERLINK("http://maps.google.com/maps?f=q&amp;hl=en&amp;geocode=&amp;q=39.99357,-75.1698")</f>
        <v>http://maps.google.com/maps?f=q&amp;hl=en&amp;geocode=&amp;q=39.99357,-75.1698</v>
      </c>
    </row>
    <row r="12801" spans="1:7" ht="15" x14ac:dyDescent="0.3">
      <c r="A12801">
        <v>39.937899999999999</v>
      </c>
      <c r="B12801">
        <v>-75.176680000000005</v>
      </c>
      <c r="C12801" t="s">
        <v>41</v>
      </c>
      <c r="D12801" t="s">
        <v>7083</v>
      </c>
      <c r="F12801" s="21"/>
      <c r="G12801" s="16" t="str">
        <f>HYPERLINK("http://maps.google.com/maps?f=q&amp;hl=en&amp;geocode=&amp;q=39.9379,-75.17668")</f>
        <v>http://maps.google.com/maps?f=q&amp;hl=en&amp;geocode=&amp;q=39.9379,-75.17668</v>
      </c>
    </row>
    <row r="12802" spans="1:7" ht="15" x14ac:dyDescent="0.3">
      <c r="A12802">
        <v>48.672306060791001</v>
      </c>
      <c r="B12802">
        <v>7.5540661811828604</v>
      </c>
      <c r="C12802" t="s">
        <v>43</v>
      </c>
      <c r="D12802" t="s">
        <v>5325</v>
      </c>
      <c r="F12802" s="21"/>
      <c r="G12802" s="16" t="str">
        <f>HYPERLINK("http://maps.google.com/maps?f=q&amp;hl=en&amp;geocode=&amp;q=48.672306060791,7.55406618118286")</f>
        <v>http://maps.google.com/maps?f=q&amp;hl=en&amp;geocode=&amp;q=48.672306060791,7.55406618118286</v>
      </c>
    </row>
    <row r="12803" spans="1:7" ht="15" x14ac:dyDescent="0.3">
      <c r="A12803">
        <v>49.6158638000488</v>
      </c>
      <c r="B12803">
        <v>6.1323308944702104</v>
      </c>
      <c r="C12803" t="s">
        <v>41</v>
      </c>
      <c r="D12803" t="s">
        <v>7084</v>
      </c>
      <c r="F12803" s="21"/>
      <c r="G12803" s="16" t="str">
        <f>HYPERLINK("http://maps.google.com/maps?f=q&amp;hl=en&amp;geocode=&amp;q=49.6158638000488,6.13233089447021")</f>
        <v>http://maps.google.com/maps?f=q&amp;hl=en&amp;geocode=&amp;q=49.6158638000488,6.13233089447021</v>
      </c>
    </row>
    <row r="12804" spans="1:7" ht="15" x14ac:dyDescent="0.3">
      <c r="A12804">
        <v>40.395938873291001</v>
      </c>
      <c r="B12804">
        <v>-77.027488708496094</v>
      </c>
      <c r="C12804" t="s">
        <v>41</v>
      </c>
      <c r="D12804" t="s">
        <v>7085</v>
      </c>
      <c r="F12804" s="21"/>
      <c r="G12804" s="16" t="str">
        <f>HYPERLINK("http://maps.google.com/maps?f=q&amp;hl=en&amp;geocode=&amp;q=40.395938873291,-77.0274887084961")</f>
        <v>http://maps.google.com/maps?f=q&amp;hl=en&amp;geocode=&amp;q=40.395938873291,-77.0274887084961</v>
      </c>
    </row>
    <row r="12805" spans="1:7" ht="15" x14ac:dyDescent="0.3">
      <c r="A12805">
        <v>42.982335693355601</v>
      </c>
      <c r="B12805">
        <v>-87.956809479167603</v>
      </c>
      <c r="C12805" t="s">
        <v>41</v>
      </c>
      <c r="D12805" t="s">
        <v>7086</v>
      </c>
      <c r="F12805" s="21"/>
      <c r="G12805" s="16" t="str">
        <f>HYPERLINK("http://maps.google.com/maps?f=q&amp;hl=en&amp;geocode=&amp;q=42.9823356933556,-87.9568094791676")</f>
        <v>http://maps.google.com/maps?f=q&amp;hl=en&amp;geocode=&amp;q=42.9823356933556,-87.9568094791676</v>
      </c>
    </row>
    <row r="12806" spans="1:7" ht="15" x14ac:dyDescent="0.3">
      <c r="A12806" t="s">
        <v>44</v>
      </c>
      <c r="B12806" t="s">
        <v>44</v>
      </c>
      <c r="C12806" t="s">
        <v>44</v>
      </c>
      <c r="D12806" t="s">
        <v>7087</v>
      </c>
      <c r="F12806" s="21"/>
      <c r="G12806" s="16"/>
    </row>
    <row r="12807" spans="1:7" ht="15" x14ac:dyDescent="0.3">
      <c r="A12807">
        <v>39.636316441052699</v>
      </c>
      <c r="B12807">
        <v>-74.717211483091702</v>
      </c>
      <c r="C12807" t="s">
        <v>41</v>
      </c>
      <c r="D12807" t="s">
        <v>7088</v>
      </c>
      <c r="F12807" s="21"/>
      <c r="G12807" s="16" t="str">
        <f>HYPERLINK("http://maps.google.com/maps?f=q&amp;hl=en&amp;geocode=&amp;q=39.6363164410527,-74.7172114830917")</f>
        <v>http://maps.google.com/maps?f=q&amp;hl=en&amp;geocode=&amp;q=39.6363164410527,-74.7172114830917</v>
      </c>
    </row>
    <row r="12808" spans="1:7" ht="15" x14ac:dyDescent="0.3">
      <c r="A12808">
        <v>-33.927352905273402</v>
      </c>
      <c r="B12808">
        <v>151.23245239257801</v>
      </c>
      <c r="C12808" t="s">
        <v>41</v>
      </c>
      <c r="D12808" t="s">
        <v>7089</v>
      </c>
      <c r="F12808" s="21"/>
      <c r="G12808" s="16" t="str">
        <f>HYPERLINK("http://maps.google.com/maps?f=q&amp;hl=en&amp;geocode=&amp;q=-33.9273529052734,151.232452392578")</f>
        <v>http://maps.google.com/maps?f=q&amp;hl=en&amp;geocode=&amp;q=-33.9273529052734,151.232452392578</v>
      </c>
    </row>
    <row r="12809" spans="1:7" ht="15" x14ac:dyDescent="0.3">
      <c r="A12809">
        <v>39.7550641363067</v>
      </c>
      <c r="B12809">
        <v>-105.00192509095901</v>
      </c>
      <c r="C12809" t="s">
        <v>41</v>
      </c>
      <c r="D12809" t="s">
        <v>7090</v>
      </c>
      <c r="F12809" s="21"/>
      <c r="G12809" s="16" t="str">
        <f>HYPERLINK("http://maps.google.com/maps?f=q&amp;hl=en&amp;geocode=&amp;q=39.7550641363067,-105.001925090959")</f>
        <v>http://maps.google.com/maps?f=q&amp;hl=en&amp;geocode=&amp;q=39.7550641363067,-105.001925090959</v>
      </c>
    </row>
    <row r="12810" spans="1:7" ht="15" x14ac:dyDescent="0.3">
      <c r="A12810">
        <v>33.461269999999999</v>
      </c>
      <c r="B12810">
        <v>-81.983180000000004</v>
      </c>
      <c r="C12810" t="s">
        <v>41</v>
      </c>
      <c r="D12810" t="s">
        <v>7091</v>
      </c>
      <c r="F12810" s="21"/>
      <c r="G12810" s="16" t="str">
        <f>HYPERLINK("http://maps.google.com/maps?f=q&amp;hl=en&amp;geocode=&amp;q=33.46127,-81.98318")</f>
        <v>http://maps.google.com/maps?f=q&amp;hl=en&amp;geocode=&amp;q=33.46127,-81.98318</v>
      </c>
    </row>
    <row r="12811" spans="1:7" ht="15" x14ac:dyDescent="0.3">
      <c r="A12811">
        <v>39.150199999999998</v>
      </c>
      <c r="B12811">
        <v>-76.725449999999995</v>
      </c>
      <c r="C12811" t="s">
        <v>41</v>
      </c>
      <c r="D12811" t="s">
        <v>6934</v>
      </c>
      <c r="F12811" s="21"/>
      <c r="G12811" s="16" t="str">
        <f>HYPERLINK("http://maps.google.com/maps?f=q&amp;hl=en&amp;geocode=&amp;q=39.1502,-76.72545")</f>
        <v>http://maps.google.com/maps?f=q&amp;hl=en&amp;geocode=&amp;q=39.1502,-76.72545</v>
      </c>
    </row>
    <row r="12812" spans="1:7" ht="15" x14ac:dyDescent="0.3">
      <c r="A12812">
        <v>-31.964845657348601</v>
      </c>
      <c r="B12812">
        <v>115.895874023438</v>
      </c>
      <c r="C12812" t="s">
        <v>41</v>
      </c>
      <c r="D12812" t="s">
        <v>129</v>
      </c>
      <c r="F12812" s="21"/>
      <c r="G12812" s="16" t="str">
        <f>HYPERLINK("http://maps.google.com/maps?f=q&amp;hl=en&amp;geocode=&amp;q=-31.9648456573486,115.895874023438")</f>
        <v>http://maps.google.com/maps?f=q&amp;hl=en&amp;geocode=&amp;q=-31.9648456573486,115.895874023438</v>
      </c>
    </row>
    <row r="12813" spans="1:7" ht="15" x14ac:dyDescent="0.3">
      <c r="A12813">
        <v>39.942409622918703</v>
      </c>
      <c r="B12813">
        <v>-75.155786582036797</v>
      </c>
      <c r="C12813" t="s">
        <v>43</v>
      </c>
      <c r="D12813" t="s">
        <v>7092</v>
      </c>
      <c r="F12813" s="21"/>
      <c r="G12813" s="16" t="str">
        <f>HYPERLINK("http://maps.google.com/maps?f=q&amp;hl=en&amp;geocode=&amp;q=39.9424096229187,-75.1557865820368")</f>
        <v>http://maps.google.com/maps?f=q&amp;hl=en&amp;geocode=&amp;q=39.9424096229187,-75.1557865820368</v>
      </c>
    </row>
    <row r="12814" spans="1:7" ht="15" x14ac:dyDescent="0.3">
      <c r="A12814">
        <v>37.773009999999999</v>
      </c>
      <c r="B12814">
        <v>-122.24933</v>
      </c>
      <c r="C12814" t="s">
        <v>41</v>
      </c>
      <c r="D12814" t="s">
        <v>7093</v>
      </c>
      <c r="F12814" s="21"/>
      <c r="G12814" s="16" t="str">
        <f>HYPERLINK("http://maps.google.com/maps?f=q&amp;hl=en&amp;geocode=&amp;q=37.77301,-122.24933")</f>
        <v>http://maps.google.com/maps?f=q&amp;hl=en&amp;geocode=&amp;q=37.77301,-122.24933</v>
      </c>
    </row>
    <row r="12815" spans="1:7" ht="15" x14ac:dyDescent="0.3">
      <c r="A12815">
        <v>49.650524139404297</v>
      </c>
      <c r="B12815">
        <v>6.2334008216857901</v>
      </c>
      <c r="C12815" t="s">
        <v>41</v>
      </c>
      <c r="D12815" t="s">
        <v>7094</v>
      </c>
      <c r="F12815" s="21"/>
      <c r="G12815" s="16" t="str">
        <f>HYPERLINK("http://maps.google.com/maps?f=q&amp;hl=en&amp;geocode=&amp;q=49.6505241394043,6.23340082168579")</f>
        <v>http://maps.google.com/maps?f=q&amp;hl=en&amp;geocode=&amp;q=49.6505241394043,6.23340082168579</v>
      </c>
    </row>
    <row r="12816" spans="1:7" ht="15" x14ac:dyDescent="0.3">
      <c r="A12816">
        <v>40.0428813196664</v>
      </c>
      <c r="B12816">
        <v>-75.099662188309793</v>
      </c>
      <c r="C12816" t="s">
        <v>41</v>
      </c>
      <c r="D12816" t="s">
        <v>7095</v>
      </c>
      <c r="F12816" s="21"/>
      <c r="G12816" s="16" t="str">
        <f>HYPERLINK("http://maps.google.com/maps?f=q&amp;hl=en&amp;geocode=&amp;q=40.0428813196664,-75.0996621883098")</f>
        <v>http://maps.google.com/maps?f=q&amp;hl=en&amp;geocode=&amp;q=40.0428813196664,-75.0996621883098</v>
      </c>
    </row>
    <row r="12817" spans="1:7" ht="15" x14ac:dyDescent="0.3">
      <c r="A12817" t="s">
        <v>44</v>
      </c>
      <c r="B12817" t="s">
        <v>44</v>
      </c>
      <c r="C12817" t="s">
        <v>44</v>
      </c>
      <c r="D12817" t="s">
        <v>7096</v>
      </c>
      <c r="F12817" s="21"/>
      <c r="G12817" s="16"/>
    </row>
    <row r="12818" spans="1:7" ht="15" x14ac:dyDescent="0.3">
      <c r="A12818">
        <v>32.838232046046997</v>
      </c>
      <c r="B12818">
        <v>-83.649216198567103</v>
      </c>
      <c r="C12818" t="s">
        <v>41</v>
      </c>
      <c r="D12818" t="s">
        <v>7097</v>
      </c>
      <c r="F12818" s="21"/>
      <c r="G12818" s="16" t="str">
        <f>HYPERLINK("http://maps.google.com/maps?f=q&amp;hl=en&amp;geocode=&amp;q=32.838232046047,-83.6492161985671")</f>
        <v>http://maps.google.com/maps?f=q&amp;hl=en&amp;geocode=&amp;q=32.838232046047,-83.6492161985671</v>
      </c>
    </row>
    <row r="12819" spans="1:7" ht="15" x14ac:dyDescent="0.3">
      <c r="A12819">
        <v>39.15099</v>
      </c>
      <c r="B12819">
        <v>-76.725099999999998</v>
      </c>
      <c r="C12819" t="s">
        <v>41</v>
      </c>
      <c r="D12819" t="s">
        <v>6470</v>
      </c>
      <c r="F12819" s="21"/>
      <c r="G12819" s="16" t="str">
        <f>HYPERLINK("http://maps.google.com/maps?f=q&amp;hl=en&amp;geocode=&amp;q=39.15099,-76.7251")</f>
        <v>http://maps.google.com/maps?f=q&amp;hl=en&amp;geocode=&amp;q=39.15099,-76.7251</v>
      </c>
    </row>
    <row r="12820" spans="1:7" ht="15" x14ac:dyDescent="0.3">
      <c r="A12820">
        <v>39.150199999999998</v>
      </c>
      <c r="B12820">
        <v>-76.725449999999995</v>
      </c>
      <c r="C12820" t="s">
        <v>41</v>
      </c>
      <c r="D12820" t="s">
        <v>6934</v>
      </c>
      <c r="F12820" s="21"/>
      <c r="G12820" s="16" t="str">
        <f>HYPERLINK("http://maps.google.com/maps?f=q&amp;hl=en&amp;geocode=&amp;q=39.1502,-76.72545")</f>
        <v>http://maps.google.com/maps?f=q&amp;hl=en&amp;geocode=&amp;q=39.1502,-76.72545</v>
      </c>
    </row>
    <row r="12821" spans="1:7" ht="15" x14ac:dyDescent="0.3">
      <c r="A12821">
        <v>-37.74953</v>
      </c>
      <c r="B12821">
        <v>144.96537000000001</v>
      </c>
      <c r="C12821" t="s">
        <v>41</v>
      </c>
      <c r="D12821" t="s">
        <v>7050</v>
      </c>
      <c r="F12821" s="21"/>
      <c r="G12821" s="16" t="str">
        <f>HYPERLINK("http://maps.google.com/maps?f=q&amp;hl=en&amp;geocode=&amp;q=-37.74953,144.96537")</f>
        <v>http://maps.google.com/maps?f=q&amp;hl=en&amp;geocode=&amp;q=-37.74953,144.96537</v>
      </c>
    </row>
    <row r="12822" spans="1:7" ht="15" x14ac:dyDescent="0.3">
      <c r="A12822">
        <v>38.8445660359085</v>
      </c>
      <c r="B12822">
        <v>-104.867950200473</v>
      </c>
      <c r="C12822" t="s">
        <v>41</v>
      </c>
      <c r="D12822" t="s">
        <v>245</v>
      </c>
      <c r="F12822" s="21"/>
      <c r="G12822" s="16" t="str">
        <f>HYPERLINK("http://maps.google.com/maps?f=q&amp;hl=en&amp;geocode=&amp;q=38.8445660359085,-104.867950200473")</f>
        <v>http://maps.google.com/maps?f=q&amp;hl=en&amp;geocode=&amp;q=38.8445660359085,-104.867950200473</v>
      </c>
    </row>
    <row r="12823" spans="1:7" ht="15" x14ac:dyDescent="0.3">
      <c r="A12823">
        <v>40.142417842259</v>
      </c>
      <c r="B12823">
        <v>-89.191721403879399</v>
      </c>
      <c r="C12823" t="s">
        <v>41</v>
      </c>
      <c r="D12823" t="s">
        <v>7098</v>
      </c>
      <c r="F12823" s="21"/>
      <c r="G12823" s="16" t="str">
        <f>HYPERLINK("http://maps.google.com/maps?f=q&amp;hl=en&amp;geocode=&amp;q=40.142417842259,-89.1917214038794")</f>
        <v>http://maps.google.com/maps?f=q&amp;hl=en&amp;geocode=&amp;q=40.142417842259,-89.1917214038794</v>
      </c>
    </row>
    <row r="12824" spans="1:7" ht="15" x14ac:dyDescent="0.3">
      <c r="A12824">
        <v>50.692493438720703</v>
      </c>
      <c r="B12824">
        <v>4.3559741973876998</v>
      </c>
      <c r="C12824" t="s">
        <v>41</v>
      </c>
      <c r="D12824" t="s">
        <v>7099</v>
      </c>
      <c r="F12824" s="21"/>
      <c r="G12824" s="16" t="str">
        <f>HYPERLINK("http://maps.google.com/maps?f=q&amp;hl=en&amp;geocode=&amp;q=50.6924934387207,4.3559741973877")</f>
        <v>http://maps.google.com/maps?f=q&amp;hl=en&amp;geocode=&amp;q=50.6924934387207,4.3559741973877</v>
      </c>
    </row>
    <row r="12825" spans="1:7" ht="15" x14ac:dyDescent="0.3">
      <c r="A12825">
        <v>49.625492095947301</v>
      </c>
      <c r="B12825">
        <v>6.1504669189453098</v>
      </c>
      <c r="C12825" t="s">
        <v>43</v>
      </c>
      <c r="D12825" t="s">
        <v>7100</v>
      </c>
      <c r="F12825" s="21"/>
      <c r="G12825" s="16" t="str">
        <f>HYPERLINK("http://maps.google.com/maps?f=q&amp;hl=en&amp;geocode=&amp;q=49.6254920959473,6.15046691894531")</f>
        <v>http://maps.google.com/maps?f=q&amp;hl=en&amp;geocode=&amp;q=49.6254920959473,6.15046691894531</v>
      </c>
    </row>
    <row r="12826" spans="1:7" ht="15" x14ac:dyDescent="0.3">
      <c r="A12826">
        <v>39.150199999999998</v>
      </c>
      <c r="B12826">
        <v>-76.725449999999995</v>
      </c>
      <c r="C12826" t="s">
        <v>41</v>
      </c>
      <c r="D12826" t="s">
        <v>6934</v>
      </c>
      <c r="F12826" s="21"/>
      <c r="G12826" s="16" t="str">
        <f>HYPERLINK("http://maps.google.com/maps?f=q&amp;hl=en&amp;geocode=&amp;q=39.1502,-76.72545")</f>
        <v>http://maps.google.com/maps?f=q&amp;hl=en&amp;geocode=&amp;q=39.1502,-76.72545</v>
      </c>
    </row>
    <row r="12827" spans="1:7" ht="15" x14ac:dyDescent="0.3">
      <c r="A12827" t="s">
        <v>44</v>
      </c>
      <c r="B12827" t="s">
        <v>44</v>
      </c>
      <c r="C12827" t="s">
        <v>44</v>
      </c>
      <c r="D12827" t="s">
        <v>7101</v>
      </c>
      <c r="F12827" s="21"/>
      <c r="G12827" s="16"/>
    </row>
    <row r="12828" spans="1:7" ht="15" x14ac:dyDescent="0.3">
      <c r="A12828">
        <v>39.982441718012801</v>
      </c>
      <c r="B12828">
        <v>-75.111803875102794</v>
      </c>
      <c r="C12828" t="s">
        <v>41</v>
      </c>
      <c r="D12828" t="s">
        <v>2545</v>
      </c>
      <c r="F12828" s="21"/>
      <c r="G12828" s="16" t="str">
        <f>HYPERLINK("http://maps.google.com/maps?f=q&amp;hl=en&amp;geocode=&amp;q=39.9824417180128,-75.1118038751028")</f>
        <v>http://maps.google.com/maps?f=q&amp;hl=en&amp;geocode=&amp;q=39.9824417180128,-75.1118038751028</v>
      </c>
    </row>
    <row r="12829" spans="1:7" ht="15" x14ac:dyDescent="0.3">
      <c r="A12829">
        <v>39.982109999999999</v>
      </c>
      <c r="B12829">
        <v>-75.107640000000004</v>
      </c>
      <c r="C12829" t="s">
        <v>41</v>
      </c>
      <c r="D12829" t="s">
        <v>7102</v>
      </c>
      <c r="F12829" s="21"/>
      <c r="G12829" s="16" t="str">
        <f>HYPERLINK("http://maps.google.com/maps?f=q&amp;hl=en&amp;geocode=&amp;q=39.98211,-75.10764")</f>
        <v>http://maps.google.com/maps?f=q&amp;hl=en&amp;geocode=&amp;q=39.98211,-75.10764</v>
      </c>
    </row>
    <row r="12830" spans="1:7" ht="15" x14ac:dyDescent="0.3">
      <c r="A12830">
        <v>39.516919999999999</v>
      </c>
      <c r="B12830">
        <v>-77.992649999999998</v>
      </c>
      <c r="C12830" t="s">
        <v>42</v>
      </c>
      <c r="D12830" t="s">
        <v>7103</v>
      </c>
      <c r="F12830" s="21"/>
      <c r="G12830" s="16" t="str">
        <f>HYPERLINK("http://maps.google.com/maps?f=q&amp;hl=en&amp;geocode=&amp;q=39.51692,-77.99265")</f>
        <v>http://maps.google.com/maps?f=q&amp;hl=en&amp;geocode=&amp;q=39.51692,-77.99265</v>
      </c>
    </row>
    <row r="12831" spans="1:7" ht="15" x14ac:dyDescent="0.3">
      <c r="A12831">
        <v>39.996009999999998</v>
      </c>
      <c r="B12831">
        <v>-75.092140000000001</v>
      </c>
      <c r="C12831" t="s">
        <v>41</v>
      </c>
      <c r="D12831" t="s">
        <v>507</v>
      </c>
      <c r="F12831" s="21"/>
      <c r="G12831" s="16" t="str">
        <f>HYPERLINK("http://maps.google.com/maps?f=q&amp;hl=en&amp;geocode=&amp;q=39.99601,-75.09214")</f>
        <v>http://maps.google.com/maps?f=q&amp;hl=en&amp;geocode=&amp;q=39.99601,-75.09214</v>
      </c>
    </row>
    <row r="12832" spans="1:7" ht="15" x14ac:dyDescent="0.3">
      <c r="A12832">
        <v>38.373374966153499</v>
      </c>
      <c r="B12832">
        <v>-89.795614935532299</v>
      </c>
      <c r="C12832" t="s">
        <v>43</v>
      </c>
      <c r="D12832" t="s">
        <v>6270</v>
      </c>
      <c r="F12832" s="21"/>
      <c r="G12832" s="16" t="str">
        <f>HYPERLINK("http://maps.google.com/maps?f=q&amp;hl=en&amp;geocode=&amp;q=38.3733749661535,-89.7956149355323")</f>
        <v>http://maps.google.com/maps?f=q&amp;hl=en&amp;geocode=&amp;q=38.3733749661535,-89.7956149355323</v>
      </c>
    </row>
    <row r="12833" spans="1:7" ht="15" x14ac:dyDescent="0.3">
      <c r="A12833">
        <v>39.92022</v>
      </c>
      <c r="B12833">
        <v>-75.178219999999996</v>
      </c>
      <c r="C12833" t="s">
        <v>41</v>
      </c>
      <c r="D12833" t="s">
        <v>7104</v>
      </c>
      <c r="F12833" s="21"/>
      <c r="G12833" s="16" t="str">
        <f>HYPERLINK("http://maps.google.com/maps?f=q&amp;hl=en&amp;geocode=&amp;q=39.92022,-75.17822")</f>
        <v>http://maps.google.com/maps?f=q&amp;hl=en&amp;geocode=&amp;q=39.92022,-75.17822</v>
      </c>
    </row>
    <row r="12834" spans="1:7" ht="15" x14ac:dyDescent="0.3">
      <c r="A12834">
        <v>39.950060000000001</v>
      </c>
      <c r="B12834">
        <v>-75.168139999999994</v>
      </c>
      <c r="C12834" t="s">
        <v>41</v>
      </c>
      <c r="D12834" t="s">
        <v>5999</v>
      </c>
      <c r="F12834" s="21"/>
      <c r="G12834" s="16" t="str">
        <f>HYPERLINK("http://maps.google.com/maps?f=q&amp;hl=en&amp;geocode=&amp;q=39.95006,-75.16814")</f>
        <v>http://maps.google.com/maps?f=q&amp;hl=en&amp;geocode=&amp;q=39.95006,-75.16814</v>
      </c>
    </row>
    <row r="12835" spans="1:7" ht="15" x14ac:dyDescent="0.3">
      <c r="A12835">
        <v>35.192210054878103</v>
      </c>
      <c r="B12835">
        <v>-111.617847944587</v>
      </c>
      <c r="C12835" t="s">
        <v>41</v>
      </c>
      <c r="D12835" t="s">
        <v>4432</v>
      </c>
      <c r="F12835" s="21"/>
      <c r="G12835" s="16" t="str">
        <f>HYPERLINK("http://maps.google.com/maps?f=q&amp;hl=en&amp;geocode=&amp;q=35.1922100548781,-111.617847944587")</f>
        <v>http://maps.google.com/maps?f=q&amp;hl=en&amp;geocode=&amp;q=35.1922100548781,-111.617847944587</v>
      </c>
    </row>
    <row r="12836" spans="1:7" ht="15" x14ac:dyDescent="0.3">
      <c r="A12836">
        <v>49.647453308105497</v>
      </c>
      <c r="B12836">
        <v>6.1309771537780797</v>
      </c>
      <c r="C12836" t="s">
        <v>41</v>
      </c>
      <c r="D12836" t="s">
        <v>7028</v>
      </c>
      <c r="F12836" s="21"/>
      <c r="G12836" s="16" t="str">
        <f>HYPERLINK("http://maps.google.com/maps?f=q&amp;hl=en&amp;geocode=&amp;q=49.6474533081055,6.13097715377808")</f>
        <v>http://maps.google.com/maps?f=q&amp;hl=en&amp;geocode=&amp;q=49.6474533081055,6.13097715377808</v>
      </c>
    </row>
    <row r="12837" spans="1:7" ht="15" x14ac:dyDescent="0.3">
      <c r="A12837">
        <v>49.647453308105497</v>
      </c>
      <c r="B12837">
        <v>6.1309771537780797</v>
      </c>
      <c r="C12837" t="s">
        <v>41</v>
      </c>
      <c r="D12837" t="s">
        <v>7028</v>
      </c>
      <c r="F12837" s="21"/>
      <c r="G12837" s="16" t="str">
        <f>HYPERLINK("http://maps.google.com/maps?f=q&amp;hl=en&amp;geocode=&amp;q=49.6474533081055,6.13097715377808")</f>
        <v>http://maps.google.com/maps?f=q&amp;hl=en&amp;geocode=&amp;q=49.6474533081055,6.13097715377808</v>
      </c>
    </row>
    <row r="12838" spans="1:7" ht="15" x14ac:dyDescent="0.3">
      <c r="A12838">
        <v>43.2552302532726</v>
      </c>
      <c r="B12838">
        <v>-73.76374217787</v>
      </c>
      <c r="C12838" t="s">
        <v>41</v>
      </c>
      <c r="D12838" t="s">
        <v>6723</v>
      </c>
      <c r="F12838" s="21"/>
      <c r="G12838" s="16" t="str">
        <f>HYPERLINK("http://maps.google.com/maps?f=q&amp;hl=en&amp;geocode=&amp;q=43.2552302532726,-73.76374217787")</f>
        <v>http://maps.google.com/maps?f=q&amp;hl=en&amp;geocode=&amp;q=43.2552302532726,-73.76374217787</v>
      </c>
    </row>
    <row r="12839" spans="1:7" ht="15" x14ac:dyDescent="0.3">
      <c r="A12839">
        <v>36.093150000000001</v>
      </c>
      <c r="B12839">
        <v>-78.968919999999997</v>
      </c>
      <c r="C12839" t="s">
        <v>42</v>
      </c>
      <c r="D12839" t="s">
        <v>7105</v>
      </c>
      <c r="F12839" s="21"/>
      <c r="G12839" s="16" t="str">
        <f>HYPERLINK("http://maps.google.com/maps?f=q&amp;hl=en&amp;geocode=&amp;q=36.09315,-78.96892")</f>
        <v>http://maps.google.com/maps?f=q&amp;hl=en&amp;geocode=&amp;q=36.09315,-78.96892</v>
      </c>
    </row>
    <row r="12840" spans="1:7" ht="15" x14ac:dyDescent="0.3">
      <c r="A12840">
        <v>49.647453308105497</v>
      </c>
      <c r="B12840">
        <v>6.1309771537780797</v>
      </c>
      <c r="C12840" t="s">
        <v>41</v>
      </c>
      <c r="D12840" t="s">
        <v>7028</v>
      </c>
      <c r="F12840" s="21"/>
      <c r="G12840" s="16" t="str">
        <f>HYPERLINK("http://maps.google.com/maps?f=q&amp;hl=en&amp;geocode=&amp;q=49.6474533081055,6.13097715377808")</f>
        <v>http://maps.google.com/maps?f=q&amp;hl=en&amp;geocode=&amp;q=49.6474533081055,6.13097715377808</v>
      </c>
    </row>
    <row r="12841" spans="1:7" ht="15" x14ac:dyDescent="0.3">
      <c r="A12841">
        <v>39.4432563781738</v>
      </c>
      <c r="B12841">
        <v>-98.957336425781307</v>
      </c>
      <c r="C12841" t="s">
        <v>43</v>
      </c>
      <c r="D12841" t="s">
        <v>7106</v>
      </c>
      <c r="F12841" s="21"/>
      <c r="G12841" s="16" t="str">
        <f>HYPERLINK("http://maps.google.com/maps?f=q&amp;hl=en&amp;geocode=&amp;q=39.4432563781738,-98.9573364257813")</f>
        <v>http://maps.google.com/maps?f=q&amp;hl=en&amp;geocode=&amp;q=39.4432563781738,-98.9573364257813</v>
      </c>
    </row>
    <row r="12842" spans="1:7" ht="15" x14ac:dyDescent="0.3">
      <c r="A12842">
        <v>-26.188575744628899</v>
      </c>
      <c r="B12842">
        <v>27.929327011108398</v>
      </c>
      <c r="C12842" t="s">
        <v>43</v>
      </c>
      <c r="D12842" t="s">
        <v>7107</v>
      </c>
      <c r="F12842" s="21"/>
      <c r="G12842" s="16" t="str">
        <f>HYPERLINK("http://maps.google.com/maps?f=q&amp;hl=en&amp;geocode=&amp;q=-26.1885757446289,27.9293270111084")</f>
        <v>http://maps.google.com/maps?f=q&amp;hl=en&amp;geocode=&amp;q=-26.1885757446289,27.9293270111084</v>
      </c>
    </row>
    <row r="12843" spans="1:7" ht="15" x14ac:dyDescent="0.3">
      <c r="A12843">
        <v>39.984005437389399</v>
      </c>
      <c r="B12843">
        <v>-75.108766935152005</v>
      </c>
      <c r="C12843" t="s">
        <v>41</v>
      </c>
      <c r="D12843" t="s">
        <v>4228</v>
      </c>
      <c r="F12843" s="21"/>
      <c r="G12843" s="16" t="str">
        <f>HYPERLINK("http://maps.google.com/maps?f=q&amp;hl=en&amp;geocode=&amp;q=39.9840054373894,-75.108766935152")</f>
        <v>http://maps.google.com/maps?f=q&amp;hl=en&amp;geocode=&amp;q=39.9840054373894,-75.108766935152</v>
      </c>
    </row>
    <row r="12844" spans="1:7" ht="15" x14ac:dyDescent="0.3">
      <c r="A12844">
        <v>46.088410000000003</v>
      </c>
      <c r="B12844">
        <v>12.59421</v>
      </c>
      <c r="C12844" t="s">
        <v>41</v>
      </c>
      <c r="D12844" t="s">
        <v>7108</v>
      </c>
      <c r="F12844" s="21"/>
      <c r="G12844" s="16" t="str">
        <f>HYPERLINK("http://maps.google.com/maps?f=q&amp;hl=en&amp;geocode=&amp;q=46.08841,12.59421")</f>
        <v>http://maps.google.com/maps?f=q&amp;hl=en&amp;geocode=&amp;q=46.08841,12.59421</v>
      </c>
    </row>
    <row r="12845" spans="1:7" ht="15" x14ac:dyDescent="0.3">
      <c r="A12845">
        <v>39.985076403831201</v>
      </c>
      <c r="B12845">
        <v>-75.106754449039101</v>
      </c>
      <c r="C12845" t="s">
        <v>41</v>
      </c>
      <c r="D12845" t="s">
        <v>3814</v>
      </c>
      <c r="F12845" s="21"/>
      <c r="G12845" s="16" t="str">
        <f>HYPERLINK("http://maps.google.com/maps?f=q&amp;hl=en&amp;geocode=&amp;q=39.9850764038312,-75.1067544490391")</f>
        <v>http://maps.google.com/maps?f=q&amp;hl=en&amp;geocode=&amp;q=39.9850764038312,-75.1067544490391</v>
      </c>
    </row>
    <row r="12846" spans="1:7" ht="15" x14ac:dyDescent="0.3">
      <c r="A12846">
        <v>37.860477293610998</v>
      </c>
      <c r="B12846">
        <v>-82.804754194483493</v>
      </c>
      <c r="C12846" t="s">
        <v>41</v>
      </c>
      <c r="D12846" t="s">
        <v>6849</v>
      </c>
      <c r="F12846" s="21"/>
      <c r="G12846" s="16" t="str">
        <f>HYPERLINK("http://maps.google.com/maps?f=q&amp;hl=en&amp;geocode=&amp;q=37.860477293611,-82.8047541944835")</f>
        <v>http://maps.google.com/maps?f=q&amp;hl=en&amp;geocode=&amp;q=37.860477293611,-82.8047541944835</v>
      </c>
    </row>
    <row r="12847" spans="1:7" ht="15" x14ac:dyDescent="0.3">
      <c r="A12847">
        <v>32.325822831162903</v>
      </c>
      <c r="B12847">
        <v>-106.771642866522</v>
      </c>
      <c r="C12847" t="s">
        <v>41</v>
      </c>
      <c r="D12847" t="s">
        <v>7109</v>
      </c>
      <c r="F12847" s="21"/>
      <c r="G12847" s="16" t="str">
        <f>HYPERLINK("http://maps.google.com/maps?f=q&amp;hl=en&amp;geocode=&amp;q=32.3258228311629,-106.771642866522")</f>
        <v>http://maps.google.com/maps?f=q&amp;hl=en&amp;geocode=&amp;q=32.3258228311629,-106.771642866522</v>
      </c>
    </row>
    <row r="12848" spans="1:7" ht="15" x14ac:dyDescent="0.3">
      <c r="A12848">
        <v>48.672306060791001</v>
      </c>
      <c r="B12848">
        <v>7.5540661811828604</v>
      </c>
      <c r="C12848" t="s">
        <v>43</v>
      </c>
      <c r="D12848" t="s">
        <v>5375</v>
      </c>
      <c r="F12848" s="21"/>
      <c r="G12848" s="16" t="str">
        <f>HYPERLINK("http://maps.google.com/maps?f=q&amp;hl=en&amp;geocode=&amp;q=48.672306060791,7.55406618118286")</f>
        <v>http://maps.google.com/maps?f=q&amp;hl=en&amp;geocode=&amp;q=48.672306060791,7.55406618118286</v>
      </c>
    </row>
    <row r="12849" spans="1:7" ht="15" x14ac:dyDescent="0.3">
      <c r="A12849">
        <v>39.950060000000001</v>
      </c>
      <c r="B12849">
        <v>-75.168139999999994</v>
      </c>
      <c r="C12849" t="s">
        <v>41</v>
      </c>
      <c r="D12849" t="s">
        <v>5999</v>
      </c>
      <c r="F12849" s="21"/>
      <c r="G12849" s="16" t="str">
        <f>HYPERLINK("http://maps.google.com/maps?f=q&amp;hl=en&amp;geocode=&amp;q=39.95006,-75.16814")</f>
        <v>http://maps.google.com/maps?f=q&amp;hl=en&amp;geocode=&amp;q=39.95006,-75.16814</v>
      </c>
    </row>
    <row r="12850" spans="1:7" ht="15" x14ac:dyDescent="0.3">
      <c r="A12850">
        <v>33.217403048725899</v>
      </c>
      <c r="B12850">
        <v>-90.020058186683997</v>
      </c>
      <c r="C12850" t="s">
        <v>42</v>
      </c>
      <c r="D12850" t="s">
        <v>3363</v>
      </c>
      <c r="F12850" s="21"/>
      <c r="G12850" s="16" t="str">
        <f>HYPERLINK("http://maps.google.com/maps?f=q&amp;hl=en&amp;geocode=&amp;q=33.2174030487259,-90.020058186684")</f>
        <v>http://maps.google.com/maps?f=q&amp;hl=en&amp;geocode=&amp;q=33.2174030487259,-90.020058186684</v>
      </c>
    </row>
    <row r="12851" spans="1:7" ht="15" x14ac:dyDescent="0.3">
      <c r="A12851" t="s">
        <v>44</v>
      </c>
      <c r="B12851" t="s">
        <v>44</v>
      </c>
      <c r="C12851" t="s">
        <v>44</v>
      </c>
      <c r="D12851" t="s">
        <v>136</v>
      </c>
      <c r="F12851" s="21"/>
      <c r="G12851" s="16"/>
    </row>
    <row r="12852" spans="1:7" ht="15" x14ac:dyDescent="0.3">
      <c r="A12852" t="s">
        <v>44</v>
      </c>
      <c r="B12852" t="s">
        <v>44</v>
      </c>
      <c r="C12852" t="s">
        <v>44</v>
      </c>
      <c r="D12852" t="s">
        <v>4532</v>
      </c>
      <c r="F12852" s="21"/>
      <c r="G12852" s="16"/>
    </row>
    <row r="12853" spans="1:7" ht="15" x14ac:dyDescent="0.3">
      <c r="A12853">
        <v>41.740646980793798</v>
      </c>
      <c r="B12853">
        <v>-111.814664267775</v>
      </c>
      <c r="C12853" t="s">
        <v>43</v>
      </c>
      <c r="D12853" t="s">
        <v>5170</v>
      </c>
      <c r="F12853" s="21"/>
      <c r="G12853" s="16" t="str">
        <f>HYPERLINK("http://maps.google.com/maps?f=q&amp;hl=en&amp;geocode=&amp;q=41.7406469807938,-111.814664267775")</f>
        <v>http://maps.google.com/maps?f=q&amp;hl=en&amp;geocode=&amp;q=41.7406469807938,-111.814664267775</v>
      </c>
    </row>
    <row r="12854" spans="1:7" ht="15" x14ac:dyDescent="0.3">
      <c r="A12854">
        <v>41.092313487596797</v>
      </c>
      <c r="B12854">
        <v>-85.112541453908094</v>
      </c>
      <c r="C12854" t="s">
        <v>41</v>
      </c>
      <c r="D12854" t="s">
        <v>3457</v>
      </c>
      <c r="F12854" s="21"/>
      <c r="G12854" s="16" t="str">
        <f>HYPERLINK("http://maps.google.com/maps?f=q&amp;hl=en&amp;geocode=&amp;q=41.0923134875968,-85.1125414539081")</f>
        <v>http://maps.google.com/maps?f=q&amp;hl=en&amp;geocode=&amp;q=41.0923134875968,-85.1125414539081</v>
      </c>
    </row>
    <row r="12855" spans="1:7" ht="15" x14ac:dyDescent="0.3">
      <c r="A12855">
        <v>39.998888209467196</v>
      </c>
      <c r="B12855">
        <v>-75.108665964130907</v>
      </c>
      <c r="C12855" t="s">
        <v>41</v>
      </c>
      <c r="D12855" t="s">
        <v>5365</v>
      </c>
      <c r="F12855" s="21"/>
      <c r="G12855" s="16" t="str">
        <f>HYPERLINK("http://maps.google.com/maps?f=q&amp;hl=en&amp;geocode=&amp;q=39.9988882094672,-75.1086659641309")</f>
        <v>http://maps.google.com/maps?f=q&amp;hl=en&amp;geocode=&amp;q=39.9988882094672,-75.1086659641309</v>
      </c>
    </row>
    <row r="12856" spans="1:7" ht="15" x14ac:dyDescent="0.3">
      <c r="F12856" s="21"/>
      <c r="G12856" s="16"/>
    </row>
    <row r="12857" spans="1:7" ht="15" x14ac:dyDescent="0.3">
      <c r="A12857">
        <v>39.950060000000001</v>
      </c>
      <c r="B12857">
        <v>-75.168139999999994</v>
      </c>
      <c r="C12857" t="s">
        <v>41</v>
      </c>
      <c r="D12857" t="s">
        <v>5999</v>
      </c>
      <c r="F12857" s="21"/>
      <c r="G12857" s="16" t="str">
        <f>HYPERLINK("http://maps.google.com/maps?f=q&amp;hl=en&amp;geocode=&amp;q=39.95006,-75.16814")</f>
        <v>http://maps.google.com/maps?f=q&amp;hl=en&amp;geocode=&amp;q=39.95006,-75.16814</v>
      </c>
    </row>
    <row r="12858" spans="1:7" ht="15" x14ac:dyDescent="0.3">
      <c r="A12858">
        <v>38.133383178915203</v>
      </c>
      <c r="B12858">
        <v>-98.270557596629203</v>
      </c>
      <c r="C12858" t="s">
        <v>41</v>
      </c>
      <c r="D12858" t="s">
        <v>6734</v>
      </c>
      <c r="F12858" s="21"/>
      <c r="G12858" s="16" t="str">
        <f>HYPERLINK("http://maps.google.com/maps?f=q&amp;hl=en&amp;geocode=&amp;q=38.1333831789152,-98.2705575966292")</f>
        <v>http://maps.google.com/maps?f=q&amp;hl=en&amp;geocode=&amp;q=38.1333831789152,-98.2705575966292</v>
      </c>
    </row>
    <row r="12859" spans="1:7" ht="15" x14ac:dyDescent="0.3">
      <c r="A12859">
        <v>38.5347602224317</v>
      </c>
      <c r="B12859">
        <v>-89.779456414766599</v>
      </c>
      <c r="C12859" t="s">
        <v>43</v>
      </c>
      <c r="D12859" t="s">
        <v>7110</v>
      </c>
      <c r="F12859" s="21"/>
      <c r="G12859" s="16" t="str">
        <f>HYPERLINK("http://maps.google.com/maps?f=q&amp;hl=en&amp;geocode=&amp;q=38.5347602224317,-89.7794564147666")</f>
        <v>http://maps.google.com/maps?f=q&amp;hl=en&amp;geocode=&amp;q=38.5347602224317,-89.7794564147666</v>
      </c>
    </row>
    <row r="12860" spans="1:7" ht="15" x14ac:dyDescent="0.3">
      <c r="A12860">
        <v>34.108313245067002</v>
      </c>
      <c r="B12860">
        <v>-84.597084308179205</v>
      </c>
      <c r="C12860" t="s">
        <v>41</v>
      </c>
      <c r="D12860" t="s">
        <v>7111</v>
      </c>
      <c r="F12860" s="21"/>
      <c r="G12860" s="16" t="str">
        <f>HYPERLINK("http://maps.google.com/maps?f=q&amp;hl=en&amp;geocode=&amp;q=34.108313245067,-84.5970843081792")</f>
        <v>http://maps.google.com/maps?f=q&amp;hl=en&amp;geocode=&amp;q=34.108313245067,-84.5970843081792</v>
      </c>
    </row>
    <row r="12861" spans="1:7" ht="15" x14ac:dyDescent="0.3">
      <c r="A12861">
        <v>39.906660000000002</v>
      </c>
      <c r="B12861">
        <v>-75.183369999999996</v>
      </c>
      <c r="C12861" t="s">
        <v>43</v>
      </c>
      <c r="D12861" t="s">
        <v>7112</v>
      </c>
      <c r="F12861" s="21"/>
      <c r="G12861" s="16" t="str">
        <f>HYPERLINK("http://maps.google.com/maps?f=q&amp;hl=en&amp;geocode=&amp;q=39.90666,-75.18337")</f>
        <v>http://maps.google.com/maps?f=q&amp;hl=en&amp;geocode=&amp;q=39.90666,-75.18337</v>
      </c>
    </row>
    <row r="12862" spans="1:7" ht="15" x14ac:dyDescent="0.3">
      <c r="A12862">
        <v>38.2698505852699</v>
      </c>
      <c r="B12862">
        <v>-121.28326737933</v>
      </c>
      <c r="C12862" t="s">
        <v>41</v>
      </c>
      <c r="D12862" t="s">
        <v>4559</v>
      </c>
      <c r="F12862" s="21"/>
      <c r="G12862" s="16" t="str">
        <f>HYPERLINK("http://maps.google.com/maps?f=q&amp;hl=en&amp;geocode=&amp;q=38.2698505852699,-121.28326737933")</f>
        <v>http://maps.google.com/maps?f=q&amp;hl=en&amp;geocode=&amp;q=38.2698505852699,-121.28326737933</v>
      </c>
    </row>
    <row r="12863" spans="1:7" ht="15" x14ac:dyDescent="0.3">
      <c r="A12863">
        <v>40.446689605712898</v>
      </c>
      <c r="B12863">
        <v>-76.231819152832003</v>
      </c>
      <c r="C12863" t="s">
        <v>41</v>
      </c>
      <c r="D12863" t="s">
        <v>7113</v>
      </c>
      <c r="F12863" s="21"/>
      <c r="G12863" s="16" t="str">
        <f>HYPERLINK("http://maps.google.com/maps?f=q&amp;hl=en&amp;geocode=&amp;q=40.4466896057129,-76.231819152832")</f>
        <v>http://maps.google.com/maps?f=q&amp;hl=en&amp;geocode=&amp;q=40.4466896057129,-76.231819152832</v>
      </c>
    </row>
    <row r="12864" spans="1:7" ht="15" x14ac:dyDescent="0.3">
      <c r="A12864">
        <v>27.987014966231602</v>
      </c>
      <c r="B12864">
        <v>-82.448723660901095</v>
      </c>
      <c r="C12864" t="s">
        <v>41</v>
      </c>
      <c r="D12864" t="s">
        <v>7114</v>
      </c>
      <c r="F12864" s="21"/>
      <c r="G12864" s="16" t="str">
        <f>HYPERLINK("http://maps.google.com/maps?f=q&amp;hl=en&amp;geocode=&amp;q=27.9870149662316,-82.4487236609011")</f>
        <v>http://maps.google.com/maps?f=q&amp;hl=en&amp;geocode=&amp;q=27.9870149662316,-82.4487236609011</v>
      </c>
    </row>
    <row r="12865" spans="1:7" ht="15" x14ac:dyDescent="0.3">
      <c r="A12865">
        <v>59.922351837158203</v>
      </c>
      <c r="B12865">
        <v>11.178321838378899</v>
      </c>
      <c r="C12865" t="s">
        <v>43</v>
      </c>
      <c r="D12865" t="s">
        <v>7115</v>
      </c>
      <c r="F12865" s="21"/>
      <c r="G12865" s="16" t="str">
        <f>HYPERLINK("http://maps.google.com/maps?f=q&amp;hl=en&amp;geocode=&amp;q=59.9223518371582,11.1783218383789")</f>
        <v>http://maps.google.com/maps?f=q&amp;hl=en&amp;geocode=&amp;q=59.9223518371582,11.1783218383789</v>
      </c>
    </row>
    <row r="12866" spans="1:7" ht="15" x14ac:dyDescent="0.3">
      <c r="A12866" t="s">
        <v>44</v>
      </c>
      <c r="B12866" t="s">
        <v>44</v>
      </c>
      <c r="C12866" t="s">
        <v>44</v>
      </c>
      <c r="D12866" t="s">
        <v>7051</v>
      </c>
      <c r="F12866" s="21"/>
      <c r="G12866" s="16"/>
    </row>
    <row r="12867" spans="1:7" ht="15" x14ac:dyDescent="0.3">
      <c r="A12867">
        <v>39.912704966042597</v>
      </c>
      <c r="B12867">
        <v>-75.241030519036201</v>
      </c>
      <c r="C12867" t="s">
        <v>41</v>
      </c>
      <c r="D12867" t="s">
        <v>7116</v>
      </c>
      <c r="F12867" s="21"/>
      <c r="G12867" s="16" t="str">
        <f>HYPERLINK("http://maps.google.com/maps?f=q&amp;hl=en&amp;geocode=&amp;q=39.9127049660426,-75.2410305190362")</f>
        <v>http://maps.google.com/maps?f=q&amp;hl=en&amp;geocode=&amp;q=39.9127049660426,-75.2410305190362</v>
      </c>
    </row>
    <row r="12868" spans="1:7" ht="15" x14ac:dyDescent="0.3">
      <c r="A12868">
        <v>7.2021198272705096</v>
      </c>
      <c r="B12868">
        <v>126.53334808349599</v>
      </c>
      <c r="C12868" t="s">
        <v>41</v>
      </c>
      <c r="D12868" t="s">
        <v>842</v>
      </c>
      <c r="F12868" s="21"/>
      <c r="G12868" s="16" t="str">
        <f>HYPERLINK("http://maps.google.com/maps?f=q&amp;hl=en&amp;geocode=&amp;q=7.20211982727051,126.533348083496")</f>
        <v>http://maps.google.com/maps?f=q&amp;hl=en&amp;geocode=&amp;q=7.20211982727051,126.533348083496</v>
      </c>
    </row>
    <row r="12869" spans="1:7" ht="15" x14ac:dyDescent="0.3">
      <c r="A12869">
        <v>49.647453308105497</v>
      </c>
      <c r="B12869">
        <v>6.1309771537780797</v>
      </c>
      <c r="C12869" t="s">
        <v>41</v>
      </c>
      <c r="D12869" t="s">
        <v>7028</v>
      </c>
      <c r="F12869" s="21"/>
      <c r="G12869" s="16" t="str">
        <f>HYPERLINK("http://maps.google.com/maps?f=q&amp;hl=en&amp;geocode=&amp;q=49.6474533081055,6.13097715377808")</f>
        <v>http://maps.google.com/maps?f=q&amp;hl=en&amp;geocode=&amp;q=49.6474533081055,6.13097715377808</v>
      </c>
    </row>
    <row r="12870" spans="1:7" ht="15" x14ac:dyDescent="0.3">
      <c r="A12870">
        <v>41.853834091047197</v>
      </c>
      <c r="B12870">
        <v>-87.778625162411501</v>
      </c>
      <c r="C12870" t="s">
        <v>41</v>
      </c>
      <c r="D12870" t="s">
        <v>7117</v>
      </c>
      <c r="F12870" s="21"/>
      <c r="G12870" s="16" t="str">
        <f>HYPERLINK("http://maps.google.com/maps?f=q&amp;hl=en&amp;geocode=&amp;q=41.8538340910472,-87.7786251624115")</f>
        <v>http://maps.google.com/maps?f=q&amp;hl=en&amp;geocode=&amp;q=41.8538340910472,-87.7786251624115</v>
      </c>
    </row>
    <row r="12871" spans="1:7" ht="15" x14ac:dyDescent="0.3">
      <c r="A12871" t="s">
        <v>44</v>
      </c>
      <c r="B12871" t="s">
        <v>44</v>
      </c>
      <c r="C12871" t="s">
        <v>44</v>
      </c>
      <c r="D12871" t="s">
        <v>7118</v>
      </c>
      <c r="F12871" s="21"/>
      <c r="G12871" s="16"/>
    </row>
    <row r="12872" spans="1:7" ht="15" x14ac:dyDescent="0.3">
      <c r="A12872">
        <v>40.576259999999998</v>
      </c>
      <c r="B12872">
        <v>-75.348519999999994</v>
      </c>
      <c r="C12872" t="s">
        <v>43</v>
      </c>
      <c r="D12872" t="s">
        <v>6223</v>
      </c>
      <c r="F12872" s="21"/>
      <c r="G12872" s="16" t="str">
        <f>HYPERLINK("http://maps.google.com/maps?f=q&amp;hl=en&amp;geocode=&amp;q=40.57626,-75.34852")</f>
        <v>http://maps.google.com/maps?f=q&amp;hl=en&amp;geocode=&amp;q=40.57626,-75.34852</v>
      </c>
    </row>
    <row r="12873" spans="1:7" ht="15" x14ac:dyDescent="0.3">
      <c r="A12873">
        <v>49.647453308105497</v>
      </c>
      <c r="B12873">
        <v>6.1309771537780797</v>
      </c>
      <c r="C12873" t="s">
        <v>41</v>
      </c>
      <c r="D12873" t="s">
        <v>7028</v>
      </c>
      <c r="F12873" s="21"/>
      <c r="G12873" s="16" t="str">
        <f>HYPERLINK("http://maps.google.com/maps?f=q&amp;hl=en&amp;geocode=&amp;q=49.6474533081055,6.13097715377808")</f>
        <v>http://maps.google.com/maps?f=q&amp;hl=en&amp;geocode=&amp;q=49.6474533081055,6.13097715377808</v>
      </c>
    </row>
    <row r="12874" spans="1:7" ht="15" x14ac:dyDescent="0.3">
      <c r="A12874">
        <v>49.647453308105497</v>
      </c>
      <c r="B12874">
        <v>6.1309771537780797</v>
      </c>
      <c r="C12874" t="s">
        <v>41</v>
      </c>
      <c r="D12874" t="s">
        <v>7028</v>
      </c>
      <c r="F12874" s="21"/>
      <c r="G12874" s="16" t="str">
        <f>HYPERLINK("http://maps.google.com/maps?f=q&amp;hl=en&amp;geocode=&amp;q=49.6474533081055,6.13097715377808")</f>
        <v>http://maps.google.com/maps?f=q&amp;hl=en&amp;geocode=&amp;q=49.6474533081055,6.13097715377808</v>
      </c>
    </row>
    <row r="12875" spans="1:7" ht="15" x14ac:dyDescent="0.3">
      <c r="A12875">
        <v>42.738571166992202</v>
      </c>
      <c r="B12875">
        <v>23.376924514770501</v>
      </c>
      <c r="C12875" t="s">
        <v>41</v>
      </c>
      <c r="D12875" t="s">
        <v>7119</v>
      </c>
      <c r="F12875" s="21"/>
      <c r="G12875" s="16" t="str">
        <f>HYPERLINK("http://maps.google.com/maps?f=q&amp;hl=en&amp;geocode=&amp;q=42.7385711669922,23.3769245147705")</f>
        <v>http://maps.google.com/maps?f=q&amp;hl=en&amp;geocode=&amp;q=42.7385711669922,23.3769245147705</v>
      </c>
    </row>
    <row r="12876" spans="1:7" ht="15" x14ac:dyDescent="0.3">
      <c r="A12876" t="s">
        <v>44</v>
      </c>
      <c r="B12876" t="s">
        <v>44</v>
      </c>
      <c r="C12876" t="s">
        <v>44</v>
      </c>
      <c r="D12876" t="s">
        <v>7120</v>
      </c>
      <c r="F12876" s="21"/>
      <c r="G12876" s="16"/>
    </row>
    <row r="12877" spans="1:7" ht="15" x14ac:dyDescent="0.3">
      <c r="A12877">
        <v>49.647453308105497</v>
      </c>
      <c r="B12877">
        <v>6.1309771537780797</v>
      </c>
      <c r="C12877" t="s">
        <v>41</v>
      </c>
      <c r="D12877" t="s">
        <v>7028</v>
      </c>
      <c r="F12877" s="21"/>
      <c r="G12877" s="16" t="str">
        <f>HYPERLINK("http://maps.google.com/maps?f=q&amp;hl=en&amp;geocode=&amp;q=49.6474533081055,6.13097715377808")</f>
        <v>http://maps.google.com/maps?f=q&amp;hl=en&amp;geocode=&amp;q=49.6474533081055,6.13097715377808</v>
      </c>
    </row>
    <row r="12878" spans="1:7" ht="15" x14ac:dyDescent="0.3">
      <c r="A12878">
        <v>39.947240000000001</v>
      </c>
      <c r="B12878">
        <v>-75.174689999999998</v>
      </c>
      <c r="C12878" t="s">
        <v>43</v>
      </c>
      <c r="D12878" t="s">
        <v>6228</v>
      </c>
      <c r="F12878" s="21"/>
      <c r="G12878" s="16" t="str">
        <f>HYPERLINK("http://maps.google.com/maps?f=q&amp;hl=en&amp;geocode=&amp;q=39.94724,-75.17469")</f>
        <v>http://maps.google.com/maps?f=q&amp;hl=en&amp;geocode=&amp;q=39.94724,-75.17469</v>
      </c>
    </row>
    <row r="12879" spans="1:7" ht="15" x14ac:dyDescent="0.3">
      <c r="A12879">
        <v>39.947240000000001</v>
      </c>
      <c r="B12879">
        <v>-75.174689999999998</v>
      </c>
      <c r="C12879" t="s">
        <v>43</v>
      </c>
      <c r="D12879" t="s">
        <v>6228</v>
      </c>
      <c r="F12879" s="21"/>
      <c r="G12879" s="16" t="str">
        <f>HYPERLINK("http://maps.google.com/maps?f=q&amp;hl=en&amp;geocode=&amp;q=39.94724,-75.17469")</f>
        <v>http://maps.google.com/maps?f=q&amp;hl=en&amp;geocode=&amp;q=39.94724,-75.17469</v>
      </c>
    </row>
    <row r="12880" spans="1:7" ht="15" x14ac:dyDescent="0.3">
      <c r="A12880">
        <v>39.947240000000001</v>
      </c>
      <c r="B12880">
        <v>-75.174689999999998</v>
      </c>
      <c r="C12880" t="s">
        <v>43</v>
      </c>
      <c r="D12880" t="s">
        <v>6228</v>
      </c>
      <c r="F12880" s="21"/>
      <c r="G12880" s="16" t="str">
        <f>HYPERLINK("http://maps.google.com/maps?f=q&amp;hl=en&amp;geocode=&amp;q=39.94724,-75.17469")</f>
        <v>http://maps.google.com/maps?f=q&amp;hl=en&amp;geocode=&amp;q=39.94724,-75.17469</v>
      </c>
    </row>
    <row r="12881" spans="1:7" ht="15" x14ac:dyDescent="0.3">
      <c r="A12881">
        <v>37.183880000000002</v>
      </c>
      <c r="B12881">
        <v>-89.481269999999995</v>
      </c>
      <c r="C12881" t="s">
        <v>43</v>
      </c>
      <c r="D12881" t="s">
        <v>7121</v>
      </c>
      <c r="F12881" s="21"/>
      <c r="G12881" s="16" t="str">
        <f>HYPERLINK("http://maps.google.com/maps?f=q&amp;hl=en&amp;geocode=&amp;q=37.18388,-89.48127")</f>
        <v>http://maps.google.com/maps?f=q&amp;hl=en&amp;geocode=&amp;q=37.18388,-89.48127</v>
      </c>
    </row>
    <row r="12882" spans="1:7" ht="15" x14ac:dyDescent="0.3">
      <c r="A12882">
        <v>40.071730000000002</v>
      </c>
      <c r="B12882">
        <v>-75.202359999999999</v>
      </c>
      <c r="C12882" t="s">
        <v>41</v>
      </c>
      <c r="D12882" t="s">
        <v>7122</v>
      </c>
      <c r="F12882" s="21"/>
      <c r="G12882" s="16" t="str">
        <f>HYPERLINK("http://maps.google.com/maps?f=q&amp;hl=en&amp;geocode=&amp;q=40.07173,-75.20236")</f>
        <v>http://maps.google.com/maps?f=q&amp;hl=en&amp;geocode=&amp;q=40.07173,-75.20236</v>
      </c>
    </row>
    <row r="12883" spans="1:7" ht="15" x14ac:dyDescent="0.3">
      <c r="A12883">
        <v>49.647453308105497</v>
      </c>
      <c r="B12883">
        <v>6.1309771537780797</v>
      </c>
      <c r="C12883" t="s">
        <v>41</v>
      </c>
      <c r="D12883" t="s">
        <v>7028</v>
      </c>
      <c r="F12883" s="21"/>
      <c r="G12883" s="16" t="str">
        <f>HYPERLINK("http://maps.google.com/maps?f=q&amp;hl=en&amp;geocode=&amp;q=49.6474533081055,6.13097715377808")</f>
        <v>http://maps.google.com/maps?f=q&amp;hl=en&amp;geocode=&amp;q=49.6474533081055,6.13097715377808</v>
      </c>
    </row>
    <row r="12884" spans="1:7" ht="15" x14ac:dyDescent="0.3">
      <c r="A12884">
        <v>35.243940000000002</v>
      </c>
      <c r="B12884">
        <v>-97.423190000000005</v>
      </c>
      <c r="C12884" t="s">
        <v>41</v>
      </c>
      <c r="D12884" t="s">
        <v>6313</v>
      </c>
      <c r="F12884" s="21"/>
      <c r="G12884" s="16" t="str">
        <f>HYPERLINK("http://maps.google.com/maps?f=q&amp;hl=en&amp;geocode=&amp;q=35.24394,-97.42319")</f>
        <v>http://maps.google.com/maps?f=q&amp;hl=en&amp;geocode=&amp;q=35.24394,-97.42319</v>
      </c>
    </row>
    <row r="12885" spans="1:7" ht="15" x14ac:dyDescent="0.3">
      <c r="A12885">
        <v>39.9518766952758</v>
      </c>
      <c r="B12885">
        <v>-75.168855805924906</v>
      </c>
      <c r="C12885" t="s">
        <v>41</v>
      </c>
      <c r="D12885" t="s">
        <v>6431</v>
      </c>
      <c r="F12885" s="21"/>
      <c r="G12885" s="16" t="str">
        <f>HYPERLINK("http://maps.google.com/maps?f=q&amp;hl=en&amp;geocode=&amp;q=39.9518766952758,-75.1688558059249")</f>
        <v>http://maps.google.com/maps?f=q&amp;hl=en&amp;geocode=&amp;q=39.9518766952758,-75.1688558059249</v>
      </c>
    </row>
    <row r="12886" spans="1:7" ht="15" x14ac:dyDescent="0.3">
      <c r="A12886">
        <v>46.209751129150398</v>
      </c>
      <c r="B12886">
        <v>6.1462168693542498</v>
      </c>
      <c r="C12886" t="s">
        <v>43</v>
      </c>
      <c r="D12886" t="s">
        <v>7123</v>
      </c>
      <c r="F12886" s="21"/>
      <c r="G12886" s="16" t="str">
        <f>HYPERLINK("http://maps.google.com/maps?f=q&amp;hl=en&amp;geocode=&amp;q=46.2097511291504,6.14621686935425")</f>
        <v>http://maps.google.com/maps?f=q&amp;hl=en&amp;geocode=&amp;q=46.2097511291504,6.14621686935425</v>
      </c>
    </row>
    <row r="12887" spans="1:7" ht="15" x14ac:dyDescent="0.3">
      <c r="A12887" t="s">
        <v>44</v>
      </c>
      <c r="B12887" t="s">
        <v>44</v>
      </c>
      <c r="C12887" t="s">
        <v>44</v>
      </c>
      <c r="D12887" t="s">
        <v>6767</v>
      </c>
      <c r="F12887" s="21"/>
      <c r="G12887" s="16"/>
    </row>
    <row r="12888" spans="1:7" ht="15" x14ac:dyDescent="0.3">
      <c r="A12888">
        <v>55.847690582275398</v>
      </c>
      <c r="B12888">
        <v>-4.2755298614501998</v>
      </c>
      <c r="C12888" t="s">
        <v>43</v>
      </c>
      <c r="D12888" t="s">
        <v>7124</v>
      </c>
      <c r="F12888" s="21"/>
      <c r="G12888" s="16" t="str">
        <f>HYPERLINK("http://maps.google.com/maps?f=q&amp;hl=en&amp;geocode=&amp;q=55.8476905822754,-4.2755298614502")</f>
        <v>http://maps.google.com/maps?f=q&amp;hl=en&amp;geocode=&amp;q=55.8476905822754,-4.2755298614502</v>
      </c>
    </row>
    <row r="12889" spans="1:7" ht="15" x14ac:dyDescent="0.3">
      <c r="A12889">
        <v>-20.7715107</v>
      </c>
      <c r="B12889">
        <v>116.8689399</v>
      </c>
      <c r="C12889" t="s">
        <v>41</v>
      </c>
      <c r="D12889" t="s">
        <v>7125</v>
      </c>
      <c r="F12889" s="21"/>
      <c r="G12889" s="16" t="str">
        <f>HYPERLINK("http://maps.google.com/maps?f=q&amp;hl=en&amp;geocode=&amp;q=-20.7715107,116.8689399")</f>
        <v>http://maps.google.com/maps?f=q&amp;hl=en&amp;geocode=&amp;q=-20.7715107,116.8689399</v>
      </c>
    </row>
    <row r="12890" spans="1:7" ht="15" x14ac:dyDescent="0.3">
      <c r="A12890">
        <v>32.846759420509002</v>
      </c>
      <c r="B12890">
        <v>-79.936856043350403</v>
      </c>
      <c r="C12890" t="s">
        <v>41</v>
      </c>
      <c r="D12890" t="s">
        <v>7126</v>
      </c>
      <c r="F12890" s="21"/>
      <c r="G12890" s="16" t="str">
        <f>HYPERLINK("http://maps.google.com/maps?f=q&amp;hl=en&amp;geocode=&amp;q=32.846759420509,-79.9368560433504")</f>
        <v>http://maps.google.com/maps?f=q&amp;hl=en&amp;geocode=&amp;q=32.846759420509,-79.9368560433504</v>
      </c>
    </row>
    <row r="12891" spans="1:7" ht="15" x14ac:dyDescent="0.3">
      <c r="A12891">
        <v>32.846759420509002</v>
      </c>
      <c r="B12891">
        <v>-79.936856043350403</v>
      </c>
      <c r="C12891" t="s">
        <v>41</v>
      </c>
      <c r="D12891" t="s">
        <v>7126</v>
      </c>
      <c r="F12891" s="21"/>
      <c r="G12891" s="16" t="str">
        <f>HYPERLINK("http://maps.google.com/maps?f=q&amp;hl=en&amp;geocode=&amp;q=32.846759420509,-79.9368560433504")</f>
        <v>http://maps.google.com/maps?f=q&amp;hl=en&amp;geocode=&amp;q=32.846759420509,-79.9368560433504</v>
      </c>
    </row>
    <row r="12892" spans="1:7" ht="15" x14ac:dyDescent="0.3">
      <c r="A12892">
        <v>32.206769490104698</v>
      </c>
      <c r="B12892">
        <v>-93.762887846634499</v>
      </c>
      <c r="C12892" t="s">
        <v>43</v>
      </c>
      <c r="D12892" t="s">
        <v>7127</v>
      </c>
      <c r="F12892" s="21"/>
      <c r="G12892" s="16" t="str">
        <f>HYPERLINK("http://maps.google.com/maps?f=q&amp;hl=en&amp;geocode=&amp;q=32.2067694901047,-93.7628878466345")</f>
        <v>http://maps.google.com/maps?f=q&amp;hl=en&amp;geocode=&amp;q=32.2067694901047,-93.7628878466345</v>
      </c>
    </row>
    <row r="12893" spans="1:7" ht="15" x14ac:dyDescent="0.3">
      <c r="A12893" t="s">
        <v>44</v>
      </c>
      <c r="B12893" t="s">
        <v>44</v>
      </c>
      <c r="C12893" t="s">
        <v>44</v>
      </c>
      <c r="D12893" t="s">
        <v>7128</v>
      </c>
      <c r="F12893" s="21"/>
      <c r="G12893" s="16"/>
    </row>
    <row r="12894" spans="1:7" ht="15" x14ac:dyDescent="0.3">
      <c r="A12894">
        <v>39.6396086718878</v>
      </c>
      <c r="B12894">
        <v>-79.953079227885098</v>
      </c>
      <c r="C12894" t="s">
        <v>41</v>
      </c>
      <c r="D12894" t="s">
        <v>7129</v>
      </c>
      <c r="F12894" s="21"/>
      <c r="G12894" s="16" t="str">
        <f>HYPERLINK("http://maps.google.com/maps?f=q&amp;hl=en&amp;geocode=&amp;q=39.6396086718878,-79.9530792278851")</f>
        <v>http://maps.google.com/maps?f=q&amp;hl=en&amp;geocode=&amp;q=39.6396086718878,-79.9530792278851</v>
      </c>
    </row>
    <row r="12895" spans="1:7" ht="15" x14ac:dyDescent="0.3">
      <c r="A12895">
        <v>36.950914967483001</v>
      </c>
      <c r="B12895">
        <v>-112.52624838548201</v>
      </c>
      <c r="C12895" t="s">
        <v>41</v>
      </c>
      <c r="D12895" t="s">
        <v>5257</v>
      </c>
      <c r="F12895" s="21"/>
      <c r="G12895" s="16" t="str">
        <f>HYPERLINK("http://maps.google.com/maps?f=q&amp;hl=en&amp;geocode=&amp;q=36.950914967483,-112.526248385482")</f>
        <v>http://maps.google.com/maps?f=q&amp;hl=en&amp;geocode=&amp;q=36.950914967483,-112.526248385482</v>
      </c>
    </row>
    <row r="12896" spans="1:7" ht="15" x14ac:dyDescent="0.3">
      <c r="A12896">
        <v>36.950914967483001</v>
      </c>
      <c r="B12896">
        <v>-112.52624838548201</v>
      </c>
      <c r="C12896" t="s">
        <v>41</v>
      </c>
      <c r="D12896" t="s">
        <v>5257</v>
      </c>
      <c r="F12896" s="21"/>
      <c r="G12896" s="16" t="str">
        <f>HYPERLINK("http://maps.google.com/maps?f=q&amp;hl=en&amp;geocode=&amp;q=36.950914967483,-112.526248385482")</f>
        <v>http://maps.google.com/maps?f=q&amp;hl=en&amp;geocode=&amp;q=36.950914967483,-112.526248385482</v>
      </c>
    </row>
    <row r="12897" spans="1:7" ht="15" x14ac:dyDescent="0.3">
      <c r="A12897">
        <v>42.822775595264297</v>
      </c>
      <c r="B12897">
        <v>-74.475350031150896</v>
      </c>
      <c r="C12897" t="s">
        <v>41</v>
      </c>
      <c r="D12897" t="s">
        <v>3136</v>
      </c>
      <c r="F12897" s="21"/>
      <c r="G12897" s="16" t="str">
        <f>HYPERLINK("http://maps.google.com/maps?f=q&amp;hl=en&amp;geocode=&amp;q=42.8227755952643,-74.4753500311509")</f>
        <v>http://maps.google.com/maps?f=q&amp;hl=en&amp;geocode=&amp;q=42.8227755952643,-74.4753500311509</v>
      </c>
    </row>
    <row r="12898" spans="1:7" ht="15" x14ac:dyDescent="0.3">
      <c r="A12898">
        <v>34.792064433014502</v>
      </c>
      <c r="B12898">
        <v>-81.143509553345993</v>
      </c>
      <c r="C12898" t="s">
        <v>41</v>
      </c>
      <c r="D12898" t="s">
        <v>7130</v>
      </c>
      <c r="F12898" s="21"/>
      <c r="G12898" s="16" t="str">
        <f>HYPERLINK("http://maps.google.com/maps?f=q&amp;hl=en&amp;geocode=&amp;q=34.7920644330145,-81.143509553346")</f>
        <v>http://maps.google.com/maps?f=q&amp;hl=en&amp;geocode=&amp;q=34.7920644330145,-81.143509553346</v>
      </c>
    </row>
    <row r="12899" spans="1:7" ht="15" x14ac:dyDescent="0.3">
      <c r="A12899">
        <v>40.147033839051801</v>
      </c>
      <c r="B12899">
        <v>-111.635692621369</v>
      </c>
      <c r="C12899" t="s">
        <v>42</v>
      </c>
      <c r="D12899" t="s">
        <v>7131</v>
      </c>
      <c r="F12899" s="21"/>
      <c r="G12899" s="16" t="str">
        <f>HYPERLINK("http://maps.google.com/maps?f=q&amp;hl=en&amp;geocode=&amp;q=40.1470338390518,-111.635692621369")</f>
        <v>http://maps.google.com/maps?f=q&amp;hl=en&amp;geocode=&amp;q=40.1470338390518,-111.635692621369</v>
      </c>
    </row>
    <row r="12900" spans="1:7" ht="15" x14ac:dyDescent="0.3">
      <c r="A12900">
        <v>43.047843933105497</v>
      </c>
      <c r="B12900">
        <v>23.0120334625244</v>
      </c>
      <c r="C12900" t="s">
        <v>41</v>
      </c>
      <c r="D12900" t="s">
        <v>7132</v>
      </c>
      <c r="F12900" s="21"/>
      <c r="G12900" s="16" t="str">
        <f>HYPERLINK("http://maps.google.com/maps?f=q&amp;hl=en&amp;geocode=&amp;q=43.0478439331055,23.0120334625244")</f>
        <v>http://maps.google.com/maps?f=q&amp;hl=en&amp;geocode=&amp;q=43.0478439331055,23.0120334625244</v>
      </c>
    </row>
    <row r="12901" spans="1:7" ht="15" x14ac:dyDescent="0.3">
      <c r="A12901">
        <v>49.595924377441399</v>
      </c>
      <c r="B12901">
        <v>6.1450119018554696</v>
      </c>
      <c r="C12901" t="s">
        <v>41</v>
      </c>
      <c r="D12901" t="s">
        <v>7133</v>
      </c>
      <c r="F12901" s="21"/>
      <c r="G12901" s="16" t="str">
        <f>HYPERLINK("http://maps.google.com/maps?f=q&amp;hl=en&amp;geocode=&amp;q=49.5959243774414,6.14501190185547")</f>
        <v>http://maps.google.com/maps?f=q&amp;hl=en&amp;geocode=&amp;q=49.5959243774414,6.14501190185547</v>
      </c>
    </row>
    <row r="12902" spans="1:7" ht="15" x14ac:dyDescent="0.3">
      <c r="A12902">
        <v>29.7082328796387</v>
      </c>
      <c r="B12902">
        <v>-90.006401062011705</v>
      </c>
      <c r="C12902" t="s">
        <v>43</v>
      </c>
      <c r="D12902" t="s">
        <v>7134</v>
      </c>
      <c r="F12902" s="21"/>
      <c r="G12902" s="16" t="str">
        <f>HYPERLINK("http://maps.google.com/maps?f=q&amp;hl=en&amp;geocode=&amp;q=29.7082328796387,-90.0064010620117")</f>
        <v>http://maps.google.com/maps?f=q&amp;hl=en&amp;geocode=&amp;q=29.7082328796387,-90.0064010620117</v>
      </c>
    </row>
    <row r="12903" spans="1:7" ht="15" x14ac:dyDescent="0.3">
      <c r="A12903">
        <v>31.008949999999999</v>
      </c>
      <c r="B12903">
        <v>-86.337400000000002</v>
      </c>
      <c r="C12903" t="s">
        <v>42</v>
      </c>
      <c r="D12903" t="s">
        <v>6521</v>
      </c>
      <c r="F12903" s="21"/>
      <c r="G12903" s="16" t="str">
        <f>HYPERLINK("http://maps.google.com/maps?f=q&amp;hl=en&amp;geocode=&amp;q=31.00895,-86.3374")</f>
        <v>http://maps.google.com/maps?f=q&amp;hl=en&amp;geocode=&amp;q=31.00895,-86.3374</v>
      </c>
    </row>
    <row r="12904" spans="1:7" ht="15" x14ac:dyDescent="0.3">
      <c r="A12904">
        <v>-37.74953</v>
      </c>
      <c r="B12904">
        <v>144.96537000000001</v>
      </c>
      <c r="C12904" t="s">
        <v>41</v>
      </c>
      <c r="D12904" t="s">
        <v>7050</v>
      </c>
      <c r="F12904" s="21"/>
      <c r="G12904" s="16" t="str">
        <f>HYPERLINK("http://maps.google.com/maps?f=q&amp;hl=en&amp;geocode=&amp;q=-37.74953,144.96537")</f>
        <v>http://maps.google.com/maps?f=q&amp;hl=en&amp;geocode=&amp;q=-37.74953,144.96537</v>
      </c>
    </row>
    <row r="12905" spans="1:7" ht="15" x14ac:dyDescent="0.3">
      <c r="A12905">
        <v>54.562068939208999</v>
      </c>
      <c r="B12905">
        <v>-125.10440063476599</v>
      </c>
      <c r="C12905" t="s">
        <v>41</v>
      </c>
      <c r="D12905" t="s">
        <v>7135</v>
      </c>
      <c r="F12905" s="21"/>
      <c r="G12905" s="16" t="str">
        <f>HYPERLINK("http://maps.google.com/maps?f=q&amp;hl=en&amp;geocode=&amp;q=54.562068939209,-125.104400634766")</f>
        <v>http://maps.google.com/maps?f=q&amp;hl=en&amp;geocode=&amp;q=54.562068939209,-125.104400634766</v>
      </c>
    </row>
    <row r="12906" spans="1:7" ht="15" x14ac:dyDescent="0.3">
      <c r="A12906">
        <v>54.562068939208999</v>
      </c>
      <c r="B12906">
        <v>-125.10440063476599</v>
      </c>
      <c r="C12906" t="s">
        <v>41</v>
      </c>
      <c r="D12906" t="s">
        <v>7135</v>
      </c>
      <c r="F12906" s="21"/>
      <c r="G12906" s="16" t="str">
        <f>HYPERLINK("http://maps.google.com/maps?f=q&amp;hl=en&amp;geocode=&amp;q=54.562068939209,-125.104400634766")</f>
        <v>http://maps.google.com/maps?f=q&amp;hl=en&amp;geocode=&amp;q=54.562068939209,-125.104400634766</v>
      </c>
    </row>
    <row r="12907" spans="1:7" ht="15" x14ac:dyDescent="0.3">
      <c r="A12907">
        <v>39.974420000000002</v>
      </c>
      <c r="B12907">
        <v>-75.18374</v>
      </c>
      <c r="C12907" t="s">
        <v>41</v>
      </c>
      <c r="D12907" t="s">
        <v>5458</v>
      </c>
      <c r="F12907" s="21"/>
      <c r="G12907" s="16" t="str">
        <f>HYPERLINK("http://maps.google.com/maps?f=q&amp;hl=en&amp;geocode=&amp;q=39.97442,-75.18374")</f>
        <v>http://maps.google.com/maps?f=q&amp;hl=en&amp;geocode=&amp;q=39.97442,-75.18374</v>
      </c>
    </row>
    <row r="12908" spans="1:7" ht="15" x14ac:dyDescent="0.3">
      <c r="A12908">
        <v>39.974256793389301</v>
      </c>
      <c r="B12908">
        <v>-75.185375887656804</v>
      </c>
      <c r="C12908" t="s">
        <v>41</v>
      </c>
      <c r="D12908" t="s">
        <v>4582</v>
      </c>
      <c r="F12908" s="21"/>
      <c r="G12908" s="16" t="str">
        <f>HYPERLINK("http://maps.google.com/maps?f=q&amp;hl=en&amp;geocode=&amp;q=39.9742567933893,-75.1853758876568")</f>
        <v>http://maps.google.com/maps?f=q&amp;hl=en&amp;geocode=&amp;q=39.9742567933893,-75.1853758876568</v>
      </c>
    </row>
    <row r="12909" spans="1:7" ht="15" x14ac:dyDescent="0.3">
      <c r="A12909">
        <v>-37.815635681152301</v>
      </c>
      <c r="B12909">
        <v>144.96734619140599</v>
      </c>
      <c r="C12909" t="s">
        <v>43</v>
      </c>
      <c r="D12909" t="s">
        <v>4845</v>
      </c>
      <c r="F12909" s="21"/>
      <c r="G12909" s="16" t="str">
        <f>HYPERLINK("http://maps.google.com/maps?f=q&amp;hl=en&amp;geocode=&amp;q=-37.8156356811523,144.967346191406")</f>
        <v>http://maps.google.com/maps?f=q&amp;hl=en&amp;geocode=&amp;q=-37.8156356811523,144.967346191406</v>
      </c>
    </row>
    <row r="12910" spans="1:7" ht="15" x14ac:dyDescent="0.3">
      <c r="A12910">
        <v>27.63916</v>
      </c>
      <c r="B12910">
        <v>-80.463229999999996</v>
      </c>
      <c r="C12910" t="s">
        <v>43</v>
      </c>
      <c r="D12910" t="s">
        <v>7136</v>
      </c>
      <c r="F12910" s="21"/>
      <c r="G12910" s="16" t="str">
        <f>HYPERLINK("http://maps.google.com/maps?f=q&amp;hl=en&amp;geocode=&amp;q=27.63916,-80.46323")</f>
        <v>http://maps.google.com/maps?f=q&amp;hl=en&amp;geocode=&amp;q=27.63916,-80.46323</v>
      </c>
    </row>
    <row r="12911" spans="1:7" ht="15" x14ac:dyDescent="0.3">
      <c r="A12911">
        <v>59.922351837158203</v>
      </c>
      <c r="B12911">
        <v>11.178321838378899</v>
      </c>
      <c r="C12911" t="s">
        <v>43</v>
      </c>
      <c r="D12911" t="s">
        <v>7115</v>
      </c>
      <c r="F12911" s="21"/>
      <c r="G12911" s="16" t="str">
        <f>HYPERLINK("http://maps.google.com/maps?f=q&amp;hl=en&amp;geocode=&amp;q=59.9223518371582,11.1783218383789")</f>
        <v>http://maps.google.com/maps?f=q&amp;hl=en&amp;geocode=&amp;q=59.9223518371582,11.1783218383789</v>
      </c>
    </row>
    <row r="12912" spans="1:7" ht="15" x14ac:dyDescent="0.3">
      <c r="A12912">
        <v>39.294969999999999</v>
      </c>
      <c r="B12912">
        <v>-76.699950000000001</v>
      </c>
      <c r="C12912" t="s">
        <v>41</v>
      </c>
      <c r="D12912" t="s">
        <v>4273</v>
      </c>
      <c r="F12912" s="21"/>
      <c r="G12912" s="16" t="str">
        <f>HYPERLINK("http://maps.google.com/maps?f=q&amp;hl=en&amp;geocode=&amp;q=39.29497,-76.69995")</f>
        <v>http://maps.google.com/maps?f=q&amp;hl=en&amp;geocode=&amp;q=39.29497,-76.69995</v>
      </c>
    </row>
    <row r="12913" spans="1:7" ht="15" x14ac:dyDescent="0.3">
      <c r="A12913" t="s">
        <v>44</v>
      </c>
      <c r="B12913" t="s">
        <v>44</v>
      </c>
      <c r="C12913" t="s">
        <v>44</v>
      </c>
      <c r="D12913" t="s">
        <v>7051</v>
      </c>
      <c r="F12913" s="21"/>
      <c r="G12913" s="16"/>
    </row>
    <row r="12914" spans="1:7" ht="15" x14ac:dyDescent="0.3">
      <c r="A12914" t="s">
        <v>44</v>
      </c>
      <c r="B12914" t="s">
        <v>44</v>
      </c>
      <c r="C12914" t="s">
        <v>44</v>
      </c>
      <c r="D12914" t="s">
        <v>7137</v>
      </c>
      <c r="F12914" s="21"/>
      <c r="G12914" s="16"/>
    </row>
    <row r="12915" spans="1:7" ht="15" x14ac:dyDescent="0.3">
      <c r="A12915">
        <v>-37.74953</v>
      </c>
      <c r="B12915">
        <v>144.96537000000001</v>
      </c>
      <c r="C12915" t="s">
        <v>41</v>
      </c>
      <c r="D12915" t="s">
        <v>7050</v>
      </c>
      <c r="F12915" s="21"/>
      <c r="G12915" s="16" t="str">
        <f>HYPERLINK("http://maps.google.com/maps?f=q&amp;hl=en&amp;geocode=&amp;q=-37.74953,144.96537")</f>
        <v>http://maps.google.com/maps?f=q&amp;hl=en&amp;geocode=&amp;q=-37.74953,144.96537</v>
      </c>
    </row>
    <row r="12916" spans="1:7" ht="15" x14ac:dyDescent="0.3">
      <c r="A12916">
        <v>37.859785696689499</v>
      </c>
      <c r="B12916">
        <v>-82.805018451891399</v>
      </c>
      <c r="C12916" t="s">
        <v>41</v>
      </c>
      <c r="D12916" t="s">
        <v>6806</v>
      </c>
      <c r="F12916" s="21"/>
      <c r="G12916" s="16" t="str">
        <f>HYPERLINK("http://maps.google.com/maps?f=q&amp;hl=en&amp;geocode=&amp;q=37.8597856966895,-82.8050184518914")</f>
        <v>http://maps.google.com/maps?f=q&amp;hl=en&amp;geocode=&amp;q=37.8597856966895,-82.8050184518914</v>
      </c>
    </row>
    <row r="12917" spans="1:7" ht="15" x14ac:dyDescent="0.3">
      <c r="A12917">
        <v>-37.74953</v>
      </c>
      <c r="B12917">
        <v>144.96537000000001</v>
      </c>
      <c r="C12917" t="s">
        <v>41</v>
      </c>
      <c r="D12917" t="s">
        <v>7050</v>
      </c>
      <c r="F12917" s="21"/>
      <c r="G12917" s="16" t="str">
        <f>HYPERLINK("http://maps.google.com/maps?f=q&amp;hl=en&amp;geocode=&amp;q=-37.74953,144.96537")</f>
        <v>http://maps.google.com/maps?f=q&amp;hl=en&amp;geocode=&amp;q=-37.74953,144.96537</v>
      </c>
    </row>
    <row r="12918" spans="1:7" ht="15" x14ac:dyDescent="0.3">
      <c r="A12918">
        <v>37.023646268662802</v>
      </c>
      <c r="B12918">
        <v>-95.936023678908896</v>
      </c>
      <c r="C12918" t="s">
        <v>41</v>
      </c>
      <c r="D12918" t="s">
        <v>6402</v>
      </c>
      <c r="F12918" s="21"/>
      <c r="G12918" s="16" t="str">
        <f>HYPERLINK("http://maps.google.com/maps?f=q&amp;hl=en&amp;geocode=&amp;q=37.0236462686628,-95.9360236789089")</f>
        <v>http://maps.google.com/maps?f=q&amp;hl=en&amp;geocode=&amp;q=37.0236462686628,-95.9360236789089</v>
      </c>
    </row>
    <row r="12919" spans="1:7" ht="15" x14ac:dyDescent="0.3">
      <c r="A12919">
        <v>31.010861794446299</v>
      </c>
      <c r="B12919">
        <v>-86.338552900126203</v>
      </c>
      <c r="C12919" t="s">
        <v>41</v>
      </c>
      <c r="D12919" t="s">
        <v>5601</v>
      </c>
      <c r="F12919" s="21"/>
      <c r="G12919" s="16" t="str">
        <f>HYPERLINK("http://maps.google.com/maps?f=q&amp;hl=en&amp;geocode=&amp;q=31.0108617944463,-86.3385529001262")</f>
        <v>http://maps.google.com/maps?f=q&amp;hl=en&amp;geocode=&amp;q=31.0108617944463,-86.3385529001262</v>
      </c>
    </row>
    <row r="12920" spans="1:7" ht="15" x14ac:dyDescent="0.3">
      <c r="A12920">
        <v>41.853920000000002</v>
      </c>
      <c r="B12920">
        <v>-87.77834</v>
      </c>
      <c r="C12920" t="s">
        <v>41</v>
      </c>
      <c r="D12920" t="s">
        <v>7138</v>
      </c>
      <c r="F12920" s="21"/>
      <c r="G12920" s="16" t="str">
        <f>HYPERLINK("http://maps.google.com/maps?f=q&amp;hl=en&amp;geocode=&amp;q=41.85392,-87.77834")</f>
        <v>http://maps.google.com/maps?f=q&amp;hl=en&amp;geocode=&amp;q=41.85392,-87.77834</v>
      </c>
    </row>
    <row r="12921" spans="1:7" ht="15" x14ac:dyDescent="0.3">
      <c r="A12921">
        <v>-37.74953</v>
      </c>
      <c r="B12921">
        <v>144.96537000000001</v>
      </c>
      <c r="C12921" t="s">
        <v>41</v>
      </c>
      <c r="D12921" t="s">
        <v>7050</v>
      </c>
      <c r="F12921" s="21"/>
      <c r="G12921" s="16" t="str">
        <f>HYPERLINK("http://maps.google.com/maps?f=q&amp;hl=en&amp;geocode=&amp;q=-37.74953,144.96537")</f>
        <v>http://maps.google.com/maps?f=q&amp;hl=en&amp;geocode=&amp;q=-37.74953,144.96537</v>
      </c>
    </row>
    <row r="12922" spans="1:7" ht="15" x14ac:dyDescent="0.3">
      <c r="A12922">
        <v>39.7550641363067</v>
      </c>
      <c r="B12922">
        <v>-105.00192509095901</v>
      </c>
      <c r="C12922" t="s">
        <v>41</v>
      </c>
      <c r="D12922" t="s">
        <v>7090</v>
      </c>
      <c r="F12922" s="21"/>
      <c r="G12922" s="16" t="str">
        <f>HYPERLINK("http://maps.google.com/maps?f=q&amp;hl=en&amp;geocode=&amp;q=39.7550641363067,-105.001925090959")</f>
        <v>http://maps.google.com/maps?f=q&amp;hl=en&amp;geocode=&amp;q=39.7550641363067,-105.001925090959</v>
      </c>
    </row>
    <row r="12923" spans="1:7" ht="15" x14ac:dyDescent="0.3">
      <c r="A12923">
        <v>49.647453308105497</v>
      </c>
      <c r="B12923">
        <v>6.1309771537780797</v>
      </c>
      <c r="C12923" t="s">
        <v>41</v>
      </c>
      <c r="D12923" t="s">
        <v>7028</v>
      </c>
      <c r="F12923" s="21"/>
      <c r="G12923" s="16" t="str">
        <f>HYPERLINK("http://maps.google.com/maps?f=q&amp;hl=en&amp;geocode=&amp;q=49.6474533081055,6.13097715377808")</f>
        <v>http://maps.google.com/maps?f=q&amp;hl=en&amp;geocode=&amp;q=49.6474533081055,6.13097715377808</v>
      </c>
    </row>
    <row r="12924" spans="1:7" ht="15" x14ac:dyDescent="0.3">
      <c r="A12924">
        <v>49.647453308105497</v>
      </c>
      <c r="B12924">
        <v>6.1309771537780797</v>
      </c>
      <c r="C12924" t="s">
        <v>41</v>
      </c>
      <c r="D12924" t="s">
        <v>7028</v>
      </c>
      <c r="F12924" s="21"/>
      <c r="G12924" s="16" t="str">
        <f>HYPERLINK("http://maps.google.com/maps?f=q&amp;hl=en&amp;geocode=&amp;q=49.6474533081055,6.13097715377808")</f>
        <v>http://maps.google.com/maps?f=q&amp;hl=en&amp;geocode=&amp;q=49.6474533081055,6.13097715377808</v>
      </c>
    </row>
    <row r="12925" spans="1:7" ht="15" x14ac:dyDescent="0.3">
      <c r="A12925">
        <v>31.915266999228301</v>
      </c>
      <c r="B12925">
        <v>-96.897846030519801</v>
      </c>
      <c r="C12925" t="s">
        <v>41</v>
      </c>
      <c r="D12925" t="s">
        <v>7139</v>
      </c>
      <c r="F12925" s="21"/>
      <c r="G12925" s="16" t="str">
        <f>HYPERLINK("http://maps.google.com/maps?f=q&amp;hl=en&amp;geocode=&amp;q=31.9152669992283,-96.8978460305198")</f>
        <v>http://maps.google.com/maps?f=q&amp;hl=en&amp;geocode=&amp;q=31.9152669992283,-96.8978460305198</v>
      </c>
    </row>
    <row r="12926" spans="1:7" ht="15" x14ac:dyDescent="0.3">
      <c r="A12926" t="s">
        <v>44</v>
      </c>
      <c r="B12926" t="s">
        <v>44</v>
      </c>
      <c r="C12926" t="s">
        <v>44</v>
      </c>
      <c r="D12926" t="s">
        <v>7140</v>
      </c>
      <c r="F12926" s="21"/>
      <c r="G12926" s="16"/>
    </row>
    <row r="12927" spans="1:7" ht="15" x14ac:dyDescent="0.3">
      <c r="A12927">
        <v>36.093150000000001</v>
      </c>
      <c r="B12927">
        <v>-78.968919999999997</v>
      </c>
      <c r="C12927" t="s">
        <v>42</v>
      </c>
      <c r="D12927" t="s">
        <v>7141</v>
      </c>
      <c r="F12927" s="21"/>
      <c r="G12927" s="16" t="str">
        <f>HYPERLINK("http://maps.google.com/maps?f=q&amp;hl=en&amp;geocode=&amp;q=36.09315,-78.96892")</f>
        <v>http://maps.google.com/maps?f=q&amp;hl=en&amp;geocode=&amp;q=36.09315,-78.96892</v>
      </c>
    </row>
    <row r="12928" spans="1:7" ht="15" x14ac:dyDescent="0.3">
      <c r="A12928">
        <v>37.771868158036398</v>
      </c>
      <c r="B12928">
        <v>-122.2503561387</v>
      </c>
      <c r="C12928" t="s">
        <v>41</v>
      </c>
      <c r="D12928" t="s">
        <v>7142</v>
      </c>
      <c r="F12928" s="21"/>
      <c r="G12928" s="16" t="str">
        <f>HYPERLINK("http://maps.google.com/maps?f=q&amp;hl=en&amp;geocode=&amp;q=37.7718681580364,-122.2503561387")</f>
        <v>http://maps.google.com/maps?f=q&amp;hl=en&amp;geocode=&amp;q=37.7718681580364,-122.2503561387</v>
      </c>
    </row>
    <row r="12929" spans="1:7" ht="15" x14ac:dyDescent="0.3">
      <c r="A12929">
        <v>-37.74953</v>
      </c>
      <c r="B12929">
        <v>144.96537000000001</v>
      </c>
      <c r="C12929" t="s">
        <v>41</v>
      </c>
      <c r="D12929" t="s">
        <v>7050</v>
      </c>
      <c r="F12929" s="21"/>
      <c r="G12929" s="16" t="str">
        <f>HYPERLINK("http://maps.google.com/maps?f=q&amp;hl=en&amp;geocode=&amp;q=-37.74953,144.96537")</f>
        <v>http://maps.google.com/maps?f=q&amp;hl=en&amp;geocode=&amp;q=-37.74953,144.96537</v>
      </c>
    </row>
    <row r="12930" spans="1:7" ht="15" x14ac:dyDescent="0.3">
      <c r="A12930">
        <v>37.860477293610998</v>
      </c>
      <c r="B12930">
        <v>-82.804754194483493</v>
      </c>
      <c r="C12930" t="s">
        <v>41</v>
      </c>
      <c r="D12930" t="s">
        <v>6849</v>
      </c>
      <c r="F12930" s="21"/>
      <c r="G12930" s="16" t="str">
        <f>HYPERLINK("http://maps.google.com/maps?f=q&amp;hl=en&amp;geocode=&amp;q=37.860477293611,-82.8047541944835")</f>
        <v>http://maps.google.com/maps?f=q&amp;hl=en&amp;geocode=&amp;q=37.860477293611,-82.8047541944835</v>
      </c>
    </row>
    <row r="12931" spans="1:7" ht="15" x14ac:dyDescent="0.3">
      <c r="A12931" t="s">
        <v>44</v>
      </c>
      <c r="B12931" t="s">
        <v>44</v>
      </c>
      <c r="C12931" t="s">
        <v>44</v>
      </c>
      <c r="D12931" t="s">
        <v>7143</v>
      </c>
      <c r="F12931" s="21"/>
      <c r="G12931" s="16"/>
    </row>
    <row r="12932" spans="1:7" ht="15" x14ac:dyDescent="0.3">
      <c r="A12932">
        <v>49.647453308105497</v>
      </c>
      <c r="B12932">
        <v>6.1309771537780797</v>
      </c>
      <c r="C12932" t="s">
        <v>41</v>
      </c>
      <c r="D12932" t="s">
        <v>7028</v>
      </c>
      <c r="F12932" s="21"/>
      <c r="G12932" s="16" t="str">
        <f>HYPERLINK("http://maps.google.com/maps?f=q&amp;hl=en&amp;geocode=&amp;q=49.6474533081055,6.13097715377808")</f>
        <v>http://maps.google.com/maps?f=q&amp;hl=en&amp;geocode=&amp;q=49.6474533081055,6.13097715377808</v>
      </c>
    </row>
    <row r="12933" spans="1:7" ht="15" x14ac:dyDescent="0.3">
      <c r="A12933">
        <v>49.647453308105497</v>
      </c>
      <c r="B12933">
        <v>6.1309771537780797</v>
      </c>
      <c r="C12933" t="s">
        <v>41</v>
      </c>
      <c r="D12933" t="s">
        <v>7028</v>
      </c>
      <c r="F12933" s="21"/>
      <c r="G12933" s="16" t="str">
        <f>HYPERLINK("http://maps.google.com/maps?f=q&amp;hl=en&amp;geocode=&amp;q=49.6474533081055,6.13097715377808")</f>
        <v>http://maps.google.com/maps?f=q&amp;hl=en&amp;geocode=&amp;q=49.6474533081055,6.13097715377808</v>
      </c>
    </row>
    <row r="12934" spans="1:7" ht="15" x14ac:dyDescent="0.3">
      <c r="A12934">
        <v>49.647453308105497</v>
      </c>
      <c r="B12934">
        <v>6.1309771537780797</v>
      </c>
      <c r="C12934" t="s">
        <v>41</v>
      </c>
      <c r="D12934" t="s">
        <v>7028</v>
      </c>
      <c r="F12934" s="21"/>
      <c r="G12934" s="16" t="str">
        <f>HYPERLINK("http://maps.google.com/maps?f=q&amp;hl=en&amp;geocode=&amp;q=49.6474533081055,6.13097715377808")</f>
        <v>http://maps.google.com/maps?f=q&amp;hl=en&amp;geocode=&amp;q=49.6474533081055,6.13097715377808</v>
      </c>
    </row>
    <row r="12935" spans="1:7" ht="15" x14ac:dyDescent="0.3">
      <c r="A12935">
        <v>39.150199999999998</v>
      </c>
      <c r="B12935">
        <v>-76.725449999999995</v>
      </c>
      <c r="C12935" t="s">
        <v>41</v>
      </c>
      <c r="D12935" t="s">
        <v>6934</v>
      </c>
      <c r="F12935" s="21"/>
      <c r="G12935" s="16" t="str">
        <f>HYPERLINK("http://maps.google.com/maps?f=q&amp;hl=en&amp;geocode=&amp;q=39.1502,-76.72545")</f>
        <v>http://maps.google.com/maps?f=q&amp;hl=en&amp;geocode=&amp;q=39.1502,-76.72545</v>
      </c>
    </row>
    <row r="12936" spans="1:7" ht="15" x14ac:dyDescent="0.3">
      <c r="A12936" t="s">
        <v>44</v>
      </c>
      <c r="B12936" t="s">
        <v>44</v>
      </c>
      <c r="C12936" t="s">
        <v>44</v>
      </c>
      <c r="D12936" t="s">
        <v>5657</v>
      </c>
      <c r="F12936" s="21"/>
      <c r="G12936" s="16"/>
    </row>
    <row r="12937" spans="1:7" ht="15" x14ac:dyDescent="0.3">
      <c r="F12937" s="21"/>
      <c r="G12937" s="16"/>
    </row>
    <row r="12938" spans="1:7" ht="15" x14ac:dyDescent="0.3">
      <c r="A12938">
        <v>42.156529999999997</v>
      </c>
      <c r="B12938">
        <v>-79.949969999999993</v>
      </c>
      <c r="C12938" t="s">
        <v>41</v>
      </c>
      <c r="D12938" t="s">
        <v>7144</v>
      </c>
      <c r="F12938" s="21"/>
      <c r="G12938" s="16" t="str">
        <f>HYPERLINK("http://maps.google.com/maps?f=q&amp;hl=en&amp;geocode=&amp;q=42.15653,-79.94997")</f>
        <v>http://maps.google.com/maps?f=q&amp;hl=en&amp;geocode=&amp;q=42.15653,-79.94997</v>
      </c>
    </row>
    <row r="12939" spans="1:7" ht="15" x14ac:dyDescent="0.3">
      <c r="A12939">
        <v>40.029029999999999</v>
      </c>
      <c r="B12939">
        <v>-75.134140000000002</v>
      </c>
      <c r="C12939" t="s">
        <v>42</v>
      </c>
      <c r="D12939" t="s">
        <v>7145</v>
      </c>
      <c r="F12939" s="21"/>
      <c r="G12939" s="16" t="str">
        <f>HYPERLINK("http://maps.google.com/maps?f=q&amp;hl=en&amp;geocode=&amp;q=40.02903,-75.13414")</f>
        <v>http://maps.google.com/maps?f=q&amp;hl=en&amp;geocode=&amp;q=40.02903,-75.13414</v>
      </c>
    </row>
    <row r="12940" spans="1:7" ht="15" x14ac:dyDescent="0.3">
      <c r="A12940">
        <v>31.846613616730799</v>
      </c>
      <c r="B12940">
        <v>-84.754748946477704</v>
      </c>
      <c r="C12940" t="s">
        <v>41</v>
      </c>
      <c r="D12940" t="s">
        <v>6999</v>
      </c>
      <c r="F12940" s="21"/>
      <c r="G12940" s="16" t="str">
        <f>HYPERLINK("http://maps.google.com/maps?f=q&amp;hl=en&amp;geocode=&amp;q=31.8466136167308,-84.7547489464777")</f>
        <v>http://maps.google.com/maps?f=q&amp;hl=en&amp;geocode=&amp;q=31.8466136167308,-84.7547489464777</v>
      </c>
    </row>
    <row r="12941" spans="1:7" ht="15" x14ac:dyDescent="0.3">
      <c r="A12941">
        <v>39.130065035210201</v>
      </c>
      <c r="B12941">
        <v>-89.794903199524697</v>
      </c>
      <c r="C12941" t="s">
        <v>41</v>
      </c>
      <c r="D12941" t="s">
        <v>7146</v>
      </c>
      <c r="F12941" s="21"/>
      <c r="G12941" s="16" t="str">
        <f>HYPERLINK("http://maps.google.com/maps?f=q&amp;hl=en&amp;geocode=&amp;q=39.1300650352102,-89.7949031995247")</f>
        <v>http://maps.google.com/maps?f=q&amp;hl=en&amp;geocode=&amp;q=39.1300650352102,-89.7949031995247</v>
      </c>
    </row>
    <row r="12942" spans="1:7" ht="15" x14ac:dyDescent="0.3">
      <c r="A12942">
        <v>38.802243497607201</v>
      </c>
      <c r="B12942">
        <v>-75.817472982222299</v>
      </c>
      <c r="C12942" t="s">
        <v>41</v>
      </c>
      <c r="D12942" t="s">
        <v>7147</v>
      </c>
      <c r="F12942" s="21"/>
      <c r="G12942" s="16" t="str">
        <f>HYPERLINK("http://maps.google.com/maps?f=q&amp;hl=en&amp;geocode=&amp;q=38.8022434976072,-75.8174729822223")</f>
        <v>http://maps.google.com/maps?f=q&amp;hl=en&amp;geocode=&amp;q=38.8022434976072,-75.8174729822223</v>
      </c>
    </row>
    <row r="12943" spans="1:7" ht="15" x14ac:dyDescent="0.3">
      <c r="A12943">
        <v>32.642203514985603</v>
      </c>
      <c r="B12943">
        <v>-97.030505738964806</v>
      </c>
      <c r="C12943" t="s">
        <v>41</v>
      </c>
      <c r="D12943" t="s">
        <v>6040</v>
      </c>
      <c r="F12943" s="21"/>
      <c r="G12943" s="16" t="str">
        <f>HYPERLINK("http://maps.google.com/maps?f=q&amp;hl=en&amp;geocode=&amp;q=32.6422035149856,-97.0305057389648")</f>
        <v>http://maps.google.com/maps?f=q&amp;hl=en&amp;geocode=&amp;q=32.6422035149856,-97.0305057389648</v>
      </c>
    </row>
    <row r="12944" spans="1:7" ht="15" x14ac:dyDescent="0.3">
      <c r="A12944">
        <v>39.657284238564102</v>
      </c>
      <c r="B12944">
        <v>-105.036774899233</v>
      </c>
      <c r="C12944" t="s">
        <v>41</v>
      </c>
      <c r="D12944" t="s">
        <v>7148</v>
      </c>
      <c r="F12944" s="21"/>
      <c r="G12944" s="16" t="str">
        <f>HYPERLINK("http://maps.google.com/maps?f=q&amp;hl=en&amp;geocode=&amp;q=39.6572842385641,-105.036774899233")</f>
        <v>http://maps.google.com/maps?f=q&amp;hl=en&amp;geocode=&amp;q=39.6572842385641,-105.036774899233</v>
      </c>
    </row>
    <row r="12945" spans="1:7" ht="15" x14ac:dyDescent="0.3">
      <c r="A12945">
        <v>39.970078479663201</v>
      </c>
      <c r="B12945">
        <v>-75.219388248918804</v>
      </c>
      <c r="C12945" t="s">
        <v>41</v>
      </c>
      <c r="D12945" t="s">
        <v>7149</v>
      </c>
      <c r="F12945" s="21"/>
      <c r="G12945" s="16" t="str">
        <f>HYPERLINK("http://maps.google.com/maps?f=q&amp;hl=en&amp;geocode=&amp;q=39.9700784796632,-75.2193882489188")</f>
        <v>http://maps.google.com/maps?f=q&amp;hl=en&amp;geocode=&amp;q=39.9700784796632,-75.2193882489188</v>
      </c>
    </row>
    <row r="12946" spans="1:7" ht="15" x14ac:dyDescent="0.3">
      <c r="A12946">
        <v>37.666609999999999</v>
      </c>
      <c r="B12946">
        <v>-121.01956</v>
      </c>
      <c r="C12946" t="s">
        <v>41</v>
      </c>
      <c r="D12946" t="s">
        <v>7150</v>
      </c>
      <c r="F12946" s="21"/>
      <c r="G12946" s="16" t="str">
        <f>HYPERLINK("http://maps.google.com/maps?f=q&amp;hl=en&amp;geocode=&amp;q=37.66661,-121.01956")</f>
        <v>http://maps.google.com/maps?f=q&amp;hl=en&amp;geocode=&amp;q=37.66661,-121.01956</v>
      </c>
    </row>
    <row r="12947" spans="1:7" ht="15" x14ac:dyDescent="0.3">
      <c r="A12947">
        <v>46.237621307372997</v>
      </c>
      <c r="B12947">
        <v>10.094079017639199</v>
      </c>
      <c r="C12947" t="s">
        <v>41</v>
      </c>
      <c r="D12947" t="s">
        <v>4162</v>
      </c>
      <c r="F12947" s="21"/>
      <c r="G12947" s="16" t="str">
        <f>HYPERLINK("http://maps.google.com/maps?f=q&amp;hl=en&amp;geocode=&amp;q=46.237621307373,10.0940790176392")</f>
        <v>http://maps.google.com/maps?f=q&amp;hl=en&amp;geocode=&amp;q=46.237621307373,10.0940790176392</v>
      </c>
    </row>
    <row r="12948" spans="1:7" ht="15" x14ac:dyDescent="0.3">
      <c r="A12948">
        <v>38.965170924002301</v>
      </c>
      <c r="B12948">
        <v>-77.234698762709698</v>
      </c>
      <c r="C12948" t="s">
        <v>42</v>
      </c>
      <c r="D12948" t="s">
        <v>7151</v>
      </c>
      <c r="F12948" s="21"/>
      <c r="G12948" s="16" t="str">
        <f>HYPERLINK("http://maps.google.com/maps?f=q&amp;hl=en&amp;geocode=&amp;q=38.9651709240023,-77.2346987627097")</f>
        <v>http://maps.google.com/maps?f=q&amp;hl=en&amp;geocode=&amp;q=38.9651709240023,-77.2346987627097</v>
      </c>
    </row>
    <row r="12949" spans="1:7" ht="15" x14ac:dyDescent="0.3">
      <c r="A12949">
        <v>38.965170924002301</v>
      </c>
      <c r="B12949">
        <v>-77.234698762709698</v>
      </c>
      <c r="C12949" t="s">
        <v>42</v>
      </c>
      <c r="D12949" t="s">
        <v>7151</v>
      </c>
      <c r="F12949" s="21"/>
      <c r="G12949" s="16" t="str">
        <f>HYPERLINK("http://maps.google.com/maps?f=q&amp;hl=en&amp;geocode=&amp;q=38.9651709240023,-77.2346987627097")</f>
        <v>http://maps.google.com/maps?f=q&amp;hl=en&amp;geocode=&amp;q=38.9651709240023,-77.2346987627097</v>
      </c>
    </row>
    <row r="12950" spans="1:7" ht="15" x14ac:dyDescent="0.3">
      <c r="A12950">
        <v>39.210632469260297</v>
      </c>
      <c r="B12950">
        <v>-76.203840187566996</v>
      </c>
      <c r="C12950" t="s">
        <v>42</v>
      </c>
      <c r="D12950" t="s">
        <v>7152</v>
      </c>
      <c r="F12950" s="21"/>
      <c r="G12950" s="16" t="str">
        <f>HYPERLINK("http://maps.google.com/maps?f=q&amp;hl=en&amp;geocode=&amp;q=39.2106324692603,-76.203840187567")</f>
        <v>http://maps.google.com/maps?f=q&amp;hl=en&amp;geocode=&amp;q=39.2106324692603,-76.203840187567</v>
      </c>
    </row>
    <row r="12951" spans="1:7" ht="15" x14ac:dyDescent="0.3">
      <c r="A12951">
        <v>38.965170924002301</v>
      </c>
      <c r="B12951">
        <v>-77.234698762709698</v>
      </c>
      <c r="C12951" t="s">
        <v>42</v>
      </c>
      <c r="D12951" t="s">
        <v>7151</v>
      </c>
      <c r="F12951" s="21"/>
      <c r="G12951" s="16" t="str">
        <f>HYPERLINK("http://maps.google.com/maps?f=q&amp;hl=en&amp;geocode=&amp;q=38.9651709240023,-77.2346987627097")</f>
        <v>http://maps.google.com/maps?f=q&amp;hl=en&amp;geocode=&amp;q=38.9651709240023,-77.2346987627097</v>
      </c>
    </row>
    <row r="12952" spans="1:7" ht="15" x14ac:dyDescent="0.3">
      <c r="A12952">
        <v>38.965170924002301</v>
      </c>
      <c r="B12952">
        <v>-77.234698762709698</v>
      </c>
      <c r="C12952" t="s">
        <v>42</v>
      </c>
      <c r="D12952" t="s">
        <v>7151</v>
      </c>
      <c r="F12952" s="21"/>
      <c r="G12952" s="16" t="str">
        <f>HYPERLINK("http://maps.google.com/maps?f=q&amp;hl=en&amp;geocode=&amp;q=38.9651709240023,-77.2346987627097")</f>
        <v>http://maps.google.com/maps?f=q&amp;hl=en&amp;geocode=&amp;q=38.9651709240023,-77.2346987627097</v>
      </c>
    </row>
    <row r="12953" spans="1:7" ht="15" x14ac:dyDescent="0.3">
      <c r="A12953">
        <v>48.198421489240602</v>
      </c>
      <c r="B12953">
        <v>-117.791041165786</v>
      </c>
      <c r="C12953" t="s">
        <v>41</v>
      </c>
      <c r="D12953" t="s">
        <v>1470</v>
      </c>
      <c r="F12953" s="21"/>
      <c r="G12953" s="16" t="str">
        <f>HYPERLINK("http://maps.google.com/maps?f=q&amp;hl=en&amp;geocode=&amp;q=48.1984214892406,-117.791041165786")</f>
        <v>http://maps.google.com/maps?f=q&amp;hl=en&amp;geocode=&amp;q=48.1984214892406,-117.791041165786</v>
      </c>
    </row>
    <row r="12954" spans="1:7" ht="15" x14ac:dyDescent="0.3">
      <c r="A12954">
        <v>38.965170924002301</v>
      </c>
      <c r="B12954">
        <v>-77.234698762709698</v>
      </c>
      <c r="C12954" t="s">
        <v>42</v>
      </c>
      <c r="D12954" t="s">
        <v>7151</v>
      </c>
      <c r="F12954" s="21"/>
      <c r="G12954" s="16" t="str">
        <f>HYPERLINK("http://maps.google.com/maps?f=q&amp;hl=en&amp;geocode=&amp;q=38.9651709240023,-77.2346987627097")</f>
        <v>http://maps.google.com/maps?f=q&amp;hl=en&amp;geocode=&amp;q=38.9651709240023,-77.2346987627097</v>
      </c>
    </row>
    <row r="12955" spans="1:7" ht="15" x14ac:dyDescent="0.3">
      <c r="A12955">
        <v>38.965170924002301</v>
      </c>
      <c r="B12955">
        <v>-77.234698762709698</v>
      </c>
      <c r="C12955" t="s">
        <v>42</v>
      </c>
      <c r="D12955" t="s">
        <v>7151</v>
      </c>
      <c r="F12955" s="21"/>
      <c r="G12955" s="16" t="str">
        <f>HYPERLINK("http://maps.google.com/maps?f=q&amp;hl=en&amp;geocode=&amp;q=38.9651709240023,-77.2346987627097")</f>
        <v>http://maps.google.com/maps?f=q&amp;hl=en&amp;geocode=&amp;q=38.9651709240023,-77.2346987627097</v>
      </c>
    </row>
    <row r="12956" spans="1:7" ht="15" x14ac:dyDescent="0.3">
      <c r="A12956">
        <v>38.804274607320302</v>
      </c>
      <c r="B12956">
        <v>-77.736980673479806</v>
      </c>
      <c r="C12956" t="s">
        <v>42</v>
      </c>
      <c r="D12956" t="s">
        <v>7153</v>
      </c>
      <c r="F12956" s="21"/>
      <c r="G12956" s="16" t="str">
        <f>HYPERLINK("http://maps.google.com/maps?f=q&amp;hl=en&amp;geocode=&amp;q=38.8042746073203,-77.7369806734798")</f>
        <v>http://maps.google.com/maps?f=q&amp;hl=en&amp;geocode=&amp;q=38.8042746073203,-77.7369806734798</v>
      </c>
    </row>
    <row r="12957" spans="1:7" ht="15" x14ac:dyDescent="0.3">
      <c r="A12957">
        <v>39.213698649019499</v>
      </c>
      <c r="B12957">
        <v>-76.201804525432806</v>
      </c>
      <c r="C12957" t="s">
        <v>42</v>
      </c>
      <c r="D12957" t="s">
        <v>7154</v>
      </c>
      <c r="F12957" s="21"/>
      <c r="G12957" s="16" t="str">
        <f>HYPERLINK("http://maps.google.com/maps?f=q&amp;hl=en&amp;geocode=&amp;q=39.2136986490195,-76.2018045254328")</f>
        <v>http://maps.google.com/maps?f=q&amp;hl=en&amp;geocode=&amp;q=39.2136986490195,-76.2018045254328</v>
      </c>
    </row>
    <row r="12958" spans="1:7" ht="15" x14ac:dyDescent="0.3">
      <c r="A12958">
        <v>38.967329898062701</v>
      </c>
      <c r="B12958">
        <v>-77.239337477216793</v>
      </c>
      <c r="C12958" t="s">
        <v>41</v>
      </c>
      <c r="D12958" t="s">
        <v>7155</v>
      </c>
      <c r="F12958" s="21"/>
      <c r="G12958" s="16" t="str">
        <f>HYPERLINK("http://maps.google.com/maps?f=q&amp;hl=en&amp;geocode=&amp;q=38.9673298980627,-77.2393374772168")</f>
        <v>http://maps.google.com/maps?f=q&amp;hl=en&amp;geocode=&amp;q=38.9673298980627,-77.2393374772168</v>
      </c>
    </row>
    <row r="12959" spans="1:7" ht="15" x14ac:dyDescent="0.3">
      <c r="A12959">
        <v>38.965170924002301</v>
      </c>
      <c r="B12959">
        <v>-77.234698762709698</v>
      </c>
      <c r="C12959" t="s">
        <v>41</v>
      </c>
      <c r="D12959" t="s">
        <v>7156</v>
      </c>
      <c r="F12959" s="21"/>
      <c r="G12959" s="16" t="str">
        <f>HYPERLINK("http://maps.google.com/maps?f=q&amp;hl=en&amp;geocode=&amp;q=38.9651709240023,-77.2346987627097")</f>
        <v>http://maps.google.com/maps?f=q&amp;hl=en&amp;geocode=&amp;q=38.9651709240023,-77.2346987627097</v>
      </c>
    </row>
    <row r="12960" spans="1:7" ht="15" x14ac:dyDescent="0.3">
      <c r="A12960">
        <v>38.967329898062701</v>
      </c>
      <c r="B12960">
        <v>-77.239337477216793</v>
      </c>
      <c r="C12960" t="s">
        <v>41</v>
      </c>
      <c r="D12960" t="s">
        <v>7155</v>
      </c>
      <c r="F12960" s="21"/>
      <c r="G12960" s="16" t="str">
        <f>HYPERLINK("http://maps.google.com/maps?f=q&amp;hl=en&amp;geocode=&amp;q=38.9673298980627,-77.2393374772168")</f>
        <v>http://maps.google.com/maps?f=q&amp;hl=en&amp;geocode=&amp;q=38.9673298980627,-77.2393374772168</v>
      </c>
    </row>
    <row r="12961" spans="1:7" ht="15" x14ac:dyDescent="0.3">
      <c r="A12961">
        <v>39.038815551583298</v>
      </c>
      <c r="B12961">
        <v>-82.923771127709003</v>
      </c>
      <c r="C12961" t="s">
        <v>41</v>
      </c>
      <c r="D12961" t="s">
        <v>7157</v>
      </c>
      <c r="F12961" s="21"/>
      <c r="G12961" s="16" t="str">
        <f>HYPERLINK("http://maps.google.com/maps?f=q&amp;hl=en&amp;geocode=&amp;q=39.0388155515833,-82.923771127709")</f>
        <v>http://maps.google.com/maps?f=q&amp;hl=en&amp;geocode=&amp;q=39.0388155515833,-82.923771127709</v>
      </c>
    </row>
    <row r="12962" spans="1:7" ht="15" x14ac:dyDescent="0.3">
      <c r="A12962">
        <v>38.9724831432193</v>
      </c>
      <c r="B12962">
        <v>-77.242451169600699</v>
      </c>
      <c r="C12962" t="s">
        <v>41</v>
      </c>
      <c r="D12962" t="s">
        <v>7158</v>
      </c>
      <c r="F12962" s="21"/>
      <c r="G12962" s="16" t="str">
        <f>HYPERLINK("http://maps.google.com/maps?f=q&amp;hl=en&amp;geocode=&amp;q=38.9724831432193,-77.2424511696007")</f>
        <v>http://maps.google.com/maps?f=q&amp;hl=en&amp;geocode=&amp;q=38.9724831432193,-77.2424511696007</v>
      </c>
    </row>
    <row r="12963" spans="1:7" ht="15" x14ac:dyDescent="0.3">
      <c r="A12963">
        <v>38.431440000000002</v>
      </c>
      <c r="B12963">
        <v>-84.750770000000003</v>
      </c>
      <c r="C12963" t="s">
        <v>43</v>
      </c>
      <c r="D12963" t="s">
        <v>7159</v>
      </c>
      <c r="F12963" s="21"/>
      <c r="G12963" s="16" t="str">
        <f>HYPERLINK("http://maps.google.com/maps?f=q&amp;hl=en&amp;geocode=&amp;q=38.43144,-84.75077")</f>
        <v>http://maps.google.com/maps?f=q&amp;hl=en&amp;geocode=&amp;q=38.43144,-84.75077</v>
      </c>
    </row>
    <row r="12964" spans="1:7" ht="15" x14ac:dyDescent="0.3">
      <c r="A12964">
        <v>39.901420000000002</v>
      </c>
      <c r="B12964">
        <v>-86.242890000000003</v>
      </c>
      <c r="C12964" t="s">
        <v>42</v>
      </c>
      <c r="D12964" t="s">
        <v>7160</v>
      </c>
      <c r="F12964" s="21"/>
      <c r="G12964" s="16" t="str">
        <f>HYPERLINK("http://maps.google.com/maps?f=q&amp;hl=en&amp;geocode=&amp;q=39.90142,-86.24289")</f>
        <v>http://maps.google.com/maps?f=q&amp;hl=en&amp;geocode=&amp;q=39.90142,-86.24289</v>
      </c>
    </row>
    <row r="12965" spans="1:7" ht="15" x14ac:dyDescent="0.3">
      <c r="A12965">
        <v>38.959943645289897</v>
      </c>
      <c r="B12965">
        <v>-77.217499032134697</v>
      </c>
      <c r="C12965" t="s">
        <v>42</v>
      </c>
      <c r="D12965" t="s">
        <v>7161</v>
      </c>
      <c r="F12965" s="21"/>
      <c r="G12965" s="16" t="str">
        <f>HYPERLINK("http://maps.google.com/maps?f=q&amp;hl=en&amp;geocode=&amp;q=38.9599436452899,-77.2174990321347")</f>
        <v>http://maps.google.com/maps?f=q&amp;hl=en&amp;geocode=&amp;q=38.9599436452899,-77.2174990321347</v>
      </c>
    </row>
    <row r="12966" spans="1:7" ht="15" x14ac:dyDescent="0.3">
      <c r="A12966">
        <v>38.959943645289897</v>
      </c>
      <c r="B12966">
        <v>-77.217499032134697</v>
      </c>
      <c r="C12966" t="s">
        <v>42</v>
      </c>
      <c r="D12966" t="s">
        <v>7161</v>
      </c>
      <c r="F12966" s="21"/>
      <c r="G12966" s="16" t="str">
        <f>HYPERLINK("http://maps.google.com/maps?f=q&amp;hl=en&amp;geocode=&amp;q=38.9599436452899,-77.2174990321347")</f>
        <v>http://maps.google.com/maps?f=q&amp;hl=en&amp;geocode=&amp;q=38.9599436452899,-77.2174990321347</v>
      </c>
    </row>
    <row r="12967" spans="1:7" ht="15" x14ac:dyDescent="0.3">
      <c r="A12967">
        <v>38.959943645289897</v>
      </c>
      <c r="B12967">
        <v>-77.217499032134697</v>
      </c>
      <c r="C12967" t="s">
        <v>42</v>
      </c>
      <c r="D12967" t="s">
        <v>7161</v>
      </c>
      <c r="F12967" s="21"/>
      <c r="G12967" s="16" t="str">
        <f>HYPERLINK("http://maps.google.com/maps?f=q&amp;hl=en&amp;geocode=&amp;q=38.9599436452899,-77.2174990321347")</f>
        <v>http://maps.google.com/maps?f=q&amp;hl=en&amp;geocode=&amp;q=38.9599436452899,-77.2174990321347</v>
      </c>
    </row>
    <row r="12968" spans="1:7" ht="15" x14ac:dyDescent="0.3">
      <c r="A12968">
        <v>38.959943645289897</v>
      </c>
      <c r="B12968">
        <v>-77.217499032134697</v>
      </c>
      <c r="C12968" t="s">
        <v>42</v>
      </c>
      <c r="D12968" t="s">
        <v>7161</v>
      </c>
      <c r="F12968" s="21"/>
      <c r="G12968" s="16" t="str">
        <f>HYPERLINK("http://maps.google.com/maps?f=q&amp;hl=en&amp;geocode=&amp;q=38.9599436452899,-77.2174990321347")</f>
        <v>http://maps.google.com/maps?f=q&amp;hl=en&amp;geocode=&amp;q=38.9599436452899,-77.2174990321347</v>
      </c>
    </row>
    <row r="12969" spans="1:7" ht="15" x14ac:dyDescent="0.3">
      <c r="A12969">
        <v>35.243940000000002</v>
      </c>
      <c r="B12969">
        <v>-97.423190000000005</v>
      </c>
      <c r="C12969" t="s">
        <v>41</v>
      </c>
      <c r="D12969" t="s">
        <v>6313</v>
      </c>
      <c r="F12969" s="21"/>
      <c r="G12969" s="16" t="str">
        <f>HYPERLINK("http://maps.google.com/maps?f=q&amp;hl=en&amp;geocode=&amp;q=35.24394,-97.42319")</f>
        <v>http://maps.google.com/maps?f=q&amp;hl=en&amp;geocode=&amp;q=35.24394,-97.42319</v>
      </c>
    </row>
    <row r="12970" spans="1:7" ht="15" x14ac:dyDescent="0.3">
      <c r="A12970">
        <v>38.965170924002301</v>
      </c>
      <c r="B12970">
        <v>-77.234698762709698</v>
      </c>
      <c r="C12970" t="s">
        <v>42</v>
      </c>
      <c r="D12970" t="s">
        <v>7151</v>
      </c>
      <c r="F12970" s="21"/>
      <c r="G12970" s="16" t="str">
        <f>HYPERLINK("http://maps.google.com/maps?f=q&amp;hl=en&amp;geocode=&amp;q=38.9651709240023,-77.2346987627097")</f>
        <v>http://maps.google.com/maps?f=q&amp;hl=en&amp;geocode=&amp;q=38.9651709240023,-77.2346987627097</v>
      </c>
    </row>
    <row r="12971" spans="1:7" ht="15" x14ac:dyDescent="0.3">
      <c r="A12971">
        <v>38.965170924002301</v>
      </c>
      <c r="B12971">
        <v>-77.234698762709698</v>
      </c>
      <c r="C12971" t="s">
        <v>42</v>
      </c>
      <c r="D12971" t="s">
        <v>7151</v>
      </c>
      <c r="F12971" s="21"/>
      <c r="G12971" s="16" t="str">
        <f>HYPERLINK("http://maps.google.com/maps?f=q&amp;hl=en&amp;geocode=&amp;q=38.9651709240023,-77.2346987627097")</f>
        <v>http://maps.google.com/maps?f=q&amp;hl=en&amp;geocode=&amp;q=38.9651709240023,-77.2346987627097</v>
      </c>
    </row>
    <row r="12972" spans="1:7" ht="15" x14ac:dyDescent="0.3">
      <c r="A12972">
        <v>38.965170924002301</v>
      </c>
      <c r="B12972">
        <v>-77.234698762709698</v>
      </c>
      <c r="C12972" t="s">
        <v>42</v>
      </c>
      <c r="D12972" t="s">
        <v>7151</v>
      </c>
      <c r="F12972" s="21"/>
      <c r="G12972" s="16" t="str">
        <f>HYPERLINK("http://maps.google.com/maps?f=q&amp;hl=en&amp;geocode=&amp;q=38.9651709240023,-77.2346987627097")</f>
        <v>http://maps.google.com/maps?f=q&amp;hl=en&amp;geocode=&amp;q=38.9651709240023,-77.2346987627097</v>
      </c>
    </row>
    <row r="12973" spans="1:7" ht="15" x14ac:dyDescent="0.3">
      <c r="A12973">
        <v>38.427221674606102</v>
      </c>
      <c r="B12973">
        <v>-84.749124429482094</v>
      </c>
      <c r="C12973" t="s">
        <v>42</v>
      </c>
      <c r="D12973" t="s">
        <v>7162</v>
      </c>
      <c r="F12973" s="21"/>
      <c r="G12973" s="16" t="str">
        <f>HYPERLINK("http://maps.google.com/maps?f=q&amp;hl=en&amp;geocode=&amp;q=38.4272216746061,-84.7491244294821")</f>
        <v>http://maps.google.com/maps?f=q&amp;hl=en&amp;geocode=&amp;q=38.4272216746061,-84.7491244294821</v>
      </c>
    </row>
    <row r="12974" spans="1:7" ht="15" x14ac:dyDescent="0.3">
      <c r="A12974">
        <v>38.427221674606102</v>
      </c>
      <c r="B12974">
        <v>-84.749124429482094</v>
      </c>
      <c r="C12974" t="s">
        <v>42</v>
      </c>
      <c r="D12974" t="s">
        <v>7162</v>
      </c>
      <c r="F12974" s="21"/>
      <c r="G12974" s="16" t="str">
        <f>HYPERLINK("http://maps.google.com/maps?f=q&amp;hl=en&amp;geocode=&amp;q=38.4272216746061,-84.7491244294821")</f>
        <v>http://maps.google.com/maps?f=q&amp;hl=en&amp;geocode=&amp;q=38.4272216746061,-84.7491244294821</v>
      </c>
    </row>
    <row r="12975" spans="1:7" ht="15" x14ac:dyDescent="0.3">
      <c r="A12975">
        <v>39.213698649019499</v>
      </c>
      <c r="B12975">
        <v>-76.201804525432806</v>
      </c>
      <c r="C12975" t="s">
        <v>42</v>
      </c>
      <c r="D12975" t="s">
        <v>7154</v>
      </c>
      <c r="F12975" s="21"/>
      <c r="G12975" s="16" t="str">
        <f>HYPERLINK("http://maps.google.com/maps?f=q&amp;hl=en&amp;geocode=&amp;q=39.2136986490195,-76.2018045254328")</f>
        <v>http://maps.google.com/maps?f=q&amp;hl=en&amp;geocode=&amp;q=39.2136986490195,-76.2018045254328</v>
      </c>
    </row>
    <row r="12976" spans="1:7" ht="15" x14ac:dyDescent="0.3">
      <c r="A12976">
        <v>38.953617709207101</v>
      </c>
      <c r="B12976">
        <v>-77.190206398069606</v>
      </c>
      <c r="C12976" t="s">
        <v>42</v>
      </c>
      <c r="D12976" t="s">
        <v>7163</v>
      </c>
      <c r="F12976" s="21"/>
      <c r="G12976" s="16" t="str">
        <f>HYPERLINK("http://maps.google.com/maps?f=q&amp;hl=en&amp;geocode=&amp;q=38.9536177092071,-77.1902063980696")</f>
        <v>http://maps.google.com/maps?f=q&amp;hl=en&amp;geocode=&amp;q=38.9536177092071,-77.1902063980696</v>
      </c>
    </row>
    <row r="12977" spans="1:7" ht="15" x14ac:dyDescent="0.3">
      <c r="A12977">
        <v>38.953617709207101</v>
      </c>
      <c r="B12977">
        <v>-77.190206398069606</v>
      </c>
      <c r="C12977" t="s">
        <v>42</v>
      </c>
      <c r="D12977" t="s">
        <v>7163</v>
      </c>
      <c r="F12977" s="21"/>
      <c r="G12977" s="16" t="str">
        <f>HYPERLINK("http://maps.google.com/maps?f=q&amp;hl=en&amp;geocode=&amp;q=38.9536177092071,-77.1902063980696")</f>
        <v>http://maps.google.com/maps?f=q&amp;hl=en&amp;geocode=&amp;q=38.9536177092071,-77.1902063980696</v>
      </c>
    </row>
    <row r="12978" spans="1:7" ht="15" x14ac:dyDescent="0.3">
      <c r="A12978">
        <v>35.266150653666898</v>
      </c>
      <c r="B12978">
        <v>-84.919859564999896</v>
      </c>
      <c r="C12978" t="s">
        <v>43</v>
      </c>
      <c r="D12978" t="s">
        <v>7164</v>
      </c>
      <c r="F12978" s="21"/>
      <c r="G12978" s="16" t="str">
        <f>HYPERLINK("http://maps.google.com/maps?f=q&amp;hl=en&amp;geocode=&amp;q=35.2661506536669,-84.9198595649999")</f>
        <v>http://maps.google.com/maps?f=q&amp;hl=en&amp;geocode=&amp;q=35.2661506536669,-84.9198595649999</v>
      </c>
    </row>
    <row r="12979" spans="1:7" ht="15" x14ac:dyDescent="0.3">
      <c r="A12979">
        <v>35.266150653666898</v>
      </c>
      <c r="B12979">
        <v>-84.919859564999896</v>
      </c>
      <c r="C12979" t="s">
        <v>43</v>
      </c>
      <c r="D12979" t="s">
        <v>7164</v>
      </c>
      <c r="F12979" s="21"/>
      <c r="G12979" s="16" t="str">
        <f>HYPERLINK("http://maps.google.com/maps?f=q&amp;hl=en&amp;geocode=&amp;q=35.2661506536669,-84.9198595649999")</f>
        <v>http://maps.google.com/maps?f=q&amp;hl=en&amp;geocode=&amp;q=35.2661506536669,-84.9198595649999</v>
      </c>
    </row>
    <row r="12980" spans="1:7" ht="15" x14ac:dyDescent="0.3">
      <c r="A12980">
        <v>35.266150653666898</v>
      </c>
      <c r="B12980">
        <v>-84.919859564999896</v>
      </c>
      <c r="C12980" t="s">
        <v>43</v>
      </c>
      <c r="D12980" t="s">
        <v>7164</v>
      </c>
      <c r="F12980" s="21"/>
      <c r="G12980" s="16" t="str">
        <f>HYPERLINK("http://maps.google.com/maps?f=q&amp;hl=en&amp;geocode=&amp;q=35.2661506536669,-84.9198595649999")</f>
        <v>http://maps.google.com/maps?f=q&amp;hl=en&amp;geocode=&amp;q=35.2661506536669,-84.9198595649999</v>
      </c>
    </row>
    <row r="12981" spans="1:7" ht="15" x14ac:dyDescent="0.3">
      <c r="A12981">
        <v>38.953617709207101</v>
      </c>
      <c r="B12981">
        <v>-77.190206398069606</v>
      </c>
      <c r="C12981" t="s">
        <v>42</v>
      </c>
      <c r="D12981" t="s">
        <v>7163</v>
      </c>
      <c r="F12981" s="21"/>
      <c r="G12981" s="16" t="str">
        <f>HYPERLINK("http://maps.google.com/maps?f=q&amp;hl=en&amp;geocode=&amp;q=38.9536177092071,-77.1902063980696")</f>
        <v>http://maps.google.com/maps?f=q&amp;hl=en&amp;geocode=&amp;q=38.9536177092071,-77.1902063980696</v>
      </c>
    </row>
    <row r="12982" spans="1:7" ht="15" x14ac:dyDescent="0.3">
      <c r="A12982">
        <v>35.264930172743199</v>
      </c>
      <c r="B12982">
        <v>-84.918390850284098</v>
      </c>
      <c r="C12982" t="s">
        <v>42</v>
      </c>
      <c r="D12982" t="s">
        <v>7165</v>
      </c>
      <c r="F12982" s="21"/>
      <c r="G12982" s="16" t="str">
        <f>HYPERLINK("http://maps.google.com/maps?f=q&amp;hl=en&amp;geocode=&amp;q=35.2649301727432,-84.9183908502841")</f>
        <v>http://maps.google.com/maps?f=q&amp;hl=en&amp;geocode=&amp;q=35.2649301727432,-84.9183908502841</v>
      </c>
    </row>
    <row r="12983" spans="1:7" ht="15" x14ac:dyDescent="0.3">
      <c r="A12983">
        <v>41.686492309013701</v>
      </c>
      <c r="B12983">
        <v>-81.369967940637295</v>
      </c>
      <c r="C12983" t="s">
        <v>42</v>
      </c>
      <c r="D12983" t="s">
        <v>7166</v>
      </c>
      <c r="F12983" s="21"/>
      <c r="G12983" s="16" t="str">
        <f>HYPERLINK("http://maps.google.com/maps?f=q&amp;hl=en&amp;geocode=&amp;q=41.6864923090137,-81.3699679406373")</f>
        <v>http://maps.google.com/maps?f=q&amp;hl=en&amp;geocode=&amp;q=41.6864923090137,-81.3699679406373</v>
      </c>
    </row>
    <row r="12984" spans="1:7" ht="15" x14ac:dyDescent="0.3">
      <c r="A12984">
        <v>39.550632632156102</v>
      </c>
      <c r="B12984">
        <v>-84.377949436554999</v>
      </c>
      <c r="C12984" t="s">
        <v>42</v>
      </c>
      <c r="D12984" t="s">
        <v>7167</v>
      </c>
      <c r="F12984" s="21"/>
      <c r="G12984" s="16" t="str">
        <f>HYPERLINK("http://maps.google.com/maps?f=q&amp;hl=en&amp;geocode=&amp;q=39.5506326321561,-84.377949436555")</f>
        <v>http://maps.google.com/maps?f=q&amp;hl=en&amp;geocode=&amp;q=39.5506326321561,-84.377949436555</v>
      </c>
    </row>
    <row r="12985" spans="1:7" ht="15" x14ac:dyDescent="0.3">
      <c r="A12985">
        <v>38.774480930470702</v>
      </c>
      <c r="B12985">
        <v>-77.731799685847406</v>
      </c>
      <c r="C12985" t="s">
        <v>41</v>
      </c>
      <c r="D12985" t="s">
        <v>7168</v>
      </c>
      <c r="F12985" s="21"/>
      <c r="G12985" s="16" t="str">
        <f>HYPERLINK("http://maps.google.com/maps?f=q&amp;hl=en&amp;geocode=&amp;q=38.7744809304707,-77.7317996858474")</f>
        <v>http://maps.google.com/maps?f=q&amp;hl=en&amp;geocode=&amp;q=38.7744809304707,-77.7317996858474</v>
      </c>
    </row>
    <row r="12986" spans="1:7" ht="15" x14ac:dyDescent="0.3">
      <c r="A12986">
        <v>39.39734</v>
      </c>
      <c r="B12986">
        <v>-76.945520000000002</v>
      </c>
      <c r="C12986" t="s">
        <v>42</v>
      </c>
      <c r="D12986" t="s">
        <v>7169</v>
      </c>
      <c r="F12986" s="21"/>
      <c r="G12986" s="16" t="str">
        <f>HYPERLINK("http://maps.google.com/maps?f=q&amp;hl=en&amp;geocode=&amp;q=39.39734,-76.94552")</f>
        <v>http://maps.google.com/maps?f=q&amp;hl=en&amp;geocode=&amp;q=39.39734,-76.94552</v>
      </c>
    </row>
    <row r="12987" spans="1:7" ht="15" x14ac:dyDescent="0.3">
      <c r="A12987">
        <v>38.773093608838003</v>
      </c>
      <c r="B12987">
        <v>-77.731223971313895</v>
      </c>
      <c r="C12987" t="s">
        <v>41</v>
      </c>
      <c r="D12987" t="s">
        <v>7170</v>
      </c>
      <c r="F12987" s="21"/>
      <c r="G12987" s="16" t="str">
        <f>HYPERLINK("http://maps.google.com/maps?f=q&amp;hl=en&amp;geocode=&amp;q=38.773093608838,-77.7312239713139")</f>
        <v>http://maps.google.com/maps?f=q&amp;hl=en&amp;geocode=&amp;q=38.773093608838,-77.7312239713139</v>
      </c>
    </row>
    <row r="12988" spans="1:7" ht="15" x14ac:dyDescent="0.3">
      <c r="A12988">
        <v>38.773004549815802</v>
      </c>
      <c r="B12988">
        <v>-77.731201188527805</v>
      </c>
      <c r="C12988" t="s">
        <v>41</v>
      </c>
      <c r="D12988" t="s">
        <v>7171</v>
      </c>
      <c r="F12988" s="21"/>
      <c r="G12988" s="16" t="str">
        <f>HYPERLINK("http://maps.google.com/maps?f=q&amp;hl=en&amp;geocode=&amp;q=38.7730045498158,-77.7312011885278")</f>
        <v>http://maps.google.com/maps?f=q&amp;hl=en&amp;geocode=&amp;q=38.7730045498158,-77.7312011885278</v>
      </c>
    </row>
    <row r="12989" spans="1:7" ht="15" x14ac:dyDescent="0.3">
      <c r="A12989">
        <v>40.779430389404297</v>
      </c>
      <c r="B12989">
        <v>-7.1032009124755904</v>
      </c>
      <c r="C12989" t="s">
        <v>43</v>
      </c>
      <c r="D12989" t="s">
        <v>7172</v>
      </c>
      <c r="F12989" s="21"/>
      <c r="G12989" s="16" t="str">
        <f>HYPERLINK("http://maps.google.com/maps?f=q&amp;hl=en&amp;geocode=&amp;q=40.7794303894043,-7.10320091247559")</f>
        <v>http://maps.google.com/maps?f=q&amp;hl=en&amp;geocode=&amp;q=40.7794303894043,-7.10320091247559</v>
      </c>
    </row>
    <row r="12990" spans="1:7" ht="15" x14ac:dyDescent="0.3">
      <c r="A12990">
        <v>40.779430389404297</v>
      </c>
      <c r="B12990">
        <v>-7.1032009124755904</v>
      </c>
      <c r="C12990" t="s">
        <v>43</v>
      </c>
      <c r="D12990" t="s">
        <v>7172</v>
      </c>
      <c r="F12990" s="21"/>
      <c r="G12990" s="16" t="str">
        <f>HYPERLINK("http://maps.google.com/maps?f=q&amp;hl=en&amp;geocode=&amp;q=40.7794303894043,-7.10320091247559")</f>
        <v>http://maps.google.com/maps?f=q&amp;hl=en&amp;geocode=&amp;q=40.7794303894043,-7.10320091247559</v>
      </c>
    </row>
    <row r="12991" spans="1:7" ht="15" x14ac:dyDescent="0.3">
      <c r="A12991">
        <v>38.960163548651103</v>
      </c>
      <c r="B12991">
        <v>-77.214495595075306</v>
      </c>
      <c r="C12991" t="s">
        <v>42</v>
      </c>
      <c r="D12991" t="s">
        <v>7173</v>
      </c>
      <c r="F12991" s="21"/>
      <c r="G12991" s="16" t="str">
        <f>HYPERLINK("http://maps.google.com/maps?f=q&amp;hl=en&amp;geocode=&amp;q=38.9601635486511,-77.2144955950753")</f>
        <v>http://maps.google.com/maps?f=q&amp;hl=en&amp;geocode=&amp;q=38.9601635486511,-77.2144955950753</v>
      </c>
    </row>
    <row r="12992" spans="1:7" ht="15" x14ac:dyDescent="0.3">
      <c r="A12992">
        <v>38.960163548651103</v>
      </c>
      <c r="B12992">
        <v>-77.214495595075306</v>
      </c>
      <c r="C12992" t="s">
        <v>42</v>
      </c>
      <c r="D12992" t="s">
        <v>7173</v>
      </c>
      <c r="F12992" s="21"/>
      <c r="G12992" s="16" t="str">
        <f>HYPERLINK("http://maps.google.com/maps?f=q&amp;hl=en&amp;geocode=&amp;q=38.9601635486511,-77.2144955950753")</f>
        <v>http://maps.google.com/maps?f=q&amp;hl=en&amp;geocode=&amp;q=38.9601635486511,-77.2144955950753</v>
      </c>
    </row>
    <row r="12993" spans="1:7" ht="15" x14ac:dyDescent="0.3">
      <c r="A12993">
        <v>38.470259810760297</v>
      </c>
      <c r="B12993">
        <v>-81.499467432929293</v>
      </c>
      <c r="C12993" t="s">
        <v>41</v>
      </c>
      <c r="D12993" t="s">
        <v>1175</v>
      </c>
      <c r="F12993" s="21"/>
      <c r="G12993" s="16" t="str">
        <f>HYPERLINK("http://maps.google.com/maps?f=q&amp;hl=en&amp;geocode=&amp;q=38.4702598107603,-81.4994674329293")</f>
        <v>http://maps.google.com/maps?f=q&amp;hl=en&amp;geocode=&amp;q=38.4702598107603,-81.4994674329293</v>
      </c>
    </row>
    <row r="12994" spans="1:7" ht="15" x14ac:dyDescent="0.3">
      <c r="A12994" t="s">
        <v>44</v>
      </c>
      <c r="B12994" t="s">
        <v>44</v>
      </c>
      <c r="C12994" t="s">
        <v>44</v>
      </c>
      <c r="D12994" t="s">
        <v>7174</v>
      </c>
      <c r="F12994" s="21"/>
      <c r="G12994" s="16"/>
    </row>
    <row r="12995" spans="1:7" ht="15" x14ac:dyDescent="0.3">
      <c r="A12995">
        <v>-38.6373481750488</v>
      </c>
      <c r="B12995">
        <v>146.39436340332</v>
      </c>
      <c r="C12995" t="s">
        <v>43</v>
      </c>
      <c r="D12995" t="s">
        <v>7175</v>
      </c>
      <c r="F12995" s="21"/>
      <c r="G12995" s="16" t="str">
        <f>HYPERLINK("http://maps.google.com/maps?f=q&amp;hl=en&amp;geocode=&amp;q=-38.6373481750488,146.39436340332")</f>
        <v>http://maps.google.com/maps?f=q&amp;hl=en&amp;geocode=&amp;q=-38.6373481750488,146.39436340332</v>
      </c>
    </row>
    <row r="12996" spans="1:7" ht="15" x14ac:dyDescent="0.3">
      <c r="A12996">
        <v>33.252780914306598</v>
      </c>
      <c r="B12996">
        <v>-96.605827331542997</v>
      </c>
      <c r="C12996" t="s">
        <v>43</v>
      </c>
      <c r="D12996" t="s">
        <v>7176</v>
      </c>
      <c r="F12996" s="21"/>
      <c r="G12996" s="16" t="str">
        <f>HYPERLINK("http://maps.google.com/maps?f=q&amp;hl=en&amp;geocode=&amp;q=33.2527809143066,-96.605827331543")</f>
        <v>http://maps.google.com/maps?f=q&amp;hl=en&amp;geocode=&amp;q=33.2527809143066,-96.605827331543</v>
      </c>
    </row>
    <row r="12997" spans="1:7" ht="15" x14ac:dyDescent="0.3">
      <c r="A12997">
        <v>54.562068939208999</v>
      </c>
      <c r="B12997">
        <v>-125.10440063476599</v>
      </c>
      <c r="C12997" t="s">
        <v>41</v>
      </c>
      <c r="D12997" t="s">
        <v>5686</v>
      </c>
      <c r="F12997" s="21"/>
      <c r="G12997" s="16" t="str">
        <f>HYPERLINK("http://maps.google.com/maps?f=q&amp;hl=en&amp;geocode=&amp;q=54.562068939209,-125.104400634766")</f>
        <v>http://maps.google.com/maps?f=q&amp;hl=en&amp;geocode=&amp;q=54.562068939209,-125.104400634766</v>
      </c>
    </row>
    <row r="12998" spans="1:7" ht="15" x14ac:dyDescent="0.3">
      <c r="A12998">
        <v>52.147850036621101</v>
      </c>
      <c r="B12998">
        <v>19.377759933471701</v>
      </c>
      <c r="C12998" t="s">
        <v>43</v>
      </c>
      <c r="D12998" t="s">
        <v>7177</v>
      </c>
      <c r="F12998" s="21"/>
      <c r="G12998" s="16" t="str">
        <f>HYPERLINK("http://maps.google.com/maps?f=q&amp;hl=en&amp;geocode=&amp;q=52.1478500366211,19.3777599334717")</f>
        <v>http://maps.google.com/maps?f=q&amp;hl=en&amp;geocode=&amp;q=52.1478500366211,19.3777599334717</v>
      </c>
    </row>
    <row r="12999" spans="1:7" ht="15" x14ac:dyDescent="0.3">
      <c r="A12999">
        <v>46.9413435550237</v>
      </c>
      <c r="B12999">
        <v>-114.18459394976</v>
      </c>
      <c r="C12999" t="s">
        <v>41</v>
      </c>
      <c r="D12999" t="s">
        <v>7178</v>
      </c>
      <c r="F12999" s="21"/>
      <c r="G12999" s="16" t="str">
        <f>HYPERLINK("http://maps.google.com/maps?f=q&amp;hl=en&amp;geocode=&amp;q=46.9413435550237,-114.18459394976")</f>
        <v>http://maps.google.com/maps?f=q&amp;hl=en&amp;geocode=&amp;q=46.9413435550237,-114.18459394976</v>
      </c>
    </row>
    <row r="13000" spans="1:7" ht="15" x14ac:dyDescent="0.3">
      <c r="A13000">
        <v>46.491145500000002</v>
      </c>
      <c r="B13000">
        <v>-80.947233499999996</v>
      </c>
      <c r="C13000" t="s">
        <v>41</v>
      </c>
      <c r="D13000" t="s">
        <v>7179</v>
      </c>
      <c r="F13000" s="21"/>
      <c r="G13000" s="16" t="str">
        <f>HYPERLINK("http://maps.google.com/maps?f=q&amp;hl=en&amp;geocode=&amp;q=46.4911455,-80.9472335")</f>
        <v>http://maps.google.com/maps?f=q&amp;hl=en&amp;geocode=&amp;q=46.4911455,-80.9472335</v>
      </c>
    </row>
    <row r="13001" spans="1:7" ht="15" x14ac:dyDescent="0.3">
      <c r="A13001">
        <v>-37.74953</v>
      </c>
      <c r="B13001">
        <v>144.96537000000001</v>
      </c>
      <c r="C13001" t="s">
        <v>41</v>
      </c>
      <c r="D13001" t="s">
        <v>7050</v>
      </c>
      <c r="F13001" s="21"/>
      <c r="G13001" s="16" t="str">
        <f>HYPERLINK("http://maps.google.com/maps?f=q&amp;hl=en&amp;geocode=&amp;q=-37.74953,144.96537")</f>
        <v>http://maps.google.com/maps?f=q&amp;hl=en&amp;geocode=&amp;q=-37.74953,144.96537</v>
      </c>
    </row>
    <row r="13002" spans="1:7" ht="15" x14ac:dyDescent="0.3">
      <c r="A13002">
        <v>39.723230000000001</v>
      </c>
      <c r="B13002">
        <v>-75.591809999999995</v>
      </c>
      <c r="C13002" t="s">
        <v>42</v>
      </c>
      <c r="D13002" t="s">
        <v>7180</v>
      </c>
      <c r="F13002" s="21"/>
      <c r="G13002" s="16" t="str">
        <f>HYPERLINK("http://maps.google.com/maps?f=q&amp;hl=en&amp;geocode=&amp;q=39.72323,-75.59181")</f>
        <v>http://maps.google.com/maps?f=q&amp;hl=en&amp;geocode=&amp;q=39.72323,-75.59181</v>
      </c>
    </row>
    <row r="13003" spans="1:7" ht="15" x14ac:dyDescent="0.3">
      <c r="A13003">
        <v>-26.72869</v>
      </c>
      <c r="B13003">
        <v>27.850180000000002</v>
      </c>
      <c r="C13003" t="s">
        <v>41</v>
      </c>
      <c r="D13003" t="s">
        <v>7181</v>
      </c>
      <c r="F13003" s="21"/>
      <c r="G13003" s="16" t="str">
        <f>HYPERLINK("http://maps.google.com/maps?f=q&amp;hl=en&amp;geocode=&amp;q=-26.72869,27.85018")</f>
        <v>http://maps.google.com/maps?f=q&amp;hl=en&amp;geocode=&amp;q=-26.72869,27.85018</v>
      </c>
    </row>
    <row r="13004" spans="1:7" ht="15" x14ac:dyDescent="0.3">
      <c r="A13004">
        <v>-37.74953</v>
      </c>
      <c r="B13004">
        <v>144.96537000000001</v>
      </c>
      <c r="C13004" t="s">
        <v>41</v>
      </c>
      <c r="D13004" t="s">
        <v>7050</v>
      </c>
      <c r="F13004" s="21"/>
      <c r="G13004" s="16" t="str">
        <f>HYPERLINK("http://maps.google.com/maps?f=q&amp;hl=en&amp;geocode=&amp;q=-37.74953,144.96537")</f>
        <v>http://maps.google.com/maps?f=q&amp;hl=en&amp;geocode=&amp;q=-37.74953,144.96537</v>
      </c>
    </row>
    <row r="13005" spans="1:7" ht="15" x14ac:dyDescent="0.3">
      <c r="A13005">
        <v>-37.74953</v>
      </c>
      <c r="B13005">
        <v>144.96537000000001</v>
      </c>
      <c r="C13005" t="s">
        <v>41</v>
      </c>
      <c r="D13005" t="s">
        <v>7050</v>
      </c>
      <c r="F13005" s="21"/>
      <c r="G13005" s="16" t="str">
        <f>HYPERLINK("http://maps.google.com/maps?f=q&amp;hl=en&amp;geocode=&amp;q=-37.74953,144.96537")</f>
        <v>http://maps.google.com/maps?f=q&amp;hl=en&amp;geocode=&amp;q=-37.74953,144.96537</v>
      </c>
    </row>
    <row r="13006" spans="1:7" ht="15" x14ac:dyDescent="0.3">
      <c r="A13006">
        <v>-37.74953</v>
      </c>
      <c r="B13006">
        <v>144.96537000000001</v>
      </c>
      <c r="C13006" t="s">
        <v>41</v>
      </c>
      <c r="D13006" t="s">
        <v>7050</v>
      </c>
      <c r="F13006" s="21"/>
      <c r="G13006" s="16" t="str">
        <f>HYPERLINK("http://maps.google.com/maps?f=q&amp;hl=en&amp;geocode=&amp;q=-37.74953,144.96537")</f>
        <v>http://maps.google.com/maps?f=q&amp;hl=en&amp;geocode=&amp;q=-37.74953,144.96537</v>
      </c>
    </row>
    <row r="13007" spans="1:7" ht="15" x14ac:dyDescent="0.3">
      <c r="A13007">
        <v>49.647453308105497</v>
      </c>
      <c r="B13007">
        <v>6.1309771537780797</v>
      </c>
      <c r="C13007" t="s">
        <v>41</v>
      </c>
      <c r="D13007" t="s">
        <v>7028</v>
      </c>
      <c r="F13007" s="21"/>
      <c r="G13007" s="16" t="str">
        <f>HYPERLINK("http://maps.google.com/maps?f=q&amp;hl=en&amp;geocode=&amp;q=49.6474533081055,6.13097715377808")</f>
        <v>http://maps.google.com/maps?f=q&amp;hl=en&amp;geocode=&amp;q=49.6474533081055,6.13097715377808</v>
      </c>
    </row>
    <row r="13008" spans="1:7" ht="15" x14ac:dyDescent="0.3">
      <c r="A13008">
        <v>35.243940000000002</v>
      </c>
      <c r="B13008">
        <v>-97.423190000000005</v>
      </c>
      <c r="C13008" t="s">
        <v>41</v>
      </c>
      <c r="D13008" t="s">
        <v>6313</v>
      </c>
      <c r="F13008" s="21"/>
      <c r="G13008" s="16" t="str">
        <f>HYPERLINK("http://maps.google.com/maps?f=q&amp;hl=en&amp;geocode=&amp;q=35.24394,-97.42319")</f>
        <v>http://maps.google.com/maps?f=q&amp;hl=en&amp;geocode=&amp;q=35.24394,-97.42319</v>
      </c>
    </row>
    <row r="13009" spans="1:7" ht="15" x14ac:dyDescent="0.3">
      <c r="A13009">
        <v>49.647453308105497</v>
      </c>
      <c r="B13009">
        <v>6.1309771537780797</v>
      </c>
      <c r="C13009" t="s">
        <v>41</v>
      </c>
      <c r="D13009" t="s">
        <v>7028</v>
      </c>
      <c r="F13009" s="21"/>
      <c r="G13009" s="16" t="str">
        <f>HYPERLINK("http://maps.google.com/maps?f=q&amp;hl=en&amp;geocode=&amp;q=49.6474533081055,6.13097715377808")</f>
        <v>http://maps.google.com/maps?f=q&amp;hl=en&amp;geocode=&amp;q=49.6474533081055,6.13097715377808</v>
      </c>
    </row>
    <row r="13010" spans="1:7" ht="15" x14ac:dyDescent="0.3">
      <c r="A13010">
        <v>-37.74953</v>
      </c>
      <c r="B13010">
        <v>144.96537000000001</v>
      </c>
      <c r="C13010" t="s">
        <v>41</v>
      </c>
      <c r="D13010" t="s">
        <v>7050</v>
      </c>
      <c r="F13010" s="21"/>
      <c r="G13010" s="16" t="str">
        <f>HYPERLINK("http://maps.google.com/maps?f=q&amp;hl=en&amp;geocode=&amp;q=-37.74953,144.96537")</f>
        <v>http://maps.google.com/maps?f=q&amp;hl=en&amp;geocode=&amp;q=-37.74953,144.96537</v>
      </c>
    </row>
    <row r="13011" spans="1:7" ht="15" x14ac:dyDescent="0.3">
      <c r="A13011">
        <v>34.542929999999998</v>
      </c>
      <c r="B13011">
        <v>-93.182190000000006</v>
      </c>
      <c r="C13011" t="s">
        <v>43</v>
      </c>
      <c r="D13011" t="s">
        <v>6436</v>
      </c>
      <c r="F13011" s="21"/>
      <c r="G13011" s="16" t="str">
        <f>HYPERLINK("http://maps.google.com/maps?f=q&amp;hl=en&amp;geocode=&amp;q=34.54293,-93.18219")</f>
        <v>http://maps.google.com/maps?f=q&amp;hl=en&amp;geocode=&amp;q=34.54293,-93.18219</v>
      </c>
    </row>
    <row r="13012" spans="1:7" ht="15" x14ac:dyDescent="0.3">
      <c r="A13012">
        <v>41.554369999999999</v>
      </c>
      <c r="B13012">
        <v>-89.066400000000002</v>
      </c>
      <c r="C13012" t="s">
        <v>42</v>
      </c>
      <c r="D13012" t="s">
        <v>7182</v>
      </c>
      <c r="F13012" s="21"/>
      <c r="G13012" s="16" t="str">
        <f>HYPERLINK("http://maps.google.com/maps?f=q&amp;hl=en&amp;geocode=&amp;q=41.55437,-89.0664")</f>
        <v>http://maps.google.com/maps?f=q&amp;hl=en&amp;geocode=&amp;q=41.55437,-89.0664</v>
      </c>
    </row>
    <row r="13013" spans="1:7" ht="15" x14ac:dyDescent="0.3">
      <c r="A13013">
        <v>39.256726478700301</v>
      </c>
      <c r="B13013">
        <v>-89.344418706159402</v>
      </c>
      <c r="C13013" t="s">
        <v>43</v>
      </c>
      <c r="D13013" t="s">
        <v>7183</v>
      </c>
      <c r="F13013" s="21"/>
      <c r="G13013" s="16" t="str">
        <f>HYPERLINK("http://maps.google.com/maps?f=q&amp;hl=en&amp;geocode=&amp;q=39.2567264787003,-89.3444187061594")</f>
        <v>http://maps.google.com/maps?f=q&amp;hl=en&amp;geocode=&amp;q=39.2567264787003,-89.3444187061594</v>
      </c>
    </row>
    <row r="13014" spans="1:7" ht="15" x14ac:dyDescent="0.3">
      <c r="A13014">
        <v>40.352150000000002</v>
      </c>
      <c r="B13014">
        <v>-111.72266</v>
      </c>
      <c r="C13014" t="s">
        <v>43</v>
      </c>
      <c r="D13014" t="s">
        <v>7184</v>
      </c>
      <c r="F13014" s="21"/>
      <c r="G13014" s="16" t="str">
        <f>HYPERLINK("http://maps.google.com/maps?f=q&amp;hl=en&amp;geocode=&amp;q=40.35215,-111.72266")</f>
        <v>http://maps.google.com/maps?f=q&amp;hl=en&amp;geocode=&amp;q=40.35215,-111.72266</v>
      </c>
    </row>
    <row r="13015" spans="1:7" ht="15" x14ac:dyDescent="0.3">
      <c r="A13015">
        <v>49.647453308105497</v>
      </c>
      <c r="B13015">
        <v>6.1309771537780797</v>
      </c>
      <c r="C13015" t="s">
        <v>41</v>
      </c>
      <c r="D13015" t="s">
        <v>7028</v>
      </c>
      <c r="F13015" s="21"/>
      <c r="G13015" s="16" t="str">
        <f>HYPERLINK("http://maps.google.com/maps?f=q&amp;hl=en&amp;geocode=&amp;q=49.6474533081055,6.13097715377808")</f>
        <v>http://maps.google.com/maps?f=q&amp;hl=en&amp;geocode=&amp;q=49.6474533081055,6.13097715377808</v>
      </c>
    </row>
    <row r="13016" spans="1:7" ht="15" x14ac:dyDescent="0.3">
      <c r="A13016" t="s">
        <v>44</v>
      </c>
      <c r="B13016" t="s">
        <v>44</v>
      </c>
      <c r="C13016" t="s">
        <v>44</v>
      </c>
      <c r="D13016" t="s">
        <v>7185</v>
      </c>
      <c r="F13016" s="21"/>
      <c r="G13016" s="16"/>
    </row>
    <row r="13017" spans="1:7" ht="15" x14ac:dyDescent="0.3">
      <c r="A13017">
        <v>37.183880000000002</v>
      </c>
      <c r="B13017">
        <v>-89.481269999999995</v>
      </c>
      <c r="C13017" t="s">
        <v>43</v>
      </c>
      <c r="D13017" t="s">
        <v>7186</v>
      </c>
      <c r="F13017" s="21"/>
      <c r="G13017" s="16" t="str">
        <f>HYPERLINK("http://maps.google.com/maps?f=q&amp;hl=en&amp;geocode=&amp;q=37.18388,-89.48127")</f>
        <v>http://maps.google.com/maps?f=q&amp;hl=en&amp;geocode=&amp;q=37.18388,-89.48127</v>
      </c>
    </row>
    <row r="13018" spans="1:7" ht="15" x14ac:dyDescent="0.3">
      <c r="A13018">
        <v>40.419708309445198</v>
      </c>
      <c r="B13018">
        <v>-80.572287885870693</v>
      </c>
      <c r="C13018" t="s">
        <v>41</v>
      </c>
      <c r="D13018" t="s">
        <v>7187</v>
      </c>
      <c r="F13018" s="21"/>
      <c r="G13018" s="16" t="str">
        <f>HYPERLINK("http://maps.google.com/maps?f=q&amp;hl=en&amp;geocode=&amp;q=40.4197083094452,-80.5722878858707")</f>
        <v>http://maps.google.com/maps?f=q&amp;hl=en&amp;geocode=&amp;q=40.4197083094452,-80.5722878858707</v>
      </c>
    </row>
    <row r="13019" spans="1:7" ht="15" x14ac:dyDescent="0.3">
      <c r="A13019">
        <v>37.771868158036398</v>
      </c>
      <c r="B13019">
        <v>-122.2503561387</v>
      </c>
      <c r="C13019" t="s">
        <v>41</v>
      </c>
      <c r="D13019" t="s">
        <v>7142</v>
      </c>
      <c r="F13019" s="21"/>
      <c r="G13019" s="16" t="str">
        <f>HYPERLINK("http://maps.google.com/maps?f=q&amp;hl=en&amp;geocode=&amp;q=37.7718681580364,-122.2503561387")</f>
        <v>http://maps.google.com/maps?f=q&amp;hl=en&amp;geocode=&amp;q=37.7718681580364,-122.2503561387</v>
      </c>
    </row>
    <row r="13020" spans="1:7" ht="15" x14ac:dyDescent="0.3">
      <c r="A13020">
        <v>-37.74953</v>
      </c>
      <c r="B13020">
        <v>144.96537000000001</v>
      </c>
      <c r="C13020" t="s">
        <v>41</v>
      </c>
      <c r="D13020" t="s">
        <v>7050</v>
      </c>
      <c r="F13020" s="21"/>
      <c r="G13020" s="16" t="str">
        <f>HYPERLINK("http://maps.google.com/maps?f=q&amp;hl=en&amp;geocode=&amp;q=-37.74953,144.96537")</f>
        <v>http://maps.google.com/maps?f=q&amp;hl=en&amp;geocode=&amp;q=-37.74953,144.96537</v>
      </c>
    </row>
    <row r="13021" spans="1:7" ht="15" x14ac:dyDescent="0.3">
      <c r="A13021">
        <v>-37.74953</v>
      </c>
      <c r="B13021">
        <v>144.96537000000001</v>
      </c>
      <c r="C13021" t="s">
        <v>41</v>
      </c>
      <c r="D13021" t="s">
        <v>7050</v>
      </c>
      <c r="F13021" s="21"/>
      <c r="G13021" s="16" t="str">
        <f>HYPERLINK("http://maps.google.com/maps?f=q&amp;hl=en&amp;geocode=&amp;q=-37.74953,144.96537")</f>
        <v>http://maps.google.com/maps?f=q&amp;hl=en&amp;geocode=&amp;q=-37.74953,144.96537</v>
      </c>
    </row>
    <row r="13022" spans="1:7" ht="15" x14ac:dyDescent="0.3">
      <c r="A13022">
        <v>49.647453308105497</v>
      </c>
      <c r="B13022">
        <v>6.1309771537780797</v>
      </c>
      <c r="C13022" t="s">
        <v>41</v>
      </c>
      <c r="D13022" t="s">
        <v>7028</v>
      </c>
      <c r="F13022" s="21"/>
      <c r="G13022" s="16" t="str">
        <f>HYPERLINK("http://maps.google.com/maps?f=q&amp;hl=en&amp;geocode=&amp;q=49.6474533081055,6.13097715377808")</f>
        <v>http://maps.google.com/maps?f=q&amp;hl=en&amp;geocode=&amp;q=49.6474533081055,6.13097715377808</v>
      </c>
    </row>
    <row r="13023" spans="1:7" ht="15" x14ac:dyDescent="0.3">
      <c r="A13023">
        <v>39.948017231627603</v>
      </c>
      <c r="B13023">
        <v>-75.167101990862605</v>
      </c>
      <c r="C13023" t="s">
        <v>41</v>
      </c>
      <c r="D13023" t="s">
        <v>7188</v>
      </c>
      <c r="F13023" s="21"/>
      <c r="G13023" s="16" t="str">
        <f>HYPERLINK("http://maps.google.com/maps?f=q&amp;hl=en&amp;geocode=&amp;q=39.9480172316276,-75.1671019908626")</f>
        <v>http://maps.google.com/maps?f=q&amp;hl=en&amp;geocode=&amp;q=39.9480172316276,-75.1671019908626</v>
      </c>
    </row>
    <row r="13024" spans="1:7" ht="15" x14ac:dyDescent="0.3">
      <c r="A13024">
        <v>49.647453308105497</v>
      </c>
      <c r="B13024">
        <v>6.1309771537780797</v>
      </c>
      <c r="C13024" t="s">
        <v>41</v>
      </c>
      <c r="D13024" t="s">
        <v>7028</v>
      </c>
      <c r="F13024" s="21"/>
      <c r="G13024" s="16" t="str">
        <f>HYPERLINK("http://maps.google.com/maps?f=q&amp;hl=en&amp;geocode=&amp;q=49.6474533081055,6.13097715377808")</f>
        <v>http://maps.google.com/maps?f=q&amp;hl=en&amp;geocode=&amp;q=49.6474533081055,6.13097715377808</v>
      </c>
    </row>
    <row r="13025" spans="1:7" ht="15" x14ac:dyDescent="0.3">
      <c r="A13025">
        <v>38.890369415283203</v>
      </c>
      <c r="B13025">
        <v>-77.031959533691406</v>
      </c>
      <c r="C13025" t="s">
        <v>41</v>
      </c>
      <c r="D13025" t="s">
        <v>7189</v>
      </c>
      <c r="F13025" s="21"/>
      <c r="G13025" s="16" t="str">
        <f>HYPERLINK("http://maps.google.com/maps?f=q&amp;hl=en&amp;geocode=&amp;q=38.8903694152832,-77.0319595336914")</f>
        <v>http://maps.google.com/maps?f=q&amp;hl=en&amp;geocode=&amp;q=38.8903694152832,-77.0319595336914</v>
      </c>
    </row>
    <row r="13026" spans="1:7" ht="15" x14ac:dyDescent="0.3">
      <c r="A13026">
        <v>35.243940000000002</v>
      </c>
      <c r="B13026">
        <v>-97.423190000000005</v>
      </c>
      <c r="C13026" t="s">
        <v>41</v>
      </c>
      <c r="D13026" t="s">
        <v>6313</v>
      </c>
      <c r="F13026" s="21"/>
      <c r="G13026" s="16" t="str">
        <f>HYPERLINK("http://maps.google.com/maps?f=q&amp;hl=en&amp;geocode=&amp;q=35.24394,-97.42319")</f>
        <v>http://maps.google.com/maps?f=q&amp;hl=en&amp;geocode=&amp;q=35.24394,-97.42319</v>
      </c>
    </row>
    <row r="13027" spans="1:7" ht="15" x14ac:dyDescent="0.3">
      <c r="A13027">
        <v>49.647453308105497</v>
      </c>
      <c r="B13027">
        <v>6.1309771537780797</v>
      </c>
      <c r="C13027" t="s">
        <v>41</v>
      </c>
      <c r="D13027" t="s">
        <v>7028</v>
      </c>
      <c r="F13027" s="21"/>
      <c r="G13027" s="16" t="str">
        <f>HYPERLINK("http://maps.google.com/maps?f=q&amp;hl=en&amp;geocode=&amp;q=49.6474533081055,6.13097715377808")</f>
        <v>http://maps.google.com/maps?f=q&amp;hl=en&amp;geocode=&amp;q=49.6474533081055,6.13097715377808</v>
      </c>
    </row>
    <row r="13028" spans="1:7" ht="15" x14ac:dyDescent="0.3">
      <c r="A13028">
        <v>40.069535575230098</v>
      </c>
      <c r="B13028">
        <v>-85.844535314051896</v>
      </c>
      <c r="C13028" t="s">
        <v>41</v>
      </c>
      <c r="D13028" t="s">
        <v>7190</v>
      </c>
      <c r="F13028" s="21"/>
      <c r="G13028" s="16" t="str">
        <f>HYPERLINK("http://maps.google.com/maps?f=q&amp;hl=en&amp;geocode=&amp;q=40.0695355752301,-85.8445353140519")</f>
        <v>http://maps.google.com/maps?f=q&amp;hl=en&amp;geocode=&amp;q=40.0695355752301,-85.8445353140519</v>
      </c>
    </row>
    <row r="13029" spans="1:7" ht="15" x14ac:dyDescent="0.3">
      <c r="A13029" t="s">
        <v>44</v>
      </c>
      <c r="B13029" t="s">
        <v>44</v>
      </c>
      <c r="C13029" t="s">
        <v>44</v>
      </c>
      <c r="D13029" t="s">
        <v>4438</v>
      </c>
      <c r="F13029" s="21"/>
      <c r="G13029" s="16"/>
    </row>
    <row r="13030" spans="1:7" ht="15" x14ac:dyDescent="0.3">
      <c r="A13030">
        <v>49.647453308105497</v>
      </c>
      <c r="B13030">
        <v>6.1309771537780797</v>
      </c>
      <c r="C13030" t="s">
        <v>41</v>
      </c>
      <c r="D13030" t="s">
        <v>7028</v>
      </c>
      <c r="F13030" s="21"/>
      <c r="G13030" s="16" t="str">
        <f>HYPERLINK("http://maps.google.com/maps?f=q&amp;hl=en&amp;geocode=&amp;q=49.6474533081055,6.13097715377808")</f>
        <v>http://maps.google.com/maps?f=q&amp;hl=en&amp;geocode=&amp;q=49.6474533081055,6.13097715377808</v>
      </c>
    </row>
    <row r="13031" spans="1:7" ht="15" x14ac:dyDescent="0.3">
      <c r="A13031">
        <v>40.0413</v>
      </c>
      <c r="B13031">
        <v>-75.078180000000003</v>
      </c>
      <c r="C13031" t="s">
        <v>41</v>
      </c>
      <c r="D13031" t="s">
        <v>7191</v>
      </c>
      <c r="F13031" s="21"/>
      <c r="G13031" s="16" t="str">
        <f>HYPERLINK("http://maps.google.com/maps?f=q&amp;hl=en&amp;geocode=&amp;q=40.0413,-75.07818")</f>
        <v>http://maps.google.com/maps?f=q&amp;hl=en&amp;geocode=&amp;q=40.0413,-75.07818</v>
      </c>
    </row>
    <row r="13032" spans="1:7" ht="15" x14ac:dyDescent="0.3">
      <c r="A13032">
        <v>39.926090000000002</v>
      </c>
      <c r="B13032">
        <v>-75.154269999999997</v>
      </c>
      <c r="C13032" t="s">
        <v>43</v>
      </c>
      <c r="D13032" t="s">
        <v>7192</v>
      </c>
      <c r="F13032" s="21"/>
      <c r="G13032" s="16" t="str">
        <f>HYPERLINK("http://maps.google.com/maps?f=q&amp;hl=en&amp;geocode=&amp;q=39.92609,-75.15427")</f>
        <v>http://maps.google.com/maps?f=q&amp;hl=en&amp;geocode=&amp;q=39.92609,-75.15427</v>
      </c>
    </row>
    <row r="13033" spans="1:7" ht="15" x14ac:dyDescent="0.3">
      <c r="A13033">
        <v>40.523899999999998</v>
      </c>
      <c r="B13033">
        <v>-85.233270000000005</v>
      </c>
      <c r="C13033" t="s">
        <v>42</v>
      </c>
      <c r="D13033" t="s">
        <v>7193</v>
      </c>
      <c r="F13033" s="21"/>
      <c r="G13033" s="16" t="str">
        <f>HYPERLINK("http://maps.google.com/maps?f=q&amp;hl=en&amp;geocode=&amp;q=40.5239,-85.23327")</f>
        <v>http://maps.google.com/maps?f=q&amp;hl=en&amp;geocode=&amp;q=40.5239,-85.23327</v>
      </c>
    </row>
    <row r="13034" spans="1:7" ht="15" x14ac:dyDescent="0.3">
      <c r="A13034">
        <v>35.3775340947183</v>
      </c>
      <c r="B13034">
        <v>-83.131068530031996</v>
      </c>
      <c r="C13034" t="s">
        <v>43</v>
      </c>
      <c r="D13034" t="s">
        <v>1143</v>
      </c>
      <c r="F13034" s="21"/>
      <c r="G13034" s="16" t="str">
        <f>HYPERLINK("http://maps.google.com/maps?f=q&amp;hl=en&amp;geocode=&amp;q=35.3775340947183,-83.131068530032")</f>
        <v>http://maps.google.com/maps?f=q&amp;hl=en&amp;geocode=&amp;q=35.3775340947183,-83.131068530032</v>
      </c>
    </row>
    <row r="13035" spans="1:7" ht="15" x14ac:dyDescent="0.3">
      <c r="A13035">
        <v>37.132553100585902</v>
      </c>
      <c r="B13035">
        <v>-8.4525938034057599</v>
      </c>
      <c r="C13035" t="s">
        <v>43</v>
      </c>
      <c r="D13035" t="s">
        <v>7194</v>
      </c>
      <c r="F13035" s="21"/>
      <c r="G13035" s="16" t="str">
        <f>HYPERLINK("http://maps.google.com/maps?f=q&amp;hl=en&amp;geocode=&amp;q=37.1325531005859,-8.45259380340576")</f>
        <v>http://maps.google.com/maps?f=q&amp;hl=en&amp;geocode=&amp;q=37.1325531005859,-8.45259380340576</v>
      </c>
    </row>
    <row r="13036" spans="1:7" ht="15" x14ac:dyDescent="0.3">
      <c r="A13036">
        <v>35.3775340947183</v>
      </c>
      <c r="B13036">
        <v>-83.131068530031996</v>
      </c>
      <c r="C13036" t="s">
        <v>43</v>
      </c>
      <c r="D13036" t="s">
        <v>1143</v>
      </c>
      <c r="F13036" s="21"/>
      <c r="G13036" s="16" t="str">
        <f>HYPERLINK("http://maps.google.com/maps?f=q&amp;hl=en&amp;geocode=&amp;q=35.3775340947183,-83.131068530032")</f>
        <v>http://maps.google.com/maps?f=q&amp;hl=en&amp;geocode=&amp;q=35.3775340947183,-83.131068530032</v>
      </c>
    </row>
    <row r="13037" spans="1:7" ht="15" x14ac:dyDescent="0.3">
      <c r="A13037">
        <v>40.04712</v>
      </c>
      <c r="B13037">
        <v>-75.158339999999995</v>
      </c>
      <c r="C13037" t="s">
        <v>41</v>
      </c>
      <c r="D13037" t="s">
        <v>5791</v>
      </c>
      <c r="F13037" s="21"/>
      <c r="G13037" s="16" t="str">
        <f>HYPERLINK("http://maps.google.com/maps?f=q&amp;hl=en&amp;geocode=&amp;q=40.04712,-75.15834")</f>
        <v>http://maps.google.com/maps?f=q&amp;hl=en&amp;geocode=&amp;q=40.04712,-75.15834</v>
      </c>
    </row>
    <row r="13038" spans="1:7" ht="15" x14ac:dyDescent="0.3">
      <c r="A13038">
        <v>49.5947456359863</v>
      </c>
      <c r="B13038">
        <v>6.1385579109191903</v>
      </c>
      <c r="C13038" t="s">
        <v>43</v>
      </c>
      <c r="D13038" t="s">
        <v>7195</v>
      </c>
      <c r="F13038" s="21"/>
      <c r="G13038" s="16" t="str">
        <f>HYPERLINK("http://maps.google.com/maps?f=q&amp;hl=en&amp;geocode=&amp;q=49.5947456359863,6.13855791091919")</f>
        <v>http://maps.google.com/maps?f=q&amp;hl=en&amp;geocode=&amp;q=49.5947456359863,6.13855791091919</v>
      </c>
    </row>
    <row r="13039" spans="1:7" ht="15" x14ac:dyDescent="0.3">
      <c r="A13039">
        <v>50.634586334228501</v>
      </c>
      <c r="B13039">
        <v>3.7823328971862802</v>
      </c>
      <c r="C13039" t="s">
        <v>43</v>
      </c>
      <c r="D13039" t="s">
        <v>7196</v>
      </c>
      <c r="F13039" s="21"/>
      <c r="G13039" s="16" t="str">
        <f>HYPERLINK("http://maps.google.com/maps?f=q&amp;hl=en&amp;geocode=&amp;q=50.6345863342285,3.78233289718628")</f>
        <v>http://maps.google.com/maps?f=q&amp;hl=en&amp;geocode=&amp;q=50.6345863342285,3.78233289718628</v>
      </c>
    </row>
    <row r="13040" spans="1:7" ht="15" x14ac:dyDescent="0.3">
      <c r="A13040">
        <v>39.304217897685099</v>
      </c>
      <c r="B13040">
        <v>-87.995576946759797</v>
      </c>
      <c r="C13040" t="s">
        <v>41</v>
      </c>
      <c r="D13040" t="s">
        <v>7197</v>
      </c>
      <c r="F13040" s="21"/>
      <c r="G13040" s="16" t="str">
        <f>HYPERLINK("http://maps.google.com/maps?f=q&amp;hl=en&amp;geocode=&amp;q=39.3042178976851,-87.9955769467598")</f>
        <v>http://maps.google.com/maps?f=q&amp;hl=en&amp;geocode=&amp;q=39.3042178976851,-87.9955769467598</v>
      </c>
    </row>
    <row r="13041" spans="1:7" ht="15" x14ac:dyDescent="0.3">
      <c r="A13041">
        <v>-24.035060882568398</v>
      </c>
      <c r="B13041">
        <v>-50.457168579101598</v>
      </c>
      <c r="C13041" t="s">
        <v>41</v>
      </c>
      <c r="D13041" t="s">
        <v>7198</v>
      </c>
      <c r="F13041" s="21"/>
      <c r="G13041" s="16" t="str">
        <f>HYPERLINK("http://maps.google.com/maps?f=q&amp;hl=en&amp;geocode=&amp;q=-24.0350608825684,-50.4571685791016")</f>
        <v>http://maps.google.com/maps?f=q&amp;hl=en&amp;geocode=&amp;q=-24.0350608825684,-50.4571685791016</v>
      </c>
    </row>
    <row r="13042" spans="1:7" ht="15" x14ac:dyDescent="0.3">
      <c r="A13042">
        <v>40.655315077857701</v>
      </c>
      <c r="B13042">
        <v>-79.5355577367188</v>
      </c>
      <c r="C13042" t="s">
        <v>41</v>
      </c>
      <c r="D13042" t="s">
        <v>6337</v>
      </c>
      <c r="F13042" s="21"/>
      <c r="G13042" s="16" t="str">
        <f>HYPERLINK("http://maps.google.com/maps?f=q&amp;hl=en&amp;geocode=&amp;q=40.6553150778577,-79.5355577367188")</f>
        <v>http://maps.google.com/maps?f=q&amp;hl=en&amp;geocode=&amp;q=40.6553150778577,-79.5355577367188</v>
      </c>
    </row>
    <row r="13043" spans="1:7" ht="15" x14ac:dyDescent="0.3">
      <c r="A13043">
        <v>39.9832652439773</v>
      </c>
      <c r="B13043">
        <v>-75.800158980104399</v>
      </c>
      <c r="C13043" t="s">
        <v>41</v>
      </c>
      <c r="D13043" t="s">
        <v>7199</v>
      </c>
      <c r="F13043" s="21"/>
      <c r="G13043" s="16" t="str">
        <f>HYPERLINK("http://maps.google.com/maps?f=q&amp;hl=en&amp;geocode=&amp;q=39.9832652439773,-75.8001589801044")</f>
        <v>http://maps.google.com/maps?f=q&amp;hl=en&amp;geocode=&amp;q=39.9832652439773,-75.8001589801044</v>
      </c>
    </row>
    <row r="13044" spans="1:7" ht="15" x14ac:dyDescent="0.3">
      <c r="A13044">
        <v>40.354999999999997</v>
      </c>
      <c r="B13044">
        <v>-75.914370000000005</v>
      </c>
      <c r="C13044" t="s">
        <v>41</v>
      </c>
      <c r="D13044" t="s">
        <v>7200</v>
      </c>
      <c r="F13044" s="21"/>
      <c r="G13044" s="16" t="str">
        <f>HYPERLINK("http://maps.google.com/maps?f=q&amp;hl=en&amp;geocode=&amp;q=40.355,-75.91437")</f>
        <v>http://maps.google.com/maps?f=q&amp;hl=en&amp;geocode=&amp;q=40.355,-75.91437</v>
      </c>
    </row>
    <row r="13045" spans="1:7" ht="15" x14ac:dyDescent="0.3">
      <c r="A13045" t="s">
        <v>44</v>
      </c>
      <c r="B13045" t="s">
        <v>44</v>
      </c>
      <c r="C13045" t="s">
        <v>44</v>
      </c>
      <c r="D13045" t="s">
        <v>7201</v>
      </c>
      <c r="F13045" s="21"/>
      <c r="G13045" s="16"/>
    </row>
    <row r="13046" spans="1:7" ht="15" x14ac:dyDescent="0.3">
      <c r="A13046">
        <v>39.96414</v>
      </c>
      <c r="B13046">
        <v>-75.18938</v>
      </c>
      <c r="C13046" t="s">
        <v>41</v>
      </c>
      <c r="D13046" t="s">
        <v>7202</v>
      </c>
      <c r="F13046" s="21"/>
      <c r="G13046" s="16" t="str">
        <f>HYPERLINK("http://maps.google.com/maps?f=q&amp;hl=en&amp;geocode=&amp;q=39.96414,-75.18938")</f>
        <v>http://maps.google.com/maps?f=q&amp;hl=en&amp;geocode=&amp;q=39.96414,-75.18938</v>
      </c>
    </row>
    <row r="13047" spans="1:7" ht="15" x14ac:dyDescent="0.3">
      <c r="A13047">
        <v>38.80838</v>
      </c>
      <c r="B13047">
        <v>-84.61318</v>
      </c>
      <c r="C13047" t="s">
        <v>42</v>
      </c>
      <c r="D13047" t="s">
        <v>7203</v>
      </c>
      <c r="F13047" s="21"/>
      <c r="G13047" s="16" t="str">
        <f>HYPERLINK("http://maps.google.com/maps?f=q&amp;hl=en&amp;geocode=&amp;q=38.80838,-84.61318")</f>
        <v>http://maps.google.com/maps?f=q&amp;hl=en&amp;geocode=&amp;q=38.80838,-84.61318</v>
      </c>
    </row>
    <row r="13048" spans="1:7" ht="15" x14ac:dyDescent="0.3">
      <c r="A13048">
        <v>-37.734699900000003</v>
      </c>
      <c r="B13048">
        <v>142.01732989999999</v>
      </c>
      <c r="C13048" t="s">
        <v>41</v>
      </c>
      <c r="D13048" t="s">
        <v>7204</v>
      </c>
      <c r="F13048" s="21"/>
      <c r="G13048" s="16" t="str">
        <f>HYPERLINK("http://maps.google.com/maps?f=q&amp;hl=en&amp;geocode=&amp;q=-37.7346999,142.0173299")</f>
        <v>http://maps.google.com/maps?f=q&amp;hl=en&amp;geocode=&amp;q=-37.7346999,142.0173299</v>
      </c>
    </row>
    <row r="13049" spans="1:7" ht="15" x14ac:dyDescent="0.3">
      <c r="A13049">
        <v>40.047795024169403</v>
      </c>
      <c r="B13049">
        <v>-75.059858803679006</v>
      </c>
      <c r="C13049" t="s">
        <v>41</v>
      </c>
      <c r="D13049" t="s">
        <v>4156</v>
      </c>
      <c r="F13049" s="21"/>
      <c r="G13049" s="16" t="str">
        <f>HYPERLINK("http://maps.google.com/maps?f=q&amp;hl=en&amp;geocode=&amp;q=40.0477950241694,-75.059858803679")</f>
        <v>http://maps.google.com/maps?f=q&amp;hl=en&amp;geocode=&amp;q=40.0477950241694,-75.059858803679</v>
      </c>
    </row>
    <row r="13050" spans="1:7" ht="15" x14ac:dyDescent="0.3">
      <c r="A13050">
        <v>40.047795024169403</v>
      </c>
      <c r="B13050">
        <v>-75.059858803679006</v>
      </c>
      <c r="C13050" t="s">
        <v>41</v>
      </c>
      <c r="D13050" t="s">
        <v>4156</v>
      </c>
      <c r="F13050" s="21"/>
      <c r="G13050" s="16" t="str">
        <f>HYPERLINK("http://maps.google.com/maps?f=q&amp;hl=en&amp;geocode=&amp;q=40.0477950241694,-75.059858803679")</f>
        <v>http://maps.google.com/maps?f=q&amp;hl=en&amp;geocode=&amp;q=40.0477950241694,-75.059858803679</v>
      </c>
    </row>
    <row r="13051" spans="1:7" ht="15" x14ac:dyDescent="0.3">
      <c r="A13051">
        <v>41.464694106769301</v>
      </c>
      <c r="B13051">
        <v>-91.598906518129894</v>
      </c>
      <c r="C13051" t="s">
        <v>41</v>
      </c>
      <c r="D13051" t="s">
        <v>6340</v>
      </c>
      <c r="F13051" s="21"/>
      <c r="G13051" s="16" t="str">
        <f>HYPERLINK("http://maps.google.com/maps?f=q&amp;hl=en&amp;geocode=&amp;q=41.4646941067693,-91.5989065181299")</f>
        <v>http://maps.google.com/maps?f=q&amp;hl=en&amp;geocode=&amp;q=41.4646941067693,-91.5989065181299</v>
      </c>
    </row>
    <row r="13052" spans="1:7" ht="15" x14ac:dyDescent="0.3">
      <c r="A13052">
        <v>41.466158463948197</v>
      </c>
      <c r="B13052">
        <v>-91.598900961869305</v>
      </c>
      <c r="C13052" t="s">
        <v>41</v>
      </c>
      <c r="D13052" t="s">
        <v>7205</v>
      </c>
      <c r="F13052" s="21"/>
      <c r="G13052" s="16" t="str">
        <f>HYPERLINK("http://maps.google.com/maps?f=q&amp;hl=en&amp;geocode=&amp;q=41.4661584639482,-91.5989009618693")</f>
        <v>http://maps.google.com/maps?f=q&amp;hl=en&amp;geocode=&amp;q=41.4661584639482,-91.5989009618693</v>
      </c>
    </row>
    <row r="13053" spans="1:7" ht="15" x14ac:dyDescent="0.3">
      <c r="A13053">
        <v>31.807285508037001</v>
      </c>
      <c r="B13053">
        <v>-81.597510770405407</v>
      </c>
      <c r="C13053" t="s">
        <v>41</v>
      </c>
      <c r="D13053" t="s">
        <v>7206</v>
      </c>
      <c r="F13053" s="21"/>
      <c r="G13053" s="16" t="str">
        <f>HYPERLINK("http://maps.google.com/maps?f=q&amp;hl=en&amp;geocode=&amp;q=31.807285508037,-81.5975107704054")</f>
        <v>http://maps.google.com/maps?f=q&amp;hl=en&amp;geocode=&amp;q=31.807285508037,-81.5975107704054</v>
      </c>
    </row>
    <row r="13054" spans="1:7" ht="15" x14ac:dyDescent="0.3">
      <c r="A13054">
        <v>42.157542483501302</v>
      </c>
      <c r="B13054">
        <v>-79.948935383633</v>
      </c>
      <c r="C13054" t="s">
        <v>41</v>
      </c>
      <c r="D13054" t="s">
        <v>7207</v>
      </c>
      <c r="F13054" s="21"/>
      <c r="G13054" s="16" t="str">
        <f>HYPERLINK("http://maps.google.com/maps?f=q&amp;hl=en&amp;geocode=&amp;q=42.1575424835013,-79.948935383633")</f>
        <v>http://maps.google.com/maps?f=q&amp;hl=en&amp;geocode=&amp;q=42.1575424835013,-79.948935383633</v>
      </c>
    </row>
    <row r="13055" spans="1:7" ht="15" x14ac:dyDescent="0.3">
      <c r="A13055">
        <v>40.227849999999997</v>
      </c>
      <c r="B13055">
        <v>-74.019670000000005</v>
      </c>
      <c r="C13055" t="s">
        <v>41</v>
      </c>
      <c r="D13055" t="s">
        <v>6752</v>
      </c>
      <c r="F13055" s="21"/>
      <c r="G13055" s="16" t="str">
        <f>HYPERLINK("http://maps.google.com/maps?f=q&amp;hl=en&amp;geocode=&amp;q=40.22785,-74.01967")</f>
        <v>http://maps.google.com/maps?f=q&amp;hl=en&amp;geocode=&amp;q=40.22785,-74.01967</v>
      </c>
    </row>
    <row r="13056" spans="1:7" ht="15" x14ac:dyDescent="0.3">
      <c r="A13056" t="s">
        <v>44</v>
      </c>
      <c r="B13056" t="s">
        <v>44</v>
      </c>
      <c r="C13056" t="s">
        <v>44</v>
      </c>
      <c r="D13056" t="s">
        <v>7208</v>
      </c>
      <c r="F13056" s="21"/>
      <c r="G13056" s="16"/>
    </row>
    <row r="13057" spans="1:7" ht="15" x14ac:dyDescent="0.3">
      <c r="A13057">
        <v>50.780136108398402</v>
      </c>
      <c r="B13057">
        <v>4.2288222312927202</v>
      </c>
      <c r="C13057" t="s">
        <v>43</v>
      </c>
      <c r="D13057" t="s">
        <v>7057</v>
      </c>
      <c r="F13057" s="21"/>
      <c r="G13057" s="16" t="str">
        <f>HYPERLINK("http://maps.google.com/maps?f=q&amp;hl=en&amp;geocode=&amp;q=50.7801361083984,4.22882223129272")</f>
        <v>http://maps.google.com/maps?f=q&amp;hl=en&amp;geocode=&amp;q=50.7801361083984,4.22882223129272</v>
      </c>
    </row>
    <row r="13058" spans="1:7" ht="15" x14ac:dyDescent="0.3">
      <c r="A13058">
        <v>42.157688909717997</v>
      </c>
      <c r="B13058">
        <v>-79.948462386443893</v>
      </c>
      <c r="C13058" t="s">
        <v>41</v>
      </c>
      <c r="D13058" t="s">
        <v>3321</v>
      </c>
      <c r="F13058" s="21"/>
      <c r="G13058" s="16" t="str">
        <f>HYPERLINK("http://maps.google.com/maps?f=q&amp;hl=en&amp;geocode=&amp;q=42.157688909718,-79.9484623864439")</f>
        <v>http://maps.google.com/maps?f=q&amp;hl=en&amp;geocode=&amp;q=42.157688909718,-79.9484623864439</v>
      </c>
    </row>
    <row r="13059" spans="1:7" ht="15" x14ac:dyDescent="0.3">
      <c r="A13059">
        <v>46.188915252685497</v>
      </c>
      <c r="B13059">
        <v>6.1585922241210902</v>
      </c>
      <c r="C13059" t="s">
        <v>43</v>
      </c>
      <c r="D13059" t="s">
        <v>7209</v>
      </c>
      <c r="F13059" s="21"/>
      <c r="G13059" s="16" t="str">
        <f>HYPERLINK("http://maps.google.com/maps?f=q&amp;hl=en&amp;geocode=&amp;q=46.1889152526855,6.15859222412109")</f>
        <v>http://maps.google.com/maps?f=q&amp;hl=en&amp;geocode=&amp;q=46.1889152526855,6.15859222412109</v>
      </c>
    </row>
    <row r="13060" spans="1:7" ht="15" x14ac:dyDescent="0.3">
      <c r="A13060">
        <v>46.188915252685497</v>
      </c>
      <c r="B13060">
        <v>6.1585922241210902</v>
      </c>
      <c r="C13060" t="s">
        <v>43</v>
      </c>
      <c r="D13060" t="s">
        <v>7209</v>
      </c>
      <c r="F13060" s="21"/>
      <c r="G13060" s="16" t="str">
        <f>HYPERLINK("http://maps.google.com/maps?f=q&amp;hl=en&amp;geocode=&amp;q=46.1889152526855,6.15859222412109")</f>
        <v>http://maps.google.com/maps?f=q&amp;hl=en&amp;geocode=&amp;q=46.1889152526855,6.15859222412109</v>
      </c>
    </row>
    <row r="13061" spans="1:7" ht="15" x14ac:dyDescent="0.3">
      <c r="A13061">
        <v>41.699300000000001</v>
      </c>
      <c r="B13061">
        <v>-88.251320000000007</v>
      </c>
      <c r="C13061" t="s">
        <v>43</v>
      </c>
      <c r="D13061" t="s">
        <v>3015</v>
      </c>
      <c r="F13061" s="21"/>
      <c r="G13061" s="16" t="str">
        <f>HYPERLINK("http://maps.google.com/maps?f=q&amp;hl=en&amp;geocode=&amp;q=41.6993,-88.25132")</f>
        <v>http://maps.google.com/maps?f=q&amp;hl=en&amp;geocode=&amp;q=41.6993,-88.25132</v>
      </c>
    </row>
    <row r="13062" spans="1:7" ht="15" x14ac:dyDescent="0.3">
      <c r="A13062">
        <v>46.56532</v>
      </c>
      <c r="B13062">
        <v>-120.51348</v>
      </c>
      <c r="C13062" t="s">
        <v>42</v>
      </c>
      <c r="D13062" t="s">
        <v>7210</v>
      </c>
      <c r="F13062" s="21"/>
      <c r="G13062" s="16" t="str">
        <f>HYPERLINK("http://maps.google.com/maps?f=q&amp;hl=en&amp;geocode=&amp;q=46.56532,-120.51348")</f>
        <v>http://maps.google.com/maps?f=q&amp;hl=en&amp;geocode=&amp;q=46.56532,-120.51348</v>
      </c>
    </row>
    <row r="13063" spans="1:7" ht="15" x14ac:dyDescent="0.3">
      <c r="A13063">
        <v>47.033481597900398</v>
      </c>
      <c r="B13063">
        <v>-109.64508056640599</v>
      </c>
      <c r="C13063" t="s">
        <v>41</v>
      </c>
      <c r="D13063" t="s">
        <v>7211</v>
      </c>
      <c r="F13063" s="21"/>
      <c r="G13063" s="16" t="str">
        <f>HYPERLINK("http://maps.google.com/maps?f=q&amp;hl=en&amp;geocode=&amp;q=47.0334815979004,-109.645080566406")</f>
        <v>http://maps.google.com/maps?f=q&amp;hl=en&amp;geocode=&amp;q=47.0334815979004,-109.645080566406</v>
      </c>
    </row>
    <row r="13064" spans="1:7" ht="15" x14ac:dyDescent="0.3">
      <c r="A13064">
        <v>37.781543731689503</v>
      </c>
      <c r="B13064">
        <v>-122.19082641601599</v>
      </c>
      <c r="C13064" t="s">
        <v>43</v>
      </c>
      <c r="D13064" t="s">
        <v>7212</v>
      </c>
      <c r="F13064" s="21"/>
      <c r="G13064" s="16" t="str">
        <f>HYPERLINK("http://maps.google.com/maps?f=q&amp;hl=en&amp;geocode=&amp;q=37.7815437316895,-122.190826416016")</f>
        <v>http://maps.google.com/maps?f=q&amp;hl=en&amp;geocode=&amp;q=37.7815437316895,-122.190826416016</v>
      </c>
    </row>
    <row r="13065" spans="1:7" ht="15" x14ac:dyDescent="0.3">
      <c r="A13065">
        <v>42.1092478555084</v>
      </c>
      <c r="B13065">
        <v>-92.993059659750699</v>
      </c>
      <c r="C13065" t="s">
        <v>41</v>
      </c>
      <c r="D13065" t="s">
        <v>3110</v>
      </c>
      <c r="F13065" s="21"/>
      <c r="G13065" s="16" t="str">
        <f>HYPERLINK("http://maps.google.com/maps?f=q&amp;hl=en&amp;geocode=&amp;q=42.1092478555084,-92.9930596597507")</f>
        <v>http://maps.google.com/maps?f=q&amp;hl=en&amp;geocode=&amp;q=42.1092478555084,-92.9930596597507</v>
      </c>
    </row>
    <row r="13066" spans="1:7" ht="15" x14ac:dyDescent="0.3">
      <c r="A13066">
        <v>40.039160000000003</v>
      </c>
      <c r="B13066">
        <v>-74.895719999999997</v>
      </c>
      <c r="C13066" t="s">
        <v>41</v>
      </c>
      <c r="D13066" t="s">
        <v>7213</v>
      </c>
      <c r="F13066" s="21"/>
      <c r="G13066" s="16" t="str">
        <f>HYPERLINK("http://maps.google.com/maps?f=q&amp;hl=en&amp;geocode=&amp;q=40.03916,-74.89572")</f>
        <v>http://maps.google.com/maps?f=q&amp;hl=en&amp;geocode=&amp;q=40.03916,-74.89572</v>
      </c>
    </row>
    <row r="13067" spans="1:7" ht="15" x14ac:dyDescent="0.3">
      <c r="A13067">
        <v>40.039160000000003</v>
      </c>
      <c r="B13067">
        <v>-74.895719999999997</v>
      </c>
      <c r="C13067" t="s">
        <v>41</v>
      </c>
      <c r="D13067" t="s">
        <v>7213</v>
      </c>
      <c r="F13067" s="21"/>
      <c r="G13067" s="16" t="str">
        <f>HYPERLINK("http://maps.google.com/maps?f=q&amp;hl=en&amp;geocode=&amp;q=40.03916,-74.89572")</f>
        <v>http://maps.google.com/maps?f=q&amp;hl=en&amp;geocode=&amp;q=40.03916,-74.89572</v>
      </c>
    </row>
    <row r="13068" spans="1:7" ht="15" x14ac:dyDescent="0.3">
      <c r="A13068">
        <v>46.948429107666001</v>
      </c>
      <c r="B13068">
        <v>7.4404602050781303</v>
      </c>
      <c r="C13068" t="s">
        <v>43</v>
      </c>
      <c r="D13068" t="s">
        <v>7214</v>
      </c>
      <c r="F13068" s="21"/>
      <c r="G13068" s="16" t="str">
        <f>HYPERLINK("http://maps.google.com/maps?f=q&amp;hl=en&amp;geocode=&amp;q=46.948429107666,7.44046020507813")</f>
        <v>http://maps.google.com/maps?f=q&amp;hl=en&amp;geocode=&amp;q=46.948429107666,7.44046020507813</v>
      </c>
    </row>
    <row r="13069" spans="1:7" ht="15" x14ac:dyDescent="0.3">
      <c r="A13069">
        <v>46.948429107666001</v>
      </c>
      <c r="B13069">
        <v>7.4404602050781303</v>
      </c>
      <c r="C13069" t="s">
        <v>43</v>
      </c>
      <c r="D13069" t="s">
        <v>7214</v>
      </c>
      <c r="F13069" s="21"/>
      <c r="G13069" s="16" t="str">
        <f>HYPERLINK("http://maps.google.com/maps?f=q&amp;hl=en&amp;geocode=&amp;q=46.948429107666,7.44046020507813")</f>
        <v>http://maps.google.com/maps?f=q&amp;hl=en&amp;geocode=&amp;q=46.948429107666,7.44046020507813</v>
      </c>
    </row>
    <row r="13070" spans="1:7" ht="15" x14ac:dyDescent="0.3">
      <c r="A13070">
        <v>39.973179999999999</v>
      </c>
      <c r="B13070">
        <v>-75.209850000000003</v>
      </c>
      <c r="C13070" t="s">
        <v>41</v>
      </c>
      <c r="D13070" t="s">
        <v>3179</v>
      </c>
      <c r="F13070" s="21"/>
      <c r="G13070" s="16" t="str">
        <f>HYPERLINK("http://maps.google.com/maps?f=q&amp;hl=en&amp;geocode=&amp;q=39.97318,-75.20985")</f>
        <v>http://maps.google.com/maps?f=q&amp;hl=en&amp;geocode=&amp;q=39.97318,-75.20985</v>
      </c>
    </row>
    <row r="13071" spans="1:7" ht="15" x14ac:dyDescent="0.3">
      <c r="A13071">
        <v>41.692210000000003</v>
      </c>
      <c r="B13071">
        <v>-83.594790000000003</v>
      </c>
      <c r="C13071" t="s">
        <v>43</v>
      </c>
      <c r="D13071" t="s">
        <v>7215</v>
      </c>
      <c r="F13071" s="21"/>
      <c r="G13071" s="16" t="str">
        <f>HYPERLINK("http://maps.google.com/maps?f=q&amp;hl=en&amp;geocode=&amp;q=41.69221,-83.59479")</f>
        <v>http://maps.google.com/maps?f=q&amp;hl=en&amp;geocode=&amp;q=41.69221,-83.59479</v>
      </c>
    </row>
    <row r="13072" spans="1:7" ht="15" x14ac:dyDescent="0.3">
      <c r="A13072">
        <v>40.379689999999997</v>
      </c>
      <c r="B13072">
        <v>-105.48529000000001</v>
      </c>
      <c r="C13072" t="s">
        <v>41</v>
      </c>
      <c r="D13072" t="s">
        <v>7216</v>
      </c>
      <c r="F13072" s="21"/>
      <c r="G13072" s="16" t="str">
        <f>HYPERLINK("http://maps.google.com/maps?f=q&amp;hl=en&amp;geocode=&amp;q=40.37969,-105.48529")</f>
        <v>http://maps.google.com/maps?f=q&amp;hl=en&amp;geocode=&amp;q=40.37969,-105.48529</v>
      </c>
    </row>
    <row r="13073" spans="1:7" ht="15" x14ac:dyDescent="0.3">
      <c r="A13073">
        <v>39.949117936668401</v>
      </c>
      <c r="B13073">
        <v>-86.087262418709599</v>
      </c>
      <c r="C13073" t="s">
        <v>41</v>
      </c>
      <c r="D13073" t="s">
        <v>599</v>
      </c>
      <c r="F13073" s="21"/>
      <c r="G13073" s="16" t="str">
        <f>HYPERLINK("http://maps.google.com/maps?f=q&amp;hl=en&amp;geocode=&amp;q=39.9491179366684,-86.0872624187096")</f>
        <v>http://maps.google.com/maps?f=q&amp;hl=en&amp;geocode=&amp;q=39.9491179366684,-86.0872624187096</v>
      </c>
    </row>
    <row r="13074" spans="1:7" ht="15" x14ac:dyDescent="0.3">
      <c r="A13074">
        <v>40.024382107302202</v>
      </c>
      <c r="B13074">
        <v>-83.157726870838104</v>
      </c>
      <c r="C13074" t="s">
        <v>41</v>
      </c>
      <c r="D13074" t="s">
        <v>7217</v>
      </c>
      <c r="F13074" s="21"/>
      <c r="G13074" s="16" t="str">
        <f>HYPERLINK("http://maps.google.com/maps?f=q&amp;hl=en&amp;geocode=&amp;q=40.0243821073022,-83.1577268708381")</f>
        <v>http://maps.google.com/maps?f=q&amp;hl=en&amp;geocode=&amp;q=40.0243821073022,-83.1577268708381</v>
      </c>
    </row>
    <row r="13075" spans="1:7" ht="15" x14ac:dyDescent="0.3">
      <c r="A13075">
        <v>40.9933950344153</v>
      </c>
      <c r="B13075">
        <v>-83.112921702802893</v>
      </c>
      <c r="C13075" t="s">
        <v>43</v>
      </c>
      <c r="D13075" t="s">
        <v>7218</v>
      </c>
      <c r="F13075" s="21"/>
      <c r="G13075" s="16" t="str">
        <f>HYPERLINK("http://maps.google.com/maps?f=q&amp;hl=en&amp;geocode=&amp;q=40.9933950344153,-83.1129217028029")</f>
        <v>http://maps.google.com/maps?f=q&amp;hl=en&amp;geocode=&amp;q=40.9933950344153,-83.1129217028029</v>
      </c>
    </row>
    <row r="13076" spans="1:7" ht="15" x14ac:dyDescent="0.3">
      <c r="A13076">
        <v>34.682781219482401</v>
      </c>
      <c r="B13076">
        <v>50.188331604003899</v>
      </c>
      <c r="C13076" t="s">
        <v>41</v>
      </c>
      <c r="D13076" t="s">
        <v>7219</v>
      </c>
      <c r="F13076" s="21"/>
      <c r="G13076" s="16" t="str">
        <f>HYPERLINK("http://maps.google.com/maps?f=q&amp;hl=en&amp;geocode=&amp;q=34.6827812194824,50.1883316040039")</f>
        <v>http://maps.google.com/maps?f=q&amp;hl=en&amp;geocode=&amp;q=34.6827812194824,50.1883316040039</v>
      </c>
    </row>
    <row r="13077" spans="1:7" ht="15" x14ac:dyDescent="0.3">
      <c r="A13077">
        <v>34.682781219482401</v>
      </c>
      <c r="B13077">
        <v>50.188331604003899</v>
      </c>
      <c r="C13077" t="s">
        <v>41</v>
      </c>
      <c r="D13077" t="s">
        <v>7219</v>
      </c>
      <c r="F13077" s="21"/>
      <c r="G13077" s="16" t="str">
        <f>HYPERLINK("http://maps.google.com/maps?f=q&amp;hl=en&amp;geocode=&amp;q=34.6827812194824,50.1883316040039")</f>
        <v>http://maps.google.com/maps?f=q&amp;hl=en&amp;geocode=&amp;q=34.6827812194824,50.1883316040039</v>
      </c>
    </row>
    <row r="13078" spans="1:7" ht="15" x14ac:dyDescent="0.3">
      <c r="A13078">
        <v>37.288963542780301</v>
      </c>
      <c r="B13078">
        <v>-79.737819043958595</v>
      </c>
      <c r="C13078" t="s">
        <v>41</v>
      </c>
      <c r="D13078" t="s">
        <v>7220</v>
      </c>
      <c r="F13078" s="21"/>
      <c r="G13078" s="16" t="str">
        <f>HYPERLINK("http://maps.google.com/maps?f=q&amp;hl=en&amp;geocode=&amp;q=37.2889635427803,-79.7378190439586")</f>
        <v>http://maps.google.com/maps?f=q&amp;hl=en&amp;geocode=&amp;q=37.2889635427803,-79.7378190439586</v>
      </c>
    </row>
    <row r="13079" spans="1:7" ht="15" x14ac:dyDescent="0.3">
      <c r="A13079">
        <v>39.976695999999997</v>
      </c>
      <c r="B13079">
        <v>-75.127547000000007</v>
      </c>
      <c r="C13079" t="s">
        <v>41</v>
      </c>
      <c r="D13079" t="s">
        <v>2869</v>
      </c>
      <c r="F13079" s="21"/>
      <c r="G13079" s="16" t="str">
        <f>HYPERLINK("http://maps.google.com/maps?f=q&amp;hl=en&amp;geocode=&amp;q=39.976696,-75.127547")</f>
        <v>http://maps.google.com/maps?f=q&amp;hl=en&amp;geocode=&amp;q=39.976696,-75.127547</v>
      </c>
    </row>
    <row r="13080" spans="1:7" ht="15" x14ac:dyDescent="0.3">
      <c r="A13080">
        <v>49.695404052734403</v>
      </c>
      <c r="B13080">
        <v>5.3792200088501003</v>
      </c>
      <c r="C13080" t="s">
        <v>41</v>
      </c>
      <c r="D13080" t="s">
        <v>7221</v>
      </c>
      <c r="F13080" s="21"/>
      <c r="G13080" s="16" t="str">
        <f>HYPERLINK("http://maps.google.com/maps?f=q&amp;hl=en&amp;geocode=&amp;q=49.6954040527344,5.3792200088501")</f>
        <v>http://maps.google.com/maps?f=q&amp;hl=en&amp;geocode=&amp;q=49.6954040527344,5.3792200088501</v>
      </c>
    </row>
    <row r="13081" spans="1:7" ht="15" x14ac:dyDescent="0.3">
      <c r="A13081">
        <v>48.309907623684801</v>
      </c>
      <c r="B13081">
        <v>-111.78931156546901</v>
      </c>
      <c r="C13081" t="s">
        <v>41</v>
      </c>
      <c r="D13081" t="s">
        <v>7222</v>
      </c>
      <c r="F13081" s="21"/>
      <c r="G13081" s="16" t="str">
        <f>HYPERLINK("http://maps.google.com/maps?f=q&amp;hl=en&amp;geocode=&amp;q=48.3099076236848,-111.789311565469")</f>
        <v>http://maps.google.com/maps?f=q&amp;hl=en&amp;geocode=&amp;q=48.3099076236848,-111.789311565469</v>
      </c>
    </row>
    <row r="13082" spans="1:7" ht="15" x14ac:dyDescent="0.3">
      <c r="A13082" t="s">
        <v>44</v>
      </c>
      <c r="B13082" t="s">
        <v>44</v>
      </c>
      <c r="C13082" t="s">
        <v>44</v>
      </c>
      <c r="D13082" t="s">
        <v>4438</v>
      </c>
      <c r="F13082" s="21"/>
      <c r="G13082" s="16"/>
    </row>
    <row r="13083" spans="1:7" ht="15" x14ac:dyDescent="0.3">
      <c r="A13083" t="s">
        <v>44</v>
      </c>
      <c r="B13083" t="s">
        <v>44</v>
      </c>
      <c r="C13083" t="s">
        <v>44</v>
      </c>
      <c r="D13083" t="s">
        <v>4438</v>
      </c>
      <c r="F13083" s="21"/>
      <c r="G13083" s="16"/>
    </row>
    <row r="13084" spans="1:7" ht="15" x14ac:dyDescent="0.3">
      <c r="A13084">
        <v>48.672306060791001</v>
      </c>
      <c r="B13084">
        <v>7.5540661811828604</v>
      </c>
      <c r="C13084" t="s">
        <v>43</v>
      </c>
      <c r="D13084" t="s">
        <v>7038</v>
      </c>
      <c r="F13084" s="21"/>
      <c r="G13084" s="16" t="str">
        <f>HYPERLINK("http://maps.google.com/maps?f=q&amp;hl=en&amp;geocode=&amp;q=48.672306060791,7.55406618118286")</f>
        <v>http://maps.google.com/maps?f=q&amp;hl=en&amp;geocode=&amp;q=48.672306060791,7.55406618118286</v>
      </c>
    </row>
    <row r="13085" spans="1:7" ht="15" x14ac:dyDescent="0.3">
      <c r="A13085">
        <v>38.270923890008099</v>
      </c>
      <c r="B13085">
        <v>-77.5814885163783</v>
      </c>
      <c r="C13085" t="s">
        <v>41</v>
      </c>
      <c r="D13085" t="s">
        <v>7223</v>
      </c>
      <c r="F13085" s="21"/>
      <c r="G13085" s="16" t="str">
        <f>HYPERLINK("http://maps.google.com/maps?f=q&amp;hl=en&amp;geocode=&amp;q=38.2709238900081,-77.5814885163783")</f>
        <v>http://maps.google.com/maps?f=q&amp;hl=en&amp;geocode=&amp;q=38.2709238900081,-77.5814885163783</v>
      </c>
    </row>
    <row r="13086" spans="1:7" ht="15" x14ac:dyDescent="0.3">
      <c r="A13086">
        <v>43.052786624310599</v>
      </c>
      <c r="B13086">
        <v>-87.944206925976204</v>
      </c>
      <c r="C13086" t="s">
        <v>41</v>
      </c>
      <c r="D13086" t="s">
        <v>7224</v>
      </c>
      <c r="F13086" s="21"/>
      <c r="G13086" s="16" t="str">
        <f>HYPERLINK("http://maps.google.com/maps?f=q&amp;hl=en&amp;geocode=&amp;q=43.0527866243106,-87.9442069259762")</f>
        <v>http://maps.google.com/maps?f=q&amp;hl=en&amp;geocode=&amp;q=43.0527866243106,-87.9442069259762</v>
      </c>
    </row>
    <row r="13087" spans="1:7" ht="15" x14ac:dyDescent="0.3">
      <c r="A13087">
        <v>40.036731719970703</v>
      </c>
      <c r="B13087">
        <v>-74.908149719238295</v>
      </c>
      <c r="C13087" t="s">
        <v>43</v>
      </c>
      <c r="D13087" t="s">
        <v>7225</v>
      </c>
      <c r="F13087" s="21"/>
      <c r="G13087" s="16" t="str">
        <f>HYPERLINK("http://maps.google.com/maps?f=q&amp;hl=en&amp;geocode=&amp;q=40.0367317199707,-74.9081497192383")</f>
        <v>http://maps.google.com/maps?f=q&amp;hl=en&amp;geocode=&amp;q=40.0367317199707,-74.9081497192383</v>
      </c>
    </row>
    <row r="13088" spans="1:7" ht="15" x14ac:dyDescent="0.3">
      <c r="A13088" t="s">
        <v>44</v>
      </c>
      <c r="B13088" t="s">
        <v>44</v>
      </c>
      <c r="C13088" t="s">
        <v>44</v>
      </c>
      <c r="D13088" t="s">
        <v>7226</v>
      </c>
      <c r="F13088" s="21"/>
      <c r="G13088" s="16"/>
    </row>
    <row r="13089" spans="1:7" ht="15" x14ac:dyDescent="0.3">
      <c r="A13089">
        <v>40.043282529474297</v>
      </c>
      <c r="B13089">
        <v>-75.075860464798893</v>
      </c>
      <c r="C13089" t="s">
        <v>41</v>
      </c>
      <c r="D13089" t="s">
        <v>2445</v>
      </c>
      <c r="F13089" s="21"/>
      <c r="G13089" s="16" t="str">
        <f>HYPERLINK("http://maps.google.com/maps?f=q&amp;hl=en&amp;geocode=&amp;q=40.0432825294743,-75.0758604647989")</f>
        <v>http://maps.google.com/maps?f=q&amp;hl=en&amp;geocode=&amp;q=40.0432825294743,-75.0758604647989</v>
      </c>
    </row>
    <row r="13090" spans="1:7" ht="15" x14ac:dyDescent="0.3">
      <c r="A13090">
        <v>40.164441990662198</v>
      </c>
      <c r="B13090">
        <v>-111.576671317657</v>
      </c>
      <c r="C13090" t="s">
        <v>43</v>
      </c>
      <c r="D13090" t="s">
        <v>7227</v>
      </c>
      <c r="F13090" s="21"/>
      <c r="G13090" s="16" t="str">
        <f>HYPERLINK("http://maps.google.com/maps?f=q&amp;hl=en&amp;geocode=&amp;q=40.1644419906622,-111.576671317657")</f>
        <v>http://maps.google.com/maps?f=q&amp;hl=en&amp;geocode=&amp;q=40.1644419906622,-111.576671317657</v>
      </c>
    </row>
    <row r="13091" spans="1:7" ht="15" x14ac:dyDescent="0.3">
      <c r="A13091">
        <v>39.974913000000001</v>
      </c>
      <c r="B13091">
        <v>-75.196803000000003</v>
      </c>
      <c r="C13091" t="s">
        <v>41</v>
      </c>
      <c r="D13091" t="s">
        <v>7047</v>
      </c>
      <c r="F13091" s="21"/>
      <c r="G13091" s="16" t="str">
        <f>HYPERLINK("http://maps.google.com/maps?f=q&amp;hl=en&amp;geocode=&amp;q=39.974913,-75.196803")</f>
        <v>http://maps.google.com/maps?f=q&amp;hl=en&amp;geocode=&amp;q=39.974913,-75.196803</v>
      </c>
    </row>
    <row r="13092" spans="1:7" ht="15" x14ac:dyDescent="0.3">
      <c r="A13092">
        <v>39.984005437389399</v>
      </c>
      <c r="B13092">
        <v>-75.108766935152005</v>
      </c>
      <c r="C13092" t="s">
        <v>41</v>
      </c>
      <c r="D13092" t="s">
        <v>4228</v>
      </c>
      <c r="F13092" s="21"/>
      <c r="G13092" s="16" t="str">
        <f>HYPERLINK("http://maps.google.com/maps?f=q&amp;hl=en&amp;geocode=&amp;q=39.9840054373894,-75.108766935152")</f>
        <v>http://maps.google.com/maps?f=q&amp;hl=en&amp;geocode=&amp;q=39.9840054373894,-75.108766935152</v>
      </c>
    </row>
    <row r="13093" spans="1:7" ht="15" x14ac:dyDescent="0.3">
      <c r="A13093">
        <v>39.982322710324198</v>
      </c>
      <c r="B13093">
        <v>-75.107711965104798</v>
      </c>
      <c r="C13093" t="s">
        <v>41</v>
      </c>
      <c r="D13093" t="s">
        <v>1388</v>
      </c>
      <c r="F13093" s="21"/>
      <c r="G13093" s="16" t="str">
        <f>HYPERLINK("http://maps.google.com/maps?f=q&amp;hl=en&amp;geocode=&amp;q=39.9823227103242,-75.1077119651048")</f>
        <v>http://maps.google.com/maps?f=q&amp;hl=en&amp;geocode=&amp;q=39.9823227103242,-75.1077119651048</v>
      </c>
    </row>
    <row r="13094" spans="1:7" ht="15" x14ac:dyDescent="0.3">
      <c r="A13094">
        <v>18.481002807617202</v>
      </c>
      <c r="B13094">
        <v>120.65517425537099</v>
      </c>
      <c r="C13094" t="s">
        <v>43</v>
      </c>
      <c r="D13094" t="s">
        <v>4728</v>
      </c>
      <c r="F13094" s="21"/>
      <c r="G13094" s="16" t="str">
        <f>HYPERLINK("http://maps.google.com/maps?f=q&amp;hl=en&amp;geocode=&amp;q=18.4810028076172,120.655174255371")</f>
        <v>http://maps.google.com/maps?f=q&amp;hl=en&amp;geocode=&amp;q=18.4810028076172,120.655174255371</v>
      </c>
    </row>
    <row r="13095" spans="1:7" ht="15" x14ac:dyDescent="0.3">
      <c r="A13095">
        <v>51.309604644775398</v>
      </c>
      <c r="B13095">
        <v>4.5141911506652797</v>
      </c>
      <c r="C13095" t="s">
        <v>43</v>
      </c>
      <c r="D13095" t="s">
        <v>4731</v>
      </c>
      <c r="F13095" s="21"/>
      <c r="G13095" s="16" t="str">
        <f>HYPERLINK("http://maps.google.com/maps?f=q&amp;hl=en&amp;geocode=&amp;q=51.3096046447754,4.51419115066528")</f>
        <v>http://maps.google.com/maps?f=q&amp;hl=en&amp;geocode=&amp;q=51.3096046447754,4.51419115066528</v>
      </c>
    </row>
    <row r="13096" spans="1:7" ht="15" x14ac:dyDescent="0.3">
      <c r="A13096">
        <v>44.983654311807101</v>
      </c>
      <c r="B13096">
        <v>-124.00997283033099</v>
      </c>
      <c r="C13096" t="s">
        <v>42</v>
      </c>
      <c r="D13096" t="s">
        <v>7228</v>
      </c>
      <c r="F13096" s="21"/>
      <c r="G13096" s="16" t="str">
        <f>HYPERLINK("http://maps.google.com/maps?f=q&amp;hl=en&amp;geocode=&amp;q=44.9836543118071,-124.009972830331")</f>
        <v>http://maps.google.com/maps?f=q&amp;hl=en&amp;geocode=&amp;q=44.9836543118071,-124.009972830331</v>
      </c>
    </row>
    <row r="13097" spans="1:7" ht="15" x14ac:dyDescent="0.3">
      <c r="A13097">
        <v>40.710894129119801</v>
      </c>
      <c r="B13097">
        <v>-73.454038712335105</v>
      </c>
      <c r="C13097" t="s">
        <v>41</v>
      </c>
      <c r="D13097" t="s">
        <v>7229</v>
      </c>
      <c r="F13097" s="21"/>
      <c r="G13097" s="16" t="str">
        <f>HYPERLINK("http://maps.google.com/maps?f=q&amp;hl=en&amp;geocode=&amp;q=40.7108941291198,-73.4540387123351")</f>
        <v>http://maps.google.com/maps?f=q&amp;hl=en&amp;geocode=&amp;q=40.7108941291198,-73.4540387123351</v>
      </c>
    </row>
    <row r="13098" spans="1:7" ht="15" x14ac:dyDescent="0.3">
      <c r="A13098">
        <v>40.646334269494297</v>
      </c>
      <c r="B13098">
        <v>-73.572110132023198</v>
      </c>
      <c r="C13098" t="s">
        <v>42</v>
      </c>
      <c r="D13098" t="s">
        <v>7230</v>
      </c>
      <c r="F13098" s="21"/>
      <c r="G13098" s="16" t="str">
        <f>HYPERLINK("http://maps.google.com/maps?f=q&amp;hl=en&amp;geocode=&amp;q=40.6463342694943,-73.5721101320232")</f>
        <v>http://maps.google.com/maps?f=q&amp;hl=en&amp;geocode=&amp;q=40.6463342694943,-73.5721101320232</v>
      </c>
    </row>
    <row r="13099" spans="1:7" ht="15" x14ac:dyDescent="0.3">
      <c r="A13099">
        <v>40.829160000000002</v>
      </c>
      <c r="B13099">
        <v>-75.885720000000006</v>
      </c>
      <c r="C13099" t="s">
        <v>43</v>
      </c>
      <c r="D13099" t="s">
        <v>7231</v>
      </c>
      <c r="F13099" s="21"/>
      <c r="G13099" s="16" t="str">
        <f>HYPERLINK("http://maps.google.com/maps?f=q&amp;hl=en&amp;geocode=&amp;q=40.82916,-75.88572")</f>
        <v>http://maps.google.com/maps?f=q&amp;hl=en&amp;geocode=&amp;q=40.82916,-75.88572</v>
      </c>
    </row>
    <row r="13100" spans="1:7" ht="15" x14ac:dyDescent="0.3">
      <c r="A13100">
        <v>42.1092478555084</v>
      </c>
      <c r="B13100">
        <v>-92.993059659750699</v>
      </c>
      <c r="C13100" t="s">
        <v>41</v>
      </c>
      <c r="D13100" t="s">
        <v>3110</v>
      </c>
      <c r="F13100" s="21"/>
      <c r="G13100" s="16" t="str">
        <f>HYPERLINK("http://maps.google.com/maps?f=q&amp;hl=en&amp;geocode=&amp;q=42.1092478555084,-92.9930596597507")</f>
        <v>http://maps.google.com/maps?f=q&amp;hl=en&amp;geocode=&amp;q=42.1092478555084,-92.9930596597507</v>
      </c>
    </row>
    <row r="13101" spans="1:7" ht="15" x14ac:dyDescent="0.3">
      <c r="A13101">
        <v>42.1092478555084</v>
      </c>
      <c r="B13101">
        <v>-92.993059659750699</v>
      </c>
      <c r="C13101" t="s">
        <v>41</v>
      </c>
      <c r="D13101" t="s">
        <v>3110</v>
      </c>
      <c r="F13101" s="21"/>
      <c r="G13101" s="16" t="str">
        <f>HYPERLINK("http://maps.google.com/maps?f=q&amp;hl=en&amp;geocode=&amp;q=42.1092478555084,-92.9930596597507")</f>
        <v>http://maps.google.com/maps?f=q&amp;hl=en&amp;geocode=&amp;q=42.1092478555084,-92.9930596597507</v>
      </c>
    </row>
    <row r="13102" spans="1:7" ht="15" x14ac:dyDescent="0.3">
      <c r="A13102">
        <v>40.010434597717897</v>
      </c>
      <c r="B13102">
        <v>-75.1232979078043</v>
      </c>
      <c r="C13102" t="s">
        <v>41</v>
      </c>
      <c r="D13102" t="s">
        <v>7232</v>
      </c>
      <c r="F13102" s="21"/>
      <c r="G13102" s="16" t="str">
        <f>HYPERLINK("http://maps.google.com/maps?f=q&amp;hl=en&amp;geocode=&amp;q=40.0104345977179,-75.1232979078043")</f>
        <v>http://maps.google.com/maps?f=q&amp;hl=en&amp;geocode=&amp;q=40.0104345977179,-75.1232979078043</v>
      </c>
    </row>
    <row r="13103" spans="1:7" ht="15" x14ac:dyDescent="0.3">
      <c r="A13103" t="s">
        <v>44</v>
      </c>
      <c r="B13103" t="s">
        <v>44</v>
      </c>
      <c r="C13103" t="s">
        <v>44</v>
      </c>
      <c r="D13103" t="s">
        <v>7051</v>
      </c>
      <c r="F13103" s="21"/>
      <c r="G13103" s="16"/>
    </row>
    <row r="13104" spans="1:7" ht="15" x14ac:dyDescent="0.3">
      <c r="A13104" t="s">
        <v>44</v>
      </c>
      <c r="B13104" t="s">
        <v>44</v>
      </c>
      <c r="C13104" t="s">
        <v>44</v>
      </c>
      <c r="D13104" t="s">
        <v>7051</v>
      </c>
      <c r="F13104" s="21"/>
      <c r="G13104" s="16"/>
    </row>
    <row r="13105" spans="1:7" ht="15" x14ac:dyDescent="0.3">
      <c r="A13105">
        <v>40.746139999999997</v>
      </c>
      <c r="B13105">
        <v>-74.198139999999995</v>
      </c>
      <c r="C13105" t="s">
        <v>41</v>
      </c>
      <c r="D13105" t="s">
        <v>7233</v>
      </c>
      <c r="F13105" s="21"/>
      <c r="G13105" s="16" t="str">
        <f>HYPERLINK("http://maps.google.com/maps?f=q&amp;hl=en&amp;geocode=&amp;q=40.74614,-74.19814")</f>
        <v>http://maps.google.com/maps?f=q&amp;hl=en&amp;geocode=&amp;q=40.74614,-74.19814</v>
      </c>
    </row>
    <row r="13106" spans="1:7" ht="15" x14ac:dyDescent="0.3">
      <c r="A13106" t="s">
        <v>44</v>
      </c>
      <c r="B13106" t="s">
        <v>44</v>
      </c>
      <c r="C13106" t="s">
        <v>44</v>
      </c>
      <c r="D13106" t="s">
        <v>7051</v>
      </c>
      <c r="F13106" s="21"/>
      <c r="G13106" s="16"/>
    </row>
    <row r="13107" spans="1:7" ht="15" x14ac:dyDescent="0.3">
      <c r="A13107">
        <v>32.583317490227202</v>
      </c>
      <c r="B13107">
        <v>-83.125344390433597</v>
      </c>
      <c r="C13107" t="s">
        <v>41</v>
      </c>
      <c r="D13107" t="s">
        <v>5039</v>
      </c>
      <c r="F13107" s="21"/>
      <c r="G13107" s="16" t="str">
        <f>HYPERLINK("http://maps.google.com/maps?f=q&amp;hl=en&amp;geocode=&amp;q=32.5833174902272,-83.1253443904336")</f>
        <v>http://maps.google.com/maps?f=q&amp;hl=en&amp;geocode=&amp;q=32.5833174902272,-83.1253443904336</v>
      </c>
    </row>
    <row r="13108" spans="1:7" ht="15" x14ac:dyDescent="0.3">
      <c r="A13108">
        <v>-26.142440000000001</v>
      </c>
      <c r="B13108">
        <v>27.91825</v>
      </c>
      <c r="C13108" t="s">
        <v>41</v>
      </c>
      <c r="D13108" t="s">
        <v>2558</v>
      </c>
      <c r="F13108" s="21"/>
      <c r="G13108" s="16" t="str">
        <f>HYPERLINK("http://maps.google.com/maps?f=q&amp;hl=en&amp;geocode=&amp;q=-26.14244,27.91825")</f>
        <v>http://maps.google.com/maps?f=q&amp;hl=en&amp;geocode=&amp;q=-26.14244,27.91825</v>
      </c>
    </row>
    <row r="13109" spans="1:7" ht="15" x14ac:dyDescent="0.3">
      <c r="A13109" t="s">
        <v>44</v>
      </c>
      <c r="B13109" t="s">
        <v>44</v>
      </c>
      <c r="C13109" t="s">
        <v>44</v>
      </c>
      <c r="D13109" t="s">
        <v>3225</v>
      </c>
      <c r="F13109" s="21"/>
      <c r="G13109" s="16"/>
    </row>
    <row r="13110" spans="1:7" ht="15" x14ac:dyDescent="0.3">
      <c r="A13110">
        <v>44.844915578774703</v>
      </c>
      <c r="B13110">
        <v>-89.604176833733803</v>
      </c>
      <c r="C13110" t="s">
        <v>43</v>
      </c>
      <c r="D13110" t="s">
        <v>7234</v>
      </c>
      <c r="F13110" s="21"/>
      <c r="G13110" s="16" t="str">
        <f>HYPERLINK("http://maps.google.com/maps?f=q&amp;hl=en&amp;geocode=&amp;q=44.8449155787747,-89.6041768337338")</f>
        <v>http://maps.google.com/maps?f=q&amp;hl=en&amp;geocode=&amp;q=44.8449155787747,-89.6041768337338</v>
      </c>
    </row>
    <row r="13111" spans="1:7" ht="15" x14ac:dyDescent="0.3">
      <c r="A13111">
        <v>49.647453308105497</v>
      </c>
      <c r="B13111">
        <v>6.1309771537780797</v>
      </c>
      <c r="C13111" t="s">
        <v>41</v>
      </c>
      <c r="D13111" t="s">
        <v>7028</v>
      </c>
      <c r="F13111" s="21"/>
      <c r="G13111" s="16" t="str">
        <f>HYPERLINK("http://maps.google.com/maps?f=q&amp;hl=en&amp;geocode=&amp;q=49.6474533081055,6.13097715377808")</f>
        <v>http://maps.google.com/maps?f=q&amp;hl=en&amp;geocode=&amp;q=49.6474533081055,6.13097715377808</v>
      </c>
    </row>
    <row r="13112" spans="1:7" ht="15" x14ac:dyDescent="0.3">
      <c r="A13112">
        <v>49.647453308105497</v>
      </c>
      <c r="B13112">
        <v>6.1309771537780797</v>
      </c>
      <c r="C13112" t="s">
        <v>41</v>
      </c>
      <c r="D13112" t="s">
        <v>7028</v>
      </c>
      <c r="F13112" s="21"/>
      <c r="G13112" s="16" t="str">
        <f>HYPERLINK("http://maps.google.com/maps?f=q&amp;hl=en&amp;geocode=&amp;q=49.6474533081055,6.13097715377808")</f>
        <v>http://maps.google.com/maps?f=q&amp;hl=en&amp;geocode=&amp;q=49.6474533081055,6.13097715377808</v>
      </c>
    </row>
    <row r="13113" spans="1:7" ht="15" x14ac:dyDescent="0.3">
      <c r="A13113" t="s">
        <v>44</v>
      </c>
      <c r="B13113" t="s">
        <v>44</v>
      </c>
      <c r="C13113" t="s">
        <v>44</v>
      </c>
      <c r="D13113" t="s">
        <v>4438</v>
      </c>
      <c r="F13113" s="21"/>
      <c r="G13113" s="16"/>
    </row>
    <row r="13114" spans="1:7" ht="15" x14ac:dyDescent="0.3">
      <c r="A13114">
        <v>49.603610992431598</v>
      </c>
      <c r="B13114">
        <v>6.1350297927856401</v>
      </c>
      <c r="C13114" t="s">
        <v>43</v>
      </c>
      <c r="D13114" t="s">
        <v>7235</v>
      </c>
      <c r="F13114" s="21"/>
      <c r="G13114" s="16" t="str">
        <f>HYPERLINK("http://maps.google.com/maps?f=q&amp;hl=en&amp;geocode=&amp;q=49.6036109924316,6.13502979278564")</f>
        <v>http://maps.google.com/maps?f=q&amp;hl=en&amp;geocode=&amp;q=49.6036109924316,6.13502979278564</v>
      </c>
    </row>
    <row r="13115" spans="1:7" ht="15" x14ac:dyDescent="0.3">
      <c r="A13115">
        <v>49.647453308105497</v>
      </c>
      <c r="B13115">
        <v>6.1309771537780797</v>
      </c>
      <c r="C13115" t="s">
        <v>41</v>
      </c>
      <c r="D13115" t="s">
        <v>7028</v>
      </c>
      <c r="F13115" s="21"/>
      <c r="G13115" s="16" t="str">
        <f>HYPERLINK("http://maps.google.com/maps?f=q&amp;hl=en&amp;geocode=&amp;q=49.6474533081055,6.13097715377808")</f>
        <v>http://maps.google.com/maps?f=q&amp;hl=en&amp;geocode=&amp;q=49.6474533081055,6.13097715377808</v>
      </c>
    </row>
    <row r="13116" spans="1:7" ht="15" x14ac:dyDescent="0.3">
      <c r="A13116">
        <v>43.2552302532726</v>
      </c>
      <c r="B13116">
        <v>-73.76374217787</v>
      </c>
      <c r="C13116" t="s">
        <v>41</v>
      </c>
      <c r="D13116" t="s">
        <v>7236</v>
      </c>
      <c r="F13116" s="21"/>
      <c r="G13116" s="16" t="str">
        <f>HYPERLINK("http://maps.google.com/maps?f=q&amp;hl=en&amp;geocode=&amp;q=43.2552302532726,-73.76374217787")</f>
        <v>http://maps.google.com/maps?f=q&amp;hl=en&amp;geocode=&amp;q=43.2552302532726,-73.76374217787</v>
      </c>
    </row>
    <row r="13117" spans="1:7" ht="15" x14ac:dyDescent="0.3">
      <c r="A13117">
        <v>31.846613616730799</v>
      </c>
      <c r="B13117">
        <v>-84.754748946477704</v>
      </c>
      <c r="C13117" t="s">
        <v>41</v>
      </c>
      <c r="D13117" t="s">
        <v>6999</v>
      </c>
      <c r="F13117" s="21"/>
      <c r="G13117" s="16" t="str">
        <f>HYPERLINK("http://maps.google.com/maps?f=q&amp;hl=en&amp;geocode=&amp;q=31.8466136167308,-84.7547489464777")</f>
        <v>http://maps.google.com/maps?f=q&amp;hl=en&amp;geocode=&amp;q=31.8466136167308,-84.7547489464777</v>
      </c>
    </row>
    <row r="13118" spans="1:7" ht="15" x14ac:dyDescent="0.3">
      <c r="A13118">
        <v>39.912990000000001</v>
      </c>
      <c r="B13118">
        <v>-75.235879999999995</v>
      </c>
      <c r="C13118" t="s">
        <v>41</v>
      </c>
      <c r="D13118" t="s">
        <v>7237</v>
      </c>
      <c r="F13118" s="21"/>
      <c r="G13118" s="16" t="str">
        <f>HYPERLINK("http://maps.google.com/maps?f=q&amp;hl=en&amp;geocode=&amp;q=39.91299,-75.23588")</f>
        <v>http://maps.google.com/maps?f=q&amp;hl=en&amp;geocode=&amp;q=39.91299,-75.23588</v>
      </c>
    </row>
    <row r="13119" spans="1:7" ht="15" x14ac:dyDescent="0.3">
      <c r="A13119">
        <v>40.031279197447198</v>
      </c>
      <c r="B13119">
        <v>-75.161887206621998</v>
      </c>
      <c r="C13119" t="s">
        <v>41</v>
      </c>
      <c r="D13119" t="s">
        <v>7238</v>
      </c>
      <c r="F13119" s="21"/>
      <c r="G13119" s="16" t="str">
        <f>HYPERLINK("http://maps.google.com/maps?f=q&amp;hl=en&amp;geocode=&amp;q=40.0312791974472,-75.161887206622")</f>
        <v>http://maps.google.com/maps?f=q&amp;hl=en&amp;geocode=&amp;q=40.0312791974472,-75.161887206622</v>
      </c>
    </row>
    <row r="13120" spans="1:7" ht="15" x14ac:dyDescent="0.3">
      <c r="A13120">
        <v>36.924036359144999</v>
      </c>
      <c r="B13120">
        <v>-93.927740973404994</v>
      </c>
      <c r="C13120" t="s">
        <v>41</v>
      </c>
      <c r="D13120" t="s">
        <v>6784</v>
      </c>
      <c r="F13120" s="21"/>
      <c r="G13120" s="16" t="str">
        <f>HYPERLINK("http://maps.google.com/maps?f=q&amp;hl=en&amp;geocode=&amp;q=36.924036359145,-93.927740973405")</f>
        <v>http://maps.google.com/maps?f=q&amp;hl=en&amp;geocode=&amp;q=36.924036359145,-93.927740973405</v>
      </c>
    </row>
    <row r="13121" spans="1:7" ht="15" x14ac:dyDescent="0.3">
      <c r="F13121" s="21"/>
      <c r="G13121" s="16"/>
    </row>
    <row r="13122" spans="1:7" ht="15" x14ac:dyDescent="0.3">
      <c r="A13122">
        <v>31.008949999999999</v>
      </c>
      <c r="B13122">
        <v>-86.337400000000002</v>
      </c>
      <c r="C13122" t="s">
        <v>42</v>
      </c>
      <c r="D13122" t="s">
        <v>6521</v>
      </c>
      <c r="F13122" s="21"/>
      <c r="G13122" s="16" t="str">
        <f>HYPERLINK("http://maps.google.com/maps?f=q&amp;hl=en&amp;geocode=&amp;q=31.00895,-86.3374")</f>
        <v>http://maps.google.com/maps?f=q&amp;hl=en&amp;geocode=&amp;q=31.00895,-86.3374</v>
      </c>
    </row>
    <row r="13123" spans="1:7" ht="15" x14ac:dyDescent="0.3">
      <c r="A13123">
        <v>40.908749910626497</v>
      </c>
      <c r="B13123">
        <v>-77.764936395626293</v>
      </c>
      <c r="C13123" t="s">
        <v>41</v>
      </c>
      <c r="D13123" t="s">
        <v>7239</v>
      </c>
      <c r="F13123" s="21"/>
      <c r="G13123" s="16" t="str">
        <f>HYPERLINK("http://maps.google.com/maps?f=q&amp;hl=en&amp;geocode=&amp;q=40.9087499106265,-77.7649363956263")</f>
        <v>http://maps.google.com/maps?f=q&amp;hl=en&amp;geocode=&amp;q=40.9087499106265,-77.7649363956263</v>
      </c>
    </row>
    <row r="13124" spans="1:7" ht="15" x14ac:dyDescent="0.3">
      <c r="A13124">
        <v>41.125869750976598</v>
      </c>
      <c r="B13124">
        <v>16.8666591644287</v>
      </c>
      <c r="C13124" t="s">
        <v>43</v>
      </c>
      <c r="D13124" t="s">
        <v>7240</v>
      </c>
      <c r="F13124" s="21"/>
      <c r="G13124" s="16" t="str">
        <f>HYPERLINK("http://maps.google.com/maps?f=q&amp;hl=en&amp;geocode=&amp;q=41.1258697509766,16.8666591644287")</f>
        <v>http://maps.google.com/maps?f=q&amp;hl=en&amp;geocode=&amp;q=41.1258697509766,16.8666591644287</v>
      </c>
    </row>
    <row r="13125" spans="1:7" ht="15" x14ac:dyDescent="0.3">
      <c r="A13125">
        <v>40.027532913026697</v>
      </c>
      <c r="B13125">
        <v>-75.082727883113904</v>
      </c>
      <c r="C13125" t="s">
        <v>41</v>
      </c>
      <c r="D13125" t="s">
        <v>7241</v>
      </c>
      <c r="F13125" s="21"/>
      <c r="G13125" s="16" t="str">
        <f>HYPERLINK("http://maps.google.com/maps?f=q&amp;hl=en&amp;geocode=&amp;q=40.0275329130267,-75.0827278831139")</f>
        <v>http://maps.google.com/maps?f=q&amp;hl=en&amp;geocode=&amp;q=40.0275329130267,-75.0827278831139</v>
      </c>
    </row>
    <row r="13126" spans="1:7" ht="15" x14ac:dyDescent="0.3">
      <c r="A13126">
        <v>39.941600000000001</v>
      </c>
      <c r="B13126">
        <v>-75.181439999999995</v>
      </c>
      <c r="C13126" t="s">
        <v>41</v>
      </c>
      <c r="D13126" t="s">
        <v>7242</v>
      </c>
      <c r="F13126" s="21"/>
      <c r="G13126" s="16" t="str">
        <f>HYPERLINK("http://maps.google.com/maps?f=q&amp;hl=en&amp;geocode=&amp;q=39.9416,-75.18144")</f>
        <v>http://maps.google.com/maps?f=q&amp;hl=en&amp;geocode=&amp;q=39.9416,-75.18144</v>
      </c>
    </row>
    <row r="13127" spans="1:7" ht="15" x14ac:dyDescent="0.3">
      <c r="A13127">
        <v>35.499510000000001</v>
      </c>
      <c r="B13127">
        <v>-80.64255</v>
      </c>
      <c r="C13127" t="s">
        <v>41</v>
      </c>
      <c r="D13127" t="s">
        <v>7243</v>
      </c>
      <c r="F13127" s="21"/>
      <c r="G13127" s="16" t="str">
        <f>HYPERLINK("http://maps.google.com/maps?f=q&amp;hl=en&amp;geocode=&amp;q=35.49951,-80.64255")</f>
        <v>http://maps.google.com/maps?f=q&amp;hl=en&amp;geocode=&amp;q=35.49951,-80.64255</v>
      </c>
    </row>
    <row r="13128" spans="1:7" ht="15" x14ac:dyDescent="0.3">
      <c r="A13128" t="s">
        <v>44</v>
      </c>
      <c r="B13128" t="s">
        <v>44</v>
      </c>
      <c r="C13128" t="s">
        <v>44</v>
      </c>
      <c r="D13128" t="s">
        <v>7051</v>
      </c>
      <c r="F13128" s="21"/>
      <c r="G13128" s="16"/>
    </row>
    <row r="13129" spans="1:7" ht="15" x14ac:dyDescent="0.3">
      <c r="A13129">
        <v>49.647453308105497</v>
      </c>
      <c r="B13129">
        <v>6.1309771537780797</v>
      </c>
      <c r="C13129" t="s">
        <v>41</v>
      </c>
      <c r="D13129" t="s">
        <v>7028</v>
      </c>
      <c r="F13129" s="21"/>
      <c r="G13129" s="16" t="str">
        <f>HYPERLINK("http://maps.google.com/maps?f=q&amp;hl=en&amp;geocode=&amp;q=49.6474533081055,6.13097715377808")</f>
        <v>http://maps.google.com/maps?f=q&amp;hl=en&amp;geocode=&amp;q=49.6474533081055,6.13097715377808</v>
      </c>
    </row>
    <row r="13130" spans="1:7" ht="15" x14ac:dyDescent="0.3">
      <c r="A13130">
        <v>41.635562853590102</v>
      </c>
      <c r="B13130">
        <v>-87.518490164412498</v>
      </c>
      <c r="C13130" t="s">
        <v>41</v>
      </c>
      <c r="D13130" t="s">
        <v>7244</v>
      </c>
      <c r="F13130" s="21"/>
      <c r="G13130" s="16" t="str">
        <f>HYPERLINK("http://maps.google.com/maps?f=q&amp;hl=en&amp;geocode=&amp;q=41.6355628535901,-87.5184901644125")</f>
        <v>http://maps.google.com/maps?f=q&amp;hl=en&amp;geocode=&amp;q=41.6355628535901,-87.5184901644125</v>
      </c>
    </row>
    <row r="13131" spans="1:7" ht="15" x14ac:dyDescent="0.3">
      <c r="A13131">
        <v>36.279124091030397</v>
      </c>
      <c r="B13131">
        <v>-80.355607987436798</v>
      </c>
      <c r="C13131" t="s">
        <v>41</v>
      </c>
      <c r="D13131" t="s">
        <v>7245</v>
      </c>
      <c r="F13131" s="21"/>
      <c r="G13131" s="16" t="str">
        <f>HYPERLINK("http://maps.google.com/maps?f=q&amp;hl=en&amp;geocode=&amp;q=36.2791240910304,-80.3556079874368")</f>
        <v>http://maps.google.com/maps?f=q&amp;hl=en&amp;geocode=&amp;q=36.2791240910304,-80.3556079874368</v>
      </c>
    </row>
    <row r="13132" spans="1:7" ht="15" x14ac:dyDescent="0.3">
      <c r="A13132">
        <v>49.647453308105497</v>
      </c>
      <c r="B13132">
        <v>6.1309771537780797</v>
      </c>
      <c r="C13132" t="s">
        <v>41</v>
      </c>
      <c r="D13132" t="s">
        <v>7028</v>
      </c>
      <c r="F13132" s="21"/>
      <c r="G13132" s="16" t="str">
        <f>HYPERLINK("http://maps.google.com/maps?f=q&amp;hl=en&amp;geocode=&amp;q=49.6474533081055,6.13097715377808")</f>
        <v>http://maps.google.com/maps?f=q&amp;hl=en&amp;geocode=&amp;q=49.6474533081055,6.13097715377808</v>
      </c>
    </row>
    <row r="13133" spans="1:7" ht="15" x14ac:dyDescent="0.3">
      <c r="A13133">
        <v>49.647453308105497</v>
      </c>
      <c r="B13133">
        <v>6.1309771537780797</v>
      </c>
      <c r="C13133" t="s">
        <v>41</v>
      </c>
      <c r="D13133" t="s">
        <v>7028</v>
      </c>
      <c r="F13133" s="21"/>
      <c r="G13133" s="16" t="str">
        <f>HYPERLINK("http://maps.google.com/maps?f=q&amp;hl=en&amp;geocode=&amp;q=49.6474533081055,6.13097715377808")</f>
        <v>http://maps.google.com/maps?f=q&amp;hl=en&amp;geocode=&amp;q=49.6474533081055,6.13097715377808</v>
      </c>
    </row>
    <row r="13134" spans="1:7" ht="15" x14ac:dyDescent="0.3">
      <c r="A13134">
        <v>49.647453308105497</v>
      </c>
      <c r="B13134">
        <v>6.1309771537780797</v>
      </c>
      <c r="C13134" t="s">
        <v>41</v>
      </c>
      <c r="D13134" t="s">
        <v>7028</v>
      </c>
      <c r="F13134" s="21"/>
      <c r="G13134" s="16" t="str">
        <f>HYPERLINK("http://maps.google.com/maps?f=q&amp;hl=en&amp;geocode=&amp;q=49.6474533081055,6.13097715377808")</f>
        <v>http://maps.google.com/maps?f=q&amp;hl=en&amp;geocode=&amp;q=49.6474533081055,6.13097715377808</v>
      </c>
    </row>
    <row r="13135" spans="1:7" ht="15" x14ac:dyDescent="0.3">
      <c r="A13135">
        <v>34.438859721853603</v>
      </c>
      <c r="B13135">
        <v>-79.356475616383193</v>
      </c>
      <c r="C13135" t="s">
        <v>41</v>
      </c>
      <c r="D13135" t="s">
        <v>7246</v>
      </c>
      <c r="F13135" s="21"/>
      <c r="G13135" s="16" t="str">
        <f>HYPERLINK("http://maps.google.com/maps?f=q&amp;hl=en&amp;geocode=&amp;q=34.4388597218536,-79.3564756163832")</f>
        <v>http://maps.google.com/maps?f=q&amp;hl=en&amp;geocode=&amp;q=34.4388597218536,-79.3564756163832</v>
      </c>
    </row>
    <row r="13136" spans="1:7" ht="15" x14ac:dyDescent="0.3">
      <c r="A13136" t="s">
        <v>44</v>
      </c>
      <c r="B13136" t="s">
        <v>44</v>
      </c>
      <c r="C13136" t="s">
        <v>44</v>
      </c>
      <c r="D13136" t="s">
        <v>7247</v>
      </c>
      <c r="F13136" s="21"/>
      <c r="G13136" s="16"/>
    </row>
    <row r="13137" spans="1:7" ht="15" x14ac:dyDescent="0.3">
      <c r="A13137">
        <v>46.807298698828099</v>
      </c>
      <c r="B13137">
        <v>-100.762869161819</v>
      </c>
      <c r="C13137" t="s">
        <v>41</v>
      </c>
      <c r="D13137" t="s">
        <v>7248</v>
      </c>
      <c r="F13137" s="21"/>
      <c r="G13137" s="16" t="str">
        <f>HYPERLINK("http://maps.google.com/maps?f=q&amp;hl=en&amp;geocode=&amp;q=46.8072986988281,-100.762869161819")</f>
        <v>http://maps.google.com/maps?f=q&amp;hl=en&amp;geocode=&amp;q=46.8072986988281,-100.762869161819</v>
      </c>
    </row>
    <row r="13138" spans="1:7" ht="15" x14ac:dyDescent="0.3">
      <c r="A13138" t="s">
        <v>44</v>
      </c>
      <c r="B13138" t="s">
        <v>44</v>
      </c>
      <c r="C13138" t="s">
        <v>44</v>
      </c>
      <c r="D13138" t="s">
        <v>7249</v>
      </c>
      <c r="F13138" s="21"/>
      <c r="G13138" s="16"/>
    </row>
    <row r="13139" spans="1:7" ht="15" x14ac:dyDescent="0.3">
      <c r="A13139">
        <v>39.9985830122572</v>
      </c>
      <c r="B13139">
        <v>-75.108393629560197</v>
      </c>
      <c r="C13139" t="s">
        <v>41</v>
      </c>
      <c r="D13139" t="s">
        <v>7250</v>
      </c>
      <c r="F13139" s="21"/>
      <c r="G13139" s="16" t="str">
        <f>HYPERLINK("http://maps.google.com/maps?f=q&amp;hl=en&amp;geocode=&amp;q=39.9985830122572,-75.1083936295602")</f>
        <v>http://maps.google.com/maps?f=q&amp;hl=en&amp;geocode=&amp;q=39.9985830122572,-75.1083936295602</v>
      </c>
    </row>
    <row r="13140" spans="1:7" ht="15" x14ac:dyDescent="0.3">
      <c r="A13140" t="s">
        <v>44</v>
      </c>
      <c r="B13140" t="s">
        <v>44</v>
      </c>
      <c r="C13140" t="s">
        <v>44</v>
      </c>
      <c r="D13140" t="s">
        <v>7251</v>
      </c>
      <c r="F13140" s="21"/>
      <c r="G13140" s="16"/>
    </row>
    <row r="13141" spans="1:7" ht="15" x14ac:dyDescent="0.3">
      <c r="A13141">
        <v>33.072397345462299</v>
      </c>
      <c r="B13141">
        <v>-96.223795458415594</v>
      </c>
      <c r="C13141" t="s">
        <v>41</v>
      </c>
      <c r="D13141" t="s">
        <v>7252</v>
      </c>
      <c r="F13141" s="21"/>
      <c r="G13141" s="16" t="str">
        <f>HYPERLINK("http://maps.google.com/maps?f=q&amp;hl=en&amp;geocode=&amp;q=33.0723973454623,-96.2237954584156")</f>
        <v>http://maps.google.com/maps?f=q&amp;hl=en&amp;geocode=&amp;q=33.0723973454623,-96.2237954584156</v>
      </c>
    </row>
    <row r="13142" spans="1:7" ht="15" x14ac:dyDescent="0.3">
      <c r="F13142" s="21"/>
      <c r="G13142" s="16"/>
    </row>
    <row r="13143" spans="1:7" ht="15" x14ac:dyDescent="0.3">
      <c r="F13143" s="21"/>
      <c r="G13143" s="16"/>
    </row>
    <row r="13144" spans="1:7" ht="15" x14ac:dyDescent="0.3">
      <c r="A13144">
        <v>40.779430389404297</v>
      </c>
      <c r="B13144">
        <v>-7.1032009124755904</v>
      </c>
      <c r="C13144" t="s">
        <v>43</v>
      </c>
      <c r="D13144" t="s">
        <v>174</v>
      </c>
      <c r="F13144" s="21"/>
      <c r="G13144" s="16" t="str">
        <f>HYPERLINK("http://maps.google.com/maps?f=q&amp;hl=en&amp;geocode=&amp;q=40.7794303894043,-7.10320091247559")</f>
        <v>http://maps.google.com/maps?f=q&amp;hl=en&amp;geocode=&amp;q=40.7794303894043,-7.10320091247559</v>
      </c>
    </row>
    <row r="13145" spans="1:7" ht="15" x14ac:dyDescent="0.3">
      <c r="A13145">
        <v>37.998439473874498</v>
      </c>
      <c r="B13145">
        <v>-84.359855883327697</v>
      </c>
      <c r="C13145" t="s">
        <v>41</v>
      </c>
      <c r="D13145" t="s">
        <v>7253</v>
      </c>
      <c r="F13145" s="21"/>
      <c r="G13145" s="16" t="str">
        <f>HYPERLINK("http://maps.google.com/maps?f=q&amp;hl=en&amp;geocode=&amp;q=37.9984394738745,-84.3598558833277")</f>
        <v>http://maps.google.com/maps?f=q&amp;hl=en&amp;geocode=&amp;q=37.9984394738745,-84.3598558833277</v>
      </c>
    </row>
    <row r="13146" spans="1:7" ht="15" x14ac:dyDescent="0.3">
      <c r="A13146">
        <v>32.9852581192145</v>
      </c>
      <c r="B13146">
        <v>-96.801636084177403</v>
      </c>
      <c r="C13146" t="s">
        <v>41</v>
      </c>
      <c r="D13146" t="s">
        <v>4154</v>
      </c>
      <c r="F13146" s="21"/>
      <c r="G13146" s="16" t="str">
        <f>HYPERLINK("http://maps.google.com/maps?f=q&amp;hl=en&amp;geocode=&amp;q=32.9852581192145,-96.8016360841774")</f>
        <v>http://maps.google.com/maps?f=q&amp;hl=en&amp;geocode=&amp;q=32.9852581192145,-96.8016360841774</v>
      </c>
    </row>
    <row r="13147" spans="1:7" ht="15" x14ac:dyDescent="0.3">
      <c r="A13147">
        <v>39.921239999999997</v>
      </c>
      <c r="B13147">
        <v>-75.229410000000001</v>
      </c>
      <c r="C13147" t="s">
        <v>41</v>
      </c>
      <c r="D13147" t="s">
        <v>7254</v>
      </c>
      <c r="F13147" s="21"/>
      <c r="G13147" s="16" t="str">
        <f>HYPERLINK("http://maps.google.com/maps?f=q&amp;hl=en&amp;geocode=&amp;q=39.92124,-75.22941")</f>
        <v>http://maps.google.com/maps?f=q&amp;hl=en&amp;geocode=&amp;q=39.92124,-75.22941</v>
      </c>
    </row>
    <row r="13148" spans="1:7" ht="15" x14ac:dyDescent="0.3">
      <c r="A13148">
        <v>39.943689951656097</v>
      </c>
      <c r="B13148">
        <v>-75.177456428954301</v>
      </c>
      <c r="C13148" t="s">
        <v>41</v>
      </c>
      <c r="D13148" t="s">
        <v>6367</v>
      </c>
      <c r="F13148" s="21"/>
      <c r="G13148" s="16" t="str">
        <f>HYPERLINK("http://maps.google.com/maps?f=q&amp;hl=en&amp;geocode=&amp;q=39.9436899516561,-75.1774564289543")</f>
        <v>http://maps.google.com/maps?f=q&amp;hl=en&amp;geocode=&amp;q=39.9436899516561,-75.1774564289543</v>
      </c>
    </row>
    <row r="13149" spans="1:7" ht="15" x14ac:dyDescent="0.3">
      <c r="A13149">
        <v>37.624438034029602</v>
      </c>
      <c r="B13149">
        <v>-77.577033389565202</v>
      </c>
      <c r="C13149" t="s">
        <v>41</v>
      </c>
      <c r="D13149" t="s">
        <v>6510</v>
      </c>
      <c r="F13149" s="21"/>
      <c r="G13149" s="16" t="str">
        <f>HYPERLINK("http://maps.google.com/maps?f=q&amp;hl=en&amp;geocode=&amp;q=37.6244380340296,-77.5770333895652")</f>
        <v>http://maps.google.com/maps?f=q&amp;hl=en&amp;geocode=&amp;q=37.6244380340296,-77.5770333895652</v>
      </c>
    </row>
    <row r="13150" spans="1:7" ht="15" x14ac:dyDescent="0.3">
      <c r="A13150">
        <v>41.094352882729098</v>
      </c>
      <c r="B13150">
        <v>-85.112670712314198</v>
      </c>
      <c r="C13150" t="s">
        <v>41</v>
      </c>
      <c r="D13150" t="s">
        <v>5775</v>
      </c>
      <c r="F13150" s="21"/>
      <c r="G13150" s="16" t="str">
        <f>HYPERLINK("http://maps.google.com/maps?f=q&amp;hl=en&amp;geocode=&amp;q=41.0943528827291,-85.1126707123142")</f>
        <v>http://maps.google.com/maps?f=q&amp;hl=en&amp;geocode=&amp;q=41.0943528827291,-85.1126707123142</v>
      </c>
    </row>
    <row r="13151" spans="1:7" ht="15" x14ac:dyDescent="0.3">
      <c r="A13151">
        <v>54.562068939208999</v>
      </c>
      <c r="B13151">
        <v>-125.10440063476599</v>
      </c>
      <c r="C13151" t="s">
        <v>41</v>
      </c>
      <c r="D13151" t="s">
        <v>7255</v>
      </c>
      <c r="F13151" s="21"/>
      <c r="G13151" s="16" t="str">
        <f>HYPERLINK("http://maps.google.com/maps?f=q&amp;hl=en&amp;geocode=&amp;q=54.562068939209,-125.104400634766")</f>
        <v>http://maps.google.com/maps?f=q&amp;hl=en&amp;geocode=&amp;q=54.562068939209,-125.104400634766</v>
      </c>
    </row>
    <row r="13152" spans="1:7" ht="15" x14ac:dyDescent="0.3">
      <c r="A13152">
        <v>49.647453308105497</v>
      </c>
      <c r="B13152">
        <v>6.1309771537780797</v>
      </c>
      <c r="C13152" t="s">
        <v>41</v>
      </c>
      <c r="D13152" t="s">
        <v>7028</v>
      </c>
      <c r="F13152" s="21"/>
      <c r="G13152" s="16" t="str">
        <f>HYPERLINK("http://maps.google.com/maps?f=q&amp;hl=en&amp;geocode=&amp;q=49.6474533081055,6.13097715377808")</f>
        <v>http://maps.google.com/maps?f=q&amp;hl=en&amp;geocode=&amp;q=49.6474533081055,6.13097715377808</v>
      </c>
    </row>
    <row r="13153" spans="1:7" ht="15" x14ac:dyDescent="0.3">
      <c r="A13153">
        <v>36.093150000000001</v>
      </c>
      <c r="B13153">
        <v>-78.968919999999997</v>
      </c>
      <c r="C13153" t="s">
        <v>42</v>
      </c>
      <c r="D13153" t="s">
        <v>7256</v>
      </c>
      <c r="F13153" s="21"/>
      <c r="G13153" s="16" t="str">
        <f>HYPERLINK("http://maps.google.com/maps?f=q&amp;hl=en&amp;geocode=&amp;q=36.09315,-78.96892")</f>
        <v>http://maps.google.com/maps?f=q&amp;hl=en&amp;geocode=&amp;q=36.09315,-78.96892</v>
      </c>
    </row>
    <row r="13154" spans="1:7" ht="15" x14ac:dyDescent="0.3">
      <c r="A13154">
        <v>49.647453308105497</v>
      </c>
      <c r="B13154">
        <v>6.1309771537780797</v>
      </c>
      <c r="C13154" t="s">
        <v>41</v>
      </c>
      <c r="D13154" t="s">
        <v>7028</v>
      </c>
      <c r="F13154" s="21"/>
      <c r="G13154" s="16" t="str">
        <f>HYPERLINK("http://maps.google.com/maps?f=q&amp;hl=en&amp;geocode=&amp;q=49.6474533081055,6.13097715377808")</f>
        <v>http://maps.google.com/maps?f=q&amp;hl=en&amp;geocode=&amp;q=49.6474533081055,6.13097715377808</v>
      </c>
    </row>
    <row r="13155" spans="1:7" ht="15" x14ac:dyDescent="0.3">
      <c r="A13155">
        <v>40.036290000000001</v>
      </c>
      <c r="B13155">
        <v>-75.034649999999999</v>
      </c>
      <c r="C13155" t="s">
        <v>41</v>
      </c>
      <c r="D13155" t="s">
        <v>3664</v>
      </c>
      <c r="F13155" s="21"/>
      <c r="G13155" s="16" t="str">
        <f>HYPERLINK("http://maps.google.com/maps?f=q&amp;hl=en&amp;geocode=&amp;q=40.03629,-75.03465")</f>
        <v>http://maps.google.com/maps?f=q&amp;hl=en&amp;geocode=&amp;q=40.03629,-75.03465</v>
      </c>
    </row>
    <row r="13156" spans="1:7" ht="15" x14ac:dyDescent="0.3">
      <c r="A13156">
        <v>26.283059529421401</v>
      </c>
      <c r="B13156">
        <v>-98.360556143071094</v>
      </c>
      <c r="C13156" t="s">
        <v>41</v>
      </c>
      <c r="D13156" t="s">
        <v>7257</v>
      </c>
      <c r="F13156" s="21"/>
      <c r="G13156" s="16" t="str">
        <f>HYPERLINK("http://maps.google.com/maps?f=q&amp;hl=en&amp;geocode=&amp;q=26.2830595294214,-98.3605561430711")</f>
        <v>http://maps.google.com/maps?f=q&amp;hl=en&amp;geocode=&amp;q=26.2830595294214,-98.3605561430711</v>
      </c>
    </row>
    <row r="13157" spans="1:7" ht="15" x14ac:dyDescent="0.3">
      <c r="A13157">
        <v>46.088410000000003</v>
      </c>
      <c r="B13157">
        <v>12.59421</v>
      </c>
      <c r="C13157" t="s">
        <v>41</v>
      </c>
      <c r="D13157" t="s">
        <v>7108</v>
      </c>
      <c r="F13157" s="21"/>
      <c r="G13157" s="16" t="str">
        <f>HYPERLINK("http://maps.google.com/maps?f=q&amp;hl=en&amp;geocode=&amp;q=46.08841,12.59421")</f>
        <v>http://maps.google.com/maps?f=q&amp;hl=en&amp;geocode=&amp;q=46.08841,12.59421</v>
      </c>
    </row>
    <row r="13158" spans="1:7" ht="15" x14ac:dyDescent="0.3">
      <c r="A13158">
        <v>40.568770000000001</v>
      </c>
      <c r="B13158">
        <v>-74.728870000000001</v>
      </c>
      <c r="C13158" t="s">
        <v>41</v>
      </c>
      <c r="D13158" t="s">
        <v>7258</v>
      </c>
      <c r="F13158" s="21"/>
      <c r="G13158" s="16" t="str">
        <f>HYPERLINK("http://maps.google.com/maps?f=q&amp;hl=en&amp;geocode=&amp;q=40.56877,-74.72887")</f>
        <v>http://maps.google.com/maps?f=q&amp;hl=en&amp;geocode=&amp;q=40.56877,-74.72887</v>
      </c>
    </row>
    <row r="13159" spans="1:7" ht="15" x14ac:dyDescent="0.3">
      <c r="A13159">
        <v>40.058729999999997</v>
      </c>
      <c r="B13159">
        <v>-75.174409999999995</v>
      </c>
      <c r="C13159" t="s">
        <v>41</v>
      </c>
      <c r="D13159" t="s">
        <v>7259</v>
      </c>
      <c r="F13159" s="21"/>
      <c r="G13159" s="16" t="str">
        <f>HYPERLINK("http://maps.google.com/maps?f=q&amp;hl=en&amp;geocode=&amp;q=40.05873,-75.17441")</f>
        <v>http://maps.google.com/maps?f=q&amp;hl=en&amp;geocode=&amp;q=40.05873,-75.17441</v>
      </c>
    </row>
    <row r="13160" spans="1:7" ht="15" x14ac:dyDescent="0.3">
      <c r="A13160">
        <v>39.719259999999998</v>
      </c>
      <c r="B13160">
        <v>-78.610119999999995</v>
      </c>
      <c r="C13160" t="s">
        <v>42</v>
      </c>
      <c r="D13160" t="s">
        <v>7260</v>
      </c>
      <c r="F13160" s="21"/>
      <c r="G13160" s="16" t="str">
        <f>HYPERLINK("http://maps.google.com/maps?f=q&amp;hl=en&amp;geocode=&amp;q=39.71926,-78.61012")</f>
        <v>http://maps.google.com/maps?f=q&amp;hl=en&amp;geocode=&amp;q=39.71926,-78.61012</v>
      </c>
    </row>
    <row r="13161" spans="1:7" ht="15" x14ac:dyDescent="0.3">
      <c r="A13161">
        <v>49.647453308105497</v>
      </c>
      <c r="B13161">
        <v>6.1309771537780797</v>
      </c>
      <c r="C13161" t="s">
        <v>41</v>
      </c>
      <c r="D13161" t="s">
        <v>7028</v>
      </c>
      <c r="F13161" s="21"/>
      <c r="G13161" s="16" t="str">
        <f>HYPERLINK("http://maps.google.com/maps?f=q&amp;hl=en&amp;geocode=&amp;q=49.6474533081055,6.13097715377808")</f>
        <v>http://maps.google.com/maps?f=q&amp;hl=en&amp;geocode=&amp;q=49.6474533081055,6.13097715377808</v>
      </c>
    </row>
    <row r="13162" spans="1:7" ht="15" x14ac:dyDescent="0.3">
      <c r="A13162">
        <v>38.548864000000002</v>
      </c>
      <c r="B13162">
        <v>-77.080082000000004</v>
      </c>
      <c r="C13162" t="s">
        <v>41</v>
      </c>
      <c r="D13162" t="s">
        <v>3647</v>
      </c>
      <c r="F13162" s="21"/>
      <c r="G13162" s="16" t="str">
        <f>HYPERLINK("http://maps.google.com/maps?f=q&amp;hl=en&amp;geocode=&amp;q=38.548864,-77.080082")</f>
        <v>http://maps.google.com/maps?f=q&amp;hl=en&amp;geocode=&amp;q=38.548864,-77.080082</v>
      </c>
    </row>
    <row r="13163" spans="1:7" ht="15" x14ac:dyDescent="0.3">
      <c r="A13163">
        <v>39.267769999999999</v>
      </c>
      <c r="B13163">
        <v>-75.639560000000003</v>
      </c>
      <c r="C13163" t="s">
        <v>42</v>
      </c>
      <c r="D13163" t="s">
        <v>7261</v>
      </c>
      <c r="F13163" s="21"/>
      <c r="G13163" s="16" t="str">
        <f>HYPERLINK("http://maps.google.com/maps?f=q&amp;hl=en&amp;geocode=&amp;q=39.26777,-75.63956")</f>
        <v>http://maps.google.com/maps?f=q&amp;hl=en&amp;geocode=&amp;q=39.26777,-75.63956</v>
      </c>
    </row>
    <row r="13164" spans="1:7" ht="15" x14ac:dyDescent="0.3">
      <c r="A13164">
        <v>46.088410000000003</v>
      </c>
      <c r="B13164">
        <v>12.59421</v>
      </c>
      <c r="C13164" t="s">
        <v>41</v>
      </c>
      <c r="D13164" t="s">
        <v>7108</v>
      </c>
      <c r="F13164" s="21"/>
      <c r="G13164" s="16" t="str">
        <f>HYPERLINK("http://maps.google.com/maps?f=q&amp;hl=en&amp;geocode=&amp;q=46.08841,12.59421")</f>
        <v>http://maps.google.com/maps?f=q&amp;hl=en&amp;geocode=&amp;q=46.08841,12.59421</v>
      </c>
    </row>
    <row r="13165" spans="1:7" ht="15" x14ac:dyDescent="0.3">
      <c r="A13165">
        <v>46.088410000000003</v>
      </c>
      <c r="B13165">
        <v>12.59421</v>
      </c>
      <c r="C13165" t="s">
        <v>41</v>
      </c>
      <c r="D13165" t="s">
        <v>7108</v>
      </c>
      <c r="F13165" s="21"/>
      <c r="G13165" s="16" t="str">
        <f>HYPERLINK("http://maps.google.com/maps?f=q&amp;hl=en&amp;geocode=&amp;q=46.08841,12.59421")</f>
        <v>http://maps.google.com/maps?f=q&amp;hl=en&amp;geocode=&amp;q=46.08841,12.59421</v>
      </c>
    </row>
    <row r="13166" spans="1:7" ht="15" x14ac:dyDescent="0.3">
      <c r="A13166">
        <v>46.429309844970703</v>
      </c>
      <c r="B13166">
        <v>6.9619798660278303</v>
      </c>
      <c r="C13166" t="s">
        <v>41</v>
      </c>
      <c r="D13166" t="s">
        <v>7262</v>
      </c>
      <c r="F13166" s="21"/>
      <c r="G13166" s="16" t="str">
        <f>HYPERLINK("http://maps.google.com/maps?f=q&amp;hl=en&amp;geocode=&amp;q=46.4293098449707,6.96197986602783")</f>
        <v>http://maps.google.com/maps?f=q&amp;hl=en&amp;geocode=&amp;q=46.4293098449707,6.96197986602783</v>
      </c>
    </row>
    <row r="13167" spans="1:7" ht="15" x14ac:dyDescent="0.3">
      <c r="A13167">
        <v>37.023646268662802</v>
      </c>
      <c r="B13167">
        <v>-95.936023678908896</v>
      </c>
      <c r="C13167" t="s">
        <v>41</v>
      </c>
      <c r="D13167" t="s">
        <v>6402</v>
      </c>
      <c r="F13167" s="21"/>
      <c r="G13167" s="16" t="str">
        <f>HYPERLINK("http://maps.google.com/maps?f=q&amp;hl=en&amp;geocode=&amp;q=37.0236462686628,-95.9360236789089")</f>
        <v>http://maps.google.com/maps?f=q&amp;hl=en&amp;geocode=&amp;q=37.0236462686628,-95.9360236789089</v>
      </c>
    </row>
    <row r="13168" spans="1:7" ht="15" x14ac:dyDescent="0.3">
      <c r="A13168">
        <v>28.6184010945659</v>
      </c>
      <c r="B13168">
        <v>-81.408916311495503</v>
      </c>
      <c r="C13168" t="s">
        <v>41</v>
      </c>
      <c r="D13168" t="s">
        <v>7263</v>
      </c>
      <c r="F13168" s="21"/>
      <c r="G13168" s="16" t="str">
        <f>HYPERLINK("http://maps.google.com/maps?f=q&amp;hl=en&amp;geocode=&amp;q=28.6184010945659,-81.4089163114955")</f>
        <v>http://maps.google.com/maps?f=q&amp;hl=en&amp;geocode=&amp;q=28.6184010945659,-81.4089163114955</v>
      </c>
    </row>
    <row r="13169" spans="1:7" ht="15" x14ac:dyDescent="0.3">
      <c r="A13169">
        <v>30.427131875515901</v>
      </c>
      <c r="B13169">
        <v>-87.237656197241904</v>
      </c>
      <c r="C13169" t="s">
        <v>41</v>
      </c>
      <c r="D13169" t="s">
        <v>7264</v>
      </c>
      <c r="F13169" s="21"/>
      <c r="G13169" s="16" t="str">
        <f>HYPERLINK("http://maps.google.com/maps?f=q&amp;hl=en&amp;geocode=&amp;q=30.4271318755159,-87.2376561972419")</f>
        <v>http://maps.google.com/maps?f=q&amp;hl=en&amp;geocode=&amp;q=30.4271318755159,-87.2376561972419</v>
      </c>
    </row>
    <row r="13170" spans="1:7" ht="15" x14ac:dyDescent="0.3">
      <c r="A13170">
        <v>49.648342132568402</v>
      </c>
      <c r="B13170">
        <v>5.9924058914184597</v>
      </c>
      <c r="C13170" t="s">
        <v>41</v>
      </c>
      <c r="D13170" t="s">
        <v>932</v>
      </c>
      <c r="F13170" s="21"/>
      <c r="G13170" s="16" t="str">
        <f>HYPERLINK("http://maps.google.com/maps?f=q&amp;hl=en&amp;geocode=&amp;q=49.6483421325684,5.99240589141846")</f>
        <v>http://maps.google.com/maps?f=q&amp;hl=en&amp;geocode=&amp;q=49.6483421325684,5.99240589141846</v>
      </c>
    </row>
    <row r="13171" spans="1:7" ht="15" x14ac:dyDescent="0.3">
      <c r="A13171">
        <v>36.744507993829103</v>
      </c>
      <c r="B13171">
        <v>-77.700812589416898</v>
      </c>
      <c r="C13171" t="s">
        <v>41</v>
      </c>
      <c r="D13171" t="s">
        <v>7265</v>
      </c>
      <c r="F13171" s="21"/>
      <c r="G13171" s="16" t="str">
        <f>HYPERLINK("http://maps.google.com/maps?f=q&amp;hl=en&amp;geocode=&amp;q=36.7445079938291,-77.7008125894169")</f>
        <v>http://maps.google.com/maps?f=q&amp;hl=en&amp;geocode=&amp;q=36.7445079938291,-77.7008125894169</v>
      </c>
    </row>
    <row r="13172" spans="1:7" ht="15" x14ac:dyDescent="0.3">
      <c r="A13172">
        <v>49.648342132568402</v>
      </c>
      <c r="B13172">
        <v>5.9924058914184597</v>
      </c>
      <c r="C13172" t="s">
        <v>41</v>
      </c>
      <c r="D13172" t="s">
        <v>932</v>
      </c>
      <c r="F13172" s="21"/>
      <c r="G13172" s="16" t="str">
        <f>HYPERLINK("http://maps.google.com/maps?f=q&amp;hl=en&amp;geocode=&amp;q=49.6483421325684,5.99240589141846")</f>
        <v>http://maps.google.com/maps?f=q&amp;hl=en&amp;geocode=&amp;q=49.6483421325684,5.99240589141846</v>
      </c>
    </row>
    <row r="13173" spans="1:7" ht="15" x14ac:dyDescent="0.3">
      <c r="A13173" t="s">
        <v>44</v>
      </c>
      <c r="B13173" t="s">
        <v>44</v>
      </c>
      <c r="C13173" t="s">
        <v>44</v>
      </c>
      <c r="D13173" t="s">
        <v>7266</v>
      </c>
      <c r="F13173" s="21"/>
      <c r="G13173" s="16"/>
    </row>
    <row r="13174" spans="1:7" ht="15" x14ac:dyDescent="0.3">
      <c r="A13174">
        <v>39.902050018310497</v>
      </c>
      <c r="B13174">
        <v>-75.1798095703125</v>
      </c>
      <c r="C13174" t="s">
        <v>41</v>
      </c>
      <c r="D13174" t="s">
        <v>1195</v>
      </c>
      <c r="F13174" s="21"/>
      <c r="G13174" s="16" t="str">
        <f>HYPERLINK("http://maps.google.com/maps?f=q&amp;hl=en&amp;geocode=&amp;q=39.9020500183105,-75.1798095703125")</f>
        <v>http://maps.google.com/maps?f=q&amp;hl=en&amp;geocode=&amp;q=39.9020500183105,-75.1798095703125</v>
      </c>
    </row>
    <row r="13175" spans="1:7" ht="15" x14ac:dyDescent="0.3">
      <c r="A13175">
        <v>39.902050018310497</v>
      </c>
      <c r="B13175">
        <v>-75.1798095703125</v>
      </c>
      <c r="C13175" t="s">
        <v>41</v>
      </c>
      <c r="D13175" t="s">
        <v>1195</v>
      </c>
      <c r="F13175" s="21"/>
      <c r="G13175" s="16" t="str">
        <f>HYPERLINK("http://maps.google.com/maps?f=q&amp;hl=en&amp;geocode=&amp;q=39.9020500183105,-75.1798095703125")</f>
        <v>http://maps.google.com/maps?f=q&amp;hl=en&amp;geocode=&amp;q=39.9020500183105,-75.1798095703125</v>
      </c>
    </row>
    <row r="13176" spans="1:7" ht="15" x14ac:dyDescent="0.3">
      <c r="A13176">
        <v>39.902050018310497</v>
      </c>
      <c r="B13176">
        <v>-75.1798095703125</v>
      </c>
      <c r="C13176" t="s">
        <v>41</v>
      </c>
      <c r="D13176" t="s">
        <v>1195</v>
      </c>
      <c r="F13176" s="21"/>
      <c r="G13176" s="16" t="str">
        <f>HYPERLINK("http://maps.google.com/maps?f=q&amp;hl=en&amp;geocode=&amp;q=39.9020500183105,-75.1798095703125")</f>
        <v>http://maps.google.com/maps?f=q&amp;hl=en&amp;geocode=&amp;q=39.9020500183105,-75.1798095703125</v>
      </c>
    </row>
    <row r="13177" spans="1:7" ht="15" x14ac:dyDescent="0.3">
      <c r="A13177">
        <v>39.902050018310497</v>
      </c>
      <c r="B13177">
        <v>-75.1798095703125</v>
      </c>
      <c r="C13177" t="s">
        <v>41</v>
      </c>
      <c r="D13177" t="s">
        <v>1195</v>
      </c>
      <c r="F13177" s="21"/>
      <c r="G13177" s="16" t="str">
        <f>HYPERLINK("http://maps.google.com/maps?f=q&amp;hl=en&amp;geocode=&amp;q=39.9020500183105,-75.1798095703125")</f>
        <v>http://maps.google.com/maps?f=q&amp;hl=en&amp;geocode=&amp;q=39.9020500183105,-75.1798095703125</v>
      </c>
    </row>
    <row r="13178" spans="1:7" ht="15" x14ac:dyDescent="0.3">
      <c r="A13178">
        <v>39.902050018310497</v>
      </c>
      <c r="B13178">
        <v>-75.1798095703125</v>
      </c>
      <c r="C13178" t="s">
        <v>41</v>
      </c>
      <c r="D13178" t="s">
        <v>1195</v>
      </c>
      <c r="F13178" s="21"/>
      <c r="G13178" s="16" t="str">
        <f>HYPERLINK("http://maps.google.com/maps?f=q&amp;hl=en&amp;geocode=&amp;q=39.9020500183105,-75.1798095703125")</f>
        <v>http://maps.google.com/maps?f=q&amp;hl=en&amp;geocode=&amp;q=39.9020500183105,-75.1798095703125</v>
      </c>
    </row>
    <row r="13179" spans="1:7" ht="15" x14ac:dyDescent="0.3">
      <c r="A13179">
        <v>39.902050018310497</v>
      </c>
      <c r="B13179">
        <v>-75.1798095703125</v>
      </c>
      <c r="C13179" t="s">
        <v>41</v>
      </c>
      <c r="D13179" t="s">
        <v>1195</v>
      </c>
      <c r="F13179" s="21"/>
      <c r="G13179" s="16" t="str">
        <f>HYPERLINK("http://maps.google.com/maps?f=q&amp;hl=en&amp;geocode=&amp;q=39.9020500183105,-75.1798095703125")</f>
        <v>http://maps.google.com/maps?f=q&amp;hl=en&amp;geocode=&amp;q=39.9020500183105,-75.1798095703125</v>
      </c>
    </row>
    <row r="13180" spans="1:7" ht="15" x14ac:dyDescent="0.3">
      <c r="A13180">
        <v>39.902050018310497</v>
      </c>
      <c r="B13180">
        <v>-75.1798095703125</v>
      </c>
      <c r="C13180" t="s">
        <v>41</v>
      </c>
      <c r="D13180" t="s">
        <v>1195</v>
      </c>
      <c r="F13180" s="21"/>
      <c r="G13180" s="16" t="str">
        <f>HYPERLINK("http://maps.google.com/maps?f=q&amp;hl=en&amp;geocode=&amp;q=39.9020500183105,-75.1798095703125")</f>
        <v>http://maps.google.com/maps?f=q&amp;hl=en&amp;geocode=&amp;q=39.9020500183105,-75.1798095703125</v>
      </c>
    </row>
    <row r="13181" spans="1:7" ht="15" x14ac:dyDescent="0.3">
      <c r="A13181">
        <v>39.902050018310497</v>
      </c>
      <c r="B13181">
        <v>-75.1798095703125</v>
      </c>
      <c r="C13181" t="s">
        <v>41</v>
      </c>
      <c r="D13181" t="s">
        <v>1195</v>
      </c>
      <c r="F13181" s="21"/>
      <c r="G13181" s="16" t="str">
        <f>HYPERLINK("http://maps.google.com/maps?f=q&amp;hl=en&amp;geocode=&amp;q=39.9020500183105,-75.1798095703125")</f>
        <v>http://maps.google.com/maps?f=q&amp;hl=en&amp;geocode=&amp;q=39.9020500183105,-75.1798095703125</v>
      </c>
    </row>
    <row r="13182" spans="1:7" ht="15" x14ac:dyDescent="0.3">
      <c r="A13182">
        <v>39.902050018310497</v>
      </c>
      <c r="B13182">
        <v>-75.1798095703125</v>
      </c>
      <c r="C13182" t="s">
        <v>41</v>
      </c>
      <c r="D13182" t="s">
        <v>1195</v>
      </c>
      <c r="F13182" s="21"/>
      <c r="G13182" s="16" t="str">
        <f>HYPERLINK("http://maps.google.com/maps?f=q&amp;hl=en&amp;geocode=&amp;q=39.9020500183105,-75.1798095703125")</f>
        <v>http://maps.google.com/maps?f=q&amp;hl=en&amp;geocode=&amp;q=39.9020500183105,-75.1798095703125</v>
      </c>
    </row>
    <row r="13183" spans="1:7" ht="15" x14ac:dyDescent="0.3">
      <c r="A13183">
        <v>39.902050018310497</v>
      </c>
      <c r="B13183">
        <v>-75.1798095703125</v>
      </c>
      <c r="C13183" t="s">
        <v>41</v>
      </c>
      <c r="D13183" t="s">
        <v>1195</v>
      </c>
      <c r="F13183" s="21"/>
      <c r="G13183" s="16" t="str">
        <f>HYPERLINK("http://maps.google.com/maps?f=q&amp;hl=en&amp;geocode=&amp;q=39.9020500183105,-75.1798095703125")</f>
        <v>http://maps.google.com/maps?f=q&amp;hl=en&amp;geocode=&amp;q=39.9020500183105,-75.1798095703125</v>
      </c>
    </row>
    <row r="13184" spans="1:7" ht="15" x14ac:dyDescent="0.3">
      <c r="A13184">
        <v>49.648342132568402</v>
      </c>
      <c r="B13184">
        <v>5.9924058914184597</v>
      </c>
      <c r="C13184" t="s">
        <v>41</v>
      </c>
      <c r="D13184" t="s">
        <v>932</v>
      </c>
      <c r="F13184" s="21"/>
      <c r="G13184" s="16" t="str">
        <f>HYPERLINK("http://maps.google.com/maps?f=q&amp;hl=en&amp;geocode=&amp;q=49.6483421325684,5.99240589141846")</f>
        <v>http://maps.google.com/maps?f=q&amp;hl=en&amp;geocode=&amp;q=49.6483421325684,5.99240589141846</v>
      </c>
    </row>
    <row r="13185" spans="1:7" ht="15" x14ac:dyDescent="0.3">
      <c r="A13185">
        <v>38.129408291022798</v>
      </c>
      <c r="B13185">
        <v>-98.601236519115005</v>
      </c>
      <c r="C13185" t="s">
        <v>41</v>
      </c>
      <c r="D13185" t="s">
        <v>7267</v>
      </c>
      <c r="F13185" s="21"/>
      <c r="G13185" s="16" t="str">
        <f>HYPERLINK("http://maps.google.com/maps?f=q&amp;hl=en&amp;geocode=&amp;q=38.1294082910228,-98.601236519115")</f>
        <v>http://maps.google.com/maps?f=q&amp;hl=en&amp;geocode=&amp;q=38.1294082910228,-98.601236519115</v>
      </c>
    </row>
    <row r="13186" spans="1:7" ht="15" x14ac:dyDescent="0.3">
      <c r="A13186">
        <v>39.889341508703602</v>
      </c>
      <c r="B13186">
        <v>-86.155464279527706</v>
      </c>
      <c r="C13186" t="s">
        <v>41</v>
      </c>
      <c r="D13186" t="s">
        <v>7268</v>
      </c>
      <c r="F13186" s="21"/>
      <c r="G13186" s="16" t="str">
        <f>HYPERLINK("http://maps.google.com/maps?f=q&amp;hl=en&amp;geocode=&amp;q=39.8893415087036,-86.1554642795277")</f>
        <v>http://maps.google.com/maps?f=q&amp;hl=en&amp;geocode=&amp;q=39.8893415087036,-86.1554642795277</v>
      </c>
    </row>
    <row r="13187" spans="1:7" ht="15" x14ac:dyDescent="0.3">
      <c r="A13187" t="s">
        <v>44</v>
      </c>
      <c r="B13187" t="s">
        <v>44</v>
      </c>
      <c r="C13187" t="s">
        <v>44</v>
      </c>
      <c r="D13187" t="s">
        <v>7269</v>
      </c>
      <c r="F13187" s="21"/>
      <c r="G13187" s="16"/>
    </row>
    <row r="13188" spans="1:7" ht="15" x14ac:dyDescent="0.3">
      <c r="A13188">
        <v>42.738239999999998</v>
      </c>
      <c r="B13188">
        <v>-97.498040000000003</v>
      </c>
      <c r="C13188" t="s">
        <v>42</v>
      </c>
      <c r="D13188" t="s">
        <v>6016</v>
      </c>
      <c r="F13188" s="21"/>
      <c r="G13188" s="16" t="str">
        <f>HYPERLINK("http://maps.google.com/maps?f=q&amp;hl=en&amp;geocode=&amp;q=42.73824,-97.49804")</f>
        <v>http://maps.google.com/maps?f=q&amp;hl=en&amp;geocode=&amp;q=42.73824,-97.49804</v>
      </c>
    </row>
    <row r="13189" spans="1:7" ht="15" x14ac:dyDescent="0.3">
      <c r="A13189">
        <v>-26.034427642822301</v>
      </c>
      <c r="B13189">
        <v>28.5431098937988</v>
      </c>
      <c r="C13189" t="s">
        <v>43</v>
      </c>
      <c r="D13189" t="s">
        <v>7270</v>
      </c>
      <c r="F13189" s="21"/>
      <c r="G13189" s="16" t="str">
        <f>HYPERLINK("http://maps.google.com/maps?f=q&amp;hl=en&amp;geocode=&amp;q=-26.0344276428223,28.5431098937988")</f>
        <v>http://maps.google.com/maps?f=q&amp;hl=en&amp;geocode=&amp;q=-26.0344276428223,28.5431098937988</v>
      </c>
    </row>
    <row r="13190" spans="1:7" ht="15" x14ac:dyDescent="0.3">
      <c r="A13190">
        <v>41.699300000000001</v>
      </c>
      <c r="B13190">
        <v>-88.251320000000007</v>
      </c>
      <c r="C13190" t="s">
        <v>43</v>
      </c>
      <c r="D13190" t="s">
        <v>3015</v>
      </c>
      <c r="F13190" s="21"/>
      <c r="G13190" s="16" t="str">
        <f>HYPERLINK("http://maps.google.com/maps?f=q&amp;hl=en&amp;geocode=&amp;q=41.6993,-88.25132")</f>
        <v>http://maps.google.com/maps?f=q&amp;hl=en&amp;geocode=&amp;q=41.6993,-88.25132</v>
      </c>
    </row>
    <row r="13191" spans="1:7" ht="15" x14ac:dyDescent="0.3">
      <c r="A13191">
        <v>42.738239999999998</v>
      </c>
      <c r="B13191">
        <v>-97.498040000000003</v>
      </c>
      <c r="C13191" t="s">
        <v>42</v>
      </c>
      <c r="D13191" t="s">
        <v>6016</v>
      </c>
      <c r="F13191" s="21"/>
      <c r="G13191" s="16" t="str">
        <f>HYPERLINK("http://maps.google.com/maps?f=q&amp;hl=en&amp;geocode=&amp;q=42.73824,-97.49804")</f>
        <v>http://maps.google.com/maps?f=q&amp;hl=en&amp;geocode=&amp;q=42.73824,-97.49804</v>
      </c>
    </row>
    <row r="13192" spans="1:7" ht="15" x14ac:dyDescent="0.3">
      <c r="A13192" t="s">
        <v>44</v>
      </c>
      <c r="B13192" t="s">
        <v>44</v>
      </c>
      <c r="C13192" t="s">
        <v>44</v>
      </c>
      <c r="D13192" t="s">
        <v>4438</v>
      </c>
      <c r="F13192" s="21"/>
      <c r="G13192" s="16"/>
    </row>
    <row r="13193" spans="1:7" ht="15" x14ac:dyDescent="0.3">
      <c r="A13193">
        <v>39.941600000000001</v>
      </c>
      <c r="B13193">
        <v>-75.181439999999995</v>
      </c>
      <c r="C13193" t="s">
        <v>41</v>
      </c>
      <c r="D13193" t="s">
        <v>7242</v>
      </c>
      <c r="F13193" s="21"/>
      <c r="G13193" s="16" t="str">
        <f>HYPERLINK("http://maps.google.com/maps?f=q&amp;hl=en&amp;geocode=&amp;q=39.9416,-75.18144")</f>
        <v>http://maps.google.com/maps?f=q&amp;hl=en&amp;geocode=&amp;q=39.9416,-75.18144</v>
      </c>
    </row>
    <row r="13194" spans="1:7" ht="15" x14ac:dyDescent="0.3">
      <c r="A13194">
        <v>29.532122565947699</v>
      </c>
      <c r="B13194">
        <v>-95.360175719283205</v>
      </c>
      <c r="C13194" t="s">
        <v>41</v>
      </c>
      <c r="D13194" t="s">
        <v>7271</v>
      </c>
      <c r="F13194" s="21"/>
      <c r="G13194" s="16" t="str">
        <f>HYPERLINK("http://maps.google.com/maps?f=q&amp;hl=en&amp;geocode=&amp;q=29.5321225659477,-95.3601757192832")</f>
        <v>http://maps.google.com/maps?f=q&amp;hl=en&amp;geocode=&amp;q=29.5321225659477,-95.3601757192832</v>
      </c>
    </row>
    <row r="13195" spans="1:7" ht="15" x14ac:dyDescent="0.3">
      <c r="A13195">
        <v>39.9861</v>
      </c>
      <c r="B13195">
        <v>-75.111379999999997</v>
      </c>
      <c r="C13195" t="s">
        <v>41</v>
      </c>
      <c r="D13195" t="s">
        <v>1933</v>
      </c>
      <c r="F13195" s="21"/>
      <c r="G13195" s="16" t="str">
        <f>HYPERLINK("http://maps.google.com/maps?f=q&amp;hl=en&amp;geocode=&amp;q=39.9861,-75.11138")</f>
        <v>http://maps.google.com/maps?f=q&amp;hl=en&amp;geocode=&amp;q=39.9861,-75.11138</v>
      </c>
    </row>
    <row r="13196" spans="1:7" ht="15" x14ac:dyDescent="0.3">
      <c r="A13196">
        <v>39.987283210591897</v>
      </c>
      <c r="B13196">
        <v>-75.108606255177705</v>
      </c>
      <c r="C13196" t="s">
        <v>41</v>
      </c>
      <c r="D13196" t="s">
        <v>7272</v>
      </c>
      <c r="F13196" s="21"/>
      <c r="G13196" s="16" t="str">
        <f>HYPERLINK("http://maps.google.com/maps?f=q&amp;hl=en&amp;geocode=&amp;q=39.9872832105919,-75.1086062551777")</f>
        <v>http://maps.google.com/maps?f=q&amp;hl=en&amp;geocode=&amp;q=39.9872832105919,-75.1086062551777</v>
      </c>
    </row>
    <row r="13197" spans="1:7" ht="15" x14ac:dyDescent="0.3">
      <c r="A13197">
        <v>28.823885591720199</v>
      </c>
      <c r="B13197">
        <v>-98.977525991410403</v>
      </c>
      <c r="C13197" t="s">
        <v>41</v>
      </c>
      <c r="D13197" t="s">
        <v>7273</v>
      </c>
      <c r="F13197" s="21"/>
      <c r="G13197" s="16" t="str">
        <f>HYPERLINK("http://maps.google.com/maps?f=q&amp;hl=en&amp;geocode=&amp;q=28.8238855917202,-98.9775259914104")</f>
        <v>http://maps.google.com/maps?f=q&amp;hl=en&amp;geocode=&amp;q=28.8238855917202,-98.9775259914104</v>
      </c>
    </row>
    <row r="13198" spans="1:7" ht="15" x14ac:dyDescent="0.3">
      <c r="A13198">
        <v>28.823885591720199</v>
      </c>
      <c r="B13198">
        <v>-98.977525991410403</v>
      </c>
      <c r="C13198" t="s">
        <v>41</v>
      </c>
      <c r="D13198" t="s">
        <v>7273</v>
      </c>
      <c r="F13198" s="21"/>
      <c r="G13198" s="16" t="str">
        <f>HYPERLINK("http://maps.google.com/maps?f=q&amp;hl=en&amp;geocode=&amp;q=28.8238855917202,-98.9775259914104")</f>
        <v>http://maps.google.com/maps?f=q&amp;hl=en&amp;geocode=&amp;q=28.8238855917202,-98.9775259914104</v>
      </c>
    </row>
    <row r="13199" spans="1:7" ht="15" x14ac:dyDescent="0.3">
      <c r="A13199">
        <v>28.823885591720199</v>
      </c>
      <c r="B13199">
        <v>-98.977525991410403</v>
      </c>
      <c r="C13199" t="s">
        <v>41</v>
      </c>
      <c r="D13199" t="s">
        <v>7273</v>
      </c>
      <c r="F13199" s="21"/>
      <c r="G13199" s="16" t="str">
        <f>HYPERLINK("http://maps.google.com/maps?f=q&amp;hl=en&amp;geocode=&amp;q=28.8238855917202,-98.9775259914104")</f>
        <v>http://maps.google.com/maps?f=q&amp;hl=en&amp;geocode=&amp;q=28.8238855917202,-98.9775259914104</v>
      </c>
    </row>
    <row r="13200" spans="1:7" ht="15" x14ac:dyDescent="0.3">
      <c r="A13200">
        <v>39.516919999999999</v>
      </c>
      <c r="B13200">
        <v>-77.992649999999998</v>
      </c>
      <c r="C13200" t="s">
        <v>42</v>
      </c>
      <c r="D13200" t="s">
        <v>7103</v>
      </c>
      <c r="F13200" s="21"/>
      <c r="G13200" s="16" t="str">
        <f>HYPERLINK("http://maps.google.com/maps?f=q&amp;hl=en&amp;geocode=&amp;q=39.51692,-77.99265")</f>
        <v>http://maps.google.com/maps?f=q&amp;hl=en&amp;geocode=&amp;q=39.51692,-77.99265</v>
      </c>
    </row>
    <row r="13201" spans="1:7" ht="15" x14ac:dyDescent="0.3">
      <c r="A13201">
        <v>34.019133577508001</v>
      </c>
      <c r="B13201">
        <v>-118.485223672418</v>
      </c>
      <c r="C13201" t="s">
        <v>41</v>
      </c>
      <c r="D13201" t="s">
        <v>7274</v>
      </c>
      <c r="F13201" s="21"/>
      <c r="G13201" s="16" t="str">
        <f>HYPERLINK("http://maps.google.com/maps?f=q&amp;hl=en&amp;geocode=&amp;q=34.019133577508,-118.485223672418")</f>
        <v>http://maps.google.com/maps?f=q&amp;hl=en&amp;geocode=&amp;q=34.019133577508,-118.485223672418</v>
      </c>
    </row>
    <row r="13202" spans="1:7" ht="15" x14ac:dyDescent="0.3">
      <c r="A13202">
        <v>46.088410000000003</v>
      </c>
      <c r="B13202">
        <v>12.59421</v>
      </c>
      <c r="C13202" t="s">
        <v>41</v>
      </c>
      <c r="D13202" t="s">
        <v>7108</v>
      </c>
      <c r="F13202" s="21"/>
      <c r="G13202" s="16" t="str">
        <f>HYPERLINK("http://maps.google.com/maps?f=q&amp;hl=en&amp;geocode=&amp;q=46.08841,12.59421")</f>
        <v>http://maps.google.com/maps?f=q&amp;hl=en&amp;geocode=&amp;q=46.08841,12.59421</v>
      </c>
    </row>
    <row r="13203" spans="1:7" ht="15" x14ac:dyDescent="0.3">
      <c r="A13203">
        <v>46.088410000000003</v>
      </c>
      <c r="B13203">
        <v>12.59421</v>
      </c>
      <c r="C13203" t="s">
        <v>41</v>
      </c>
      <c r="D13203" t="s">
        <v>7108</v>
      </c>
      <c r="F13203" s="21"/>
      <c r="G13203" s="16" t="str">
        <f>HYPERLINK("http://maps.google.com/maps?f=q&amp;hl=en&amp;geocode=&amp;q=46.08841,12.59421")</f>
        <v>http://maps.google.com/maps?f=q&amp;hl=en&amp;geocode=&amp;q=46.08841,12.59421</v>
      </c>
    </row>
    <row r="13204" spans="1:7" ht="15" x14ac:dyDescent="0.3">
      <c r="A13204" t="s">
        <v>44</v>
      </c>
      <c r="B13204" t="s">
        <v>44</v>
      </c>
      <c r="C13204" t="s">
        <v>44</v>
      </c>
      <c r="D13204" t="s">
        <v>4438</v>
      </c>
      <c r="F13204" s="21"/>
      <c r="G13204" s="16"/>
    </row>
    <row r="13205" spans="1:7" ht="15" x14ac:dyDescent="0.3">
      <c r="A13205">
        <v>39.4432563781738</v>
      </c>
      <c r="B13205">
        <v>-98.957336425781307</v>
      </c>
      <c r="C13205" t="s">
        <v>43</v>
      </c>
      <c r="D13205" t="s">
        <v>6998</v>
      </c>
      <c r="F13205" s="21"/>
      <c r="G13205" s="16" t="str">
        <f>HYPERLINK("http://maps.google.com/maps?f=q&amp;hl=en&amp;geocode=&amp;q=39.4432563781738,-98.9573364257813")</f>
        <v>http://maps.google.com/maps?f=q&amp;hl=en&amp;geocode=&amp;q=39.4432563781738,-98.9573364257813</v>
      </c>
    </row>
    <row r="13206" spans="1:7" ht="15" x14ac:dyDescent="0.3">
      <c r="A13206">
        <v>46.897704257901701</v>
      </c>
      <c r="B13206">
        <v>-123.30837545937899</v>
      </c>
      <c r="C13206" t="s">
        <v>41</v>
      </c>
      <c r="D13206" t="s">
        <v>7275</v>
      </c>
      <c r="F13206" s="21"/>
      <c r="G13206" s="16" t="str">
        <f>HYPERLINK("http://maps.google.com/maps?f=q&amp;hl=en&amp;geocode=&amp;q=46.8977042579017,-123.308375459379")</f>
        <v>http://maps.google.com/maps?f=q&amp;hl=en&amp;geocode=&amp;q=46.8977042579017,-123.308375459379</v>
      </c>
    </row>
    <row r="13207" spans="1:7" ht="15" x14ac:dyDescent="0.3">
      <c r="A13207">
        <v>37.860477293610998</v>
      </c>
      <c r="B13207">
        <v>-82.804754194483493</v>
      </c>
      <c r="C13207" t="s">
        <v>41</v>
      </c>
      <c r="D13207" t="s">
        <v>6849</v>
      </c>
      <c r="F13207" s="21"/>
      <c r="G13207" s="16" t="str">
        <f>HYPERLINK("http://maps.google.com/maps?f=q&amp;hl=en&amp;geocode=&amp;q=37.860477293611,-82.8047541944835")</f>
        <v>http://maps.google.com/maps?f=q&amp;hl=en&amp;geocode=&amp;q=37.860477293611,-82.8047541944835</v>
      </c>
    </row>
    <row r="13208" spans="1:7" ht="15" x14ac:dyDescent="0.3">
      <c r="A13208">
        <v>35.402269836401302</v>
      </c>
      <c r="B13208">
        <v>-97.761225103720506</v>
      </c>
      <c r="C13208" t="s">
        <v>41</v>
      </c>
      <c r="D13208" t="s">
        <v>6828</v>
      </c>
      <c r="F13208" s="21"/>
      <c r="G13208" s="16" t="str">
        <f>HYPERLINK("http://maps.google.com/maps?f=q&amp;hl=en&amp;geocode=&amp;q=35.4022698364013,-97.7612251037205")</f>
        <v>http://maps.google.com/maps?f=q&amp;hl=en&amp;geocode=&amp;q=35.4022698364013,-97.7612251037205</v>
      </c>
    </row>
    <row r="13209" spans="1:7" ht="15" x14ac:dyDescent="0.3">
      <c r="A13209">
        <v>39.996490000000001</v>
      </c>
      <c r="B13209">
        <v>-75.106759999999994</v>
      </c>
      <c r="C13209" t="s">
        <v>41</v>
      </c>
      <c r="D13209" t="s">
        <v>7276</v>
      </c>
      <c r="F13209" s="21"/>
      <c r="G13209" s="16" t="str">
        <f>HYPERLINK("http://maps.google.com/maps?f=q&amp;hl=en&amp;geocode=&amp;q=39.99649,-75.10676")</f>
        <v>http://maps.google.com/maps?f=q&amp;hl=en&amp;geocode=&amp;q=39.99649,-75.10676</v>
      </c>
    </row>
    <row r="13210" spans="1:7" ht="15" x14ac:dyDescent="0.3">
      <c r="A13210">
        <v>36.093150000000001</v>
      </c>
      <c r="B13210">
        <v>-78.968919999999997</v>
      </c>
      <c r="C13210" t="s">
        <v>42</v>
      </c>
      <c r="D13210" t="s">
        <v>7277</v>
      </c>
      <c r="F13210" s="21"/>
      <c r="G13210" s="16" t="str">
        <f>HYPERLINK("http://maps.google.com/maps?f=q&amp;hl=en&amp;geocode=&amp;q=36.09315,-78.96892")</f>
        <v>http://maps.google.com/maps?f=q&amp;hl=en&amp;geocode=&amp;q=36.09315,-78.96892</v>
      </c>
    </row>
    <row r="13211" spans="1:7" ht="15" x14ac:dyDescent="0.3">
      <c r="A13211" t="s">
        <v>44</v>
      </c>
      <c r="B13211" t="s">
        <v>44</v>
      </c>
      <c r="C13211" t="s">
        <v>44</v>
      </c>
      <c r="D13211" t="s">
        <v>7278</v>
      </c>
      <c r="F13211" s="21"/>
      <c r="G13211" s="16"/>
    </row>
    <row r="13212" spans="1:7" ht="15" x14ac:dyDescent="0.3">
      <c r="A13212" t="s">
        <v>44</v>
      </c>
      <c r="B13212" t="s">
        <v>44</v>
      </c>
      <c r="C13212" t="s">
        <v>44</v>
      </c>
      <c r="D13212" t="s">
        <v>7279</v>
      </c>
      <c r="F13212" s="21"/>
      <c r="G13212" s="16"/>
    </row>
    <row r="13213" spans="1:7" ht="15" x14ac:dyDescent="0.3">
      <c r="A13213">
        <v>40.682000000000002</v>
      </c>
      <c r="B13213">
        <v>-73.920209999999997</v>
      </c>
      <c r="C13213" t="s">
        <v>41</v>
      </c>
      <c r="D13213" t="s">
        <v>7280</v>
      </c>
      <c r="F13213" s="21"/>
      <c r="G13213" s="16" t="str">
        <f>HYPERLINK("http://maps.google.com/maps?f=q&amp;hl=en&amp;geocode=&amp;q=40.682,-73.92021")</f>
        <v>http://maps.google.com/maps?f=q&amp;hl=en&amp;geocode=&amp;q=40.682,-73.92021</v>
      </c>
    </row>
    <row r="13214" spans="1:7" ht="15" x14ac:dyDescent="0.3">
      <c r="A13214">
        <v>36.177729999999997</v>
      </c>
      <c r="B13214">
        <v>-89.667280000000005</v>
      </c>
      <c r="C13214" t="s">
        <v>42</v>
      </c>
      <c r="D13214" t="s">
        <v>7281</v>
      </c>
      <c r="F13214" s="21"/>
      <c r="G13214" s="16" t="str">
        <f>HYPERLINK("http://maps.google.com/maps?f=q&amp;hl=en&amp;geocode=&amp;q=36.17773,-89.66728")</f>
        <v>http://maps.google.com/maps?f=q&amp;hl=en&amp;geocode=&amp;q=36.17773,-89.66728</v>
      </c>
    </row>
    <row r="13215" spans="1:7" ht="15" x14ac:dyDescent="0.3">
      <c r="A13215">
        <v>-15.792110443115201</v>
      </c>
      <c r="B13215">
        <v>-47.897750854492202</v>
      </c>
      <c r="C13215" t="s">
        <v>41</v>
      </c>
      <c r="D13215" t="s">
        <v>7282</v>
      </c>
      <c r="F13215" s="21"/>
      <c r="G13215" s="16" t="str">
        <f>HYPERLINK("http://maps.google.com/maps?f=q&amp;hl=en&amp;geocode=&amp;q=-15.7921104431152,-47.8977508544922")</f>
        <v>http://maps.google.com/maps?f=q&amp;hl=en&amp;geocode=&amp;q=-15.7921104431152,-47.8977508544922</v>
      </c>
    </row>
    <row r="13216" spans="1:7" ht="15" x14ac:dyDescent="0.3">
      <c r="A13216">
        <v>-15.792110443115201</v>
      </c>
      <c r="B13216">
        <v>-47.897750854492202</v>
      </c>
      <c r="C13216" t="s">
        <v>41</v>
      </c>
      <c r="D13216" t="s">
        <v>7282</v>
      </c>
      <c r="F13216" s="21"/>
      <c r="G13216" s="16" t="str">
        <f>HYPERLINK("http://maps.google.com/maps?f=q&amp;hl=en&amp;geocode=&amp;q=-15.7921104431152,-47.8977508544922")</f>
        <v>http://maps.google.com/maps?f=q&amp;hl=en&amp;geocode=&amp;q=-15.7921104431152,-47.8977508544922</v>
      </c>
    </row>
    <row r="13217" spans="1:7" ht="15" x14ac:dyDescent="0.3">
      <c r="A13217">
        <v>-15.792110443115201</v>
      </c>
      <c r="B13217">
        <v>-47.897750854492202</v>
      </c>
      <c r="C13217" t="s">
        <v>41</v>
      </c>
      <c r="D13217" t="s">
        <v>7282</v>
      </c>
      <c r="F13217" s="21"/>
      <c r="G13217" s="16" t="str">
        <f>HYPERLINK("http://maps.google.com/maps?f=q&amp;hl=en&amp;geocode=&amp;q=-15.7921104431152,-47.8977508544922")</f>
        <v>http://maps.google.com/maps?f=q&amp;hl=en&amp;geocode=&amp;q=-15.7921104431152,-47.8977508544922</v>
      </c>
    </row>
    <row r="13218" spans="1:7" ht="15" x14ac:dyDescent="0.3">
      <c r="A13218">
        <v>-26.142440000000001</v>
      </c>
      <c r="B13218">
        <v>27.91825</v>
      </c>
      <c r="C13218" t="s">
        <v>41</v>
      </c>
      <c r="D13218" t="s">
        <v>2558</v>
      </c>
      <c r="F13218" s="21"/>
      <c r="G13218" s="16" t="str">
        <f>HYPERLINK("http://maps.google.com/maps?f=q&amp;hl=en&amp;geocode=&amp;q=-26.14244,27.91825")</f>
        <v>http://maps.google.com/maps?f=q&amp;hl=en&amp;geocode=&amp;q=-26.14244,27.91825</v>
      </c>
    </row>
    <row r="13219" spans="1:7" ht="15" x14ac:dyDescent="0.3">
      <c r="A13219">
        <v>37.527451258001101</v>
      </c>
      <c r="B13219">
        <v>-77.315680126790895</v>
      </c>
      <c r="C13219" t="s">
        <v>41</v>
      </c>
      <c r="D13219" t="s">
        <v>7283</v>
      </c>
      <c r="F13219" s="21"/>
      <c r="G13219" s="16" t="str">
        <f>HYPERLINK("http://maps.google.com/maps?f=q&amp;hl=en&amp;geocode=&amp;q=37.5274512580011,-77.3156801267909")</f>
        <v>http://maps.google.com/maps?f=q&amp;hl=en&amp;geocode=&amp;q=37.5274512580011,-77.3156801267909</v>
      </c>
    </row>
    <row r="13220" spans="1:7" ht="15" x14ac:dyDescent="0.3">
      <c r="F13220" s="21"/>
      <c r="G13220" s="16"/>
    </row>
    <row r="13221" spans="1:7" ht="15" x14ac:dyDescent="0.3">
      <c r="F13221" s="21"/>
      <c r="G13221" s="16"/>
    </row>
    <row r="13222" spans="1:7" ht="15" x14ac:dyDescent="0.3">
      <c r="A13222">
        <v>36.783004760742202</v>
      </c>
      <c r="B13222">
        <v>140.59239196777301</v>
      </c>
      <c r="C13222" t="s">
        <v>43</v>
      </c>
      <c r="D13222" t="s">
        <v>7284</v>
      </c>
      <c r="F13222" s="21"/>
      <c r="G13222" s="16" t="str">
        <f>HYPERLINK("http://maps.google.com/maps?f=q&amp;hl=en&amp;geocode=&amp;q=36.7830047607422,140.592391967773")</f>
        <v>http://maps.google.com/maps?f=q&amp;hl=en&amp;geocode=&amp;q=36.7830047607422,140.592391967773</v>
      </c>
    </row>
    <row r="13223" spans="1:7" ht="15" x14ac:dyDescent="0.3">
      <c r="A13223">
        <v>39.974449085917001</v>
      </c>
      <c r="B13223">
        <v>-75.158966350879695</v>
      </c>
      <c r="C13223" t="s">
        <v>41</v>
      </c>
      <c r="D13223" t="s">
        <v>6810</v>
      </c>
      <c r="F13223" s="21"/>
      <c r="G13223" s="16" t="str">
        <f>HYPERLINK("http://maps.google.com/maps?f=q&amp;hl=en&amp;geocode=&amp;q=39.974449085917,-75.1589663508797")</f>
        <v>http://maps.google.com/maps?f=q&amp;hl=en&amp;geocode=&amp;q=39.974449085917,-75.1589663508797</v>
      </c>
    </row>
    <row r="13224" spans="1:7" ht="15" x14ac:dyDescent="0.3">
      <c r="A13224">
        <v>25.976514999999999</v>
      </c>
      <c r="B13224">
        <v>-80.141964999999999</v>
      </c>
      <c r="C13224" t="s">
        <v>42</v>
      </c>
      <c r="D13224" t="s">
        <v>7285</v>
      </c>
      <c r="F13224" s="21"/>
      <c r="G13224" s="16" t="str">
        <f>HYPERLINK("http://maps.google.com/maps?f=q&amp;hl=en&amp;geocode=&amp;q=25.976515,-80.141965")</f>
        <v>http://maps.google.com/maps?f=q&amp;hl=en&amp;geocode=&amp;q=25.976515,-80.141965</v>
      </c>
    </row>
    <row r="13225" spans="1:7" ht="15" x14ac:dyDescent="0.3">
      <c r="A13225" t="s">
        <v>44</v>
      </c>
      <c r="B13225" t="s">
        <v>44</v>
      </c>
      <c r="C13225" t="s">
        <v>44</v>
      </c>
      <c r="D13225" t="s">
        <v>7286</v>
      </c>
      <c r="F13225" s="21"/>
      <c r="G13225" s="16"/>
    </row>
    <row r="13226" spans="1:7" ht="15" x14ac:dyDescent="0.3">
      <c r="A13226">
        <v>40.002412999999997</v>
      </c>
      <c r="B13226">
        <v>-75.203785999999994</v>
      </c>
      <c r="C13226" t="s">
        <v>41</v>
      </c>
      <c r="D13226" t="s">
        <v>7287</v>
      </c>
      <c r="F13226" s="21"/>
      <c r="G13226" s="16" t="str">
        <f>HYPERLINK("http://maps.google.com/maps?f=q&amp;hl=en&amp;geocode=&amp;q=40.002413,-75.203786")</f>
        <v>http://maps.google.com/maps?f=q&amp;hl=en&amp;geocode=&amp;q=40.002413,-75.203786</v>
      </c>
    </row>
    <row r="13227" spans="1:7" ht="15" x14ac:dyDescent="0.3">
      <c r="A13227">
        <v>30.5663515779449</v>
      </c>
      <c r="B13227">
        <v>-85.578132196876496</v>
      </c>
      <c r="C13227" t="s">
        <v>43</v>
      </c>
      <c r="D13227" t="s">
        <v>7288</v>
      </c>
      <c r="F13227" s="21"/>
      <c r="G13227" s="16" t="str">
        <f>HYPERLINK("http://maps.google.com/maps?f=q&amp;hl=en&amp;geocode=&amp;q=30.5663515779449,-85.5781321968765")</f>
        <v>http://maps.google.com/maps?f=q&amp;hl=en&amp;geocode=&amp;q=30.5663515779449,-85.5781321968765</v>
      </c>
    </row>
    <row r="13228" spans="1:7" ht="15" x14ac:dyDescent="0.3">
      <c r="A13228">
        <v>42.512776787110496</v>
      </c>
      <c r="B13228">
        <v>-83.120809494415298</v>
      </c>
      <c r="C13228" t="s">
        <v>41</v>
      </c>
      <c r="D13228" t="s">
        <v>7289</v>
      </c>
      <c r="F13228" s="21"/>
      <c r="G13228" s="16" t="str">
        <f>HYPERLINK("http://maps.google.com/maps?f=q&amp;hl=en&amp;geocode=&amp;q=42.5127767871105,-83.1208094944153")</f>
        <v>http://maps.google.com/maps?f=q&amp;hl=en&amp;geocode=&amp;q=42.5127767871105,-83.1208094944153</v>
      </c>
    </row>
    <row r="13229" spans="1:7" ht="15" x14ac:dyDescent="0.3">
      <c r="A13229">
        <v>40.016755494999799</v>
      </c>
      <c r="B13229">
        <v>-75.147645384741296</v>
      </c>
      <c r="C13229" t="s">
        <v>41</v>
      </c>
      <c r="D13229" t="s">
        <v>7290</v>
      </c>
      <c r="F13229" s="21"/>
      <c r="G13229" s="16" t="str">
        <f>HYPERLINK("http://maps.google.com/maps?f=q&amp;hl=en&amp;geocode=&amp;q=40.0167554949998,-75.1476453847413")</f>
        <v>http://maps.google.com/maps?f=q&amp;hl=en&amp;geocode=&amp;q=40.0167554949998,-75.1476453847413</v>
      </c>
    </row>
    <row r="13230" spans="1:7" ht="15" x14ac:dyDescent="0.3">
      <c r="A13230">
        <v>48.672306060791001</v>
      </c>
      <c r="B13230">
        <v>7.5540661811828604</v>
      </c>
      <c r="C13230" t="s">
        <v>43</v>
      </c>
      <c r="D13230" t="s">
        <v>5375</v>
      </c>
      <c r="F13230" s="21"/>
      <c r="G13230" s="16" t="str">
        <f>HYPERLINK("http://maps.google.com/maps?f=q&amp;hl=en&amp;geocode=&amp;q=48.672306060791,7.55406618118286")</f>
        <v>http://maps.google.com/maps?f=q&amp;hl=en&amp;geocode=&amp;q=48.672306060791,7.55406618118286</v>
      </c>
    </row>
    <row r="13231" spans="1:7" ht="15" x14ac:dyDescent="0.3">
      <c r="A13231" t="s">
        <v>44</v>
      </c>
      <c r="B13231" t="s">
        <v>44</v>
      </c>
      <c r="C13231" t="s">
        <v>44</v>
      </c>
      <c r="D13231" t="s">
        <v>7140</v>
      </c>
      <c r="F13231" s="21"/>
      <c r="G13231" s="16"/>
    </row>
    <row r="13232" spans="1:7" ht="15" x14ac:dyDescent="0.3">
      <c r="A13232">
        <v>40.061350733155102</v>
      </c>
      <c r="B13232">
        <v>-83.064584654469698</v>
      </c>
      <c r="C13232" t="s">
        <v>41</v>
      </c>
      <c r="D13232" t="s">
        <v>7291</v>
      </c>
      <c r="F13232" s="21"/>
      <c r="G13232" s="16" t="str">
        <f>HYPERLINK("http://maps.google.com/maps?f=q&amp;hl=en&amp;geocode=&amp;q=40.0613507331551,-83.0645846544697")</f>
        <v>http://maps.google.com/maps?f=q&amp;hl=en&amp;geocode=&amp;q=40.0613507331551,-83.0645846544697</v>
      </c>
    </row>
    <row r="13233" spans="1:7" ht="15" x14ac:dyDescent="0.3">
      <c r="A13233" t="s">
        <v>44</v>
      </c>
      <c r="B13233" t="s">
        <v>44</v>
      </c>
      <c r="C13233" t="s">
        <v>44</v>
      </c>
      <c r="D13233" t="s">
        <v>7140</v>
      </c>
      <c r="F13233" s="21"/>
      <c r="G13233" s="16"/>
    </row>
    <row r="13234" spans="1:7" ht="15" x14ac:dyDescent="0.3">
      <c r="A13234">
        <v>40.655753053030701</v>
      </c>
      <c r="B13234">
        <v>-79.5357215936058</v>
      </c>
      <c r="C13234" t="s">
        <v>41</v>
      </c>
      <c r="D13234" t="s">
        <v>7292</v>
      </c>
      <c r="F13234" s="21"/>
      <c r="G13234" s="16" t="str">
        <f>HYPERLINK("http://maps.google.com/maps?f=q&amp;hl=en&amp;geocode=&amp;q=40.6557530530307,-79.5357215936058")</f>
        <v>http://maps.google.com/maps?f=q&amp;hl=en&amp;geocode=&amp;q=40.6557530530307,-79.5357215936058</v>
      </c>
    </row>
    <row r="13235" spans="1:7" ht="15" x14ac:dyDescent="0.3">
      <c r="A13235">
        <v>46.088410000000003</v>
      </c>
      <c r="B13235">
        <v>12.59421</v>
      </c>
      <c r="C13235" t="s">
        <v>41</v>
      </c>
      <c r="D13235" t="s">
        <v>7108</v>
      </c>
      <c r="F13235" s="21"/>
      <c r="G13235" s="16" t="str">
        <f>HYPERLINK("http://maps.google.com/maps?f=q&amp;hl=en&amp;geocode=&amp;q=46.08841,12.59421")</f>
        <v>http://maps.google.com/maps?f=q&amp;hl=en&amp;geocode=&amp;q=46.08841,12.59421</v>
      </c>
    </row>
    <row r="13236" spans="1:7" ht="15" x14ac:dyDescent="0.3">
      <c r="A13236">
        <v>30.802120065675901</v>
      </c>
      <c r="B13236">
        <v>-86.415923258335198</v>
      </c>
      <c r="C13236" t="s">
        <v>41</v>
      </c>
      <c r="D13236" t="s">
        <v>7293</v>
      </c>
      <c r="F13236" s="21"/>
      <c r="G13236" s="16" t="str">
        <f>HYPERLINK("http://maps.google.com/maps?f=q&amp;hl=en&amp;geocode=&amp;q=30.8021200656759,-86.4159232583352")</f>
        <v>http://maps.google.com/maps?f=q&amp;hl=en&amp;geocode=&amp;q=30.8021200656759,-86.4159232583352</v>
      </c>
    </row>
    <row r="13237" spans="1:7" ht="15" x14ac:dyDescent="0.3">
      <c r="A13237">
        <v>55.960311889648402</v>
      </c>
      <c r="B13237">
        <v>-2.6058900356292698</v>
      </c>
      <c r="C13237" t="s">
        <v>41</v>
      </c>
      <c r="D13237" t="s">
        <v>7294</v>
      </c>
      <c r="F13237" s="21"/>
      <c r="G13237" s="16" t="str">
        <f>HYPERLINK("http://maps.google.com/maps?f=q&amp;hl=en&amp;geocode=&amp;q=55.9603118896484,-2.60589003562927")</f>
        <v>http://maps.google.com/maps?f=q&amp;hl=en&amp;geocode=&amp;q=55.9603118896484,-2.60589003562927</v>
      </c>
    </row>
    <row r="13238" spans="1:7" ht="15" x14ac:dyDescent="0.3">
      <c r="A13238" t="s">
        <v>44</v>
      </c>
      <c r="B13238" t="s">
        <v>44</v>
      </c>
      <c r="C13238" t="s">
        <v>44</v>
      </c>
      <c r="D13238" t="s">
        <v>7295</v>
      </c>
      <c r="F13238" s="21"/>
      <c r="G13238" s="16"/>
    </row>
    <row r="13239" spans="1:7" ht="15" x14ac:dyDescent="0.3">
      <c r="F13239" s="21"/>
      <c r="G13239" s="16"/>
    </row>
    <row r="13240" spans="1:7" ht="15" x14ac:dyDescent="0.3">
      <c r="A13240">
        <v>34.727029999999999</v>
      </c>
      <c r="B13240">
        <v>-76.639470000000003</v>
      </c>
      <c r="C13240" t="s">
        <v>41</v>
      </c>
      <c r="D13240" t="s">
        <v>7296</v>
      </c>
      <c r="F13240" s="21"/>
      <c r="G13240" s="16" t="str">
        <f>HYPERLINK("http://maps.google.com/maps?f=q&amp;hl=en&amp;geocode=&amp;q=34.72703,-76.63947")</f>
        <v>http://maps.google.com/maps?f=q&amp;hl=en&amp;geocode=&amp;q=34.72703,-76.63947</v>
      </c>
    </row>
    <row r="13241" spans="1:7" ht="15" x14ac:dyDescent="0.3">
      <c r="A13241">
        <v>40.046889999999998</v>
      </c>
      <c r="B13241">
        <v>-75.082729999999998</v>
      </c>
      <c r="C13241" t="s">
        <v>41</v>
      </c>
      <c r="D13241" t="s">
        <v>7297</v>
      </c>
      <c r="F13241" s="21"/>
      <c r="G13241" s="16" t="str">
        <f>HYPERLINK("http://maps.google.com/maps?f=q&amp;hl=en&amp;geocode=&amp;q=40.04689,-75.08273")</f>
        <v>http://maps.google.com/maps?f=q&amp;hl=en&amp;geocode=&amp;q=40.04689,-75.08273</v>
      </c>
    </row>
    <row r="13242" spans="1:7" ht="15" x14ac:dyDescent="0.3">
      <c r="A13242">
        <v>39.93224</v>
      </c>
      <c r="B13242">
        <v>-75.156109999999998</v>
      </c>
      <c r="C13242" t="s">
        <v>43</v>
      </c>
      <c r="D13242" t="s">
        <v>7298</v>
      </c>
      <c r="F13242" s="21"/>
      <c r="G13242" s="16" t="str">
        <f>HYPERLINK("http://maps.google.com/maps?f=q&amp;hl=en&amp;geocode=&amp;q=39.93224,-75.15611")</f>
        <v>http://maps.google.com/maps?f=q&amp;hl=en&amp;geocode=&amp;q=39.93224,-75.15611</v>
      </c>
    </row>
    <row r="13243" spans="1:7" ht="15" x14ac:dyDescent="0.3">
      <c r="A13243">
        <v>54.562068939208999</v>
      </c>
      <c r="B13243">
        <v>-125.10440063476599</v>
      </c>
      <c r="C13243" t="s">
        <v>41</v>
      </c>
      <c r="D13243" t="s">
        <v>5441</v>
      </c>
      <c r="F13243" s="21"/>
      <c r="G13243" s="16" t="str">
        <f>HYPERLINK("http://maps.google.com/maps?f=q&amp;hl=en&amp;geocode=&amp;q=54.562068939209,-125.104400634766")</f>
        <v>http://maps.google.com/maps?f=q&amp;hl=en&amp;geocode=&amp;q=54.562068939209,-125.104400634766</v>
      </c>
    </row>
    <row r="13244" spans="1:7" ht="15" x14ac:dyDescent="0.3">
      <c r="F13244" s="21"/>
      <c r="G13244" s="16"/>
    </row>
    <row r="13245" spans="1:7" ht="15" x14ac:dyDescent="0.3">
      <c r="A13245">
        <v>48.672306060791001</v>
      </c>
      <c r="B13245">
        <v>7.5540661811828604</v>
      </c>
      <c r="C13245" t="s">
        <v>43</v>
      </c>
      <c r="D13245" t="s">
        <v>5375</v>
      </c>
      <c r="F13245" s="21"/>
      <c r="G13245" s="16" t="str">
        <f>HYPERLINK("http://maps.google.com/maps?f=q&amp;hl=en&amp;geocode=&amp;q=48.672306060791,7.55406618118286")</f>
        <v>http://maps.google.com/maps?f=q&amp;hl=en&amp;geocode=&amp;q=48.672306060791,7.55406618118286</v>
      </c>
    </row>
    <row r="13246" spans="1:7" ht="15" x14ac:dyDescent="0.3">
      <c r="A13246">
        <v>40.048310000000001</v>
      </c>
      <c r="B13246">
        <v>-75.195620000000005</v>
      </c>
      <c r="C13246" t="s">
        <v>41</v>
      </c>
      <c r="D13246" t="s">
        <v>7299</v>
      </c>
      <c r="F13246" s="21"/>
      <c r="G13246" s="16" t="str">
        <f>HYPERLINK("http://maps.google.com/maps?f=q&amp;hl=en&amp;geocode=&amp;q=40.04831,-75.19562")</f>
        <v>http://maps.google.com/maps?f=q&amp;hl=en&amp;geocode=&amp;q=40.04831,-75.19562</v>
      </c>
    </row>
    <row r="13247" spans="1:7" ht="15" x14ac:dyDescent="0.3">
      <c r="A13247">
        <v>49.603744506835902</v>
      </c>
      <c r="B13247">
        <v>6.1197071075439498</v>
      </c>
      <c r="C13247" t="s">
        <v>43</v>
      </c>
      <c r="D13247" t="s">
        <v>7300</v>
      </c>
      <c r="F13247" s="21"/>
      <c r="G13247" s="16" t="str">
        <f>HYPERLINK("http://maps.google.com/maps?f=q&amp;hl=en&amp;geocode=&amp;q=49.6037445068359,6.11970710754395")</f>
        <v>http://maps.google.com/maps?f=q&amp;hl=en&amp;geocode=&amp;q=49.6037445068359,6.11970710754395</v>
      </c>
    </row>
    <row r="13248" spans="1:7" ht="15" x14ac:dyDescent="0.3">
      <c r="A13248">
        <v>-23.792590000000001</v>
      </c>
      <c r="B13248">
        <v>151.10866999999999</v>
      </c>
      <c r="C13248" t="s">
        <v>41</v>
      </c>
      <c r="D13248" t="s">
        <v>7301</v>
      </c>
      <c r="F13248" s="21"/>
      <c r="G13248" s="16" t="str">
        <f>HYPERLINK("http://maps.google.com/maps?f=q&amp;hl=en&amp;geocode=&amp;q=-23.79259,151.10867")</f>
        <v>http://maps.google.com/maps?f=q&amp;hl=en&amp;geocode=&amp;q=-23.79259,151.10867</v>
      </c>
    </row>
    <row r="13249" spans="1:7" ht="15" x14ac:dyDescent="0.3">
      <c r="A13249" t="s">
        <v>44</v>
      </c>
      <c r="B13249" t="s">
        <v>44</v>
      </c>
      <c r="C13249" t="s">
        <v>44</v>
      </c>
      <c r="D13249" t="s">
        <v>7302</v>
      </c>
      <c r="F13249" s="21"/>
      <c r="G13249" s="16"/>
    </row>
    <row r="13250" spans="1:7" ht="15" x14ac:dyDescent="0.3">
      <c r="A13250">
        <v>28.492582321166999</v>
      </c>
      <c r="B13250">
        <v>-82.472221374511705</v>
      </c>
      <c r="C13250" t="s">
        <v>41</v>
      </c>
      <c r="D13250" t="s">
        <v>7303</v>
      </c>
      <c r="F13250" s="21"/>
      <c r="G13250" s="16" t="str">
        <f>HYPERLINK("http://maps.google.com/maps?f=q&amp;hl=en&amp;geocode=&amp;q=28.492582321167,-82.4722213745117")</f>
        <v>http://maps.google.com/maps?f=q&amp;hl=en&amp;geocode=&amp;q=28.492582321167,-82.4722213745117</v>
      </c>
    </row>
    <row r="13251" spans="1:7" ht="15" x14ac:dyDescent="0.3">
      <c r="A13251" t="s">
        <v>44</v>
      </c>
      <c r="B13251" t="s">
        <v>44</v>
      </c>
      <c r="C13251" t="s">
        <v>44</v>
      </c>
      <c r="D13251" t="s">
        <v>229</v>
      </c>
      <c r="F13251" s="21"/>
      <c r="G13251" s="16"/>
    </row>
    <row r="13252" spans="1:7" ht="15" x14ac:dyDescent="0.3">
      <c r="A13252">
        <v>7.3835182189941397</v>
      </c>
      <c r="B13252">
        <v>-12.2588081359863</v>
      </c>
      <c r="C13252" t="s">
        <v>41</v>
      </c>
      <c r="D13252" t="s">
        <v>202</v>
      </c>
      <c r="F13252" s="21"/>
      <c r="G13252" s="16" t="str">
        <f>HYPERLINK("http://maps.google.com/maps?f=q&amp;hl=en&amp;geocode=&amp;q=7.38351821899414,-12.2588081359863")</f>
        <v>http://maps.google.com/maps?f=q&amp;hl=en&amp;geocode=&amp;q=7.38351821899414,-12.2588081359863</v>
      </c>
    </row>
    <row r="13253" spans="1:7" ht="15" x14ac:dyDescent="0.3">
      <c r="A13253">
        <v>30.267068717527799</v>
      </c>
      <c r="B13253">
        <v>-81.757353767843696</v>
      </c>
      <c r="C13253" t="s">
        <v>41</v>
      </c>
      <c r="D13253" t="s">
        <v>6529</v>
      </c>
      <c r="F13253" s="21"/>
      <c r="G13253" s="16" t="str">
        <f>HYPERLINK("http://maps.google.com/maps?f=q&amp;hl=en&amp;geocode=&amp;q=30.2670687175278,-81.7573537678437")</f>
        <v>http://maps.google.com/maps?f=q&amp;hl=en&amp;geocode=&amp;q=30.2670687175278,-81.7573537678437</v>
      </c>
    </row>
    <row r="13254" spans="1:7" ht="15" x14ac:dyDescent="0.3">
      <c r="A13254">
        <v>40.56062</v>
      </c>
      <c r="B13254">
        <v>-79.949730000000002</v>
      </c>
      <c r="C13254" t="s">
        <v>42</v>
      </c>
      <c r="D13254" t="s">
        <v>7304</v>
      </c>
      <c r="F13254" s="21"/>
      <c r="G13254" s="16" t="str">
        <f>HYPERLINK("http://maps.google.com/maps?f=q&amp;hl=en&amp;geocode=&amp;q=40.56062,-79.94973")</f>
        <v>http://maps.google.com/maps?f=q&amp;hl=en&amp;geocode=&amp;q=40.56062,-79.94973</v>
      </c>
    </row>
    <row r="13255" spans="1:7" ht="15" x14ac:dyDescent="0.3">
      <c r="A13255">
        <v>36.950839999999999</v>
      </c>
      <c r="B13255">
        <v>-112.52853</v>
      </c>
      <c r="C13255" t="s">
        <v>42</v>
      </c>
      <c r="D13255" t="s">
        <v>7305</v>
      </c>
      <c r="F13255" s="21"/>
      <c r="G13255" s="16" t="str">
        <f>HYPERLINK("http://maps.google.com/maps?f=q&amp;hl=en&amp;geocode=&amp;q=36.95084,-112.52853")</f>
        <v>http://maps.google.com/maps?f=q&amp;hl=en&amp;geocode=&amp;q=36.95084,-112.52853</v>
      </c>
    </row>
    <row r="13256" spans="1:7" ht="15" x14ac:dyDescent="0.3">
      <c r="A13256">
        <v>43.160837146377702</v>
      </c>
      <c r="B13256">
        <v>-78.810668355100702</v>
      </c>
      <c r="C13256" t="s">
        <v>41</v>
      </c>
      <c r="D13256" t="s">
        <v>7306</v>
      </c>
      <c r="F13256" s="21"/>
      <c r="G13256" s="16" t="str">
        <f>HYPERLINK("http://maps.google.com/maps?f=q&amp;hl=en&amp;geocode=&amp;q=43.1608371463777,-78.8106683551007")</f>
        <v>http://maps.google.com/maps?f=q&amp;hl=en&amp;geocode=&amp;q=43.1608371463777,-78.8106683551007</v>
      </c>
    </row>
    <row r="13257" spans="1:7" ht="15" x14ac:dyDescent="0.3">
      <c r="A13257">
        <v>40.029515547619503</v>
      </c>
      <c r="B13257">
        <v>-75.214941576370705</v>
      </c>
      <c r="C13257" t="s">
        <v>41</v>
      </c>
      <c r="D13257" t="s">
        <v>214</v>
      </c>
      <c r="F13257" s="21"/>
      <c r="G13257" s="16" t="str">
        <f>HYPERLINK("http://maps.google.com/maps?f=q&amp;hl=en&amp;geocode=&amp;q=40.0295155476195,-75.2149415763707")</f>
        <v>http://maps.google.com/maps?f=q&amp;hl=en&amp;geocode=&amp;q=40.0295155476195,-75.2149415763707</v>
      </c>
    </row>
    <row r="13258" spans="1:7" ht="15" x14ac:dyDescent="0.3">
      <c r="A13258">
        <v>43.5252716445084</v>
      </c>
      <c r="B13258">
        <v>-84.1974625212071</v>
      </c>
      <c r="C13258" t="s">
        <v>41</v>
      </c>
      <c r="D13258" t="s">
        <v>7002</v>
      </c>
      <c r="F13258" s="21"/>
      <c r="G13258" s="16" t="str">
        <f>HYPERLINK("http://maps.google.com/maps?f=q&amp;hl=en&amp;geocode=&amp;q=43.5252716445084,-84.1974625212071")</f>
        <v>http://maps.google.com/maps?f=q&amp;hl=en&amp;geocode=&amp;q=43.5252716445084,-84.1974625212071</v>
      </c>
    </row>
    <row r="13259" spans="1:7" ht="15" x14ac:dyDescent="0.3">
      <c r="A13259">
        <v>40.647956546339202</v>
      </c>
      <c r="B13259">
        <v>-98.894844981076403</v>
      </c>
      <c r="C13259" t="s">
        <v>41</v>
      </c>
      <c r="D13259" t="s">
        <v>5080</v>
      </c>
      <c r="F13259" s="21"/>
      <c r="G13259" s="16" t="str">
        <f>HYPERLINK("http://maps.google.com/maps?f=q&amp;hl=en&amp;geocode=&amp;q=40.6479565463392,-98.8948449810764")</f>
        <v>http://maps.google.com/maps?f=q&amp;hl=en&amp;geocode=&amp;q=40.6479565463392,-98.8948449810764</v>
      </c>
    </row>
    <row r="13260" spans="1:7" ht="15" x14ac:dyDescent="0.3">
      <c r="A13260">
        <v>32.859409999999997</v>
      </c>
      <c r="B13260">
        <v>-117.19738</v>
      </c>
      <c r="C13260" t="s">
        <v>42</v>
      </c>
      <c r="D13260" t="s">
        <v>7307</v>
      </c>
      <c r="F13260" s="21"/>
      <c r="G13260" s="16" t="str">
        <f>HYPERLINK("http://maps.google.com/maps?f=q&amp;hl=en&amp;geocode=&amp;q=32.85941,-117.19738")</f>
        <v>http://maps.google.com/maps?f=q&amp;hl=en&amp;geocode=&amp;q=32.85941,-117.19738</v>
      </c>
    </row>
    <row r="13261" spans="1:7" ht="15" x14ac:dyDescent="0.3">
      <c r="A13261">
        <v>36.043103112212599</v>
      </c>
      <c r="B13261">
        <v>-83.820957807915207</v>
      </c>
      <c r="C13261" t="s">
        <v>41</v>
      </c>
      <c r="D13261" t="s">
        <v>7308</v>
      </c>
      <c r="F13261" s="21"/>
      <c r="G13261" s="16" t="str">
        <f>HYPERLINK("http://maps.google.com/maps?f=q&amp;hl=en&amp;geocode=&amp;q=36.0431031122126,-83.8209578079152")</f>
        <v>http://maps.google.com/maps?f=q&amp;hl=en&amp;geocode=&amp;q=36.0431031122126,-83.8209578079152</v>
      </c>
    </row>
    <row r="13262" spans="1:7" ht="15" x14ac:dyDescent="0.3">
      <c r="A13262">
        <v>39.969520568847699</v>
      </c>
      <c r="B13262">
        <v>-79.613929748535199</v>
      </c>
      <c r="C13262" t="s">
        <v>43</v>
      </c>
      <c r="D13262" t="s">
        <v>4037</v>
      </c>
      <c r="F13262" s="21"/>
      <c r="G13262" s="16" t="str">
        <f>HYPERLINK("http://maps.google.com/maps?f=q&amp;hl=en&amp;geocode=&amp;q=39.9695205688477,-79.6139297485352")</f>
        <v>http://maps.google.com/maps?f=q&amp;hl=en&amp;geocode=&amp;q=39.9695205688477,-79.6139297485352</v>
      </c>
    </row>
    <row r="13263" spans="1:7" ht="15" x14ac:dyDescent="0.3">
      <c r="A13263">
        <v>39.919359999999998</v>
      </c>
      <c r="B13263">
        <v>-75.180580000000006</v>
      </c>
      <c r="C13263" t="s">
        <v>43</v>
      </c>
      <c r="D13263" t="s">
        <v>7309</v>
      </c>
      <c r="F13263" s="21"/>
      <c r="G13263" s="16" t="str">
        <f>HYPERLINK("http://maps.google.com/maps?f=q&amp;hl=en&amp;geocode=&amp;q=39.91936,-75.18058")</f>
        <v>http://maps.google.com/maps?f=q&amp;hl=en&amp;geocode=&amp;q=39.91936,-75.18058</v>
      </c>
    </row>
    <row r="13264" spans="1:7" ht="15" x14ac:dyDescent="0.3">
      <c r="A13264" t="s">
        <v>44</v>
      </c>
      <c r="B13264" t="s">
        <v>44</v>
      </c>
      <c r="C13264" t="s">
        <v>44</v>
      </c>
      <c r="D13264" t="s">
        <v>4438</v>
      </c>
      <c r="F13264" s="21"/>
      <c r="G13264" s="16"/>
    </row>
    <row r="13265" spans="1:7" ht="15" x14ac:dyDescent="0.3">
      <c r="A13265">
        <v>48.672306060791001</v>
      </c>
      <c r="B13265">
        <v>7.5540661811828604</v>
      </c>
      <c r="C13265" t="s">
        <v>43</v>
      </c>
      <c r="D13265" t="s">
        <v>5375</v>
      </c>
      <c r="F13265" s="21"/>
      <c r="G13265" s="16" t="str">
        <f>HYPERLINK("http://maps.google.com/maps?f=q&amp;hl=en&amp;geocode=&amp;q=48.672306060791,7.55406618118286")</f>
        <v>http://maps.google.com/maps?f=q&amp;hl=en&amp;geocode=&amp;q=48.672306060791,7.55406618118286</v>
      </c>
    </row>
    <row r="13266" spans="1:7" ht="15" x14ac:dyDescent="0.3">
      <c r="A13266">
        <v>40.034669999999998</v>
      </c>
      <c r="B13266">
        <v>-75.183109999999999</v>
      </c>
      <c r="C13266" t="s">
        <v>41</v>
      </c>
      <c r="D13266" t="s">
        <v>3276</v>
      </c>
      <c r="F13266" s="21"/>
      <c r="G13266" s="16" t="str">
        <f>HYPERLINK("http://maps.google.com/maps?f=q&amp;hl=en&amp;geocode=&amp;q=40.03467,-75.18311")</f>
        <v>http://maps.google.com/maps?f=q&amp;hl=en&amp;geocode=&amp;q=40.03467,-75.18311</v>
      </c>
    </row>
    <row r="13267" spans="1:7" ht="15" x14ac:dyDescent="0.3">
      <c r="A13267">
        <v>37.859785696689499</v>
      </c>
      <c r="B13267">
        <v>-82.805018451891399</v>
      </c>
      <c r="C13267" t="s">
        <v>41</v>
      </c>
      <c r="D13267" t="s">
        <v>6806</v>
      </c>
      <c r="F13267" s="21"/>
      <c r="G13267" s="16" t="str">
        <f>HYPERLINK("http://maps.google.com/maps?f=q&amp;hl=en&amp;geocode=&amp;q=37.8597856966895,-82.8050184518914")</f>
        <v>http://maps.google.com/maps?f=q&amp;hl=en&amp;geocode=&amp;q=37.8597856966895,-82.8050184518914</v>
      </c>
    </row>
    <row r="13268" spans="1:7" ht="15" x14ac:dyDescent="0.3">
      <c r="A13268">
        <v>41.734358921720698</v>
      </c>
      <c r="B13268">
        <v>-88.275332986684305</v>
      </c>
      <c r="C13268" t="s">
        <v>41</v>
      </c>
      <c r="D13268" t="s">
        <v>7310</v>
      </c>
      <c r="F13268" s="21"/>
      <c r="G13268" s="16" t="str">
        <f>HYPERLINK("http://maps.google.com/maps?f=q&amp;hl=en&amp;geocode=&amp;q=41.7343589217207,-88.2753329866843")</f>
        <v>http://maps.google.com/maps?f=q&amp;hl=en&amp;geocode=&amp;q=41.7343589217207,-88.2753329866843</v>
      </c>
    </row>
    <row r="13269" spans="1:7" ht="15" x14ac:dyDescent="0.3">
      <c r="A13269">
        <v>27.613869999999999</v>
      </c>
      <c r="B13269">
        <v>-81.409710000000004</v>
      </c>
      <c r="C13269" t="s">
        <v>43</v>
      </c>
      <c r="D13269" t="s">
        <v>7311</v>
      </c>
      <c r="F13269" s="21"/>
      <c r="G13269" s="16" t="str">
        <f>HYPERLINK("http://maps.google.com/maps?f=q&amp;hl=en&amp;geocode=&amp;q=27.61387,-81.40971")</f>
        <v>http://maps.google.com/maps?f=q&amp;hl=en&amp;geocode=&amp;q=27.61387,-81.40971</v>
      </c>
    </row>
    <row r="13270" spans="1:7" ht="15" x14ac:dyDescent="0.3">
      <c r="A13270">
        <v>29.248069999999998</v>
      </c>
      <c r="B13270">
        <v>-81.075220000000002</v>
      </c>
      <c r="C13270" t="s">
        <v>41</v>
      </c>
      <c r="D13270" t="s">
        <v>7312</v>
      </c>
      <c r="F13270" s="21"/>
      <c r="G13270" s="16" t="str">
        <f>HYPERLINK("http://maps.google.com/maps?f=q&amp;hl=en&amp;geocode=&amp;q=29.24807,-81.07522")</f>
        <v>http://maps.google.com/maps?f=q&amp;hl=en&amp;geocode=&amp;q=29.24807,-81.07522</v>
      </c>
    </row>
    <row r="13271" spans="1:7" ht="15" x14ac:dyDescent="0.3">
      <c r="A13271">
        <v>40.84984</v>
      </c>
      <c r="B13271">
        <v>-73.918869999999998</v>
      </c>
      <c r="C13271" t="s">
        <v>41</v>
      </c>
      <c r="D13271" t="s">
        <v>5874</v>
      </c>
      <c r="F13271" s="21"/>
      <c r="G13271" s="16" t="str">
        <f>HYPERLINK("http://maps.google.com/maps?f=q&amp;hl=en&amp;geocode=&amp;q=40.84984,-73.91887")</f>
        <v>http://maps.google.com/maps?f=q&amp;hl=en&amp;geocode=&amp;q=40.84984,-73.91887</v>
      </c>
    </row>
    <row r="13272" spans="1:7" ht="15" x14ac:dyDescent="0.3">
      <c r="A13272">
        <v>42.327260000000003</v>
      </c>
      <c r="B13272">
        <v>-78.672979999999995</v>
      </c>
      <c r="C13272" t="s">
        <v>43</v>
      </c>
      <c r="D13272" t="s">
        <v>7313</v>
      </c>
      <c r="F13272" s="21"/>
      <c r="G13272" s="16" t="str">
        <f>HYPERLINK("http://maps.google.com/maps?f=q&amp;hl=en&amp;geocode=&amp;q=42.32726,-78.67298")</f>
        <v>http://maps.google.com/maps?f=q&amp;hl=en&amp;geocode=&amp;q=42.32726,-78.67298</v>
      </c>
    </row>
    <row r="13273" spans="1:7" ht="15" x14ac:dyDescent="0.3">
      <c r="A13273">
        <v>39.934911833693498</v>
      </c>
      <c r="B13273">
        <v>-75.174656552581794</v>
      </c>
      <c r="C13273" t="s">
        <v>41</v>
      </c>
      <c r="D13273" t="s">
        <v>3213</v>
      </c>
      <c r="F13273" s="21"/>
      <c r="G13273" s="16" t="str">
        <f>HYPERLINK("http://maps.google.com/maps?f=q&amp;hl=en&amp;geocode=&amp;q=39.9349118336935,-75.1746565525818")</f>
        <v>http://maps.google.com/maps?f=q&amp;hl=en&amp;geocode=&amp;q=39.9349118336935,-75.1746565525818</v>
      </c>
    </row>
    <row r="13274" spans="1:7" ht="15" x14ac:dyDescent="0.3">
      <c r="A13274">
        <v>41.092313487596797</v>
      </c>
      <c r="B13274">
        <v>-85.112541453908094</v>
      </c>
      <c r="C13274" t="s">
        <v>41</v>
      </c>
      <c r="D13274" t="s">
        <v>3457</v>
      </c>
      <c r="F13274" s="21"/>
      <c r="G13274" s="16" t="str">
        <f>HYPERLINK("http://maps.google.com/maps?f=q&amp;hl=en&amp;geocode=&amp;q=41.0923134875968,-85.1125414539081")</f>
        <v>http://maps.google.com/maps?f=q&amp;hl=en&amp;geocode=&amp;q=41.0923134875968,-85.1125414539081</v>
      </c>
    </row>
    <row r="13275" spans="1:7" ht="15" x14ac:dyDescent="0.3">
      <c r="A13275">
        <v>46.955323504461397</v>
      </c>
      <c r="B13275">
        <v>-114.01131402508</v>
      </c>
      <c r="C13275" t="s">
        <v>41</v>
      </c>
      <c r="D13275" t="s">
        <v>7314</v>
      </c>
      <c r="F13275" s="21"/>
      <c r="G13275" s="16" t="str">
        <f>HYPERLINK("http://maps.google.com/maps?f=q&amp;hl=en&amp;geocode=&amp;q=46.9553235044614,-114.01131402508")</f>
        <v>http://maps.google.com/maps?f=q&amp;hl=en&amp;geocode=&amp;q=46.9553235044614,-114.01131402508</v>
      </c>
    </row>
    <row r="13276" spans="1:7" ht="15" x14ac:dyDescent="0.3">
      <c r="A13276">
        <v>-26.034427642822301</v>
      </c>
      <c r="B13276">
        <v>28.5431098937988</v>
      </c>
      <c r="C13276" t="s">
        <v>43</v>
      </c>
      <c r="D13276" t="s">
        <v>7315</v>
      </c>
      <c r="F13276" s="21"/>
      <c r="G13276" s="16" t="str">
        <f>HYPERLINK("http://maps.google.com/maps?f=q&amp;hl=en&amp;geocode=&amp;q=-26.0344276428223,28.5431098937988")</f>
        <v>http://maps.google.com/maps?f=q&amp;hl=en&amp;geocode=&amp;q=-26.0344276428223,28.5431098937988</v>
      </c>
    </row>
    <row r="13277" spans="1:7" ht="15" x14ac:dyDescent="0.3">
      <c r="A13277">
        <v>32.145165372539999</v>
      </c>
      <c r="B13277">
        <v>-92.917490671678607</v>
      </c>
      <c r="C13277" t="s">
        <v>41</v>
      </c>
      <c r="D13277" t="s">
        <v>7316</v>
      </c>
      <c r="F13277" s="21"/>
      <c r="G13277" s="16" t="str">
        <f>HYPERLINK("http://maps.google.com/maps?f=q&amp;hl=en&amp;geocode=&amp;q=32.14516537254,-92.9174906716786")</f>
        <v>http://maps.google.com/maps?f=q&amp;hl=en&amp;geocode=&amp;q=32.14516537254,-92.9174906716786</v>
      </c>
    </row>
    <row r="13278" spans="1:7" ht="15" x14ac:dyDescent="0.3">
      <c r="A13278">
        <v>32.145165372539999</v>
      </c>
      <c r="B13278">
        <v>-92.917490671678607</v>
      </c>
      <c r="C13278" t="s">
        <v>41</v>
      </c>
      <c r="D13278" t="s">
        <v>7316</v>
      </c>
      <c r="F13278" s="21"/>
      <c r="G13278" s="16" t="str">
        <f>HYPERLINK("http://maps.google.com/maps?f=q&amp;hl=en&amp;geocode=&amp;q=32.14516537254,-92.9174906716786")</f>
        <v>http://maps.google.com/maps?f=q&amp;hl=en&amp;geocode=&amp;q=32.14516537254,-92.9174906716786</v>
      </c>
    </row>
    <row r="13279" spans="1:7" ht="15" x14ac:dyDescent="0.3">
      <c r="A13279">
        <v>32.145165372539999</v>
      </c>
      <c r="B13279">
        <v>-92.917490671678607</v>
      </c>
      <c r="C13279" t="s">
        <v>41</v>
      </c>
      <c r="D13279" t="s">
        <v>7316</v>
      </c>
      <c r="F13279" s="21"/>
      <c r="G13279" s="16" t="str">
        <f>HYPERLINK("http://maps.google.com/maps?f=q&amp;hl=en&amp;geocode=&amp;q=32.14516537254,-92.9174906716786")</f>
        <v>http://maps.google.com/maps?f=q&amp;hl=en&amp;geocode=&amp;q=32.14516537254,-92.9174906716786</v>
      </c>
    </row>
    <row r="13280" spans="1:7" ht="15" x14ac:dyDescent="0.3">
      <c r="A13280">
        <v>31.028346963799802</v>
      </c>
      <c r="B13280">
        <v>-87.524305554217307</v>
      </c>
      <c r="C13280" t="s">
        <v>41</v>
      </c>
      <c r="D13280" t="s">
        <v>6020</v>
      </c>
      <c r="F13280" s="21"/>
      <c r="G13280" s="16" t="str">
        <f>HYPERLINK("http://maps.google.com/maps?f=q&amp;hl=en&amp;geocode=&amp;q=31.0283469637998,-87.5243055542173")</f>
        <v>http://maps.google.com/maps?f=q&amp;hl=en&amp;geocode=&amp;q=31.0283469637998,-87.5243055542173</v>
      </c>
    </row>
    <row r="13281" spans="1:7" ht="15" x14ac:dyDescent="0.3">
      <c r="A13281">
        <v>37.859785696689499</v>
      </c>
      <c r="B13281">
        <v>-82.805018451891399</v>
      </c>
      <c r="C13281" t="s">
        <v>41</v>
      </c>
      <c r="D13281" t="s">
        <v>6806</v>
      </c>
      <c r="F13281" s="21"/>
      <c r="G13281" s="16" t="str">
        <f>HYPERLINK("http://maps.google.com/maps?f=q&amp;hl=en&amp;geocode=&amp;q=37.8597856966895,-82.8050184518914")</f>
        <v>http://maps.google.com/maps?f=q&amp;hl=en&amp;geocode=&amp;q=37.8597856966895,-82.8050184518914</v>
      </c>
    </row>
    <row r="13282" spans="1:7" ht="15" x14ac:dyDescent="0.3">
      <c r="F13282" s="21"/>
      <c r="G13282" s="16"/>
    </row>
    <row r="13283" spans="1:7" ht="15" x14ac:dyDescent="0.3">
      <c r="A13283">
        <v>39.9221</v>
      </c>
      <c r="B13283">
        <v>-75.171909999999997</v>
      </c>
      <c r="C13283" t="s">
        <v>43</v>
      </c>
      <c r="D13283" t="s">
        <v>7317</v>
      </c>
      <c r="F13283" s="21"/>
      <c r="G13283" s="16" t="str">
        <f>HYPERLINK("http://maps.google.com/maps?f=q&amp;hl=en&amp;geocode=&amp;q=39.9221,-75.17191")</f>
        <v>http://maps.google.com/maps?f=q&amp;hl=en&amp;geocode=&amp;q=39.9221,-75.17191</v>
      </c>
    </row>
    <row r="13284" spans="1:7" ht="15" x14ac:dyDescent="0.3">
      <c r="A13284" t="s">
        <v>44</v>
      </c>
      <c r="B13284" t="s">
        <v>44</v>
      </c>
      <c r="C13284" t="s">
        <v>44</v>
      </c>
      <c r="D13284" t="s">
        <v>4438</v>
      </c>
      <c r="F13284" s="21"/>
      <c r="G13284" s="16"/>
    </row>
    <row r="13285" spans="1:7" ht="15" x14ac:dyDescent="0.3">
      <c r="A13285">
        <v>42.169429999999998</v>
      </c>
      <c r="B13285">
        <v>-87.867440000000002</v>
      </c>
      <c r="C13285" t="s">
        <v>41</v>
      </c>
      <c r="D13285" t="s">
        <v>4196</v>
      </c>
      <c r="F13285" s="21"/>
      <c r="G13285" s="16" t="str">
        <f>HYPERLINK("http://maps.google.com/maps?f=q&amp;hl=en&amp;geocode=&amp;q=42.16943,-87.86744")</f>
        <v>http://maps.google.com/maps?f=q&amp;hl=en&amp;geocode=&amp;q=42.16943,-87.86744</v>
      </c>
    </row>
    <row r="13286" spans="1:7" ht="15" x14ac:dyDescent="0.3">
      <c r="A13286">
        <v>35.593101501464801</v>
      </c>
      <c r="B13286">
        <v>-91.503303527832003</v>
      </c>
      <c r="C13286" t="s">
        <v>41</v>
      </c>
      <c r="D13286" t="s">
        <v>6602</v>
      </c>
      <c r="F13286" s="21"/>
      <c r="G13286" s="16" t="str">
        <f>HYPERLINK("http://maps.google.com/maps?f=q&amp;hl=en&amp;geocode=&amp;q=35.5931015014648,-91.503303527832")</f>
        <v>http://maps.google.com/maps?f=q&amp;hl=en&amp;geocode=&amp;q=35.5931015014648,-91.503303527832</v>
      </c>
    </row>
    <row r="13287" spans="1:7" ht="15" x14ac:dyDescent="0.3">
      <c r="A13287">
        <v>54.562068939208999</v>
      </c>
      <c r="B13287">
        <v>-125.10440063476599</v>
      </c>
      <c r="C13287" t="s">
        <v>41</v>
      </c>
      <c r="D13287" t="s">
        <v>7318</v>
      </c>
      <c r="F13287" s="21"/>
      <c r="G13287" s="16" t="str">
        <f>HYPERLINK("http://maps.google.com/maps?f=q&amp;hl=en&amp;geocode=&amp;q=54.562068939209,-125.104400634766")</f>
        <v>http://maps.google.com/maps?f=q&amp;hl=en&amp;geocode=&amp;q=54.562068939209,-125.104400634766</v>
      </c>
    </row>
    <row r="13288" spans="1:7" ht="15" x14ac:dyDescent="0.3">
      <c r="A13288">
        <v>49.601051330566399</v>
      </c>
      <c r="B13288">
        <v>6.1172018051147496</v>
      </c>
      <c r="C13288" t="s">
        <v>43</v>
      </c>
      <c r="D13288" t="s">
        <v>7319</v>
      </c>
      <c r="F13288" s="21"/>
      <c r="G13288" s="16" t="str">
        <f>HYPERLINK("http://maps.google.com/maps?f=q&amp;hl=en&amp;geocode=&amp;q=49.6010513305664,6.11720180511475")</f>
        <v>http://maps.google.com/maps?f=q&amp;hl=en&amp;geocode=&amp;q=49.6010513305664,6.11720180511475</v>
      </c>
    </row>
    <row r="13289" spans="1:7" ht="15" x14ac:dyDescent="0.3">
      <c r="A13289">
        <v>39.933019999999999</v>
      </c>
      <c r="B13289">
        <v>-75.106639999999999</v>
      </c>
      <c r="C13289" t="s">
        <v>41</v>
      </c>
      <c r="D13289" t="s">
        <v>7320</v>
      </c>
      <c r="F13289" s="21"/>
      <c r="G13289" s="16" t="str">
        <f>HYPERLINK("http://maps.google.com/maps?f=q&amp;hl=en&amp;geocode=&amp;q=39.93302,-75.10664")</f>
        <v>http://maps.google.com/maps?f=q&amp;hl=en&amp;geocode=&amp;q=39.93302,-75.10664</v>
      </c>
    </row>
    <row r="13290" spans="1:7" ht="15" x14ac:dyDescent="0.3">
      <c r="A13290">
        <v>37.860477293610998</v>
      </c>
      <c r="B13290">
        <v>-82.804754194483493</v>
      </c>
      <c r="C13290" t="s">
        <v>41</v>
      </c>
      <c r="D13290" t="s">
        <v>6849</v>
      </c>
      <c r="F13290" s="21"/>
      <c r="G13290" s="16" t="str">
        <f>HYPERLINK("http://maps.google.com/maps?f=q&amp;hl=en&amp;geocode=&amp;q=37.860477293611,-82.8047541944835")</f>
        <v>http://maps.google.com/maps?f=q&amp;hl=en&amp;geocode=&amp;q=37.860477293611,-82.8047541944835</v>
      </c>
    </row>
    <row r="13291" spans="1:7" ht="15" x14ac:dyDescent="0.3">
      <c r="A13291">
        <v>39.97475</v>
      </c>
      <c r="B13291">
        <v>-75.236405000000005</v>
      </c>
      <c r="C13291" t="s">
        <v>43</v>
      </c>
      <c r="D13291" t="s">
        <v>7321</v>
      </c>
      <c r="F13291" s="21"/>
      <c r="G13291" s="16" t="str">
        <f>HYPERLINK("http://maps.google.com/maps?f=q&amp;hl=en&amp;geocode=&amp;q=39.97475,-75.236405")</f>
        <v>http://maps.google.com/maps?f=q&amp;hl=en&amp;geocode=&amp;q=39.97475,-75.236405</v>
      </c>
    </row>
    <row r="13292" spans="1:7" ht="15" x14ac:dyDescent="0.3">
      <c r="A13292">
        <v>30.951314634443602</v>
      </c>
      <c r="B13292">
        <v>-83.365722528855798</v>
      </c>
      <c r="C13292" t="s">
        <v>41</v>
      </c>
      <c r="D13292" t="s">
        <v>3982</v>
      </c>
      <c r="F13292" s="21"/>
      <c r="G13292" s="16" t="str">
        <f>HYPERLINK("http://maps.google.com/maps?f=q&amp;hl=en&amp;geocode=&amp;q=30.9513146344436,-83.3657225288558")</f>
        <v>http://maps.google.com/maps?f=q&amp;hl=en&amp;geocode=&amp;q=30.9513146344436,-83.3657225288558</v>
      </c>
    </row>
    <row r="13293" spans="1:7" ht="15" x14ac:dyDescent="0.3">
      <c r="A13293">
        <v>40.981110354487498</v>
      </c>
      <c r="B13293">
        <v>-80.350784019008302</v>
      </c>
      <c r="C13293" t="s">
        <v>41</v>
      </c>
      <c r="D13293" t="s">
        <v>7322</v>
      </c>
      <c r="F13293" s="21"/>
      <c r="G13293" s="16" t="str">
        <f>HYPERLINK("http://maps.google.com/maps?f=q&amp;hl=en&amp;geocode=&amp;q=40.9811103544875,-80.3507840190083")</f>
        <v>http://maps.google.com/maps?f=q&amp;hl=en&amp;geocode=&amp;q=40.9811103544875,-80.3507840190083</v>
      </c>
    </row>
    <row r="13294" spans="1:7" ht="15" x14ac:dyDescent="0.3">
      <c r="A13294">
        <v>49.598808288574197</v>
      </c>
      <c r="B13294">
        <v>6.1449661254882804</v>
      </c>
      <c r="C13294" t="s">
        <v>41</v>
      </c>
      <c r="D13294" t="s">
        <v>7323</v>
      </c>
      <c r="F13294" s="21"/>
      <c r="G13294" s="16" t="str">
        <f>HYPERLINK("http://maps.google.com/maps?f=q&amp;hl=en&amp;geocode=&amp;q=49.5988082885742,6.14496612548828")</f>
        <v>http://maps.google.com/maps?f=q&amp;hl=en&amp;geocode=&amp;q=49.5988082885742,6.14496612548828</v>
      </c>
    </row>
    <row r="13295" spans="1:7" ht="15" x14ac:dyDescent="0.3">
      <c r="A13295">
        <v>35.593101501464801</v>
      </c>
      <c r="B13295">
        <v>-91.503303527832003</v>
      </c>
      <c r="C13295" t="s">
        <v>41</v>
      </c>
      <c r="D13295" t="s">
        <v>6602</v>
      </c>
      <c r="F13295" s="21"/>
      <c r="G13295" s="16" t="str">
        <f>HYPERLINK("http://maps.google.com/maps?f=q&amp;hl=en&amp;geocode=&amp;q=35.5931015014648,-91.503303527832")</f>
        <v>http://maps.google.com/maps?f=q&amp;hl=en&amp;geocode=&amp;q=35.5931015014648,-91.503303527832</v>
      </c>
    </row>
    <row r="13296" spans="1:7" ht="15" x14ac:dyDescent="0.3">
      <c r="A13296" t="s">
        <v>44</v>
      </c>
      <c r="B13296" t="s">
        <v>44</v>
      </c>
      <c r="C13296" t="s">
        <v>44</v>
      </c>
      <c r="D13296" t="s">
        <v>7324</v>
      </c>
      <c r="F13296" s="21"/>
      <c r="G13296" s="16"/>
    </row>
    <row r="13297" spans="1:7" ht="15" x14ac:dyDescent="0.3">
      <c r="A13297">
        <v>35.593101501464801</v>
      </c>
      <c r="B13297">
        <v>-91.503303527832003</v>
      </c>
      <c r="C13297" t="s">
        <v>41</v>
      </c>
      <c r="D13297" t="s">
        <v>6602</v>
      </c>
      <c r="F13297" s="21"/>
      <c r="G13297" s="16" t="str">
        <f>HYPERLINK("http://maps.google.com/maps?f=q&amp;hl=en&amp;geocode=&amp;q=35.5931015014648,-91.503303527832")</f>
        <v>http://maps.google.com/maps?f=q&amp;hl=en&amp;geocode=&amp;q=35.5931015014648,-91.503303527832</v>
      </c>
    </row>
    <row r="13298" spans="1:7" ht="15" x14ac:dyDescent="0.3">
      <c r="A13298">
        <v>39.918970000000002</v>
      </c>
      <c r="B13298">
        <v>-75.223219999999998</v>
      </c>
      <c r="C13298" t="s">
        <v>41</v>
      </c>
      <c r="D13298" t="s">
        <v>2019</v>
      </c>
      <c r="F13298" s="21"/>
      <c r="G13298" s="16" t="str">
        <f>HYPERLINK("http://maps.google.com/maps?f=q&amp;hl=en&amp;geocode=&amp;q=39.91897,-75.22322")</f>
        <v>http://maps.google.com/maps?f=q&amp;hl=en&amp;geocode=&amp;q=39.91897,-75.22322</v>
      </c>
    </row>
    <row r="13299" spans="1:7" ht="15" x14ac:dyDescent="0.3">
      <c r="A13299" t="s">
        <v>44</v>
      </c>
      <c r="B13299" t="s">
        <v>44</v>
      </c>
      <c r="C13299" t="s">
        <v>44</v>
      </c>
      <c r="D13299" t="s">
        <v>5784</v>
      </c>
      <c r="F13299" s="21"/>
      <c r="G13299" s="16"/>
    </row>
    <row r="13300" spans="1:7" ht="15" x14ac:dyDescent="0.3">
      <c r="A13300">
        <v>42.997422656800801</v>
      </c>
      <c r="B13300">
        <v>-95.623939346082395</v>
      </c>
      <c r="C13300" t="s">
        <v>41</v>
      </c>
      <c r="D13300" t="s">
        <v>71</v>
      </c>
      <c r="F13300" s="21"/>
      <c r="G13300" s="16" t="str">
        <f>HYPERLINK("http://maps.google.com/maps?f=q&amp;hl=en&amp;geocode=&amp;q=42.9974226568008,-95.6239393460824")</f>
        <v>http://maps.google.com/maps?f=q&amp;hl=en&amp;geocode=&amp;q=42.9974226568008,-95.6239393460824</v>
      </c>
    </row>
    <row r="13301" spans="1:7" ht="15" x14ac:dyDescent="0.3">
      <c r="A13301">
        <v>37.810490000000001</v>
      </c>
      <c r="B13301">
        <v>-85.908739999999995</v>
      </c>
      <c r="C13301" t="s">
        <v>41</v>
      </c>
      <c r="D13301" t="s">
        <v>7325</v>
      </c>
      <c r="F13301" s="21"/>
      <c r="G13301" s="16" t="str">
        <f>HYPERLINK("http://maps.google.com/maps?f=q&amp;hl=en&amp;geocode=&amp;q=37.81049,-85.90874")</f>
        <v>http://maps.google.com/maps?f=q&amp;hl=en&amp;geocode=&amp;q=37.81049,-85.90874</v>
      </c>
    </row>
    <row r="13302" spans="1:7" ht="15" x14ac:dyDescent="0.3">
      <c r="A13302">
        <v>36.093150000000001</v>
      </c>
      <c r="B13302">
        <v>-78.968919999999997</v>
      </c>
      <c r="C13302" t="s">
        <v>42</v>
      </c>
      <c r="D13302" t="s">
        <v>7105</v>
      </c>
      <c r="F13302" s="21"/>
      <c r="G13302" s="16" t="str">
        <f>HYPERLINK("http://maps.google.com/maps?f=q&amp;hl=en&amp;geocode=&amp;q=36.09315,-78.96892")</f>
        <v>http://maps.google.com/maps?f=q&amp;hl=en&amp;geocode=&amp;q=36.09315,-78.96892</v>
      </c>
    </row>
    <row r="13303" spans="1:7" ht="15" x14ac:dyDescent="0.3">
      <c r="A13303">
        <v>33.731900000000003</v>
      </c>
      <c r="B13303">
        <v>-117.88925999999999</v>
      </c>
      <c r="C13303" t="s">
        <v>41</v>
      </c>
      <c r="D13303" t="s">
        <v>7326</v>
      </c>
      <c r="F13303" s="21"/>
      <c r="G13303" s="16" t="str">
        <f>HYPERLINK("http://maps.google.com/maps?f=q&amp;hl=en&amp;geocode=&amp;q=33.7319,-117.88926")</f>
        <v>http://maps.google.com/maps?f=q&amp;hl=en&amp;geocode=&amp;q=33.7319,-117.88926</v>
      </c>
    </row>
    <row r="13304" spans="1:7" ht="15" x14ac:dyDescent="0.3">
      <c r="A13304">
        <v>28.618403656522101</v>
      </c>
      <c r="B13304">
        <v>-81.408508689374301</v>
      </c>
      <c r="C13304" t="s">
        <v>41</v>
      </c>
      <c r="D13304" t="s">
        <v>7327</v>
      </c>
      <c r="F13304" s="21"/>
      <c r="G13304" s="16" t="str">
        <f>HYPERLINK("http://maps.google.com/maps?f=q&amp;hl=en&amp;geocode=&amp;q=28.6184036565221,-81.4085086893743")</f>
        <v>http://maps.google.com/maps?f=q&amp;hl=en&amp;geocode=&amp;q=28.6184036565221,-81.4085086893743</v>
      </c>
    </row>
    <row r="13305" spans="1:7" ht="15" x14ac:dyDescent="0.3">
      <c r="A13305">
        <v>40.981110354487498</v>
      </c>
      <c r="B13305">
        <v>-80.350784019008302</v>
      </c>
      <c r="C13305" t="s">
        <v>41</v>
      </c>
      <c r="D13305" t="s">
        <v>7322</v>
      </c>
      <c r="F13305" s="21"/>
      <c r="G13305" s="16" t="str">
        <f>HYPERLINK("http://maps.google.com/maps?f=q&amp;hl=en&amp;geocode=&amp;q=40.9811103544875,-80.3507840190083")</f>
        <v>http://maps.google.com/maps?f=q&amp;hl=en&amp;geocode=&amp;q=40.9811103544875,-80.3507840190083</v>
      </c>
    </row>
    <row r="13306" spans="1:7" ht="15" x14ac:dyDescent="0.3">
      <c r="A13306" t="s">
        <v>44</v>
      </c>
      <c r="B13306" t="s">
        <v>44</v>
      </c>
      <c r="C13306" t="s">
        <v>44</v>
      </c>
      <c r="D13306" t="s">
        <v>5784</v>
      </c>
      <c r="F13306" s="21"/>
      <c r="G13306" s="16"/>
    </row>
    <row r="13307" spans="1:7" ht="15" x14ac:dyDescent="0.3">
      <c r="A13307" t="s">
        <v>44</v>
      </c>
      <c r="B13307" t="s">
        <v>44</v>
      </c>
      <c r="C13307" t="s">
        <v>44</v>
      </c>
      <c r="D13307" t="s">
        <v>5784</v>
      </c>
      <c r="F13307" s="21"/>
      <c r="G13307" s="16"/>
    </row>
    <row r="13308" spans="1:7" ht="15" x14ac:dyDescent="0.3">
      <c r="A13308">
        <v>50.068752288818402</v>
      </c>
      <c r="B13308">
        <v>-85.828125</v>
      </c>
      <c r="C13308" t="s">
        <v>41</v>
      </c>
      <c r="D13308" t="s">
        <v>7328</v>
      </c>
      <c r="F13308" s="21"/>
      <c r="G13308" s="16" t="str">
        <f>HYPERLINK("http://maps.google.com/maps?f=q&amp;hl=en&amp;geocode=&amp;q=50.0687522888184,-85.828125")</f>
        <v>http://maps.google.com/maps?f=q&amp;hl=en&amp;geocode=&amp;q=50.0687522888184,-85.828125</v>
      </c>
    </row>
    <row r="13309" spans="1:7" ht="15" x14ac:dyDescent="0.3">
      <c r="A13309" t="s">
        <v>44</v>
      </c>
      <c r="B13309" t="s">
        <v>44</v>
      </c>
      <c r="C13309" t="s">
        <v>44</v>
      </c>
      <c r="D13309" t="s">
        <v>7329</v>
      </c>
      <c r="F13309" s="21"/>
      <c r="G13309" s="16"/>
    </row>
    <row r="13310" spans="1:7" ht="15" x14ac:dyDescent="0.3">
      <c r="A13310">
        <v>39.182571411132798</v>
      </c>
      <c r="B13310">
        <v>-77.270347595214801</v>
      </c>
      <c r="C13310" t="s">
        <v>41</v>
      </c>
      <c r="D13310" t="s">
        <v>3450</v>
      </c>
      <c r="F13310" s="21"/>
      <c r="G13310" s="16" t="str">
        <f>HYPERLINK("http://maps.google.com/maps?f=q&amp;hl=en&amp;geocode=&amp;q=39.1825714111328,-77.2703475952148")</f>
        <v>http://maps.google.com/maps?f=q&amp;hl=en&amp;geocode=&amp;q=39.1825714111328,-77.2703475952148</v>
      </c>
    </row>
    <row r="13311" spans="1:7" ht="15" x14ac:dyDescent="0.3">
      <c r="A13311">
        <v>39.182571411132798</v>
      </c>
      <c r="B13311">
        <v>-77.270347595214801</v>
      </c>
      <c r="C13311" t="s">
        <v>41</v>
      </c>
      <c r="D13311" t="s">
        <v>3450</v>
      </c>
      <c r="F13311" s="21"/>
      <c r="G13311" s="16" t="str">
        <f>HYPERLINK("http://maps.google.com/maps?f=q&amp;hl=en&amp;geocode=&amp;q=39.1825714111328,-77.2703475952148")</f>
        <v>http://maps.google.com/maps?f=q&amp;hl=en&amp;geocode=&amp;q=39.1825714111328,-77.2703475952148</v>
      </c>
    </row>
    <row r="13312" spans="1:7" ht="15" x14ac:dyDescent="0.3">
      <c r="A13312" t="s">
        <v>44</v>
      </c>
      <c r="B13312" t="s">
        <v>44</v>
      </c>
      <c r="C13312" t="s">
        <v>44</v>
      </c>
      <c r="D13312" t="s">
        <v>5376</v>
      </c>
      <c r="F13312" s="21"/>
      <c r="G13312" s="16"/>
    </row>
    <row r="13313" spans="1:7" ht="15" x14ac:dyDescent="0.3">
      <c r="A13313">
        <v>35.593101501464801</v>
      </c>
      <c r="B13313">
        <v>-91.503303527832003</v>
      </c>
      <c r="C13313" t="s">
        <v>41</v>
      </c>
      <c r="D13313" t="s">
        <v>6602</v>
      </c>
      <c r="F13313" s="21"/>
      <c r="G13313" s="16" t="str">
        <f>HYPERLINK("http://maps.google.com/maps?f=q&amp;hl=en&amp;geocode=&amp;q=35.5931015014648,-91.503303527832")</f>
        <v>http://maps.google.com/maps?f=q&amp;hl=en&amp;geocode=&amp;q=35.5931015014648,-91.503303527832</v>
      </c>
    </row>
    <row r="13314" spans="1:7" ht="15" x14ac:dyDescent="0.3">
      <c r="A13314">
        <v>-19.820470809936499</v>
      </c>
      <c r="B13314">
        <v>-62.954181671142599</v>
      </c>
      <c r="C13314" t="s">
        <v>43</v>
      </c>
      <c r="D13314" t="s">
        <v>7330</v>
      </c>
      <c r="F13314" s="21"/>
      <c r="G13314" s="16" t="str">
        <f>HYPERLINK("http://maps.google.com/maps?f=q&amp;hl=en&amp;geocode=&amp;q=-19.8204708099365,-62.9541816711426")</f>
        <v>http://maps.google.com/maps?f=q&amp;hl=en&amp;geocode=&amp;q=-19.8204708099365,-62.9541816711426</v>
      </c>
    </row>
    <row r="13315" spans="1:7" ht="15" x14ac:dyDescent="0.3">
      <c r="A13315">
        <v>47.116134643554702</v>
      </c>
      <c r="B13315">
        <v>6.8440089225768999</v>
      </c>
      <c r="C13315" t="s">
        <v>43</v>
      </c>
      <c r="D13315" t="s">
        <v>7331</v>
      </c>
      <c r="F13315" s="21"/>
      <c r="G13315" s="16" t="str">
        <f>HYPERLINK("http://maps.google.com/maps?f=q&amp;hl=en&amp;geocode=&amp;q=47.1161346435547,6.8440089225769")</f>
        <v>http://maps.google.com/maps?f=q&amp;hl=en&amp;geocode=&amp;q=47.1161346435547,6.8440089225769</v>
      </c>
    </row>
    <row r="13316" spans="1:7" ht="15" x14ac:dyDescent="0.3">
      <c r="A13316">
        <v>38.464189937125496</v>
      </c>
      <c r="B13316">
        <v>-81.4991527516529</v>
      </c>
      <c r="C13316" t="s">
        <v>43</v>
      </c>
      <c r="D13316" t="s">
        <v>5444</v>
      </c>
      <c r="F13316" s="21"/>
      <c r="G13316" s="16" t="str">
        <f>HYPERLINK("http://maps.google.com/maps?f=q&amp;hl=en&amp;geocode=&amp;q=38.4641899371255,-81.4991527516529")</f>
        <v>http://maps.google.com/maps?f=q&amp;hl=en&amp;geocode=&amp;q=38.4641899371255,-81.4991527516529</v>
      </c>
    </row>
    <row r="13317" spans="1:7" ht="15" x14ac:dyDescent="0.3">
      <c r="A13317">
        <v>39.9861</v>
      </c>
      <c r="B13317">
        <v>-75.111379999999997</v>
      </c>
      <c r="C13317" t="s">
        <v>41</v>
      </c>
      <c r="D13317" t="s">
        <v>1933</v>
      </c>
      <c r="F13317" s="21"/>
      <c r="G13317" s="16" t="str">
        <f>HYPERLINK("http://maps.google.com/maps?f=q&amp;hl=en&amp;geocode=&amp;q=39.9861,-75.11138")</f>
        <v>http://maps.google.com/maps?f=q&amp;hl=en&amp;geocode=&amp;q=39.9861,-75.11138</v>
      </c>
    </row>
    <row r="13318" spans="1:7" ht="15" x14ac:dyDescent="0.3">
      <c r="A13318">
        <v>37.859785696689499</v>
      </c>
      <c r="B13318">
        <v>-82.805018451891399</v>
      </c>
      <c r="C13318" t="s">
        <v>41</v>
      </c>
      <c r="D13318" t="s">
        <v>6806</v>
      </c>
      <c r="F13318" s="21"/>
      <c r="G13318" s="16" t="str">
        <f>HYPERLINK("http://maps.google.com/maps?f=q&amp;hl=en&amp;geocode=&amp;q=37.8597856966895,-82.8050184518914")</f>
        <v>http://maps.google.com/maps?f=q&amp;hl=en&amp;geocode=&amp;q=37.8597856966895,-82.8050184518914</v>
      </c>
    </row>
    <row r="13319" spans="1:7" ht="15" x14ac:dyDescent="0.3">
      <c r="A13319">
        <v>35.4022675358055</v>
      </c>
      <c r="B13319">
        <v>-97.761389970830805</v>
      </c>
      <c r="C13319" t="s">
        <v>41</v>
      </c>
      <c r="D13319" t="s">
        <v>6845</v>
      </c>
      <c r="F13319" s="21"/>
      <c r="G13319" s="16" t="str">
        <f>HYPERLINK("http://maps.google.com/maps?f=q&amp;hl=en&amp;geocode=&amp;q=35.4022675358055,-97.7613899708308")</f>
        <v>http://maps.google.com/maps?f=q&amp;hl=en&amp;geocode=&amp;q=35.4022675358055,-97.7613899708308</v>
      </c>
    </row>
    <row r="13320" spans="1:7" ht="15" x14ac:dyDescent="0.3">
      <c r="A13320">
        <v>44.407955169677699</v>
      </c>
      <c r="B13320">
        <v>8.9588985443115199</v>
      </c>
      <c r="C13320" t="s">
        <v>41</v>
      </c>
      <c r="D13320" t="s">
        <v>7332</v>
      </c>
      <c r="F13320" s="21"/>
      <c r="G13320" s="16" t="str">
        <f>HYPERLINK("http://maps.google.com/maps?f=q&amp;hl=en&amp;geocode=&amp;q=44.4079551696777,8.95889854431152")</f>
        <v>http://maps.google.com/maps?f=q&amp;hl=en&amp;geocode=&amp;q=44.4079551696777,8.95889854431152</v>
      </c>
    </row>
    <row r="13321" spans="1:7" ht="15" x14ac:dyDescent="0.3">
      <c r="A13321">
        <v>40.981110354487498</v>
      </c>
      <c r="B13321">
        <v>-80.350784019008302</v>
      </c>
      <c r="C13321" t="s">
        <v>41</v>
      </c>
      <c r="D13321" t="s">
        <v>7322</v>
      </c>
      <c r="F13321" s="21"/>
      <c r="G13321" s="16" t="str">
        <f>HYPERLINK("http://maps.google.com/maps?f=q&amp;hl=en&amp;geocode=&amp;q=40.9811103544875,-80.3507840190083")</f>
        <v>http://maps.google.com/maps?f=q&amp;hl=en&amp;geocode=&amp;q=40.9811103544875,-80.3507840190083</v>
      </c>
    </row>
    <row r="13322" spans="1:7" ht="15" x14ac:dyDescent="0.3">
      <c r="A13322" t="s">
        <v>44</v>
      </c>
      <c r="B13322" t="s">
        <v>44</v>
      </c>
      <c r="C13322" t="s">
        <v>44</v>
      </c>
      <c r="D13322" t="s">
        <v>4438</v>
      </c>
      <c r="F13322" s="21"/>
      <c r="G13322" s="16"/>
    </row>
    <row r="13323" spans="1:7" ht="15" x14ac:dyDescent="0.3">
      <c r="A13323">
        <v>35.593101501464801</v>
      </c>
      <c r="B13323">
        <v>-91.503303527832003</v>
      </c>
      <c r="C13323" t="s">
        <v>41</v>
      </c>
      <c r="D13323" t="s">
        <v>6602</v>
      </c>
      <c r="F13323" s="21"/>
      <c r="G13323" s="16" t="str">
        <f>HYPERLINK("http://maps.google.com/maps?f=q&amp;hl=en&amp;geocode=&amp;q=35.5931015014648,-91.503303527832")</f>
        <v>http://maps.google.com/maps?f=q&amp;hl=en&amp;geocode=&amp;q=35.5931015014648,-91.503303527832</v>
      </c>
    </row>
    <row r="13324" spans="1:7" ht="15" x14ac:dyDescent="0.3">
      <c r="A13324">
        <v>35.402268558320401</v>
      </c>
      <c r="B13324">
        <v>-97.761316696542707</v>
      </c>
      <c r="C13324" t="s">
        <v>41</v>
      </c>
      <c r="D13324" t="s">
        <v>6924</v>
      </c>
      <c r="F13324" s="21"/>
      <c r="G13324" s="16" t="str">
        <f>HYPERLINK("http://maps.google.com/maps?f=q&amp;hl=en&amp;geocode=&amp;q=35.4022685583204,-97.7613166965427")</f>
        <v>http://maps.google.com/maps?f=q&amp;hl=en&amp;geocode=&amp;q=35.4022685583204,-97.7613166965427</v>
      </c>
    </row>
    <row r="13325" spans="1:7" ht="15" x14ac:dyDescent="0.3">
      <c r="A13325">
        <v>35.402267280170399</v>
      </c>
      <c r="B13325">
        <v>-97.761408289361995</v>
      </c>
      <c r="C13325" t="s">
        <v>41</v>
      </c>
      <c r="D13325" t="s">
        <v>6960</v>
      </c>
      <c r="F13325" s="21"/>
      <c r="G13325" s="16" t="str">
        <f>HYPERLINK("http://maps.google.com/maps?f=q&amp;hl=en&amp;geocode=&amp;q=35.4022672801704,-97.761408289362")</f>
        <v>http://maps.google.com/maps?f=q&amp;hl=en&amp;geocode=&amp;q=35.4022672801704,-97.761408289362</v>
      </c>
    </row>
    <row r="13326" spans="1:7" ht="15" x14ac:dyDescent="0.3">
      <c r="A13326">
        <v>35.593101501464801</v>
      </c>
      <c r="B13326">
        <v>-91.503303527832003</v>
      </c>
      <c r="C13326" t="s">
        <v>41</v>
      </c>
      <c r="D13326" t="s">
        <v>6602</v>
      </c>
      <c r="F13326" s="21"/>
      <c r="G13326" s="16" t="str">
        <f>HYPERLINK("http://maps.google.com/maps?f=q&amp;hl=en&amp;geocode=&amp;q=35.5931015014648,-91.503303527832")</f>
        <v>http://maps.google.com/maps?f=q&amp;hl=en&amp;geocode=&amp;q=35.5931015014648,-91.503303527832</v>
      </c>
    </row>
    <row r="13327" spans="1:7" ht="15" x14ac:dyDescent="0.3">
      <c r="A13327">
        <v>37.859785696689499</v>
      </c>
      <c r="B13327">
        <v>-82.805018451891399</v>
      </c>
      <c r="C13327" t="s">
        <v>41</v>
      </c>
      <c r="D13327" t="s">
        <v>6806</v>
      </c>
      <c r="F13327" s="21"/>
      <c r="G13327" s="16" t="str">
        <f>HYPERLINK("http://maps.google.com/maps?f=q&amp;hl=en&amp;geocode=&amp;q=37.8597856966895,-82.8050184518914")</f>
        <v>http://maps.google.com/maps?f=q&amp;hl=en&amp;geocode=&amp;q=37.8597856966895,-82.8050184518914</v>
      </c>
    </row>
    <row r="13328" spans="1:7" ht="15" x14ac:dyDescent="0.3">
      <c r="A13328">
        <v>37.860477293610998</v>
      </c>
      <c r="B13328">
        <v>-82.804754194483493</v>
      </c>
      <c r="C13328" t="s">
        <v>41</v>
      </c>
      <c r="D13328" t="s">
        <v>6849</v>
      </c>
      <c r="F13328" s="21"/>
      <c r="G13328" s="16" t="str">
        <f>HYPERLINK("http://maps.google.com/maps?f=q&amp;hl=en&amp;geocode=&amp;q=37.860477293611,-82.8047541944835")</f>
        <v>http://maps.google.com/maps?f=q&amp;hl=en&amp;geocode=&amp;q=37.860477293611,-82.8047541944835</v>
      </c>
    </row>
    <row r="13329" spans="1:7" ht="15" x14ac:dyDescent="0.3">
      <c r="A13329">
        <v>31.846613616730799</v>
      </c>
      <c r="B13329">
        <v>-84.754748946477704</v>
      </c>
      <c r="C13329" t="s">
        <v>41</v>
      </c>
      <c r="D13329" t="s">
        <v>6999</v>
      </c>
      <c r="F13329" s="21"/>
      <c r="G13329" s="16" t="str">
        <f>HYPERLINK("http://maps.google.com/maps?f=q&amp;hl=en&amp;geocode=&amp;q=31.8466136167308,-84.7547489464777")</f>
        <v>http://maps.google.com/maps?f=q&amp;hl=en&amp;geocode=&amp;q=31.8466136167308,-84.7547489464777</v>
      </c>
    </row>
    <row r="13330" spans="1:7" ht="15" x14ac:dyDescent="0.3">
      <c r="A13330">
        <v>31.846613616730799</v>
      </c>
      <c r="B13330">
        <v>-84.754748946477704</v>
      </c>
      <c r="C13330" t="s">
        <v>41</v>
      </c>
      <c r="D13330" t="s">
        <v>6999</v>
      </c>
      <c r="F13330" s="21"/>
      <c r="G13330" s="16" t="str">
        <f>HYPERLINK("http://maps.google.com/maps?f=q&amp;hl=en&amp;geocode=&amp;q=31.8466136167308,-84.7547489464777")</f>
        <v>http://maps.google.com/maps?f=q&amp;hl=en&amp;geocode=&amp;q=31.8466136167308,-84.7547489464777</v>
      </c>
    </row>
    <row r="13331" spans="1:7" ht="15" x14ac:dyDescent="0.3">
      <c r="A13331">
        <v>31.846613616730799</v>
      </c>
      <c r="B13331">
        <v>-84.754748946477704</v>
      </c>
      <c r="C13331" t="s">
        <v>41</v>
      </c>
      <c r="D13331" t="s">
        <v>6999</v>
      </c>
      <c r="F13331" s="21"/>
      <c r="G13331" s="16" t="str">
        <f>HYPERLINK("http://maps.google.com/maps?f=q&amp;hl=en&amp;geocode=&amp;q=31.8466136167308,-84.7547489464777")</f>
        <v>http://maps.google.com/maps?f=q&amp;hl=en&amp;geocode=&amp;q=31.8466136167308,-84.7547489464777</v>
      </c>
    </row>
    <row r="13332" spans="1:7" ht="15" x14ac:dyDescent="0.3">
      <c r="A13332">
        <v>35.593101501464801</v>
      </c>
      <c r="B13332">
        <v>-91.503303527832003</v>
      </c>
      <c r="C13332" t="s">
        <v>41</v>
      </c>
      <c r="D13332" t="s">
        <v>6602</v>
      </c>
      <c r="F13332" s="21"/>
      <c r="G13332" s="16" t="str">
        <f>HYPERLINK("http://maps.google.com/maps?f=q&amp;hl=en&amp;geocode=&amp;q=35.5931015014648,-91.503303527832")</f>
        <v>http://maps.google.com/maps?f=q&amp;hl=en&amp;geocode=&amp;q=35.5931015014648,-91.503303527832</v>
      </c>
    </row>
    <row r="13333" spans="1:7" ht="15" x14ac:dyDescent="0.3">
      <c r="A13333" t="s">
        <v>44</v>
      </c>
      <c r="B13333" t="s">
        <v>44</v>
      </c>
      <c r="C13333" t="s">
        <v>44</v>
      </c>
      <c r="D13333" t="s">
        <v>1612</v>
      </c>
      <c r="F13333" s="21"/>
      <c r="G13333" s="16"/>
    </row>
    <row r="13334" spans="1:7" ht="15" x14ac:dyDescent="0.3">
      <c r="A13334">
        <v>36.387453542110897</v>
      </c>
      <c r="B13334">
        <v>-80.586663203348905</v>
      </c>
      <c r="C13334" t="s">
        <v>41</v>
      </c>
      <c r="D13334" t="s">
        <v>7333</v>
      </c>
      <c r="F13334" s="21"/>
      <c r="G13334" s="16" t="str">
        <f>HYPERLINK("http://maps.google.com/maps?f=q&amp;hl=en&amp;geocode=&amp;q=36.3874535421109,-80.5866632033489")</f>
        <v>http://maps.google.com/maps?f=q&amp;hl=en&amp;geocode=&amp;q=36.3874535421109,-80.5866632033489</v>
      </c>
    </row>
    <row r="13335" spans="1:7" ht="15" x14ac:dyDescent="0.3">
      <c r="A13335">
        <v>39.943689951656097</v>
      </c>
      <c r="B13335">
        <v>-75.177456428954301</v>
      </c>
      <c r="C13335" t="s">
        <v>41</v>
      </c>
      <c r="D13335" t="s">
        <v>6367</v>
      </c>
      <c r="F13335" s="21"/>
      <c r="G13335" s="16" t="str">
        <f>HYPERLINK("http://maps.google.com/maps?f=q&amp;hl=en&amp;geocode=&amp;q=39.9436899516561,-75.1774564289543")</f>
        <v>http://maps.google.com/maps?f=q&amp;hl=en&amp;geocode=&amp;q=39.9436899516561,-75.1774564289543</v>
      </c>
    </row>
    <row r="13336" spans="1:7" ht="15" x14ac:dyDescent="0.3">
      <c r="A13336">
        <v>39.940937867408003</v>
      </c>
      <c r="B13336">
        <v>-75.178046019899597</v>
      </c>
      <c r="C13336" t="s">
        <v>41</v>
      </c>
      <c r="D13336" t="s">
        <v>7334</v>
      </c>
      <c r="F13336" s="21"/>
      <c r="G13336" s="16" t="str">
        <f>HYPERLINK("http://maps.google.com/maps?f=q&amp;hl=en&amp;geocode=&amp;q=39.940937867408,-75.1780460198996")</f>
        <v>http://maps.google.com/maps?f=q&amp;hl=en&amp;geocode=&amp;q=39.940937867408,-75.1780460198996</v>
      </c>
    </row>
    <row r="13337" spans="1:7" ht="15" x14ac:dyDescent="0.3">
      <c r="A13337">
        <v>40.037979125976598</v>
      </c>
      <c r="B13337">
        <v>-75.223060607910199</v>
      </c>
      <c r="C13337" t="s">
        <v>41</v>
      </c>
      <c r="D13337" t="s">
        <v>132</v>
      </c>
      <c r="F13337" s="21"/>
      <c r="G13337" s="16" t="str">
        <f>HYPERLINK("http://maps.google.com/maps?f=q&amp;hl=en&amp;geocode=&amp;q=40.0379791259766,-75.2230606079102")</f>
        <v>http://maps.google.com/maps?f=q&amp;hl=en&amp;geocode=&amp;q=40.0379791259766,-75.2230606079102</v>
      </c>
    </row>
    <row r="13338" spans="1:7" ht="15" x14ac:dyDescent="0.3">
      <c r="A13338">
        <v>40.037979125976598</v>
      </c>
      <c r="B13338">
        <v>-75.223060607910199</v>
      </c>
      <c r="C13338" t="s">
        <v>41</v>
      </c>
      <c r="D13338" t="s">
        <v>132</v>
      </c>
      <c r="F13338" s="21"/>
      <c r="G13338" s="16" t="str">
        <f>HYPERLINK("http://maps.google.com/maps?f=q&amp;hl=en&amp;geocode=&amp;q=40.0379791259766,-75.2230606079102")</f>
        <v>http://maps.google.com/maps?f=q&amp;hl=en&amp;geocode=&amp;q=40.0379791259766,-75.2230606079102</v>
      </c>
    </row>
    <row r="13339" spans="1:7" ht="15" x14ac:dyDescent="0.3">
      <c r="F13339" s="21"/>
      <c r="G13339" s="16"/>
    </row>
    <row r="13340" spans="1:7" ht="15" x14ac:dyDescent="0.3">
      <c r="A13340" t="s">
        <v>44</v>
      </c>
      <c r="B13340" t="s">
        <v>44</v>
      </c>
      <c r="C13340" t="s">
        <v>44</v>
      </c>
      <c r="D13340" t="s">
        <v>7081</v>
      </c>
      <c r="F13340" s="21"/>
      <c r="G13340" s="16"/>
    </row>
    <row r="13341" spans="1:7" ht="15" x14ac:dyDescent="0.3">
      <c r="A13341">
        <v>-32.141361236572301</v>
      </c>
      <c r="B13341">
        <v>-63.798503875732401</v>
      </c>
      <c r="C13341" t="s">
        <v>43</v>
      </c>
      <c r="D13341" t="s">
        <v>7335</v>
      </c>
      <c r="F13341" s="21"/>
      <c r="G13341" s="16" t="str">
        <f>HYPERLINK("http://maps.google.com/maps?f=q&amp;hl=en&amp;geocode=&amp;q=-32.1413612365723,-63.7985038757324")</f>
        <v>http://maps.google.com/maps?f=q&amp;hl=en&amp;geocode=&amp;q=-32.1413612365723,-63.7985038757324</v>
      </c>
    </row>
    <row r="13342" spans="1:7" ht="15" x14ac:dyDescent="0.3">
      <c r="A13342">
        <v>46.237621307372997</v>
      </c>
      <c r="B13342">
        <v>10.094079017639199</v>
      </c>
      <c r="C13342" t="s">
        <v>41</v>
      </c>
      <c r="D13342" t="s">
        <v>4162</v>
      </c>
      <c r="F13342" s="21"/>
      <c r="G13342" s="16" t="str">
        <f>HYPERLINK("http://maps.google.com/maps?f=q&amp;hl=en&amp;geocode=&amp;q=46.237621307373,10.0940790176392")</f>
        <v>http://maps.google.com/maps?f=q&amp;hl=en&amp;geocode=&amp;q=46.237621307373,10.0940790176392</v>
      </c>
    </row>
    <row r="13343" spans="1:7" ht="15" x14ac:dyDescent="0.3">
      <c r="A13343">
        <v>-37.701808929443402</v>
      </c>
      <c r="B13343">
        <v>144.76338195800801</v>
      </c>
      <c r="C13343" t="s">
        <v>41</v>
      </c>
      <c r="D13343" t="s">
        <v>7336</v>
      </c>
      <c r="F13343" s="21"/>
      <c r="G13343" s="16" t="str">
        <f>HYPERLINK("http://maps.google.com/maps?f=q&amp;hl=en&amp;geocode=&amp;q=-37.7018089294434,144.763381958008")</f>
        <v>http://maps.google.com/maps?f=q&amp;hl=en&amp;geocode=&amp;q=-37.7018089294434,144.763381958008</v>
      </c>
    </row>
    <row r="13344" spans="1:7" ht="15" x14ac:dyDescent="0.3">
      <c r="A13344" t="s">
        <v>44</v>
      </c>
      <c r="B13344" t="s">
        <v>44</v>
      </c>
      <c r="C13344" t="s">
        <v>44</v>
      </c>
      <c r="D13344" t="s">
        <v>3783</v>
      </c>
      <c r="F13344" s="21"/>
      <c r="G13344" s="16"/>
    </row>
    <row r="13345" spans="1:7" ht="15" x14ac:dyDescent="0.3">
      <c r="A13345">
        <v>45.165827408441103</v>
      </c>
      <c r="B13345">
        <v>-84.734783246017699</v>
      </c>
      <c r="C13345" t="s">
        <v>41</v>
      </c>
      <c r="D13345" t="s">
        <v>7337</v>
      </c>
      <c r="F13345" s="21"/>
      <c r="G13345" s="16" t="str">
        <f>HYPERLINK("http://maps.google.com/maps?f=q&amp;hl=en&amp;geocode=&amp;q=45.1658274084411,-84.7347832460177")</f>
        <v>http://maps.google.com/maps?f=q&amp;hl=en&amp;geocode=&amp;q=45.1658274084411,-84.7347832460177</v>
      </c>
    </row>
    <row r="13346" spans="1:7" ht="15" x14ac:dyDescent="0.3">
      <c r="A13346">
        <v>45.165827408441103</v>
      </c>
      <c r="B13346">
        <v>-84.734783246017699</v>
      </c>
      <c r="C13346" t="s">
        <v>41</v>
      </c>
      <c r="D13346" t="s">
        <v>7337</v>
      </c>
      <c r="F13346" s="21"/>
      <c r="G13346" s="16" t="str">
        <f>HYPERLINK("http://maps.google.com/maps?f=q&amp;hl=en&amp;geocode=&amp;q=45.1658274084411,-84.7347832460177")</f>
        <v>http://maps.google.com/maps?f=q&amp;hl=en&amp;geocode=&amp;q=45.1658274084411,-84.7347832460177</v>
      </c>
    </row>
    <row r="13347" spans="1:7" ht="15" x14ac:dyDescent="0.3">
      <c r="A13347">
        <v>45.165827408441103</v>
      </c>
      <c r="B13347">
        <v>-84.734783246017699</v>
      </c>
      <c r="C13347" t="s">
        <v>41</v>
      </c>
      <c r="D13347" t="s">
        <v>7337</v>
      </c>
      <c r="F13347" s="21"/>
      <c r="G13347" s="16" t="str">
        <f>HYPERLINK("http://maps.google.com/maps?f=q&amp;hl=en&amp;geocode=&amp;q=45.1658274084411,-84.7347832460177")</f>
        <v>http://maps.google.com/maps?f=q&amp;hl=en&amp;geocode=&amp;q=45.1658274084411,-84.7347832460177</v>
      </c>
    </row>
    <row r="13348" spans="1:7" ht="15" x14ac:dyDescent="0.3">
      <c r="A13348">
        <v>45.165827408441103</v>
      </c>
      <c r="B13348">
        <v>-84.734783246017699</v>
      </c>
      <c r="C13348" t="s">
        <v>41</v>
      </c>
      <c r="D13348" t="s">
        <v>7337</v>
      </c>
      <c r="F13348" s="21"/>
      <c r="G13348" s="16" t="str">
        <f>HYPERLINK("http://maps.google.com/maps?f=q&amp;hl=en&amp;geocode=&amp;q=45.1658274084411,-84.7347832460177")</f>
        <v>http://maps.google.com/maps?f=q&amp;hl=en&amp;geocode=&amp;q=45.1658274084411,-84.7347832460177</v>
      </c>
    </row>
    <row r="13349" spans="1:7" ht="15" x14ac:dyDescent="0.3">
      <c r="A13349">
        <v>45.165827408441103</v>
      </c>
      <c r="B13349">
        <v>-84.734783246017699</v>
      </c>
      <c r="C13349" t="s">
        <v>41</v>
      </c>
      <c r="D13349" t="s">
        <v>7337</v>
      </c>
      <c r="F13349" s="21"/>
      <c r="G13349" s="16" t="str">
        <f>HYPERLINK("http://maps.google.com/maps?f=q&amp;hl=en&amp;geocode=&amp;q=45.1658274084411,-84.7347832460177")</f>
        <v>http://maps.google.com/maps?f=q&amp;hl=en&amp;geocode=&amp;q=45.1658274084411,-84.7347832460177</v>
      </c>
    </row>
    <row r="13350" spans="1:7" ht="15" x14ac:dyDescent="0.3">
      <c r="A13350">
        <v>46.955168205340698</v>
      </c>
      <c r="B13350">
        <v>-114.011374755454</v>
      </c>
      <c r="C13350" t="s">
        <v>41</v>
      </c>
      <c r="D13350" t="s">
        <v>4602</v>
      </c>
      <c r="F13350" s="21"/>
      <c r="G13350" s="16" t="str">
        <f>HYPERLINK("http://maps.google.com/maps?f=q&amp;hl=en&amp;geocode=&amp;q=46.9551682053407,-114.011374755454")</f>
        <v>http://maps.google.com/maps?f=q&amp;hl=en&amp;geocode=&amp;q=46.9551682053407,-114.011374755454</v>
      </c>
    </row>
    <row r="13351" spans="1:7" ht="15" x14ac:dyDescent="0.3">
      <c r="A13351">
        <v>42.2847900390625</v>
      </c>
      <c r="B13351">
        <v>-83.260986328125</v>
      </c>
      <c r="C13351" t="s">
        <v>41</v>
      </c>
      <c r="D13351" t="s">
        <v>7338</v>
      </c>
      <c r="F13351" s="21"/>
      <c r="G13351" s="16" t="str">
        <f>HYPERLINK("http://maps.google.com/maps?f=q&amp;hl=en&amp;geocode=&amp;q=42.2847900390625,-83.260986328125")</f>
        <v>http://maps.google.com/maps?f=q&amp;hl=en&amp;geocode=&amp;q=42.2847900390625,-83.260986328125</v>
      </c>
    </row>
    <row r="13352" spans="1:7" ht="15" x14ac:dyDescent="0.3">
      <c r="A13352">
        <v>54.562068939208999</v>
      </c>
      <c r="B13352">
        <v>-125.10440063476599</v>
      </c>
      <c r="C13352" t="s">
        <v>41</v>
      </c>
      <c r="D13352" t="s">
        <v>5441</v>
      </c>
      <c r="F13352" s="21"/>
      <c r="G13352" s="16" t="str">
        <f>HYPERLINK("http://maps.google.com/maps?f=q&amp;hl=en&amp;geocode=&amp;q=54.562068939209,-125.104400634766")</f>
        <v>http://maps.google.com/maps?f=q&amp;hl=en&amp;geocode=&amp;q=54.562068939209,-125.104400634766</v>
      </c>
    </row>
    <row r="13353" spans="1:7" ht="15" x14ac:dyDescent="0.3">
      <c r="A13353" t="s">
        <v>44</v>
      </c>
      <c r="B13353" t="s">
        <v>44</v>
      </c>
      <c r="C13353" t="s">
        <v>44</v>
      </c>
      <c r="D13353" t="s">
        <v>4438</v>
      </c>
      <c r="F13353" s="21"/>
      <c r="G13353" s="16"/>
    </row>
    <row r="13354" spans="1:7" ht="15" x14ac:dyDescent="0.3">
      <c r="A13354">
        <v>43.573169999999998</v>
      </c>
      <c r="B13354">
        <v>-75.42474</v>
      </c>
      <c r="C13354" t="s">
        <v>43</v>
      </c>
      <c r="D13354" t="s">
        <v>7339</v>
      </c>
      <c r="F13354" s="21"/>
      <c r="G13354" s="16" t="str">
        <f>HYPERLINK("http://maps.google.com/maps?f=q&amp;hl=en&amp;geocode=&amp;q=43.57317,-75.42474")</f>
        <v>http://maps.google.com/maps?f=q&amp;hl=en&amp;geocode=&amp;q=43.57317,-75.42474</v>
      </c>
    </row>
    <row r="13355" spans="1:7" ht="15" x14ac:dyDescent="0.3">
      <c r="A13355">
        <v>33.370189935864502</v>
      </c>
      <c r="B13355">
        <v>-82.353339848283994</v>
      </c>
      <c r="C13355" t="s">
        <v>41</v>
      </c>
      <c r="D13355" t="s">
        <v>3977</v>
      </c>
      <c r="F13355" s="21"/>
      <c r="G13355" s="16" t="str">
        <f>HYPERLINK("http://maps.google.com/maps?f=q&amp;hl=en&amp;geocode=&amp;q=33.3701899358645,-82.353339848284")</f>
        <v>http://maps.google.com/maps?f=q&amp;hl=en&amp;geocode=&amp;q=33.3701899358645,-82.353339848284</v>
      </c>
    </row>
    <row r="13356" spans="1:7" ht="15" x14ac:dyDescent="0.3">
      <c r="A13356">
        <v>39.738710128211999</v>
      </c>
      <c r="B13356">
        <v>-75.5955981194477</v>
      </c>
      <c r="C13356" t="s">
        <v>41</v>
      </c>
      <c r="D13356" t="s">
        <v>7340</v>
      </c>
      <c r="F13356" s="21"/>
      <c r="G13356" s="16" t="str">
        <f>HYPERLINK("http://maps.google.com/maps?f=q&amp;hl=en&amp;geocode=&amp;q=39.738710128212,-75.5955981194477")</f>
        <v>http://maps.google.com/maps?f=q&amp;hl=en&amp;geocode=&amp;q=39.738710128212,-75.5955981194477</v>
      </c>
    </row>
    <row r="13357" spans="1:7" ht="15" x14ac:dyDescent="0.3">
      <c r="A13357">
        <v>48.672306060791001</v>
      </c>
      <c r="B13357">
        <v>7.5540661811828604</v>
      </c>
      <c r="C13357" t="s">
        <v>43</v>
      </c>
      <c r="D13357" t="s">
        <v>5375</v>
      </c>
      <c r="F13357" s="21"/>
      <c r="G13357" s="16" t="str">
        <f>HYPERLINK("http://maps.google.com/maps?f=q&amp;hl=en&amp;geocode=&amp;q=48.672306060791,7.55406618118286")</f>
        <v>http://maps.google.com/maps?f=q&amp;hl=en&amp;geocode=&amp;q=48.672306060791,7.55406618118286</v>
      </c>
    </row>
    <row r="13358" spans="1:7" ht="15" x14ac:dyDescent="0.3">
      <c r="A13358">
        <v>46.088410000000003</v>
      </c>
      <c r="B13358">
        <v>12.59421</v>
      </c>
      <c r="C13358" t="s">
        <v>41</v>
      </c>
      <c r="D13358" t="s">
        <v>7108</v>
      </c>
      <c r="F13358" s="21"/>
      <c r="G13358" s="16" t="str">
        <f>HYPERLINK("http://maps.google.com/maps?f=q&amp;hl=en&amp;geocode=&amp;q=46.08841,12.59421")</f>
        <v>http://maps.google.com/maps?f=q&amp;hl=en&amp;geocode=&amp;q=46.08841,12.59421</v>
      </c>
    </row>
    <row r="13359" spans="1:7" ht="15" x14ac:dyDescent="0.3">
      <c r="A13359">
        <v>40.981110354487498</v>
      </c>
      <c r="B13359">
        <v>-80.350784019008302</v>
      </c>
      <c r="C13359" t="s">
        <v>41</v>
      </c>
      <c r="D13359" t="s">
        <v>7322</v>
      </c>
      <c r="F13359" s="21"/>
      <c r="G13359" s="16" t="str">
        <f>HYPERLINK("http://maps.google.com/maps?f=q&amp;hl=en&amp;geocode=&amp;q=40.9811103544875,-80.3507840190083")</f>
        <v>http://maps.google.com/maps?f=q&amp;hl=en&amp;geocode=&amp;q=40.9811103544875,-80.3507840190083</v>
      </c>
    </row>
    <row r="13360" spans="1:7" ht="15" x14ac:dyDescent="0.3">
      <c r="A13360">
        <v>48.672306060791001</v>
      </c>
      <c r="B13360">
        <v>7.5540661811828604</v>
      </c>
      <c r="C13360" t="s">
        <v>43</v>
      </c>
      <c r="D13360" t="s">
        <v>7341</v>
      </c>
      <c r="F13360" s="21"/>
      <c r="G13360" s="16" t="str">
        <f>HYPERLINK("http://maps.google.com/maps?f=q&amp;hl=en&amp;geocode=&amp;q=48.672306060791,7.55406618118286")</f>
        <v>http://maps.google.com/maps?f=q&amp;hl=en&amp;geocode=&amp;q=48.672306060791,7.55406618118286</v>
      </c>
    </row>
    <row r="13361" spans="1:7" ht="15" x14ac:dyDescent="0.3">
      <c r="A13361">
        <v>46.088410000000003</v>
      </c>
      <c r="B13361">
        <v>12.59421</v>
      </c>
      <c r="C13361" t="s">
        <v>41</v>
      </c>
      <c r="D13361" t="s">
        <v>7108</v>
      </c>
      <c r="F13361" s="21"/>
      <c r="G13361" s="16" t="str">
        <f>HYPERLINK("http://maps.google.com/maps?f=q&amp;hl=en&amp;geocode=&amp;q=46.08841,12.59421")</f>
        <v>http://maps.google.com/maps?f=q&amp;hl=en&amp;geocode=&amp;q=46.08841,12.59421</v>
      </c>
    </row>
    <row r="13362" spans="1:7" ht="15" x14ac:dyDescent="0.3">
      <c r="A13362">
        <v>49.598808288574197</v>
      </c>
      <c r="B13362">
        <v>6.1449661254882804</v>
      </c>
      <c r="C13362" t="s">
        <v>41</v>
      </c>
      <c r="D13362" t="s">
        <v>7323</v>
      </c>
      <c r="F13362" s="21"/>
      <c r="G13362" s="16" t="str">
        <f>HYPERLINK("http://maps.google.com/maps?f=q&amp;hl=en&amp;geocode=&amp;q=49.5988082885742,6.14496612548828")</f>
        <v>http://maps.google.com/maps?f=q&amp;hl=en&amp;geocode=&amp;q=49.5988082885742,6.14496612548828</v>
      </c>
    </row>
    <row r="13363" spans="1:7" ht="15" x14ac:dyDescent="0.3">
      <c r="A13363">
        <v>37.454990386962898</v>
      </c>
      <c r="B13363">
        <v>-94.687171936035199</v>
      </c>
      <c r="C13363" t="s">
        <v>43</v>
      </c>
      <c r="D13363" t="s">
        <v>7342</v>
      </c>
      <c r="F13363" s="21"/>
      <c r="G13363" s="16" t="str">
        <f>HYPERLINK("http://maps.google.com/maps?f=q&amp;hl=en&amp;geocode=&amp;q=37.4549903869629,-94.6871719360352")</f>
        <v>http://maps.google.com/maps?f=q&amp;hl=en&amp;geocode=&amp;q=37.4549903869629,-94.6871719360352</v>
      </c>
    </row>
    <row r="13364" spans="1:7" ht="15" x14ac:dyDescent="0.3">
      <c r="A13364">
        <v>39.012270000000001</v>
      </c>
      <c r="B13364">
        <v>-76.672960000000003</v>
      </c>
      <c r="C13364" t="s">
        <v>41</v>
      </c>
      <c r="D13364" t="s">
        <v>7343</v>
      </c>
      <c r="F13364" s="21"/>
      <c r="G13364" s="16" t="str">
        <f>HYPERLINK("http://maps.google.com/maps?f=q&amp;hl=en&amp;geocode=&amp;q=39.01227,-76.67296")</f>
        <v>http://maps.google.com/maps?f=q&amp;hl=en&amp;geocode=&amp;q=39.01227,-76.67296</v>
      </c>
    </row>
    <row r="13365" spans="1:7" ht="15" x14ac:dyDescent="0.3">
      <c r="A13365">
        <v>46.955168205340698</v>
      </c>
      <c r="B13365">
        <v>-114.011374755454</v>
      </c>
      <c r="C13365" t="s">
        <v>41</v>
      </c>
      <c r="D13365" t="s">
        <v>4602</v>
      </c>
      <c r="F13365" s="21"/>
      <c r="G13365" s="16" t="str">
        <f>HYPERLINK("http://maps.google.com/maps?f=q&amp;hl=en&amp;geocode=&amp;q=46.9551682053407,-114.011374755454")</f>
        <v>http://maps.google.com/maps?f=q&amp;hl=en&amp;geocode=&amp;q=46.9551682053407,-114.011374755454</v>
      </c>
    </row>
    <row r="13366" spans="1:7" ht="15" x14ac:dyDescent="0.3">
      <c r="A13366">
        <v>47.411106109619098</v>
      </c>
      <c r="B13366">
        <v>13.218259811401399</v>
      </c>
      <c r="C13366" t="s">
        <v>43</v>
      </c>
      <c r="D13366" t="s">
        <v>7344</v>
      </c>
      <c r="F13366" s="21"/>
      <c r="G13366" s="16" t="str">
        <f>HYPERLINK("http://maps.google.com/maps?f=q&amp;hl=en&amp;geocode=&amp;q=47.4111061096191,13.2182598114014")</f>
        <v>http://maps.google.com/maps?f=q&amp;hl=en&amp;geocode=&amp;q=47.4111061096191,13.2182598114014</v>
      </c>
    </row>
    <row r="13367" spans="1:7" ht="15" x14ac:dyDescent="0.3">
      <c r="A13367">
        <v>49.334259033203097</v>
      </c>
      <c r="B13367">
        <v>-1.6066800355911299</v>
      </c>
      <c r="C13367" t="s">
        <v>43</v>
      </c>
      <c r="D13367" t="s">
        <v>5952</v>
      </c>
      <c r="F13367" s="21"/>
      <c r="G13367" s="16" t="str">
        <f>HYPERLINK("http://maps.google.com/maps?f=q&amp;hl=en&amp;geocode=&amp;q=49.3342590332031,-1.60668003559113")</f>
        <v>http://maps.google.com/maps?f=q&amp;hl=en&amp;geocode=&amp;q=49.3342590332031,-1.60668003559113</v>
      </c>
    </row>
    <row r="13368" spans="1:7" ht="15" x14ac:dyDescent="0.3">
      <c r="A13368" t="s">
        <v>44</v>
      </c>
      <c r="B13368" t="s">
        <v>44</v>
      </c>
      <c r="C13368" t="s">
        <v>44</v>
      </c>
      <c r="D13368" t="s">
        <v>7345</v>
      </c>
      <c r="F13368" s="21"/>
      <c r="G13368" s="16"/>
    </row>
    <row r="13369" spans="1:7" ht="15" x14ac:dyDescent="0.3">
      <c r="A13369">
        <v>42.346089999999997</v>
      </c>
      <c r="B13369">
        <v>-83.202089999999998</v>
      </c>
      <c r="C13369" t="s">
        <v>41</v>
      </c>
      <c r="D13369" t="s">
        <v>7346</v>
      </c>
      <c r="F13369" s="21"/>
      <c r="G13369" s="16" t="str">
        <f>HYPERLINK("http://maps.google.com/maps?f=q&amp;hl=en&amp;geocode=&amp;q=42.34609,-83.20209")</f>
        <v>http://maps.google.com/maps?f=q&amp;hl=en&amp;geocode=&amp;q=42.34609,-83.20209</v>
      </c>
    </row>
    <row r="13370" spans="1:7" ht="15" x14ac:dyDescent="0.3">
      <c r="A13370" t="s">
        <v>44</v>
      </c>
      <c r="B13370" t="s">
        <v>44</v>
      </c>
      <c r="C13370" t="s">
        <v>44</v>
      </c>
      <c r="D13370" t="s">
        <v>120</v>
      </c>
      <c r="F13370" s="21"/>
      <c r="G13370" s="16"/>
    </row>
    <row r="13371" spans="1:7" ht="15" x14ac:dyDescent="0.3">
      <c r="A13371" t="s">
        <v>44</v>
      </c>
      <c r="B13371" t="s">
        <v>44</v>
      </c>
      <c r="C13371" t="s">
        <v>44</v>
      </c>
      <c r="D13371" t="s">
        <v>7347</v>
      </c>
      <c r="F13371" s="21"/>
      <c r="G13371" s="16"/>
    </row>
    <row r="13372" spans="1:7" ht="15" x14ac:dyDescent="0.3">
      <c r="A13372">
        <v>38.947154998779297</v>
      </c>
      <c r="B13372">
        <v>-8.9184045791625994</v>
      </c>
      <c r="C13372" t="s">
        <v>41</v>
      </c>
      <c r="D13372" t="s">
        <v>7348</v>
      </c>
      <c r="F13372" s="21"/>
      <c r="G13372" s="16" t="str">
        <f>HYPERLINK("http://maps.google.com/maps?f=q&amp;hl=en&amp;geocode=&amp;q=38.9471549987793,-8.9184045791626")</f>
        <v>http://maps.google.com/maps?f=q&amp;hl=en&amp;geocode=&amp;q=38.9471549987793,-8.9184045791626</v>
      </c>
    </row>
    <row r="13373" spans="1:7" ht="15" x14ac:dyDescent="0.3">
      <c r="A13373">
        <v>40.683799999999998</v>
      </c>
      <c r="B13373">
        <v>-89.614840000000001</v>
      </c>
      <c r="C13373" t="s">
        <v>41</v>
      </c>
      <c r="D13373" t="s">
        <v>4642</v>
      </c>
      <c r="F13373" s="21"/>
      <c r="G13373" s="16" t="str">
        <f>HYPERLINK("http://maps.google.com/maps?f=q&amp;hl=en&amp;geocode=&amp;q=40.6838,-89.61484")</f>
        <v>http://maps.google.com/maps?f=q&amp;hl=en&amp;geocode=&amp;q=40.6838,-89.61484</v>
      </c>
    </row>
    <row r="13374" spans="1:7" ht="15" x14ac:dyDescent="0.3">
      <c r="A13374">
        <v>42.391129999999997</v>
      </c>
      <c r="B13374">
        <v>-71.243809999999996</v>
      </c>
      <c r="C13374" t="s">
        <v>42</v>
      </c>
      <c r="D13374" t="s">
        <v>7349</v>
      </c>
      <c r="F13374" s="21"/>
      <c r="G13374" s="16" t="str">
        <f>HYPERLINK("http://maps.google.com/maps?f=q&amp;hl=en&amp;geocode=&amp;q=42.39113,-71.24381")</f>
        <v>http://maps.google.com/maps?f=q&amp;hl=en&amp;geocode=&amp;q=42.39113,-71.24381</v>
      </c>
    </row>
    <row r="13375" spans="1:7" ht="15" x14ac:dyDescent="0.3">
      <c r="A13375">
        <v>40.132370000000002</v>
      </c>
      <c r="B13375">
        <v>-75.007909999999995</v>
      </c>
      <c r="C13375" t="s">
        <v>41</v>
      </c>
      <c r="D13375" t="s">
        <v>55</v>
      </c>
      <c r="F13375" s="21"/>
      <c r="G13375" s="16" t="str">
        <f>HYPERLINK("http://maps.google.com/maps?f=q&amp;hl=en&amp;geocode=&amp;q=40.13237,-75.00791")</f>
        <v>http://maps.google.com/maps?f=q&amp;hl=en&amp;geocode=&amp;q=40.13237,-75.00791</v>
      </c>
    </row>
    <row r="13376" spans="1:7" ht="15" x14ac:dyDescent="0.3">
      <c r="A13376">
        <v>40.132370000000002</v>
      </c>
      <c r="B13376">
        <v>-75.007909999999995</v>
      </c>
      <c r="C13376" t="s">
        <v>41</v>
      </c>
      <c r="D13376" t="s">
        <v>55</v>
      </c>
      <c r="F13376" s="21"/>
      <c r="G13376" s="16" t="str">
        <f>HYPERLINK("http://maps.google.com/maps?f=q&amp;hl=en&amp;geocode=&amp;q=40.13237,-75.00791")</f>
        <v>http://maps.google.com/maps?f=q&amp;hl=en&amp;geocode=&amp;q=40.13237,-75.00791</v>
      </c>
    </row>
    <row r="13377" spans="1:7" ht="15" x14ac:dyDescent="0.3">
      <c r="A13377">
        <v>48.672306060791001</v>
      </c>
      <c r="B13377">
        <v>7.5540661811828604</v>
      </c>
      <c r="C13377" t="s">
        <v>43</v>
      </c>
      <c r="D13377" t="s">
        <v>5375</v>
      </c>
      <c r="F13377" s="21"/>
      <c r="G13377" s="16" t="str">
        <f>HYPERLINK("http://maps.google.com/maps?f=q&amp;hl=en&amp;geocode=&amp;q=48.672306060791,7.55406618118286")</f>
        <v>http://maps.google.com/maps?f=q&amp;hl=en&amp;geocode=&amp;q=48.672306060791,7.55406618118286</v>
      </c>
    </row>
    <row r="13378" spans="1:7" ht="15" x14ac:dyDescent="0.3">
      <c r="A13378">
        <v>7.3835182189941397</v>
      </c>
      <c r="B13378">
        <v>-12.2588081359863</v>
      </c>
      <c r="C13378" t="s">
        <v>41</v>
      </c>
      <c r="D13378" t="s">
        <v>202</v>
      </c>
      <c r="F13378" s="21"/>
      <c r="G13378" s="16" t="str">
        <f>HYPERLINK("http://maps.google.com/maps?f=q&amp;hl=en&amp;geocode=&amp;q=7.38351821899414,-12.2588081359863")</f>
        <v>http://maps.google.com/maps?f=q&amp;hl=en&amp;geocode=&amp;q=7.38351821899414,-12.2588081359863</v>
      </c>
    </row>
    <row r="13379" spans="1:7" ht="15" x14ac:dyDescent="0.3">
      <c r="A13379">
        <v>32.583317490227202</v>
      </c>
      <c r="B13379">
        <v>-83.125344390433597</v>
      </c>
      <c r="C13379" t="s">
        <v>41</v>
      </c>
      <c r="D13379" t="s">
        <v>5039</v>
      </c>
      <c r="F13379" s="21"/>
      <c r="G13379" s="16" t="str">
        <f>HYPERLINK("http://maps.google.com/maps?f=q&amp;hl=en&amp;geocode=&amp;q=32.5833174902272,-83.1253443904336")</f>
        <v>http://maps.google.com/maps?f=q&amp;hl=en&amp;geocode=&amp;q=32.5833174902272,-83.1253443904336</v>
      </c>
    </row>
    <row r="13380" spans="1:7" ht="15" x14ac:dyDescent="0.3">
      <c r="A13380">
        <v>46.088410000000003</v>
      </c>
      <c r="B13380">
        <v>12.59421</v>
      </c>
      <c r="C13380" t="s">
        <v>41</v>
      </c>
      <c r="D13380" t="s">
        <v>7108</v>
      </c>
      <c r="F13380" s="21"/>
      <c r="G13380" s="16" t="str">
        <f>HYPERLINK("http://maps.google.com/maps?f=q&amp;hl=en&amp;geocode=&amp;q=46.08841,12.59421")</f>
        <v>http://maps.google.com/maps?f=q&amp;hl=en&amp;geocode=&amp;q=46.08841,12.59421</v>
      </c>
    </row>
    <row r="13381" spans="1:7" ht="15" x14ac:dyDescent="0.3">
      <c r="A13381">
        <v>46.088410000000003</v>
      </c>
      <c r="B13381">
        <v>12.59421</v>
      </c>
      <c r="C13381" t="s">
        <v>41</v>
      </c>
      <c r="D13381" t="s">
        <v>7108</v>
      </c>
      <c r="F13381" s="21"/>
      <c r="G13381" s="16" t="str">
        <f>HYPERLINK("http://maps.google.com/maps?f=q&amp;hl=en&amp;geocode=&amp;q=46.08841,12.59421")</f>
        <v>http://maps.google.com/maps?f=q&amp;hl=en&amp;geocode=&amp;q=46.08841,12.59421</v>
      </c>
    </row>
    <row r="13382" spans="1:7" ht="15" x14ac:dyDescent="0.3">
      <c r="A13382">
        <v>46.088410000000003</v>
      </c>
      <c r="B13382">
        <v>12.59421</v>
      </c>
      <c r="C13382" t="s">
        <v>41</v>
      </c>
      <c r="D13382" t="s">
        <v>7108</v>
      </c>
      <c r="F13382" s="21"/>
      <c r="G13382" s="16" t="str">
        <f>HYPERLINK("http://maps.google.com/maps?f=q&amp;hl=en&amp;geocode=&amp;q=46.08841,12.59421")</f>
        <v>http://maps.google.com/maps?f=q&amp;hl=en&amp;geocode=&amp;q=46.08841,12.59421</v>
      </c>
    </row>
    <row r="13383" spans="1:7" ht="15" x14ac:dyDescent="0.3">
      <c r="A13383">
        <v>40.981110354487498</v>
      </c>
      <c r="B13383">
        <v>-80.350784019008302</v>
      </c>
      <c r="C13383" t="s">
        <v>41</v>
      </c>
      <c r="D13383" t="s">
        <v>7322</v>
      </c>
      <c r="F13383" s="21"/>
      <c r="G13383" s="16" t="str">
        <f>HYPERLINK("http://maps.google.com/maps?f=q&amp;hl=en&amp;geocode=&amp;q=40.9811103544875,-80.3507840190083")</f>
        <v>http://maps.google.com/maps?f=q&amp;hl=en&amp;geocode=&amp;q=40.9811103544875,-80.3507840190083</v>
      </c>
    </row>
    <row r="13384" spans="1:7" ht="15" x14ac:dyDescent="0.3">
      <c r="A13384">
        <v>39.9861</v>
      </c>
      <c r="B13384">
        <v>-75.111379999999997</v>
      </c>
      <c r="C13384" t="s">
        <v>41</v>
      </c>
      <c r="D13384" t="s">
        <v>1933</v>
      </c>
      <c r="F13384" s="21"/>
      <c r="G13384" s="16" t="str">
        <f>HYPERLINK("http://maps.google.com/maps?f=q&amp;hl=en&amp;geocode=&amp;q=39.9861,-75.11138")</f>
        <v>http://maps.google.com/maps?f=q&amp;hl=en&amp;geocode=&amp;q=39.9861,-75.11138</v>
      </c>
    </row>
    <row r="13385" spans="1:7" ht="15" x14ac:dyDescent="0.3">
      <c r="A13385">
        <v>39.941600000000001</v>
      </c>
      <c r="B13385">
        <v>-75.181439999999995</v>
      </c>
      <c r="C13385" t="s">
        <v>41</v>
      </c>
      <c r="D13385" t="s">
        <v>7242</v>
      </c>
      <c r="F13385" s="21"/>
      <c r="G13385" s="16" t="str">
        <f>HYPERLINK("http://maps.google.com/maps?f=q&amp;hl=en&amp;geocode=&amp;q=39.9416,-75.18144")</f>
        <v>http://maps.google.com/maps?f=q&amp;hl=en&amp;geocode=&amp;q=39.9416,-75.18144</v>
      </c>
    </row>
    <row r="13386" spans="1:7" ht="15" x14ac:dyDescent="0.3">
      <c r="A13386">
        <v>35.402266001950501</v>
      </c>
      <c r="B13386">
        <v>-97.7614998822324</v>
      </c>
      <c r="C13386" t="s">
        <v>41</v>
      </c>
      <c r="D13386" t="s">
        <v>6932</v>
      </c>
      <c r="F13386" s="21"/>
      <c r="G13386" s="16" t="str">
        <f>HYPERLINK("http://maps.google.com/maps?f=q&amp;hl=en&amp;geocode=&amp;q=35.4022660019505,-97.7614998822324")</f>
        <v>http://maps.google.com/maps?f=q&amp;hl=en&amp;geocode=&amp;q=35.4022660019505,-97.7614998822324</v>
      </c>
    </row>
    <row r="13387" spans="1:7" ht="15" x14ac:dyDescent="0.3">
      <c r="A13387" t="s">
        <v>44</v>
      </c>
      <c r="B13387" t="s">
        <v>44</v>
      </c>
      <c r="C13387" t="s">
        <v>44</v>
      </c>
      <c r="D13387" t="s">
        <v>7350</v>
      </c>
      <c r="F13387" s="21"/>
      <c r="G13387" s="16"/>
    </row>
    <row r="13388" spans="1:7" ht="15" x14ac:dyDescent="0.3">
      <c r="A13388">
        <v>50.723228454589801</v>
      </c>
      <c r="B13388">
        <v>4.6152939796447798</v>
      </c>
      <c r="C13388" t="s">
        <v>43</v>
      </c>
      <c r="D13388" t="s">
        <v>6327</v>
      </c>
      <c r="F13388" s="21"/>
      <c r="G13388" s="16" t="str">
        <f>HYPERLINK("http://maps.google.com/maps?f=q&amp;hl=en&amp;geocode=&amp;q=50.7232284545898,4.61529397964478")</f>
        <v>http://maps.google.com/maps?f=q&amp;hl=en&amp;geocode=&amp;q=50.7232284545898,4.61529397964478</v>
      </c>
    </row>
    <row r="13389" spans="1:7" ht="15" x14ac:dyDescent="0.3">
      <c r="A13389">
        <v>40.683799999999998</v>
      </c>
      <c r="B13389">
        <v>-89.614840000000001</v>
      </c>
      <c r="C13389" t="s">
        <v>41</v>
      </c>
      <c r="D13389" t="s">
        <v>4642</v>
      </c>
      <c r="F13389" s="21"/>
      <c r="G13389" s="16" t="str">
        <f>HYPERLINK("http://maps.google.com/maps?f=q&amp;hl=en&amp;geocode=&amp;q=40.6838,-89.61484")</f>
        <v>http://maps.google.com/maps?f=q&amp;hl=en&amp;geocode=&amp;q=40.6838,-89.61484</v>
      </c>
    </row>
    <row r="13390" spans="1:7" ht="15" x14ac:dyDescent="0.3">
      <c r="A13390">
        <v>27.9156494140625</v>
      </c>
      <c r="B13390">
        <v>83.716003417968807</v>
      </c>
      <c r="C13390" t="s">
        <v>41</v>
      </c>
      <c r="D13390" t="s">
        <v>7351</v>
      </c>
      <c r="F13390" s="21"/>
      <c r="G13390" s="16" t="str">
        <f>HYPERLINK("http://maps.google.com/maps?f=q&amp;hl=en&amp;geocode=&amp;q=27.9156494140625,83.7160034179688")</f>
        <v>http://maps.google.com/maps?f=q&amp;hl=en&amp;geocode=&amp;q=27.9156494140625,83.7160034179688</v>
      </c>
    </row>
    <row r="13391" spans="1:7" ht="15" x14ac:dyDescent="0.3">
      <c r="A13391">
        <v>32.298690795898402</v>
      </c>
      <c r="B13391">
        <v>-90.180488586425795</v>
      </c>
      <c r="C13391" t="s">
        <v>41</v>
      </c>
      <c r="D13391" t="s">
        <v>7352</v>
      </c>
      <c r="F13391" s="21"/>
      <c r="G13391" s="16" t="str">
        <f>HYPERLINK("http://maps.google.com/maps?f=q&amp;hl=en&amp;geocode=&amp;q=32.2986907958984,-90.1804885864258")</f>
        <v>http://maps.google.com/maps?f=q&amp;hl=en&amp;geocode=&amp;q=32.2986907958984,-90.1804885864258</v>
      </c>
    </row>
    <row r="13392" spans="1:7" ht="15" x14ac:dyDescent="0.3">
      <c r="A13392">
        <v>40.04101</v>
      </c>
      <c r="B13392">
        <v>-75.154060000000001</v>
      </c>
      <c r="C13392" t="s">
        <v>43</v>
      </c>
      <c r="D13392" t="s">
        <v>7353</v>
      </c>
      <c r="F13392" s="21"/>
      <c r="G13392" s="16" t="str">
        <f>HYPERLINK("http://maps.google.com/maps?f=q&amp;hl=en&amp;geocode=&amp;q=40.04101,-75.15406")</f>
        <v>http://maps.google.com/maps?f=q&amp;hl=en&amp;geocode=&amp;q=40.04101,-75.15406</v>
      </c>
    </row>
    <row r="13393" spans="1:7" ht="15" x14ac:dyDescent="0.3">
      <c r="A13393">
        <v>53.150001525878899</v>
      </c>
      <c r="B13393">
        <v>26.683300018310501</v>
      </c>
      <c r="C13393" t="s">
        <v>43</v>
      </c>
      <c r="D13393" t="s">
        <v>7354</v>
      </c>
      <c r="F13393" s="21"/>
      <c r="G13393" s="16" t="str">
        <f>HYPERLINK("http://maps.google.com/maps?f=q&amp;hl=en&amp;geocode=&amp;q=53.1500015258789,26.6833000183105")</f>
        <v>http://maps.google.com/maps?f=q&amp;hl=en&amp;geocode=&amp;q=53.1500015258789,26.6833000183105</v>
      </c>
    </row>
    <row r="13394" spans="1:7" ht="15" x14ac:dyDescent="0.3">
      <c r="A13394" t="s">
        <v>44</v>
      </c>
      <c r="B13394" t="s">
        <v>44</v>
      </c>
      <c r="C13394" t="s">
        <v>44</v>
      </c>
      <c r="D13394" t="s">
        <v>7355</v>
      </c>
      <c r="F13394" s="21"/>
      <c r="G13394" s="16"/>
    </row>
    <row r="13395" spans="1:7" ht="15" x14ac:dyDescent="0.3">
      <c r="A13395">
        <v>41.8343652196222</v>
      </c>
      <c r="B13395">
        <v>-86.405421689851707</v>
      </c>
      <c r="C13395" t="s">
        <v>43</v>
      </c>
      <c r="D13395" t="s">
        <v>1412</v>
      </c>
      <c r="F13395" s="21"/>
      <c r="G13395" s="16" t="str">
        <f>HYPERLINK("http://maps.google.com/maps?f=q&amp;hl=en&amp;geocode=&amp;q=41.8343652196222,-86.4054216898517")</f>
        <v>http://maps.google.com/maps?f=q&amp;hl=en&amp;geocode=&amp;q=41.8343652196222,-86.4054216898517</v>
      </c>
    </row>
    <row r="13396" spans="1:7" ht="15" x14ac:dyDescent="0.3">
      <c r="A13396">
        <v>26.26905</v>
      </c>
      <c r="B13396">
        <v>-98.645449999999997</v>
      </c>
      <c r="C13396" t="s">
        <v>42</v>
      </c>
      <c r="D13396" t="s">
        <v>7356</v>
      </c>
      <c r="F13396" s="21"/>
      <c r="G13396" s="16" t="str">
        <f>HYPERLINK("http://maps.google.com/maps?f=q&amp;hl=en&amp;geocode=&amp;q=26.26905,-98.64545")</f>
        <v>http://maps.google.com/maps?f=q&amp;hl=en&amp;geocode=&amp;q=26.26905,-98.64545</v>
      </c>
    </row>
    <row r="13397" spans="1:7" ht="15" x14ac:dyDescent="0.3">
      <c r="A13397">
        <v>40.028089999999999</v>
      </c>
      <c r="B13397">
        <v>-75.119990000000001</v>
      </c>
      <c r="C13397" t="s">
        <v>41</v>
      </c>
      <c r="D13397" t="s">
        <v>7357</v>
      </c>
      <c r="F13397" s="21"/>
      <c r="G13397" s="16" t="str">
        <f>HYPERLINK("http://maps.google.com/maps?f=q&amp;hl=en&amp;geocode=&amp;q=40.02809,-75.11999")</f>
        <v>http://maps.google.com/maps?f=q&amp;hl=en&amp;geocode=&amp;q=40.02809,-75.11999</v>
      </c>
    </row>
    <row r="13398" spans="1:7" ht="15" x14ac:dyDescent="0.3">
      <c r="A13398" t="s">
        <v>44</v>
      </c>
      <c r="B13398" t="s">
        <v>44</v>
      </c>
      <c r="C13398" t="s">
        <v>44</v>
      </c>
      <c r="D13398" t="s">
        <v>5418</v>
      </c>
      <c r="F13398" s="21"/>
      <c r="G13398" s="16"/>
    </row>
    <row r="13399" spans="1:7" ht="15" x14ac:dyDescent="0.3">
      <c r="A13399">
        <v>-32.7033500671387</v>
      </c>
      <c r="B13399">
        <v>137.70617675781301</v>
      </c>
      <c r="C13399" t="s">
        <v>41</v>
      </c>
      <c r="D13399" t="s">
        <v>7358</v>
      </c>
      <c r="F13399" s="21"/>
      <c r="G13399" s="16" t="str">
        <f>HYPERLINK("http://maps.google.com/maps?f=q&amp;hl=en&amp;geocode=&amp;q=-32.7033500671387,137.706176757813")</f>
        <v>http://maps.google.com/maps?f=q&amp;hl=en&amp;geocode=&amp;q=-32.7033500671387,137.706176757813</v>
      </c>
    </row>
    <row r="13400" spans="1:7" ht="15" x14ac:dyDescent="0.3">
      <c r="A13400">
        <v>53.007888793945298</v>
      </c>
      <c r="B13400">
        <v>-70.9957275390625</v>
      </c>
      <c r="C13400" t="s">
        <v>41</v>
      </c>
      <c r="D13400" t="s">
        <v>7359</v>
      </c>
      <c r="F13400" s="21"/>
      <c r="G13400" s="16" t="str">
        <f>HYPERLINK("http://maps.google.com/maps?f=q&amp;hl=en&amp;geocode=&amp;q=53.0078887939453,-70.9957275390625")</f>
        <v>http://maps.google.com/maps?f=q&amp;hl=en&amp;geocode=&amp;q=53.0078887939453,-70.9957275390625</v>
      </c>
    </row>
    <row r="13401" spans="1:7" ht="15" x14ac:dyDescent="0.3">
      <c r="A13401">
        <v>35.243474128947099</v>
      </c>
      <c r="B13401">
        <v>-97.4228430202797</v>
      </c>
      <c r="C13401" t="s">
        <v>41</v>
      </c>
      <c r="D13401" t="s">
        <v>7360</v>
      </c>
      <c r="F13401" s="21"/>
      <c r="G13401" s="16" t="str">
        <f>HYPERLINK("http://maps.google.com/maps?f=q&amp;hl=en&amp;geocode=&amp;q=35.2434741289471,-97.4228430202797")</f>
        <v>http://maps.google.com/maps?f=q&amp;hl=en&amp;geocode=&amp;q=35.2434741289471,-97.4228430202797</v>
      </c>
    </row>
    <row r="13402" spans="1:7" ht="15" x14ac:dyDescent="0.3">
      <c r="A13402">
        <v>38.1452533708541</v>
      </c>
      <c r="B13402">
        <v>-108.284394595352</v>
      </c>
      <c r="C13402" t="s">
        <v>41</v>
      </c>
      <c r="D13402" t="s">
        <v>7361</v>
      </c>
      <c r="F13402" s="21"/>
      <c r="G13402" s="16" t="str">
        <f>HYPERLINK("http://maps.google.com/maps?f=q&amp;hl=en&amp;geocode=&amp;q=38.1452533708541,-108.284394595352")</f>
        <v>http://maps.google.com/maps?f=q&amp;hl=en&amp;geocode=&amp;q=38.1452533708541,-108.284394595352</v>
      </c>
    </row>
    <row r="13403" spans="1:7" ht="15" x14ac:dyDescent="0.3">
      <c r="A13403">
        <v>40.981110354487498</v>
      </c>
      <c r="B13403">
        <v>-80.350784019008302</v>
      </c>
      <c r="C13403" t="s">
        <v>41</v>
      </c>
      <c r="D13403" t="s">
        <v>7322</v>
      </c>
      <c r="F13403" s="21"/>
      <c r="G13403" s="16" t="str">
        <f>HYPERLINK("http://maps.google.com/maps?f=q&amp;hl=en&amp;geocode=&amp;q=40.9811103544875,-80.3507840190083")</f>
        <v>http://maps.google.com/maps?f=q&amp;hl=en&amp;geocode=&amp;q=40.9811103544875,-80.3507840190083</v>
      </c>
    </row>
    <row r="13404" spans="1:7" ht="15" x14ac:dyDescent="0.3">
      <c r="A13404">
        <v>38.1452533708541</v>
      </c>
      <c r="B13404">
        <v>-108.284394595352</v>
      </c>
      <c r="C13404" t="s">
        <v>41</v>
      </c>
      <c r="D13404" t="s">
        <v>7361</v>
      </c>
      <c r="F13404" s="21"/>
      <c r="G13404" s="16" t="str">
        <f>HYPERLINK("http://maps.google.com/maps?f=q&amp;hl=en&amp;geocode=&amp;q=38.1452533708541,-108.284394595352")</f>
        <v>http://maps.google.com/maps?f=q&amp;hl=en&amp;geocode=&amp;q=38.1452533708541,-108.284394595352</v>
      </c>
    </row>
    <row r="13405" spans="1:7" ht="15" x14ac:dyDescent="0.3">
      <c r="A13405">
        <v>39.947960000000002</v>
      </c>
      <c r="B13405">
        <v>-75.180080000000004</v>
      </c>
      <c r="C13405" t="s">
        <v>43</v>
      </c>
      <c r="D13405" t="s">
        <v>7362</v>
      </c>
      <c r="F13405" s="21"/>
      <c r="G13405" s="16" t="str">
        <f>HYPERLINK("http://maps.google.com/maps?f=q&amp;hl=en&amp;geocode=&amp;q=39.94796,-75.18008")</f>
        <v>http://maps.google.com/maps?f=q&amp;hl=en&amp;geocode=&amp;q=39.94796,-75.18008</v>
      </c>
    </row>
    <row r="13406" spans="1:7" ht="15" x14ac:dyDescent="0.3">
      <c r="A13406">
        <v>46.088410000000003</v>
      </c>
      <c r="B13406">
        <v>12.59421</v>
      </c>
      <c r="C13406" t="s">
        <v>41</v>
      </c>
      <c r="D13406" t="s">
        <v>7108</v>
      </c>
      <c r="F13406" s="21"/>
      <c r="G13406" s="16" t="str">
        <f>HYPERLINK("http://maps.google.com/maps?f=q&amp;hl=en&amp;geocode=&amp;q=46.08841,12.59421")</f>
        <v>http://maps.google.com/maps?f=q&amp;hl=en&amp;geocode=&amp;q=46.08841,12.59421</v>
      </c>
    </row>
    <row r="13407" spans="1:7" ht="15" x14ac:dyDescent="0.3">
      <c r="A13407">
        <v>36.101999999999997</v>
      </c>
      <c r="B13407">
        <v>-115.28955999999999</v>
      </c>
      <c r="C13407" t="s">
        <v>42</v>
      </c>
      <c r="D13407" t="s">
        <v>7363</v>
      </c>
      <c r="F13407" s="21"/>
      <c r="G13407" s="16" t="str">
        <f>HYPERLINK("http://maps.google.com/maps?f=q&amp;hl=en&amp;geocode=&amp;q=36.102,-115.28956")</f>
        <v>http://maps.google.com/maps?f=q&amp;hl=en&amp;geocode=&amp;q=36.102,-115.28956</v>
      </c>
    </row>
    <row r="13408" spans="1:7" ht="15" x14ac:dyDescent="0.3">
      <c r="A13408">
        <v>46.088410000000003</v>
      </c>
      <c r="B13408">
        <v>12.59421</v>
      </c>
      <c r="C13408" t="s">
        <v>41</v>
      </c>
      <c r="D13408" t="s">
        <v>7108</v>
      </c>
      <c r="F13408" s="21"/>
      <c r="G13408" s="16" t="str">
        <f>HYPERLINK("http://maps.google.com/maps?f=q&amp;hl=en&amp;geocode=&amp;q=46.08841,12.59421")</f>
        <v>http://maps.google.com/maps?f=q&amp;hl=en&amp;geocode=&amp;q=46.08841,12.59421</v>
      </c>
    </row>
    <row r="13409" spans="1:7" ht="15" x14ac:dyDescent="0.3">
      <c r="A13409">
        <v>46.088410000000003</v>
      </c>
      <c r="B13409">
        <v>12.59421</v>
      </c>
      <c r="C13409" t="s">
        <v>41</v>
      </c>
      <c r="D13409" t="s">
        <v>7108</v>
      </c>
      <c r="F13409" s="21"/>
      <c r="G13409" s="16" t="str">
        <f>HYPERLINK("http://maps.google.com/maps?f=q&amp;hl=en&amp;geocode=&amp;q=46.08841,12.59421")</f>
        <v>http://maps.google.com/maps?f=q&amp;hl=en&amp;geocode=&amp;q=46.08841,12.59421</v>
      </c>
    </row>
    <row r="13410" spans="1:7" ht="15" x14ac:dyDescent="0.3">
      <c r="A13410">
        <v>46.088410000000003</v>
      </c>
      <c r="B13410">
        <v>12.59421</v>
      </c>
      <c r="C13410" t="s">
        <v>41</v>
      </c>
      <c r="D13410" t="s">
        <v>7108</v>
      </c>
      <c r="F13410" s="21"/>
      <c r="G13410" s="16" t="str">
        <f>HYPERLINK("http://maps.google.com/maps?f=q&amp;hl=en&amp;geocode=&amp;q=46.08841,12.59421")</f>
        <v>http://maps.google.com/maps?f=q&amp;hl=en&amp;geocode=&amp;q=46.08841,12.59421</v>
      </c>
    </row>
    <row r="13411" spans="1:7" ht="15" x14ac:dyDescent="0.3">
      <c r="A13411">
        <v>46.088410000000003</v>
      </c>
      <c r="B13411">
        <v>12.59421</v>
      </c>
      <c r="C13411" t="s">
        <v>41</v>
      </c>
      <c r="D13411" t="s">
        <v>7108</v>
      </c>
      <c r="F13411" s="21"/>
      <c r="G13411" s="16" t="str">
        <f>HYPERLINK("http://maps.google.com/maps?f=q&amp;hl=en&amp;geocode=&amp;q=46.08841,12.59421")</f>
        <v>http://maps.google.com/maps?f=q&amp;hl=en&amp;geocode=&amp;q=46.08841,12.59421</v>
      </c>
    </row>
    <row r="13412" spans="1:7" ht="15" x14ac:dyDescent="0.3">
      <c r="A13412">
        <v>46.088410000000003</v>
      </c>
      <c r="B13412">
        <v>12.59421</v>
      </c>
      <c r="C13412" t="s">
        <v>41</v>
      </c>
      <c r="D13412" t="s">
        <v>7108</v>
      </c>
      <c r="F13412" s="21"/>
      <c r="G13412" s="16" t="str">
        <f>HYPERLINK("http://maps.google.com/maps?f=q&amp;hl=en&amp;geocode=&amp;q=46.08841,12.59421")</f>
        <v>http://maps.google.com/maps?f=q&amp;hl=en&amp;geocode=&amp;q=46.08841,12.59421</v>
      </c>
    </row>
    <row r="13413" spans="1:7" ht="15" x14ac:dyDescent="0.3">
      <c r="A13413">
        <v>30.481712011635299</v>
      </c>
      <c r="B13413">
        <v>-92.839402177412893</v>
      </c>
      <c r="C13413" t="s">
        <v>41</v>
      </c>
      <c r="D13413" t="s">
        <v>7364</v>
      </c>
      <c r="F13413" s="21"/>
      <c r="G13413" s="16" t="str">
        <f>HYPERLINK("http://maps.google.com/maps?f=q&amp;hl=en&amp;geocode=&amp;q=30.4817120116353,-92.8394021774129")</f>
        <v>http://maps.google.com/maps?f=q&amp;hl=en&amp;geocode=&amp;q=30.4817120116353,-92.8394021774129</v>
      </c>
    </row>
    <row r="13414" spans="1:7" ht="15" x14ac:dyDescent="0.3">
      <c r="A13414">
        <v>46.088410000000003</v>
      </c>
      <c r="B13414">
        <v>12.59421</v>
      </c>
      <c r="C13414" t="s">
        <v>41</v>
      </c>
      <c r="D13414" t="s">
        <v>7108</v>
      </c>
      <c r="F13414" s="21"/>
      <c r="G13414" s="16" t="str">
        <f>HYPERLINK("http://maps.google.com/maps?f=q&amp;hl=en&amp;geocode=&amp;q=46.08841,12.59421")</f>
        <v>http://maps.google.com/maps?f=q&amp;hl=en&amp;geocode=&amp;q=46.08841,12.59421</v>
      </c>
    </row>
    <row r="13415" spans="1:7" ht="15" x14ac:dyDescent="0.3">
      <c r="A13415">
        <v>40.655753053030701</v>
      </c>
      <c r="B13415">
        <v>-79.5357215936058</v>
      </c>
      <c r="C13415" t="s">
        <v>41</v>
      </c>
      <c r="D13415" t="s">
        <v>7292</v>
      </c>
      <c r="F13415" s="21"/>
      <c r="G13415" s="16" t="str">
        <f>HYPERLINK("http://maps.google.com/maps?f=q&amp;hl=en&amp;geocode=&amp;q=40.6557530530307,-79.5357215936058")</f>
        <v>http://maps.google.com/maps?f=q&amp;hl=en&amp;geocode=&amp;q=40.6557530530307,-79.5357215936058</v>
      </c>
    </row>
    <row r="13416" spans="1:7" ht="15" x14ac:dyDescent="0.3">
      <c r="A13416">
        <v>38.943240000000003</v>
      </c>
      <c r="B13416">
        <v>-76.962019999999995</v>
      </c>
      <c r="C13416" t="s">
        <v>42</v>
      </c>
      <c r="D13416" t="s">
        <v>7365</v>
      </c>
      <c r="F13416" s="21"/>
      <c r="G13416" s="16" t="str">
        <f>HYPERLINK("http://maps.google.com/maps?f=q&amp;hl=en&amp;geocode=&amp;q=38.94324,-76.96202")</f>
        <v>http://maps.google.com/maps?f=q&amp;hl=en&amp;geocode=&amp;q=38.94324,-76.96202</v>
      </c>
    </row>
    <row r="13417" spans="1:7" ht="15" x14ac:dyDescent="0.3">
      <c r="A13417">
        <v>40.038051605224602</v>
      </c>
      <c r="B13417">
        <v>-76.301292419433594</v>
      </c>
      <c r="C13417" t="s">
        <v>41</v>
      </c>
      <c r="D13417" t="s">
        <v>7366</v>
      </c>
      <c r="F13417" s="21"/>
      <c r="G13417" s="16" t="str">
        <f>HYPERLINK("http://maps.google.com/maps?f=q&amp;hl=en&amp;geocode=&amp;q=40.0380516052246,-76.3012924194336")</f>
        <v>http://maps.google.com/maps?f=q&amp;hl=en&amp;geocode=&amp;q=40.0380516052246,-76.3012924194336</v>
      </c>
    </row>
    <row r="13418" spans="1:7" ht="15" x14ac:dyDescent="0.3">
      <c r="A13418">
        <v>43.525276036823698</v>
      </c>
      <c r="B13418">
        <v>-84.196917789638704</v>
      </c>
      <c r="C13418" t="s">
        <v>41</v>
      </c>
      <c r="D13418" t="s">
        <v>7367</v>
      </c>
      <c r="F13418" s="21"/>
      <c r="G13418" s="16" t="str">
        <f>HYPERLINK("http://maps.google.com/maps?f=q&amp;hl=en&amp;geocode=&amp;q=43.5252760368237,-84.1969177896387")</f>
        <v>http://maps.google.com/maps?f=q&amp;hl=en&amp;geocode=&amp;q=43.5252760368237,-84.1969177896387</v>
      </c>
    </row>
    <row r="13419" spans="1:7" ht="15" x14ac:dyDescent="0.3">
      <c r="A13419">
        <v>29.212141932251001</v>
      </c>
      <c r="B13419">
        <v>-81.019280391402106</v>
      </c>
      <c r="C13419" t="s">
        <v>41</v>
      </c>
      <c r="D13419" t="s">
        <v>7368</v>
      </c>
      <c r="F13419" s="21"/>
      <c r="G13419" s="16" t="str">
        <f>HYPERLINK("http://maps.google.com/maps?f=q&amp;hl=en&amp;geocode=&amp;q=29.212141932251,-81.0192803914021")</f>
        <v>http://maps.google.com/maps?f=q&amp;hl=en&amp;geocode=&amp;q=29.212141932251,-81.0192803914021</v>
      </c>
    </row>
    <row r="13420" spans="1:7" ht="15" x14ac:dyDescent="0.3">
      <c r="A13420" t="s">
        <v>44</v>
      </c>
      <c r="B13420" t="s">
        <v>44</v>
      </c>
      <c r="C13420" t="s">
        <v>44</v>
      </c>
      <c r="D13420" t="s">
        <v>7369</v>
      </c>
      <c r="F13420" s="21"/>
      <c r="G13420" s="16"/>
    </row>
    <row r="13421" spans="1:7" ht="15" x14ac:dyDescent="0.3">
      <c r="A13421">
        <v>33.072403173490898</v>
      </c>
      <c r="B13421">
        <v>-96.223381664736806</v>
      </c>
      <c r="C13421" t="s">
        <v>41</v>
      </c>
      <c r="D13421" t="s">
        <v>7370</v>
      </c>
      <c r="F13421" s="21"/>
      <c r="G13421" s="16" t="str">
        <f>HYPERLINK("http://maps.google.com/maps?f=q&amp;hl=en&amp;geocode=&amp;q=33.0724031734909,-96.2233816647368")</f>
        <v>http://maps.google.com/maps?f=q&amp;hl=en&amp;geocode=&amp;q=33.0724031734909,-96.2233816647368</v>
      </c>
    </row>
    <row r="13422" spans="1:7" ht="15" x14ac:dyDescent="0.3">
      <c r="A13422">
        <v>47.652336120605497</v>
      </c>
      <c r="B13422">
        <v>12.4129076004028</v>
      </c>
      <c r="C13422" t="s">
        <v>43</v>
      </c>
      <c r="D13422" t="s">
        <v>2714</v>
      </c>
      <c r="F13422" s="21"/>
      <c r="G13422" s="16" t="str">
        <f>HYPERLINK("http://maps.google.com/maps?f=q&amp;hl=en&amp;geocode=&amp;q=47.6523361206055,12.4129076004028")</f>
        <v>http://maps.google.com/maps?f=q&amp;hl=en&amp;geocode=&amp;q=47.6523361206055,12.4129076004028</v>
      </c>
    </row>
    <row r="13423" spans="1:7" ht="15" x14ac:dyDescent="0.3">
      <c r="A13423" t="s">
        <v>44</v>
      </c>
      <c r="B13423" t="s">
        <v>44</v>
      </c>
      <c r="C13423" t="s">
        <v>44</v>
      </c>
      <c r="D13423" t="s">
        <v>227</v>
      </c>
      <c r="F13423" s="21"/>
      <c r="G13423" s="16"/>
    </row>
    <row r="13424" spans="1:7" ht="15" x14ac:dyDescent="0.3">
      <c r="A13424" t="s">
        <v>44</v>
      </c>
      <c r="B13424" t="s">
        <v>44</v>
      </c>
      <c r="C13424" t="s">
        <v>44</v>
      </c>
      <c r="D13424" t="s">
        <v>227</v>
      </c>
      <c r="F13424" s="21"/>
      <c r="G13424" s="16"/>
    </row>
    <row r="13425" spans="1:7" ht="15" x14ac:dyDescent="0.3">
      <c r="A13425" t="s">
        <v>44</v>
      </c>
      <c r="B13425" t="s">
        <v>44</v>
      </c>
      <c r="C13425" t="s">
        <v>44</v>
      </c>
      <c r="D13425" t="s">
        <v>227</v>
      </c>
      <c r="F13425" s="21"/>
      <c r="G13425" s="16"/>
    </row>
    <row r="13426" spans="1:7" ht="15" x14ac:dyDescent="0.3">
      <c r="A13426" t="s">
        <v>44</v>
      </c>
      <c r="B13426" t="s">
        <v>44</v>
      </c>
      <c r="C13426" t="s">
        <v>44</v>
      </c>
      <c r="D13426" t="s">
        <v>227</v>
      </c>
      <c r="F13426" s="21"/>
      <c r="G13426" s="16"/>
    </row>
    <row r="13427" spans="1:7" ht="15" x14ac:dyDescent="0.3">
      <c r="A13427">
        <v>41.031770000000002</v>
      </c>
      <c r="B13427">
        <v>-73.764160000000004</v>
      </c>
      <c r="C13427" t="s">
        <v>41</v>
      </c>
      <c r="D13427" t="s">
        <v>7371</v>
      </c>
      <c r="F13427" s="21"/>
      <c r="G13427" s="16" t="str">
        <f>HYPERLINK("http://maps.google.com/maps?f=q&amp;hl=en&amp;geocode=&amp;q=41.03177,-73.76416")</f>
        <v>http://maps.google.com/maps?f=q&amp;hl=en&amp;geocode=&amp;q=41.03177,-73.76416</v>
      </c>
    </row>
    <row r="13428" spans="1:7" ht="15" x14ac:dyDescent="0.3">
      <c r="A13428" t="s">
        <v>44</v>
      </c>
      <c r="B13428" t="s">
        <v>44</v>
      </c>
      <c r="C13428" t="s">
        <v>44</v>
      </c>
      <c r="D13428" t="s">
        <v>7372</v>
      </c>
      <c r="F13428" s="21"/>
      <c r="G13428" s="16"/>
    </row>
    <row r="13429" spans="1:7" ht="15" x14ac:dyDescent="0.3">
      <c r="A13429">
        <v>64.063316345214801</v>
      </c>
      <c r="B13429">
        <v>-139.43438720703099</v>
      </c>
      <c r="C13429" t="s">
        <v>43</v>
      </c>
      <c r="D13429" t="s">
        <v>7373</v>
      </c>
      <c r="F13429" s="21"/>
      <c r="G13429" s="16" t="str">
        <f>HYPERLINK("http://maps.google.com/maps?f=q&amp;hl=en&amp;geocode=&amp;q=64.0633163452148,-139.434387207031")</f>
        <v>http://maps.google.com/maps?f=q&amp;hl=en&amp;geocode=&amp;q=64.0633163452148,-139.434387207031</v>
      </c>
    </row>
    <row r="13430" spans="1:7" ht="15" x14ac:dyDescent="0.3">
      <c r="A13430">
        <v>40.024738311767599</v>
      </c>
      <c r="B13430">
        <v>-75.213882446289105</v>
      </c>
      <c r="C13430" t="s">
        <v>43</v>
      </c>
      <c r="D13430" t="s">
        <v>2128</v>
      </c>
      <c r="F13430" s="21"/>
      <c r="G13430" s="16" t="str">
        <f>HYPERLINK("http://maps.google.com/maps?f=q&amp;hl=en&amp;geocode=&amp;q=40.0247383117676,-75.2138824462891")</f>
        <v>http://maps.google.com/maps?f=q&amp;hl=en&amp;geocode=&amp;q=40.0247383117676,-75.2138824462891</v>
      </c>
    </row>
    <row r="13431" spans="1:7" ht="15" x14ac:dyDescent="0.3">
      <c r="A13431">
        <v>46.619251251220703</v>
      </c>
      <c r="B13431">
        <v>-63.1351509094238</v>
      </c>
      <c r="C13431" t="s">
        <v>41</v>
      </c>
      <c r="D13431" t="s">
        <v>7374</v>
      </c>
      <c r="F13431" s="21"/>
      <c r="G13431" s="16" t="str">
        <f>HYPERLINK("http://maps.google.com/maps?f=q&amp;hl=en&amp;geocode=&amp;q=46.6192512512207,-63.1351509094238")</f>
        <v>http://maps.google.com/maps?f=q&amp;hl=en&amp;geocode=&amp;q=46.6192512512207,-63.1351509094238</v>
      </c>
    </row>
    <row r="13432" spans="1:7" ht="15" x14ac:dyDescent="0.3">
      <c r="A13432">
        <v>48.672306060791001</v>
      </c>
      <c r="B13432">
        <v>7.5540661811828604</v>
      </c>
      <c r="C13432" t="s">
        <v>43</v>
      </c>
      <c r="D13432" t="s">
        <v>5375</v>
      </c>
      <c r="F13432" s="21"/>
      <c r="G13432" s="16" t="str">
        <f>HYPERLINK("http://maps.google.com/maps?f=q&amp;hl=en&amp;geocode=&amp;q=48.672306060791,7.55406618118286")</f>
        <v>http://maps.google.com/maps?f=q&amp;hl=en&amp;geocode=&amp;q=48.672306060791,7.55406618118286</v>
      </c>
    </row>
    <row r="13433" spans="1:7" ht="15" x14ac:dyDescent="0.3">
      <c r="A13433">
        <v>48.672306060791001</v>
      </c>
      <c r="B13433">
        <v>7.5540661811828604</v>
      </c>
      <c r="C13433" t="s">
        <v>43</v>
      </c>
      <c r="D13433" t="s">
        <v>5375</v>
      </c>
      <c r="F13433" s="21"/>
      <c r="G13433" s="16" t="str">
        <f>HYPERLINK("http://maps.google.com/maps?f=q&amp;hl=en&amp;geocode=&amp;q=48.672306060791,7.55406618118286")</f>
        <v>http://maps.google.com/maps?f=q&amp;hl=en&amp;geocode=&amp;q=48.672306060791,7.55406618118286</v>
      </c>
    </row>
    <row r="13434" spans="1:7" ht="15" x14ac:dyDescent="0.3">
      <c r="A13434">
        <v>30.8568780197972</v>
      </c>
      <c r="B13434">
        <v>-88.146625045091398</v>
      </c>
      <c r="C13434" t="s">
        <v>43</v>
      </c>
      <c r="D13434" t="s">
        <v>7375</v>
      </c>
      <c r="F13434" s="21"/>
      <c r="G13434" s="16" t="str">
        <f>HYPERLINK("http://maps.google.com/maps?f=q&amp;hl=en&amp;geocode=&amp;q=30.8568780197972,-88.1466250450914")</f>
        <v>http://maps.google.com/maps?f=q&amp;hl=en&amp;geocode=&amp;q=30.8568780197972,-88.1466250450914</v>
      </c>
    </row>
    <row r="13435" spans="1:7" ht="15" x14ac:dyDescent="0.3">
      <c r="A13435">
        <v>50.723228454589801</v>
      </c>
      <c r="B13435">
        <v>4.6152939796447798</v>
      </c>
      <c r="C13435" t="s">
        <v>43</v>
      </c>
      <c r="D13435" t="s">
        <v>6327</v>
      </c>
      <c r="F13435" s="21"/>
      <c r="G13435" s="16" t="str">
        <f>HYPERLINK("http://maps.google.com/maps?f=q&amp;hl=en&amp;geocode=&amp;q=50.7232284545898,4.61529397964478")</f>
        <v>http://maps.google.com/maps?f=q&amp;hl=en&amp;geocode=&amp;q=50.7232284545898,4.61529397964478</v>
      </c>
    </row>
    <row r="13436" spans="1:7" ht="15" x14ac:dyDescent="0.3">
      <c r="A13436">
        <v>39.920610000000003</v>
      </c>
      <c r="B13436">
        <v>-75.180289999999999</v>
      </c>
      <c r="C13436" t="s">
        <v>42</v>
      </c>
      <c r="D13436" t="s">
        <v>3891</v>
      </c>
      <c r="F13436" s="21"/>
      <c r="G13436" s="16" t="str">
        <f>HYPERLINK("http://maps.google.com/maps?f=q&amp;hl=en&amp;geocode=&amp;q=39.92061,-75.18029")</f>
        <v>http://maps.google.com/maps?f=q&amp;hl=en&amp;geocode=&amp;q=39.92061,-75.18029</v>
      </c>
    </row>
    <row r="13437" spans="1:7" ht="15" x14ac:dyDescent="0.3">
      <c r="A13437" t="s">
        <v>44</v>
      </c>
      <c r="B13437" t="s">
        <v>44</v>
      </c>
      <c r="C13437" t="s">
        <v>44</v>
      </c>
      <c r="D13437" t="s">
        <v>7376</v>
      </c>
      <c r="F13437" s="21"/>
      <c r="G13437" s="16"/>
    </row>
    <row r="13438" spans="1:7" ht="15" x14ac:dyDescent="0.3">
      <c r="A13438">
        <v>40.138829999999999</v>
      </c>
      <c r="B13438">
        <v>-79.904229999999998</v>
      </c>
      <c r="C13438" t="s">
        <v>43</v>
      </c>
      <c r="D13438" t="s">
        <v>7377</v>
      </c>
      <c r="F13438" s="21"/>
      <c r="G13438" s="16" t="str">
        <f>HYPERLINK("http://maps.google.com/maps?f=q&amp;hl=en&amp;geocode=&amp;q=40.13883,-79.90423")</f>
        <v>http://maps.google.com/maps?f=q&amp;hl=en&amp;geocode=&amp;q=40.13883,-79.90423</v>
      </c>
    </row>
    <row r="13439" spans="1:7" ht="15" x14ac:dyDescent="0.3">
      <c r="A13439" t="s">
        <v>44</v>
      </c>
      <c r="B13439" t="s">
        <v>44</v>
      </c>
      <c r="C13439" t="s">
        <v>44</v>
      </c>
      <c r="D13439" t="s">
        <v>4438</v>
      </c>
      <c r="F13439" s="21"/>
      <c r="G13439" s="16"/>
    </row>
    <row r="13440" spans="1:7" ht="15" x14ac:dyDescent="0.3">
      <c r="A13440" t="s">
        <v>44</v>
      </c>
      <c r="B13440" t="s">
        <v>44</v>
      </c>
      <c r="C13440" t="s">
        <v>44</v>
      </c>
      <c r="D13440" t="s">
        <v>4438</v>
      </c>
      <c r="F13440" s="21"/>
      <c r="G13440" s="16"/>
    </row>
    <row r="13441" spans="1:7" ht="15" x14ac:dyDescent="0.3">
      <c r="A13441" t="s">
        <v>44</v>
      </c>
      <c r="B13441" t="s">
        <v>44</v>
      </c>
      <c r="C13441" t="s">
        <v>44</v>
      </c>
      <c r="D13441" t="s">
        <v>5418</v>
      </c>
      <c r="F13441" s="21"/>
      <c r="G13441" s="16"/>
    </row>
    <row r="13442" spans="1:7" ht="15" x14ac:dyDescent="0.3">
      <c r="A13442">
        <v>40.034669999999998</v>
      </c>
      <c r="B13442">
        <v>-75.183109999999999</v>
      </c>
      <c r="C13442" t="s">
        <v>41</v>
      </c>
      <c r="D13442" t="s">
        <v>3276</v>
      </c>
      <c r="F13442" s="21"/>
      <c r="G13442" s="16" t="str">
        <f>HYPERLINK("http://maps.google.com/maps?f=q&amp;hl=en&amp;geocode=&amp;q=40.03467,-75.18311")</f>
        <v>http://maps.google.com/maps?f=q&amp;hl=en&amp;geocode=&amp;q=40.03467,-75.18311</v>
      </c>
    </row>
    <row r="13443" spans="1:7" ht="15" x14ac:dyDescent="0.3">
      <c r="A13443">
        <v>46.619251251220703</v>
      </c>
      <c r="B13443">
        <v>-63.1351509094238</v>
      </c>
      <c r="C13443" t="s">
        <v>41</v>
      </c>
      <c r="D13443" t="s">
        <v>7374</v>
      </c>
      <c r="F13443" s="21"/>
      <c r="G13443" s="16" t="str">
        <f>HYPERLINK("http://maps.google.com/maps?f=q&amp;hl=en&amp;geocode=&amp;q=46.6192512512207,-63.1351509094238")</f>
        <v>http://maps.google.com/maps?f=q&amp;hl=en&amp;geocode=&amp;q=46.6192512512207,-63.1351509094238</v>
      </c>
    </row>
    <row r="13444" spans="1:7" ht="15" x14ac:dyDescent="0.3">
      <c r="A13444">
        <v>34.437221527099602</v>
      </c>
      <c r="B13444">
        <v>104.030281066895</v>
      </c>
      <c r="C13444" t="s">
        <v>43</v>
      </c>
      <c r="D13444" t="s">
        <v>7378</v>
      </c>
      <c r="F13444" s="21"/>
      <c r="G13444" s="16" t="str">
        <f>HYPERLINK("http://maps.google.com/maps?f=q&amp;hl=en&amp;geocode=&amp;q=34.4372215270996,104.030281066895")</f>
        <v>http://maps.google.com/maps?f=q&amp;hl=en&amp;geocode=&amp;q=34.4372215270996,104.030281066895</v>
      </c>
    </row>
    <row r="13445" spans="1:7" ht="15" x14ac:dyDescent="0.3">
      <c r="A13445">
        <v>54.562068939208999</v>
      </c>
      <c r="B13445">
        <v>-125.10440063476599</v>
      </c>
      <c r="C13445" t="s">
        <v>41</v>
      </c>
      <c r="D13445" t="s">
        <v>5374</v>
      </c>
      <c r="F13445" s="21"/>
      <c r="G13445" s="16" t="str">
        <f>HYPERLINK("http://maps.google.com/maps?f=q&amp;hl=en&amp;geocode=&amp;q=54.562068939209,-125.104400634766")</f>
        <v>http://maps.google.com/maps?f=q&amp;hl=en&amp;geocode=&amp;q=54.562068939209,-125.104400634766</v>
      </c>
    </row>
    <row r="13446" spans="1:7" ht="15" x14ac:dyDescent="0.3">
      <c r="A13446">
        <v>32.036659999999998</v>
      </c>
      <c r="B13446">
        <v>-81.085560000000001</v>
      </c>
      <c r="C13446" t="s">
        <v>43</v>
      </c>
      <c r="D13446" t="s">
        <v>7379</v>
      </c>
      <c r="F13446" s="21"/>
      <c r="G13446" s="16" t="str">
        <f>HYPERLINK("http://maps.google.com/maps?f=q&amp;hl=en&amp;geocode=&amp;q=32.03666,-81.08556")</f>
        <v>http://maps.google.com/maps?f=q&amp;hl=en&amp;geocode=&amp;q=32.03666,-81.08556</v>
      </c>
    </row>
    <row r="13447" spans="1:7" ht="15" x14ac:dyDescent="0.3">
      <c r="A13447">
        <v>37.6297531631499</v>
      </c>
      <c r="B13447">
        <v>-80.986444823658204</v>
      </c>
      <c r="C13447" t="s">
        <v>41</v>
      </c>
      <c r="D13447" t="s">
        <v>4804</v>
      </c>
      <c r="F13447" s="21"/>
      <c r="G13447" s="16" t="str">
        <f>HYPERLINK("http://maps.google.com/maps?f=q&amp;hl=en&amp;geocode=&amp;q=37.6297531631499,-80.9864448236582")</f>
        <v>http://maps.google.com/maps?f=q&amp;hl=en&amp;geocode=&amp;q=37.6297531631499,-80.9864448236582</v>
      </c>
    </row>
    <row r="13448" spans="1:7" ht="15" x14ac:dyDescent="0.3">
      <c r="A13448">
        <v>38.20279</v>
      </c>
      <c r="B13448">
        <v>-84.580259999999996</v>
      </c>
      <c r="C13448" t="s">
        <v>41</v>
      </c>
      <c r="D13448" t="s">
        <v>7380</v>
      </c>
      <c r="F13448" s="21"/>
      <c r="G13448" s="16" t="str">
        <f>HYPERLINK("http://maps.google.com/maps?f=q&amp;hl=en&amp;geocode=&amp;q=38.20279,-84.58026")</f>
        <v>http://maps.google.com/maps?f=q&amp;hl=en&amp;geocode=&amp;q=38.20279,-84.58026</v>
      </c>
    </row>
    <row r="13449" spans="1:7" ht="15" x14ac:dyDescent="0.3">
      <c r="A13449" t="s">
        <v>44</v>
      </c>
      <c r="B13449" t="s">
        <v>44</v>
      </c>
      <c r="C13449" t="s">
        <v>44</v>
      </c>
      <c r="D13449" t="s">
        <v>7075</v>
      </c>
      <c r="F13449" s="21"/>
      <c r="G13449" s="16"/>
    </row>
    <row r="13450" spans="1:7" ht="15" x14ac:dyDescent="0.3">
      <c r="A13450" t="s">
        <v>44</v>
      </c>
      <c r="B13450" t="s">
        <v>44</v>
      </c>
      <c r="C13450" t="s">
        <v>44</v>
      </c>
      <c r="D13450" t="s">
        <v>7075</v>
      </c>
      <c r="F13450" s="21"/>
      <c r="G13450" s="16"/>
    </row>
    <row r="13451" spans="1:7" ht="15" x14ac:dyDescent="0.3">
      <c r="A13451">
        <v>39.902050018310497</v>
      </c>
      <c r="B13451">
        <v>-75.1798095703125</v>
      </c>
      <c r="C13451" t="s">
        <v>41</v>
      </c>
      <c r="D13451" t="s">
        <v>1195</v>
      </c>
      <c r="F13451" s="21"/>
      <c r="G13451" s="16" t="str">
        <f>HYPERLINK("http://maps.google.com/maps?f=q&amp;hl=en&amp;geocode=&amp;q=39.9020500183105,-75.1798095703125")</f>
        <v>http://maps.google.com/maps?f=q&amp;hl=en&amp;geocode=&amp;q=39.9020500183105,-75.1798095703125</v>
      </c>
    </row>
    <row r="13452" spans="1:7" ht="15" x14ac:dyDescent="0.3">
      <c r="A13452">
        <v>39.902050018310497</v>
      </c>
      <c r="B13452">
        <v>-75.1798095703125</v>
      </c>
      <c r="C13452" t="s">
        <v>41</v>
      </c>
      <c r="D13452" t="s">
        <v>1195</v>
      </c>
      <c r="F13452" s="21"/>
      <c r="G13452" s="16" t="str">
        <f>HYPERLINK("http://maps.google.com/maps?f=q&amp;hl=en&amp;geocode=&amp;q=39.9020500183105,-75.1798095703125")</f>
        <v>http://maps.google.com/maps?f=q&amp;hl=en&amp;geocode=&amp;q=39.9020500183105,-75.1798095703125</v>
      </c>
    </row>
    <row r="13453" spans="1:7" ht="15" x14ac:dyDescent="0.3">
      <c r="A13453">
        <v>39.902050018310497</v>
      </c>
      <c r="B13453">
        <v>-75.1798095703125</v>
      </c>
      <c r="C13453" t="s">
        <v>41</v>
      </c>
      <c r="D13453" t="s">
        <v>1195</v>
      </c>
      <c r="F13453" s="21"/>
      <c r="G13453" s="16" t="str">
        <f>HYPERLINK("http://maps.google.com/maps?f=q&amp;hl=en&amp;geocode=&amp;q=39.9020500183105,-75.1798095703125")</f>
        <v>http://maps.google.com/maps?f=q&amp;hl=en&amp;geocode=&amp;q=39.9020500183105,-75.1798095703125</v>
      </c>
    </row>
    <row r="13454" spans="1:7" ht="15" x14ac:dyDescent="0.3">
      <c r="A13454">
        <v>39.902050018310497</v>
      </c>
      <c r="B13454">
        <v>-75.1798095703125</v>
      </c>
      <c r="C13454" t="s">
        <v>41</v>
      </c>
      <c r="D13454" t="s">
        <v>1195</v>
      </c>
      <c r="F13454" s="21"/>
      <c r="G13454" s="16" t="str">
        <f>HYPERLINK("http://maps.google.com/maps?f=q&amp;hl=en&amp;geocode=&amp;q=39.9020500183105,-75.1798095703125")</f>
        <v>http://maps.google.com/maps?f=q&amp;hl=en&amp;geocode=&amp;q=39.9020500183105,-75.1798095703125</v>
      </c>
    </row>
    <row r="13455" spans="1:7" ht="15" x14ac:dyDescent="0.3">
      <c r="A13455">
        <v>39.902050018310497</v>
      </c>
      <c r="B13455">
        <v>-75.1798095703125</v>
      </c>
      <c r="C13455" t="s">
        <v>41</v>
      </c>
      <c r="D13455" t="s">
        <v>1195</v>
      </c>
      <c r="F13455" s="21"/>
      <c r="G13455" s="16" t="str">
        <f>HYPERLINK("http://maps.google.com/maps?f=q&amp;hl=en&amp;geocode=&amp;q=39.9020500183105,-75.1798095703125")</f>
        <v>http://maps.google.com/maps?f=q&amp;hl=en&amp;geocode=&amp;q=39.9020500183105,-75.1798095703125</v>
      </c>
    </row>
    <row r="13456" spans="1:7" ht="15" x14ac:dyDescent="0.3">
      <c r="A13456">
        <v>39.902050018310497</v>
      </c>
      <c r="B13456">
        <v>-75.1798095703125</v>
      </c>
      <c r="C13456" t="s">
        <v>41</v>
      </c>
      <c r="D13456" t="s">
        <v>1195</v>
      </c>
      <c r="F13456" s="21"/>
      <c r="G13456" s="16" t="str">
        <f>HYPERLINK("http://maps.google.com/maps?f=q&amp;hl=en&amp;geocode=&amp;q=39.9020500183105,-75.1798095703125")</f>
        <v>http://maps.google.com/maps?f=q&amp;hl=en&amp;geocode=&amp;q=39.9020500183105,-75.1798095703125</v>
      </c>
    </row>
    <row r="13457" spans="1:7" ht="15" x14ac:dyDescent="0.3">
      <c r="A13457">
        <v>39.902050018310497</v>
      </c>
      <c r="B13457">
        <v>-75.1798095703125</v>
      </c>
      <c r="C13457" t="s">
        <v>41</v>
      </c>
      <c r="D13457" t="s">
        <v>1195</v>
      </c>
      <c r="F13457" s="21"/>
      <c r="G13457" s="16" t="str">
        <f>HYPERLINK("http://maps.google.com/maps?f=q&amp;hl=en&amp;geocode=&amp;q=39.9020500183105,-75.1798095703125")</f>
        <v>http://maps.google.com/maps?f=q&amp;hl=en&amp;geocode=&amp;q=39.9020500183105,-75.1798095703125</v>
      </c>
    </row>
    <row r="13458" spans="1:7" ht="15" x14ac:dyDescent="0.3">
      <c r="A13458">
        <v>39.902050018310497</v>
      </c>
      <c r="B13458">
        <v>-75.1798095703125</v>
      </c>
      <c r="C13458" t="s">
        <v>41</v>
      </c>
      <c r="D13458" t="s">
        <v>1195</v>
      </c>
      <c r="F13458" s="21"/>
      <c r="G13458" s="16" t="str">
        <f>HYPERLINK("http://maps.google.com/maps?f=q&amp;hl=en&amp;geocode=&amp;q=39.9020500183105,-75.1798095703125")</f>
        <v>http://maps.google.com/maps?f=q&amp;hl=en&amp;geocode=&amp;q=39.9020500183105,-75.1798095703125</v>
      </c>
    </row>
    <row r="13459" spans="1:7" ht="15" x14ac:dyDescent="0.3">
      <c r="A13459">
        <v>39.902050018310497</v>
      </c>
      <c r="B13459">
        <v>-75.1798095703125</v>
      </c>
      <c r="C13459" t="s">
        <v>41</v>
      </c>
      <c r="D13459" t="s">
        <v>1195</v>
      </c>
      <c r="F13459" s="21"/>
      <c r="G13459" s="16" t="str">
        <f>HYPERLINK("http://maps.google.com/maps?f=q&amp;hl=en&amp;geocode=&amp;q=39.9020500183105,-75.1798095703125")</f>
        <v>http://maps.google.com/maps?f=q&amp;hl=en&amp;geocode=&amp;q=39.9020500183105,-75.1798095703125</v>
      </c>
    </row>
    <row r="13460" spans="1:7" ht="15" x14ac:dyDescent="0.3">
      <c r="A13460">
        <v>39.902050018310497</v>
      </c>
      <c r="B13460">
        <v>-75.1798095703125</v>
      </c>
      <c r="C13460" t="s">
        <v>41</v>
      </c>
      <c r="D13460" t="s">
        <v>1195</v>
      </c>
      <c r="F13460" s="21"/>
      <c r="G13460" s="16" t="str">
        <f>HYPERLINK("http://maps.google.com/maps?f=q&amp;hl=en&amp;geocode=&amp;q=39.9020500183105,-75.1798095703125")</f>
        <v>http://maps.google.com/maps?f=q&amp;hl=en&amp;geocode=&amp;q=39.9020500183105,-75.1798095703125</v>
      </c>
    </row>
    <row r="13461" spans="1:7" ht="15" x14ac:dyDescent="0.3">
      <c r="A13461">
        <v>39.902050018310497</v>
      </c>
      <c r="B13461">
        <v>-75.1798095703125</v>
      </c>
      <c r="C13461" t="s">
        <v>41</v>
      </c>
      <c r="D13461" t="s">
        <v>1195</v>
      </c>
      <c r="F13461" s="21"/>
      <c r="G13461" s="16" t="str">
        <f>HYPERLINK("http://maps.google.com/maps?f=q&amp;hl=en&amp;geocode=&amp;q=39.9020500183105,-75.1798095703125")</f>
        <v>http://maps.google.com/maps?f=q&amp;hl=en&amp;geocode=&amp;q=39.9020500183105,-75.1798095703125</v>
      </c>
    </row>
    <row r="13462" spans="1:7" ht="15" x14ac:dyDescent="0.3">
      <c r="A13462">
        <v>39.902050018310497</v>
      </c>
      <c r="B13462">
        <v>-75.1798095703125</v>
      </c>
      <c r="C13462" t="s">
        <v>41</v>
      </c>
      <c r="D13462" t="s">
        <v>1195</v>
      </c>
      <c r="F13462" s="21"/>
      <c r="G13462" s="16" t="str">
        <f>HYPERLINK("http://maps.google.com/maps?f=q&amp;hl=en&amp;geocode=&amp;q=39.9020500183105,-75.1798095703125")</f>
        <v>http://maps.google.com/maps?f=q&amp;hl=en&amp;geocode=&amp;q=39.9020500183105,-75.1798095703125</v>
      </c>
    </row>
    <row r="13463" spans="1:7" ht="15" x14ac:dyDescent="0.3">
      <c r="A13463">
        <v>39.902050018310497</v>
      </c>
      <c r="B13463">
        <v>-75.1798095703125</v>
      </c>
      <c r="C13463" t="s">
        <v>41</v>
      </c>
      <c r="D13463" t="s">
        <v>1195</v>
      </c>
      <c r="F13463" s="21"/>
      <c r="G13463" s="16" t="str">
        <f>HYPERLINK("http://maps.google.com/maps?f=q&amp;hl=en&amp;geocode=&amp;q=39.9020500183105,-75.1798095703125")</f>
        <v>http://maps.google.com/maps?f=q&amp;hl=en&amp;geocode=&amp;q=39.9020500183105,-75.1798095703125</v>
      </c>
    </row>
    <row r="13464" spans="1:7" ht="15" x14ac:dyDescent="0.3">
      <c r="A13464">
        <v>33.550640000000001</v>
      </c>
      <c r="B13464">
        <v>-101.81838999999999</v>
      </c>
      <c r="C13464" t="s">
        <v>42</v>
      </c>
      <c r="D13464" t="s">
        <v>7381</v>
      </c>
      <c r="F13464" s="21"/>
      <c r="G13464" s="16" t="str">
        <f>HYPERLINK("http://maps.google.com/maps?f=q&amp;hl=en&amp;geocode=&amp;q=33.55064,-101.81839")</f>
        <v>http://maps.google.com/maps?f=q&amp;hl=en&amp;geocode=&amp;q=33.55064,-101.81839</v>
      </c>
    </row>
    <row r="13465" spans="1:7" ht="15" x14ac:dyDescent="0.3">
      <c r="A13465">
        <v>-35.394449999999999</v>
      </c>
      <c r="B13465">
        <v>138.46156999999999</v>
      </c>
      <c r="C13465" t="s">
        <v>41</v>
      </c>
      <c r="D13465" t="s">
        <v>7382</v>
      </c>
      <c r="F13465" s="21"/>
      <c r="G13465" s="16" t="str">
        <f>HYPERLINK("http://maps.google.com/maps?f=q&amp;hl=en&amp;geocode=&amp;q=-35.39445,138.46157")</f>
        <v>http://maps.google.com/maps?f=q&amp;hl=en&amp;geocode=&amp;q=-35.39445,138.46157</v>
      </c>
    </row>
    <row r="13466" spans="1:7" ht="15" x14ac:dyDescent="0.3">
      <c r="A13466">
        <v>43.154037341056203</v>
      </c>
      <c r="B13466">
        <v>-78.920618152819003</v>
      </c>
      <c r="C13466" t="s">
        <v>41</v>
      </c>
      <c r="D13466" t="s">
        <v>7383</v>
      </c>
      <c r="F13466" s="21"/>
      <c r="G13466" s="16" t="str">
        <f>HYPERLINK("http://maps.google.com/maps?f=q&amp;hl=en&amp;geocode=&amp;q=43.1540373410562,-78.920618152819")</f>
        <v>http://maps.google.com/maps?f=q&amp;hl=en&amp;geocode=&amp;q=43.1540373410562,-78.920618152819</v>
      </c>
    </row>
    <row r="13467" spans="1:7" ht="15" x14ac:dyDescent="0.3">
      <c r="A13467">
        <v>32.642203514985603</v>
      </c>
      <c r="B13467">
        <v>-97.030505738964806</v>
      </c>
      <c r="C13467" t="s">
        <v>41</v>
      </c>
      <c r="D13467" t="s">
        <v>6040</v>
      </c>
      <c r="F13467" s="21"/>
      <c r="G13467" s="16" t="str">
        <f>HYPERLINK("http://maps.google.com/maps?f=q&amp;hl=en&amp;geocode=&amp;q=32.6422035149856,-97.0305057389648")</f>
        <v>http://maps.google.com/maps?f=q&amp;hl=en&amp;geocode=&amp;q=32.6422035149856,-97.0305057389648</v>
      </c>
    </row>
    <row r="13468" spans="1:7" ht="15" x14ac:dyDescent="0.3">
      <c r="A13468">
        <v>41.780460357666001</v>
      </c>
      <c r="B13468">
        <v>-87.601348876953097</v>
      </c>
      <c r="C13468" t="s">
        <v>41</v>
      </c>
      <c r="D13468" t="s">
        <v>7384</v>
      </c>
      <c r="F13468" s="21"/>
      <c r="G13468" s="16" t="str">
        <f>HYPERLINK("http://maps.google.com/maps?f=q&amp;hl=en&amp;geocode=&amp;q=41.780460357666,-87.6013488769531")</f>
        <v>http://maps.google.com/maps?f=q&amp;hl=en&amp;geocode=&amp;q=41.780460357666,-87.6013488769531</v>
      </c>
    </row>
    <row r="13469" spans="1:7" ht="15" x14ac:dyDescent="0.3">
      <c r="A13469" t="s">
        <v>44</v>
      </c>
      <c r="B13469" t="s">
        <v>44</v>
      </c>
      <c r="C13469" t="s">
        <v>44</v>
      </c>
      <c r="D13469" t="s">
        <v>7385</v>
      </c>
      <c r="F13469" s="21"/>
      <c r="G13469" s="16"/>
    </row>
    <row r="13470" spans="1:7" ht="15" x14ac:dyDescent="0.3">
      <c r="A13470">
        <v>40.040443352264099</v>
      </c>
      <c r="B13470">
        <v>-75.181967878970994</v>
      </c>
      <c r="C13470" t="s">
        <v>41</v>
      </c>
      <c r="D13470" t="s">
        <v>4433</v>
      </c>
      <c r="F13470" s="21"/>
      <c r="G13470" s="16" t="str">
        <f>HYPERLINK("http://maps.google.com/maps?f=q&amp;hl=en&amp;geocode=&amp;q=40.0404433522641,-75.181967878971")</f>
        <v>http://maps.google.com/maps?f=q&amp;hl=en&amp;geocode=&amp;q=40.0404433522641,-75.181967878971</v>
      </c>
    </row>
    <row r="13471" spans="1:7" ht="15" x14ac:dyDescent="0.3">
      <c r="A13471">
        <v>40.17013</v>
      </c>
      <c r="B13471">
        <v>-74.019440000000003</v>
      </c>
      <c r="C13471" t="s">
        <v>43</v>
      </c>
      <c r="D13471" t="s">
        <v>7386</v>
      </c>
      <c r="F13471" s="21"/>
      <c r="G13471" s="16" t="str">
        <f>HYPERLINK("http://maps.google.com/maps?f=q&amp;hl=en&amp;geocode=&amp;q=40.17013,-74.01944")</f>
        <v>http://maps.google.com/maps?f=q&amp;hl=en&amp;geocode=&amp;q=40.17013,-74.01944</v>
      </c>
    </row>
    <row r="13472" spans="1:7" ht="15" x14ac:dyDescent="0.3">
      <c r="A13472">
        <v>39.179064211641801</v>
      </c>
      <c r="B13472">
        <v>-76.749639273633505</v>
      </c>
      <c r="C13472" t="s">
        <v>41</v>
      </c>
      <c r="D13472" t="s">
        <v>7387</v>
      </c>
      <c r="F13472" s="21"/>
      <c r="G13472" s="16" t="str">
        <f>HYPERLINK("http://maps.google.com/maps?f=q&amp;hl=en&amp;geocode=&amp;q=39.1790642116418,-76.7496392736335")</f>
        <v>http://maps.google.com/maps?f=q&amp;hl=en&amp;geocode=&amp;q=39.1790642116418,-76.7496392736335</v>
      </c>
    </row>
    <row r="13473" spans="1:7" ht="15" x14ac:dyDescent="0.3">
      <c r="A13473">
        <v>-26.188575744628899</v>
      </c>
      <c r="B13473">
        <v>27.929327011108398</v>
      </c>
      <c r="C13473" t="s">
        <v>43</v>
      </c>
      <c r="D13473" t="s">
        <v>7388</v>
      </c>
      <c r="F13473" s="21"/>
      <c r="G13473" s="16" t="str">
        <f>HYPERLINK("http://maps.google.com/maps?f=q&amp;hl=en&amp;geocode=&amp;q=-26.1885757446289,27.9293270111084")</f>
        <v>http://maps.google.com/maps?f=q&amp;hl=en&amp;geocode=&amp;q=-26.1885757446289,27.9293270111084</v>
      </c>
    </row>
    <row r="13474" spans="1:7" ht="15" x14ac:dyDescent="0.3">
      <c r="A13474">
        <v>41.336897445124798</v>
      </c>
      <c r="B13474">
        <v>-91.6001984459689</v>
      </c>
      <c r="C13474" t="s">
        <v>41</v>
      </c>
      <c r="D13474" t="s">
        <v>7389</v>
      </c>
      <c r="F13474" s="21"/>
      <c r="G13474" s="16" t="str">
        <f>HYPERLINK("http://maps.google.com/maps?f=q&amp;hl=en&amp;geocode=&amp;q=41.3368974451248,-91.6001984459689")</f>
        <v>http://maps.google.com/maps?f=q&amp;hl=en&amp;geocode=&amp;q=41.3368974451248,-91.6001984459689</v>
      </c>
    </row>
    <row r="13475" spans="1:7" ht="15" x14ac:dyDescent="0.3">
      <c r="A13475">
        <v>36.093150000000001</v>
      </c>
      <c r="B13475">
        <v>-78.968919999999997</v>
      </c>
      <c r="C13475" t="s">
        <v>42</v>
      </c>
      <c r="D13475" t="s">
        <v>6844</v>
      </c>
      <c r="F13475" s="21"/>
      <c r="G13475" s="16" t="str">
        <f>HYPERLINK("http://maps.google.com/maps?f=q&amp;hl=en&amp;geocode=&amp;q=36.09315,-78.96892")</f>
        <v>http://maps.google.com/maps?f=q&amp;hl=en&amp;geocode=&amp;q=36.09315,-78.96892</v>
      </c>
    </row>
    <row r="13476" spans="1:7" ht="15" x14ac:dyDescent="0.3">
      <c r="A13476">
        <v>39.392200000000003</v>
      </c>
      <c r="B13476">
        <v>-83.479410000000001</v>
      </c>
      <c r="C13476" t="s">
        <v>43</v>
      </c>
      <c r="D13476" t="s">
        <v>7390</v>
      </c>
      <c r="F13476" s="21"/>
      <c r="G13476" s="16" t="str">
        <f>HYPERLINK("http://maps.google.com/maps?f=q&amp;hl=en&amp;geocode=&amp;q=39.3922,-83.47941")</f>
        <v>http://maps.google.com/maps?f=q&amp;hl=en&amp;geocode=&amp;q=39.3922,-83.47941</v>
      </c>
    </row>
    <row r="13477" spans="1:7" ht="15" x14ac:dyDescent="0.3">
      <c r="A13477">
        <v>36.093150000000001</v>
      </c>
      <c r="B13477">
        <v>-78.968919999999997</v>
      </c>
      <c r="C13477" t="s">
        <v>42</v>
      </c>
      <c r="D13477" t="s">
        <v>6808</v>
      </c>
      <c r="F13477" s="21"/>
      <c r="G13477" s="16" t="str">
        <f>HYPERLINK("http://maps.google.com/maps?f=q&amp;hl=en&amp;geocode=&amp;q=36.09315,-78.96892")</f>
        <v>http://maps.google.com/maps?f=q&amp;hl=en&amp;geocode=&amp;q=36.09315,-78.96892</v>
      </c>
    </row>
    <row r="13478" spans="1:7" ht="15" x14ac:dyDescent="0.3">
      <c r="A13478">
        <v>31.028175431097299</v>
      </c>
      <c r="B13478">
        <v>-87.523871005345498</v>
      </c>
      <c r="C13478" t="s">
        <v>41</v>
      </c>
      <c r="D13478" t="s">
        <v>7391</v>
      </c>
      <c r="F13478" s="21"/>
      <c r="G13478" s="16" t="str">
        <f>HYPERLINK("http://maps.google.com/maps?f=q&amp;hl=en&amp;geocode=&amp;q=31.0281754310973,-87.5238710053455")</f>
        <v>http://maps.google.com/maps?f=q&amp;hl=en&amp;geocode=&amp;q=31.0281754310973,-87.5238710053455</v>
      </c>
    </row>
    <row r="13479" spans="1:7" ht="15" x14ac:dyDescent="0.3">
      <c r="A13479" t="s">
        <v>44</v>
      </c>
      <c r="B13479" t="s">
        <v>44</v>
      </c>
      <c r="C13479" t="s">
        <v>44</v>
      </c>
      <c r="D13479" t="s">
        <v>7350</v>
      </c>
      <c r="F13479" s="21"/>
      <c r="G13479" s="16"/>
    </row>
    <row r="13480" spans="1:7" ht="15" x14ac:dyDescent="0.3">
      <c r="A13480">
        <v>33.437109245599899</v>
      </c>
      <c r="B13480">
        <v>-81.993344154935599</v>
      </c>
      <c r="C13480" t="s">
        <v>41</v>
      </c>
      <c r="D13480" t="s">
        <v>7392</v>
      </c>
      <c r="F13480" s="21"/>
      <c r="G13480" s="16" t="str">
        <f>HYPERLINK("http://maps.google.com/maps?f=q&amp;hl=en&amp;geocode=&amp;q=33.4371092455999,-81.9933441549356")</f>
        <v>http://maps.google.com/maps?f=q&amp;hl=en&amp;geocode=&amp;q=33.4371092455999,-81.9933441549356</v>
      </c>
    </row>
    <row r="13481" spans="1:7" ht="15" x14ac:dyDescent="0.3">
      <c r="A13481">
        <v>37.859785696689499</v>
      </c>
      <c r="B13481">
        <v>-82.805018451891399</v>
      </c>
      <c r="C13481" t="s">
        <v>41</v>
      </c>
      <c r="D13481" t="s">
        <v>6806</v>
      </c>
      <c r="F13481" s="21"/>
      <c r="G13481" s="16" t="str">
        <f>HYPERLINK("http://maps.google.com/maps?f=q&amp;hl=en&amp;geocode=&amp;q=37.8597856966895,-82.8050184518914")</f>
        <v>http://maps.google.com/maps?f=q&amp;hl=en&amp;geocode=&amp;q=37.8597856966895,-82.8050184518914</v>
      </c>
    </row>
    <row r="13482" spans="1:7" ht="15" x14ac:dyDescent="0.3">
      <c r="A13482">
        <v>35.402268558320401</v>
      </c>
      <c r="B13482">
        <v>-97.761316696542707</v>
      </c>
      <c r="C13482" t="s">
        <v>41</v>
      </c>
      <c r="D13482" t="s">
        <v>6924</v>
      </c>
      <c r="F13482" s="21"/>
      <c r="G13482" s="16" t="str">
        <f>HYPERLINK("http://maps.google.com/maps?f=q&amp;hl=en&amp;geocode=&amp;q=35.4022685583204,-97.7613166965427")</f>
        <v>http://maps.google.com/maps?f=q&amp;hl=en&amp;geocode=&amp;q=35.4022685583204,-97.7613166965427</v>
      </c>
    </row>
    <row r="13483" spans="1:7" ht="15" x14ac:dyDescent="0.3">
      <c r="A13483">
        <v>-26.034427642822301</v>
      </c>
      <c r="B13483">
        <v>28.5431098937988</v>
      </c>
      <c r="C13483" t="s">
        <v>43</v>
      </c>
      <c r="D13483" t="s">
        <v>6148</v>
      </c>
      <c r="F13483" s="21"/>
      <c r="G13483" s="16" t="str">
        <f>HYPERLINK("http://maps.google.com/maps?f=q&amp;hl=en&amp;geocode=&amp;q=-26.0344276428223,28.5431098937988")</f>
        <v>http://maps.google.com/maps?f=q&amp;hl=en&amp;geocode=&amp;q=-26.0344276428223,28.5431098937988</v>
      </c>
    </row>
    <row r="13484" spans="1:7" ht="15" x14ac:dyDescent="0.3">
      <c r="A13484">
        <v>35.402267280170399</v>
      </c>
      <c r="B13484">
        <v>-97.761408289361995</v>
      </c>
      <c r="C13484" t="s">
        <v>41</v>
      </c>
      <c r="D13484" t="s">
        <v>6960</v>
      </c>
      <c r="F13484" s="21"/>
      <c r="G13484" s="16" t="str">
        <f>HYPERLINK("http://maps.google.com/maps?f=q&amp;hl=en&amp;geocode=&amp;q=35.4022672801704,-97.761408289362")</f>
        <v>http://maps.google.com/maps?f=q&amp;hl=en&amp;geocode=&amp;q=35.4022672801704,-97.761408289362</v>
      </c>
    </row>
    <row r="13485" spans="1:7" ht="15" x14ac:dyDescent="0.3">
      <c r="A13485" t="s">
        <v>44</v>
      </c>
      <c r="B13485" t="s">
        <v>44</v>
      </c>
      <c r="C13485" t="s">
        <v>44</v>
      </c>
      <c r="D13485" t="s">
        <v>7393</v>
      </c>
      <c r="F13485" s="21"/>
      <c r="G13485" s="16"/>
    </row>
    <row r="13486" spans="1:7" ht="15" x14ac:dyDescent="0.3">
      <c r="A13486">
        <v>37.860477293610998</v>
      </c>
      <c r="B13486">
        <v>-82.804754194483493</v>
      </c>
      <c r="C13486" t="s">
        <v>41</v>
      </c>
      <c r="D13486" t="s">
        <v>6849</v>
      </c>
      <c r="F13486" s="21"/>
      <c r="G13486" s="16" t="str">
        <f>HYPERLINK("http://maps.google.com/maps?f=q&amp;hl=en&amp;geocode=&amp;q=37.860477293611,-82.8047541944835")</f>
        <v>http://maps.google.com/maps?f=q&amp;hl=en&amp;geocode=&amp;q=37.860477293611,-82.8047541944835</v>
      </c>
    </row>
    <row r="13487" spans="1:7" ht="15" x14ac:dyDescent="0.3">
      <c r="A13487">
        <v>32.716340000000002</v>
      </c>
      <c r="B13487">
        <v>-97.431290000000004</v>
      </c>
      <c r="C13487" t="s">
        <v>41</v>
      </c>
      <c r="D13487" t="s">
        <v>7394</v>
      </c>
      <c r="F13487" s="21"/>
      <c r="G13487" s="16" t="str">
        <f>HYPERLINK("http://maps.google.com/maps?f=q&amp;hl=en&amp;geocode=&amp;q=32.71634,-97.43129")</f>
        <v>http://maps.google.com/maps?f=q&amp;hl=en&amp;geocode=&amp;q=32.71634,-97.43129</v>
      </c>
    </row>
    <row r="13488" spans="1:7" ht="15" x14ac:dyDescent="0.3">
      <c r="A13488">
        <v>35.260009765625</v>
      </c>
      <c r="B13488">
        <v>-80.425880432128906</v>
      </c>
      <c r="C13488" t="s">
        <v>43</v>
      </c>
      <c r="D13488" t="s">
        <v>7395</v>
      </c>
      <c r="F13488" s="21"/>
      <c r="G13488" s="16" t="str">
        <f>HYPERLINK("http://maps.google.com/maps?f=q&amp;hl=en&amp;geocode=&amp;q=35.260009765625,-80.4258804321289")</f>
        <v>http://maps.google.com/maps?f=q&amp;hl=en&amp;geocode=&amp;q=35.260009765625,-80.4258804321289</v>
      </c>
    </row>
    <row r="13489" spans="1:7" ht="15" x14ac:dyDescent="0.3">
      <c r="A13489">
        <v>42.879562377929702</v>
      </c>
      <c r="B13489">
        <v>-114.00649261474599</v>
      </c>
      <c r="C13489" t="s">
        <v>43</v>
      </c>
      <c r="D13489" t="s">
        <v>7396</v>
      </c>
      <c r="F13489" s="21"/>
      <c r="G13489" s="16" t="str">
        <f>HYPERLINK("http://maps.google.com/maps?f=q&amp;hl=en&amp;geocode=&amp;q=42.8795623779297,-114.006492614746")</f>
        <v>http://maps.google.com/maps?f=q&amp;hl=en&amp;geocode=&amp;q=42.8795623779297,-114.006492614746</v>
      </c>
    </row>
    <row r="13490" spans="1:7" ht="15" x14ac:dyDescent="0.3">
      <c r="A13490">
        <v>40.735113141989203</v>
      </c>
      <c r="B13490">
        <v>-111.86228984245101</v>
      </c>
      <c r="C13490" t="s">
        <v>41</v>
      </c>
      <c r="D13490" t="s">
        <v>7397</v>
      </c>
      <c r="F13490" s="21"/>
      <c r="G13490" s="16" t="str">
        <f>HYPERLINK("http://maps.google.com/maps?f=q&amp;hl=en&amp;geocode=&amp;q=40.7351131419892,-111.862289842451")</f>
        <v>http://maps.google.com/maps?f=q&amp;hl=en&amp;geocode=&amp;q=40.7351131419892,-111.862289842451</v>
      </c>
    </row>
    <row r="13491" spans="1:7" ht="15" x14ac:dyDescent="0.3">
      <c r="A13491">
        <v>30.143928261320799</v>
      </c>
      <c r="B13491">
        <v>-97.768231152428697</v>
      </c>
      <c r="C13491" t="s">
        <v>41</v>
      </c>
      <c r="D13491" t="s">
        <v>7398</v>
      </c>
      <c r="F13491" s="21"/>
      <c r="G13491" s="16" t="str">
        <f>HYPERLINK("http://maps.google.com/maps?f=q&amp;hl=en&amp;geocode=&amp;q=30.1439282613208,-97.7682311524287")</f>
        <v>http://maps.google.com/maps?f=q&amp;hl=en&amp;geocode=&amp;q=30.1439282613208,-97.7682311524287</v>
      </c>
    </row>
    <row r="13492" spans="1:7" ht="15" x14ac:dyDescent="0.3">
      <c r="A13492">
        <v>-33.138832092285199</v>
      </c>
      <c r="B13492">
        <v>137.29994201660199</v>
      </c>
      <c r="C13492" t="s">
        <v>41</v>
      </c>
      <c r="D13492" t="s">
        <v>7399</v>
      </c>
      <c r="F13492" s="21"/>
      <c r="G13492" s="16" t="str">
        <f>HYPERLINK("http://maps.google.com/maps?f=q&amp;hl=en&amp;geocode=&amp;q=-33.1388320922852,137.299942016602")</f>
        <v>http://maps.google.com/maps?f=q&amp;hl=en&amp;geocode=&amp;q=-33.1388320922852,137.299942016602</v>
      </c>
    </row>
    <row r="13493" spans="1:7" ht="15" x14ac:dyDescent="0.3">
      <c r="A13493">
        <v>46.563236236572301</v>
      </c>
      <c r="B13493">
        <v>6.6012859344482404</v>
      </c>
      <c r="C13493" t="s">
        <v>43</v>
      </c>
      <c r="D13493" t="s">
        <v>7400</v>
      </c>
      <c r="F13493" s="21"/>
      <c r="G13493" s="16" t="str">
        <f>HYPERLINK("http://maps.google.com/maps?f=q&amp;hl=en&amp;geocode=&amp;q=46.5632362365723,6.60128593444824")</f>
        <v>http://maps.google.com/maps?f=q&amp;hl=en&amp;geocode=&amp;q=46.5632362365723,6.60128593444824</v>
      </c>
    </row>
    <row r="13494" spans="1:7" ht="15" x14ac:dyDescent="0.3">
      <c r="A13494" t="s">
        <v>44</v>
      </c>
      <c r="B13494" t="s">
        <v>44</v>
      </c>
      <c r="C13494" t="s">
        <v>44</v>
      </c>
      <c r="D13494" t="s">
        <v>1373</v>
      </c>
      <c r="F13494" s="21"/>
      <c r="G13494" s="16"/>
    </row>
    <row r="13495" spans="1:7" ht="15" x14ac:dyDescent="0.3">
      <c r="A13495" t="s">
        <v>44</v>
      </c>
      <c r="B13495" t="s">
        <v>44</v>
      </c>
      <c r="C13495" t="s">
        <v>44</v>
      </c>
      <c r="D13495" t="s">
        <v>1373</v>
      </c>
      <c r="F13495" s="21"/>
      <c r="G13495" s="16"/>
    </row>
    <row r="13496" spans="1:7" ht="15" x14ac:dyDescent="0.3">
      <c r="A13496" t="s">
        <v>44</v>
      </c>
      <c r="B13496" t="s">
        <v>44</v>
      </c>
      <c r="C13496" t="s">
        <v>44</v>
      </c>
      <c r="D13496" t="s">
        <v>1373</v>
      </c>
      <c r="F13496" s="21"/>
      <c r="G13496" s="16"/>
    </row>
    <row r="13497" spans="1:7" ht="15" x14ac:dyDescent="0.3">
      <c r="A13497">
        <v>30.143928261320799</v>
      </c>
      <c r="B13497">
        <v>-97.768231152428697</v>
      </c>
      <c r="C13497" t="s">
        <v>41</v>
      </c>
      <c r="D13497" t="s">
        <v>7398</v>
      </c>
      <c r="F13497" s="21"/>
      <c r="G13497" s="16" t="str">
        <f>HYPERLINK("http://maps.google.com/maps?f=q&amp;hl=en&amp;geocode=&amp;q=30.1439282613208,-97.7682311524287")</f>
        <v>http://maps.google.com/maps?f=q&amp;hl=en&amp;geocode=&amp;q=30.1439282613208,-97.7682311524287</v>
      </c>
    </row>
    <row r="13498" spans="1:7" ht="15" x14ac:dyDescent="0.3">
      <c r="A13498">
        <v>39.920110000000001</v>
      </c>
      <c r="B13498">
        <v>-75.177779999999998</v>
      </c>
      <c r="C13498" t="s">
        <v>41</v>
      </c>
      <c r="D13498" t="s">
        <v>7401</v>
      </c>
      <c r="F13498" s="21"/>
      <c r="G13498" s="16" t="str">
        <f>HYPERLINK("http://maps.google.com/maps?f=q&amp;hl=en&amp;geocode=&amp;q=39.92011,-75.17778")</f>
        <v>http://maps.google.com/maps?f=q&amp;hl=en&amp;geocode=&amp;q=39.92011,-75.17778</v>
      </c>
    </row>
    <row r="13499" spans="1:7" ht="15" x14ac:dyDescent="0.3">
      <c r="A13499">
        <v>39.92022</v>
      </c>
      <c r="B13499">
        <v>-75.178219999999996</v>
      </c>
      <c r="C13499" t="s">
        <v>41</v>
      </c>
      <c r="D13499" t="s">
        <v>7104</v>
      </c>
      <c r="F13499" s="21"/>
      <c r="G13499" s="16" t="str">
        <f>HYPERLINK("http://maps.google.com/maps?f=q&amp;hl=en&amp;geocode=&amp;q=39.92022,-75.17822")</f>
        <v>http://maps.google.com/maps?f=q&amp;hl=en&amp;geocode=&amp;q=39.92022,-75.17822</v>
      </c>
    </row>
    <row r="13500" spans="1:7" ht="15" x14ac:dyDescent="0.3">
      <c r="A13500">
        <v>39.92022</v>
      </c>
      <c r="B13500">
        <v>-75.178219999999996</v>
      </c>
      <c r="C13500" t="s">
        <v>41</v>
      </c>
      <c r="D13500" t="s">
        <v>7104</v>
      </c>
      <c r="F13500" s="21"/>
      <c r="G13500" s="16" t="str">
        <f>HYPERLINK("http://maps.google.com/maps?f=q&amp;hl=en&amp;geocode=&amp;q=39.92022,-75.17822")</f>
        <v>http://maps.google.com/maps?f=q&amp;hl=en&amp;geocode=&amp;q=39.92022,-75.17822</v>
      </c>
    </row>
    <row r="13501" spans="1:7" ht="15" x14ac:dyDescent="0.3">
      <c r="A13501" t="s">
        <v>44</v>
      </c>
      <c r="B13501" t="s">
        <v>44</v>
      </c>
      <c r="C13501" t="s">
        <v>44</v>
      </c>
      <c r="D13501" t="s">
        <v>7402</v>
      </c>
      <c r="F13501" s="21"/>
      <c r="G13501" s="16"/>
    </row>
    <row r="13502" spans="1:7" ht="15" x14ac:dyDescent="0.3">
      <c r="A13502">
        <v>35.260009765625</v>
      </c>
      <c r="B13502">
        <v>-80.425880432128906</v>
      </c>
      <c r="C13502" t="s">
        <v>43</v>
      </c>
      <c r="D13502" t="s">
        <v>7403</v>
      </c>
      <c r="F13502" s="21"/>
      <c r="G13502" s="16" t="str">
        <f>HYPERLINK("http://maps.google.com/maps?f=q&amp;hl=en&amp;geocode=&amp;q=35.260009765625,-80.4258804321289")</f>
        <v>http://maps.google.com/maps?f=q&amp;hl=en&amp;geocode=&amp;q=35.260009765625,-80.4258804321289</v>
      </c>
    </row>
    <row r="13503" spans="1:7" ht="15" x14ac:dyDescent="0.3">
      <c r="A13503" t="s">
        <v>44</v>
      </c>
      <c r="B13503" t="s">
        <v>44</v>
      </c>
      <c r="C13503" t="s">
        <v>44</v>
      </c>
      <c r="D13503" t="s">
        <v>7404</v>
      </c>
      <c r="F13503" s="21"/>
      <c r="G13503" s="16"/>
    </row>
    <row r="13504" spans="1:7" ht="15" x14ac:dyDescent="0.3">
      <c r="A13504">
        <v>39.97551</v>
      </c>
      <c r="B13504">
        <v>-75.16677</v>
      </c>
      <c r="C13504" t="s">
        <v>42</v>
      </c>
      <c r="D13504" t="s">
        <v>7405</v>
      </c>
      <c r="F13504" s="21"/>
      <c r="G13504" s="16" t="str">
        <f>HYPERLINK("http://maps.google.com/maps?f=q&amp;hl=en&amp;geocode=&amp;q=39.97551,-75.16677")</f>
        <v>http://maps.google.com/maps?f=q&amp;hl=en&amp;geocode=&amp;q=39.97551,-75.16677</v>
      </c>
    </row>
    <row r="13505" spans="1:7" ht="15" x14ac:dyDescent="0.3">
      <c r="A13505">
        <v>43.670529999999999</v>
      </c>
      <c r="B13505">
        <v>-79.321340000000006</v>
      </c>
      <c r="C13505" t="s">
        <v>41</v>
      </c>
      <c r="D13505" t="s">
        <v>7357</v>
      </c>
      <c r="F13505" s="21"/>
      <c r="G13505" s="16" t="str">
        <f>HYPERLINK("http://maps.google.com/maps?f=q&amp;hl=en&amp;geocode=&amp;q=43.67053,-79.32134")</f>
        <v>http://maps.google.com/maps?f=q&amp;hl=en&amp;geocode=&amp;q=43.67053,-79.32134</v>
      </c>
    </row>
    <row r="13506" spans="1:7" ht="15" x14ac:dyDescent="0.3">
      <c r="A13506">
        <v>40.028901828748097</v>
      </c>
      <c r="B13506">
        <v>-75.115833010899607</v>
      </c>
      <c r="C13506" t="s">
        <v>41</v>
      </c>
      <c r="D13506" t="s">
        <v>7406</v>
      </c>
      <c r="F13506" s="21"/>
      <c r="G13506" s="16" t="str">
        <f>HYPERLINK("http://maps.google.com/maps?f=q&amp;hl=en&amp;geocode=&amp;q=40.0289018287481,-75.1158330108996")</f>
        <v>http://maps.google.com/maps?f=q&amp;hl=en&amp;geocode=&amp;q=40.0289018287481,-75.1158330108996</v>
      </c>
    </row>
    <row r="13507" spans="1:7" ht="15" x14ac:dyDescent="0.3">
      <c r="A13507">
        <v>40.030650000000001</v>
      </c>
      <c r="B13507">
        <v>-75.218699999999998</v>
      </c>
      <c r="C13507" t="s">
        <v>41</v>
      </c>
      <c r="D13507" t="s">
        <v>145</v>
      </c>
      <c r="F13507" s="21"/>
      <c r="G13507" s="16" t="str">
        <f>HYPERLINK("http://maps.google.com/maps?f=q&amp;hl=en&amp;geocode=&amp;q=40.03065,-75.2187")</f>
        <v>http://maps.google.com/maps?f=q&amp;hl=en&amp;geocode=&amp;q=40.03065,-75.2187</v>
      </c>
    </row>
    <row r="13508" spans="1:7" ht="15" x14ac:dyDescent="0.3">
      <c r="A13508" t="s">
        <v>44</v>
      </c>
      <c r="B13508" t="s">
        <v>44</v>
      </c>
      <c r="C13508" t="s">
        <v>44</v>
      </c>
      <c r="D13508" t="s">
        <v>7051</v>
      </c>
      <c r="F13508" s="21"/>
      <c r="G13508" s="16"/>
    </row>
    <row r="13509" spans="1:7" ht="15" x14ac:dyDescent="0.3">
      <c r="A13509" t="s">
        <v>44</v>
      </c>
      <c r="B13509" t="s">
        <v>44</v>
      </c>
      <c r="C13509" t="s">
        <v>44</v>
      </c>
      <c r="D13509" t="s">
        <v>7051</v>
      </c>
      <c r="F13509" s="21"/>
      <c r="G13509" s="16"/>
    </row>
    <row r="13510" spans="1:7" ht="15" x14ac:dyDescent="0.3">
      <c r="A13510">
        <v>35.402267280170399</v>
      </c>
      <c r="B13510">
        <v>-97.761408289361995</v>
      </c>
      <c r="C13510" t="s">
        <v>41</v>
      </c>
      <c r="D13510" t="s">
        <v>6960</v>
      </c>
      <c r="F13510" s="21"/>
      <c r="G13510" s="16" t="str">
        <f>HYPERLINK("http://maps.google.com/maps?f=q&amp;hl=en&amp;geocode=&amp;q=35.4022672801704,-97.761408289362")</f>
        <v>http://maps.google.com/maps?f=q&amp;hl=en&amp;geocode=&amp;q=35.4022672801704,-97.761408289362</v>
      </c>
    </row>
    <row r="13511" spans="1:7" ht="15" x14ac:dyDescent="0.3">
      <c r="A13511" t="s">
        <v>44</v>
      </c>
      <c r="B13511" t="s">
        <v>44</v>
      </c>
      <c r="C13511" t="s">
        <v>44</v>
      </c>
      <c r="D13511" t="s">
        <v>7350</v>
      </c>
      <c r="F13511" s="21"/>
      <c r="G13511" s="16"/>
    </row>
    <row r="13512" spans="1:7" ht="15" x14ac:dyDescent="0.3">
      <c r="A13512">
        <v>42.269514518259399</v>
      </c>
      <c r="B13512">
        <v>-83.738879406928504</v>
      </c>
      <c r="C13512" t="s">
        <v>41</v>
      </c>
      <c r="D13512" t="s">
        <v>7407</v>
      </c>
      <c r="F13512" s="21"/>
      <c r="G13512" s="16" t="str">
        <f>HYPERLINK("http://maps.google.com/maps?f=q&amp;hl=en&amp;geocode=&amp;q=42.2695145182594,-83.7388794069285")</f>
        <v>http://maps.google.com/maps?f=q&amp;hl=en&amp;geocode=&amp;q=42.2695145182594,-83.7388794069285</v>
      </c>
    </row>
    <row r="13513" spans="1:7" ht="15" x14ac:dyDescent="0.3">
      <c r="A13513">
        <v>39.974449085917001</v>
      </c>
      <c r="B13513">
        <v>-75.158966350879695</v>
      </c>
      <c r="C13513" t="s">
        <v>41</v>
      </c>
      <c r="D13513" t="s">
        <v>6810</v>
      </c>
      <c r="F13513" s="21"/>
      <c r="G13513" s="16" t="str">
        <f>HYPERLINK("http://maps.google.com/maps?f=q&amp;hl=en&amp;geocode=&amp;q=39.974449085917,-75.1589663508797")</f>
        <v>http://maps.google.com/maps?f=q&amp;hl=en&amp;geocode=&amp;q=39.974449085917,-75.1589663508797</v>
      </c>
    </row>
    <row r="13514" spans="1:7" ht="15" x14ac:dyDescent="0.3">
      <c r="A13514">
        <v>42.157688909717997</v>
      </c>
      <c r="B13514">
        <v>-79.948462386443893</v>
      </c>
      <c r="C13514" t="s">
        <v>41</v>
      </c>
      <c r="D13514" t="s">
        <v>3321</v>
      </c>
      <c r="F13514" s="21"/>
      <c r="G13514" s="16" t="str">
        <f>HYPERLINK("http://maps.google.com/maps?f=q&amp;hl=en&amp;geocode=&amp;q=42.157688909718,-79.9484623864439")</f>
        <v>http://maps.google.com/maps?f=q&amp;hl=en&amp;geocode=&amp;q=42.157688909718,-79.9484623864439</v>
      </c>
    </row>
    <row r="13515" spans="1:7" ht="15" x14ac:dyDescent="0.3">
      <c r="A13515">
        <v>32.645594765233</v>
      </c>
      <c r="B13515">
        <v>-97.030529885020101</v>
      </c>
      <c r="C13515" t="s">
        <v>41</v>
      </c>
      <c r="D13515" t="s">
        <v>7408</v>
      </c>
      <c r="F13515" s="21"/>
      <c r="G13515" s="16" t="str">
        <f>HYPERLINK("http://maps.google.com/maps?f=q&amp;hl=en&amp;geocode=&amp;q=32.645594765233,-97.0305298850201")</f>
        <v>http://maps.google.com/maps?f=q&amp;hl=en&amp;geocode=&amp;q=32.645594765233,-97.0305298850201</v>
      </c>
    </row>
    <row r="13516" spans="1:7" ht="15" x14ac:dyDescent="0.3">
      <c r="A13516">
        <v>26.4709209428013</v>
      </c>
      <c r="B13516">
        <v>-98.871956843458904</v>
      </c>
      <c r="C13516" t="s">
        <v>41</v>
      </c>
      <c r="D13516" t="s">
        <v>7409</v>
      </c>
      <c r="F13516" s="21"/>
      <c r="G13516" s="16" t="str">
        <f>HYPERLINK("http://maps.google.com/maps?f=q&amp;hl=en&amp;geocode=&amp;q=26.4709209428013,-98.8719568434589")</f>
        <v>http://maps.google.com/maps?f=q&amp;hl=en&amp;geocode=&amp;q=26.4709209428013,-98.8719568434589</v>
      </c>
    </row>
    <row r="13517" spans="1:7" ht="15" x14ac:dyDescent="0.3">
      <c r="A13517">
        <v>37.6307527593533</v>
      </c>
      <c r="B13517">
        <v>-80.985487552934401</v>
      </c>
      <c r="C13517" t="s">
        <v>41</v>
      </c>
      <c r="D13517" t="s">
        <v>84</v>
      </c>
      <c r="F13517" s="21"/>
      <c r="G13517" s="16" t="str">
        <f>HYPERLINK("http://maps.google.com/maps?f=q&amp;hl=en&amp;geocode=&amp;q=37.6307527593533,-80.9854875529344")</f>
        <v>http://maps.google.com/maps?f=q&amp;hl=en&amp;geocode=&amp;q=37.6307527593533,-80.9854875529344</v>
      </c>
    </row>
    <row r="13518" spans="1:7" ht="15" x14ac:dyDescent="0.3">
      <c r="A13518" t="s">
        <v>44</v>
      </c>
      <c r="B13518" t="s">
        <v>44</v>
      </c>
      <c r="C13518" t="s">
        <v>44</v>
      </c>
      <c r="D13518" t="s">
        <v>1373</v>
      </c>
      <c r="F13518" s="21"/>
      <c r="G13518" s="16"/>
    </row>
    <row r="13519" spans="1:7" ht="15" x14ac:dyDescent="0.3">
      <c r="A13519">
        <v>39.182571411132798</v>
      </c>
      <c r="B13519">
        <v>-77.270347595214801</v>
      </c>
      <c r="C13519" t="s">
        <v>41</v>
      </c>
      <c r="D13519" t="s">
        <v>6901</v>
      </c>
      <c r="F13519" s="21"/>
      <c r="G13519" s="16" t="str">
        <f>HYPERLINK("http://maps.google.com/maps?f=q&amp;hl=en&amp;geocode=&amp;q=39.1825714111328,-77.2703475952148")</f>
        <v>http://maps.google.com/maps?f=q&amp;hl=en&amp;geocode=&amp;q=39.1825714111328,-77.2703475952148</v>
      </c>
    </row>
    <row r="13520" spans="1:7" ht="15" x14ac:dyDescent="0.3">
      <c r="A13520" t="s">
        <v>44</v>
      </c>
      <c r="B13520" t="s">
        <v>44</v>
      </c>
      <c r="C13520" t="s">
        <v>44</v>
      </c>
      <c r="D13520" t="s">
        <v>203</v>
      </c>
      <c r="F13520" s="21"/>
      <c r="G13520" s="16"/>
    </row>
    <row r="13521" spans="1:7" ht="15" x14ac:dyDescent="0.3">
      <c r="A13521">
        <v>-34.828319549560497</v>
      </c>
      <c r="B13521">
        <v>138.761642456055</v>
      </c>
      <c r="C13521" t="s">
        <v>41</v>
      </c>
      <c r="D13521" t="s">
        <v>2268</v>
      </c>
      <c r="F13521" s="21"/>
      <c r="G13521" s="16" t="str">
        <f>HYPERLINK("http://maps.google.com/maps?f=q&amp;hl=en&amp;geocode=&amp;q=-34.8283195495605,138.761642456055")</f>
        <v>http://maps.google.com/maps?f=q&amp;hl=en&amp;geocode=&amp;q=-34.8283195495605,138.761642456055</v>
      </c>
    </row>
    <row r="13522" spans="1:7" ht="15" x14ac:dyDescent="0.3">
      <c r="A13522">
        <v>49.584308624267599</v>
      </c>
      <c r="B13522">
        <v>6.2154908180236799</v>
      </c>
      <c r="C13522" t="s">
        <v>41</v>
      </c>
      <c r="D13522" t="s">
        <v>7410</v>
      </c>
      <c r="F13522" s="21"/>
      <c r="G13522" s="16" t="str">
        <f>HYPERLINK("http://maps.google.com/maps?f=q&amp;hl=en&amp;geocode=&amp;q=49.5843086242676,6.21549081802368")</f>
        <v>http://maps.google.com/maps?f=q&amp;hl=en&amp;geocode=&amp;q=49.5843086242676,6.21549081802368</v>
      </c>
    </row>
    <row r="13523" spans="1:7" ht="15" x14ac:dyDescent="0.3">
      <c r="A13523">
        <v>44.938899993896499</v>
      </c>
      <c r="B13523">
        <v>-117.176879882813</v>
      </c>
      <c r="C13523" t="s">
        <v>41</v>
      </c>
      <c r="D13523" t="s">
        <v>341</v>
      </c>
      <c r="F13523" s="21"/>
      <c r="G13523" s="16" t="str">
        <f>HYPERLINK("http://maps.google.com/maps?f=q&amp;hl=en&amp;geocode=&amp;q=44.9388999938965,-117.176879882813")</f>
        <v>http://maps.google.com/maps?f=q&amp;hl=en&amp;geocode=&amp;q=44.9388999938965,-117.176879882813</v>
      </c>
    </row>
    <row r="13524" spans="1:7" ht="15" x14ac:dyDescent="0.3">
      <c r="A13524">
        <v>35.402268558320401</v>
      </c>
      <c r="B13524">
        <v>-97.761316696542707</v>
      </c>
      <c r="C13524" t="s">
        <v>41</v>
      </c>
      <c r="D13524" t="s">
        <v>6924</v>
      </c>
      <c r="F13524" s="21"/>
      <c r="G13524" s="16" t="str">
        <f>HYPERLINK("http://maps.google.com/maps?f=q&amp;hl=en&amp;geocode=&amp;q=35.4022685583204,-97.7613166965427")</f>
        <v>http://maps.google.com/maps?f=q&amp;hl=en&amp;geocode=&amp;q=35.4022685583204,-97.7613166965427</v>
      </c>
    </row>
    <row r="13525" spans="1:7" ht="15" x14ac:dyDescent="0.3">
      <c r="A13525">
        <v>35.402267280170399</v>
      </c>
      <c r="B13525">
        <v>-97.761408289361995</v>
      </c>
      <c r="C13525" t="s">
        <v>41</v>
      </c>
      <c r="D13525" t="s">
        <v>6960</v>
      </c>
      <c r="F13525" s="21"/>
      <c r="G13525" s="16" t="str">
        <f>HYPERLINK("http://maps.google.com/maps?f=q&amp;hl=en&amp;geocode=&amp;q=35.4022672801704,-97.761408289362")</f>
        <v>http://maps.google.com/maps?f=q&amp;hl=en&amp;geocode=&amp;q=35.4022672801704,-97.761408289362</v>
      </c>
    </row>
    <row r="13526" spans="1:7" ht="15" x14ac:dyDescent="0.3">
      <c r="A13526">
        <v>43.427992316246801</v>
      </c>
      <c r="B13526">
        <v>-96.179900294251993</v>
      </c>
      <c r="C13526" t="s">
        <v>41</v>
      </c>
      <c r="D13526" t="s">
        <v>7411</v>
      </c>
      <c r="F13526" s="21"/>
      <c r="G13526" s="16" t="str">
        <f>HYPERLINK("http://maps.google.com/maps?f=q&amp;hl=en&amp;geocode=&amp;q=43.4279923162468,-96.179900294252")</f>
        <v>http://maps.google.com/maps?f=q&amp;hl=en&amp;geocode=&amp;q=43.4279923162468,-96.179900294252</v>
      </c>
    </row>
    <row r="13527" spans="1:7" ht="15" x14ac:dyDescent="0.3">
      <c r="A13527">
        <v>46.088410000000003</v>
      </c>
      <c r="B13527">
        <v>12.59421</v>
      </c>
      <c r="C13527" t="s">
        <v>41</v>
      </c>
      <c r="D13527" t="s">
        <v>7108</v>
      </c>
      <c r="F13527" s="21"/>
      <c r="G13527" s="16" t="str">
        <f>HYPERLINK("http://maps.google.com/maps?f=q&amp;hl=en&amp;geocode=&amp;q=46.08841,12.59421")</f>
        <v>http://maps.google.com/maps?f=q&amp;hl=en&amp;geocode=&amp;q=46.08841,12.59421</v>
      </c>
    </row>
    <row r="13528" spans="1:7" ht="15" x14ac:dyDescent="0.3">
      <c r="A13528">
        <v>36.093150000000001</v>
      </c>
      <c r="B13528">
        <v>-78.968919999999997</v>
      </c>
      <c r="C13528" t="s">
        <v>42</v>
      </c>
      <c r="D13528" t="s">
        <v>6844</v>
      </c>
      <c r="F13528" s="21"/>
      <c r="G13528" s="16" t="str">
        <f>HYPERLINK("http://maps.google.com/maps?f=q&amp;hl=en&amp;geocode=&amp;q=36.09315,-78.96892")</f>
        <v>http://maps.google.com/maps?f=q&amp;hl=en&amp;geocode=&amp;q=36.09315,-78.96892</v>
      </c>
    </row>
    <row r="13529" spans="1:7" ht="15" x14ac:dyDescent="0.3">
      <c r="A13529">
        <v>37.860477293610998</v>
      </c>
      <c r="B13529">
        <v>-82.804754194483493</v>
      </c>
      <c r="C13529" t="s">
        <v>41</v>
      </c>
      <c r="D13529" t="s">
        <v>6849</v>
      </c>
      <c r="F13529" s="21"/>
      <c r="G13529" s="16" t="str">
        <f>HYPERLINK("http://maps.google.com/maps?f=q&amp;hl=en&amp;geocode=&amp;q=37.860477293611,-82.8047541944835")</f>
        <v>http://maps.google.com/maps?f=q&amp;hl=en&amp;geocode=&amp;q=37.860477293611,-82.8047541944835</v>
      </c>
    </row>
    <row r="13530" spans="1:7" ht="15" x14ac:dyDescent="0.3">
      <c r="A13530">
        <v>32.693522365256399</v>
      </c>
      <c r="B13530">
        <v>-86.340510914251993</v>
      </c>
      <c r="C13530" t="s">
        <v>41</v>
      </c>
      <c r="D13530" t="s">
        <v>7412</v>
      </c>
      <c r="F13530" s="21"/>
      <c r="G13530" s="16" t="str">
        <f>HYPERLINK("http://maps.google.com/maps?f=q&amp;hl=en&amp;geocode=&amp;q=32.6935223652564,-86.340510914252")</f>
        <v>http://maps.google.com/maps?f=q&amp;hl=en&amp;geocode=&amp;q=32.6935223652564,-86.340510914252</v>
      </c>
    </row>
    <row r="13531" spans="1:7" ht="15" x14ac:dyDescent="0.3">
      <c r="A13531">
        <v>-26.034427642822301</v>
      </c>
      <c r="B13531">
        <v>28.5431098937988</v>
      </c>
      <c r="C13531" t="s">
        <v>43</v>
      </c>
      <c r="D13531" t="s">
        <v>7413</v>
      </c>
      <c r="F13531" s="21"/>
      <c r="G13531" s="16" t="str">
        <f>HYPERLINK("http://maps.google.com/maps?f=q&amp;hl=en&amp;geocode=&amp;q=-26.0344276428223,28.5431098937988")</f>
        <v>http://maps.google.com/maps?f=q&amp;hl=en&amp;geocode=&amp;q=-26.0344276428223,28.5431098937988</v>
      </c>
    </row>
    <row r="13532" spans="1:7" ht="15" x14ac:dyDescent="0.3">
      <c r="A13532">
        <v>51.132999420166001</v>
      </c>
      <c r="B13532">
        <v>9.1669998168945295</v>
      </c>
      <c r="C13532" t="s">
        <v>41</v>
      </c>
      <c r="D13532" t="s">
        <v>216</v>
      </c>
      <c r="F13532" s="21"/>
      <c r="G13532" s="16" t="str">
        <f>HYPERLINK("http://maps.google.com/maps?f=q&amp;hl=en&amp;geocode=&amp;q=51.132999420166,9.16699981689453")</f>
        <v>http://maps.google.com/maps?f=q&amp;hl=en&amp;geocode=&amp;q=51.132999420166,9.16699981689453</v>
      </c>
    </row>
    <row r="13533" spans="1:7" ht="15" x14ac:dyDescent="0.3">
      <c r="A13533">
        <v>46.088410000000003</v>
      </c>
      <c r="B13533">
        <v>12.59421</v>
      </c>
      <c r="C13533" t="s">
        <v>41</v>
      </c>
      <c r="D13533" t="s">
        <v>7108</v>
      </c>
      <c r="F13533" s="21"/>
      <c r="G13533" s="16" t="str">
        <f>HYPERLINK("http://maps.google.com/maps?f=q&amp;hl=en&amp;geocode=&amp;q=46.08841,12.59421")</f>
        <v>http://maps.google.com/maps?f=q&amp;hl=en&amp;geocode=&amp;q=46.08841,12.59421</v>
      </c>
    </row>
    <row r="13534" spans="1:7" ht="15" x14ac:dyDescent="0.3">
      <c r="A13534">
        <v>39.846429999999998</v>
      </c>
      <c r="B13534">
        <v>-89.023470000000003</v>
      </c>
      <c r="C13534" t="s">
        <v>43</v>
      </c>
      <c r="D13534" t="s">
        <v>7414</v>
      </c>
      <c r="F13534" s="21"/>
      <c r="G13534" s="16" t="str">
        <f>HYPERLINK("http://maps.google.com/maps?f=q&amp;hl=en&amp;geocode=&amp;q=39.84643,-89.02347")</f>
        <v>http://maps.google.com/maps?f=q&amp;hl=en&amp;geocode=&amp;q=39.84643,-89.02347</v>
      </c>
    </row>
    <row r="13535" spans="1:7" ht="15" x14ac:dyDescent="0.3">
      <c r="A13535">
        <v>45.117823313542601</v>
      </c>
      <c r="B13535">
        <v>-93.150343611618496</v>
      </c>
      <c r="C13535" t="s">
        <v>41</v>
      </c>
      <c r="D13535" t="s">
        <v>7415</v>
      </c>
      <c r="F13535" s="21"/>
      <c r="G13535" s="16" t="str">
        <f>HYPERLINK("http://maps.google.com/maps?f=q&amp;hl=en&amp;geocode=&amp;q=45.1178233135426,-93.1503436116185")</f>
        <v>http://maps.google.com/maps?f=q&amp;hl=en&amp;geocode=&amp;q=45.1178233135426,-93.1503436116185</v>
      </c>
    </row>
    <row r="13536" spans="1:7" ht="15" x14ac:dyDescent="0.3">
      <c r="A13536">
        <v>35.402267280170399</v>
      </c>
      <c r="B13536">
        <v>-97.761408289361995</v>
      </c>
      <c r="C13536" t="s">
        <v>41</v>
      </c>
      <c r="D13536" t="s">
        <v>6960</v>
      </c>
      <c r="F13536" s="21"/>
      <c r="G13536" s="16" t="str">
        <f>HYPERLINK("http://maps.google.com/maps?f=q&amp;hl=en&amp;geocode=&amp;q=35.4022672801704,-97.761408289362")</f>
        <v>http://maps.google.com/maps?f=q&amp;hl=en&amp;geocode=&amp;q=35.4022672801704,-97.761408289362</v>
      </c>
    </row>
    <row r="13537" spans="1:7" ht="15" x14ac:dyDescent="0.3">
      <c r="A13537">
        <v>43.525155641267901</v>
      </c>
      <c r="B13537">
        <v>-84.225234630497596</v>
      </c>
      <c r="C13537" t="s">
        <v>41</v>
      </c>
      <c r="D13537" t="s">
        <v>175</v>
      </c>
      <c r="F13537" s="21"/>
      <c r="G13537" s="16" t="str">
        <f>HYPERLINK("http://maps.google.com/maps?f=q&amp;hl=en&amp;geocode=&amp;q=43.5251556412679,-84.2252346304976")</f>
        <v>http://maps.google.com/maps?f=q&amp;hl=en&amp;geocode=&amp;q=43.5251556412679,-84.2252346304976</v>
      </c>
    </row>
    <row r="13538" spans="1:7" ht="15" x14ac:dyDescent="0.3">
      <c r="A13538">
        <v>46.088410000000003</v>
      </c>
      <c r="B13538">
        <v>12.59421</v>
      </c>
      <c r="C13538" t="s">
        <v>41</v>
      </c>
      <c r="D13538" t="s">
        <v>7108</v>
      </c>
      <c r="F13538" s="21"/>
      <c r="G13538" s="16" t="str">
        <f>HYPERLINK("http://maps.google.com/maps?f=q&amp;hl=en&amp;geocode=&amp;q=46.08841,12.59421")</f>
        <v>http://maps.google.com/maps?f=q&amp;hl=en&amp;geocode=&amp;q=46.08841,12.59421</v>
      </c>
    </row>
    <row r="13539" spans="1:7" ht="15" x14ac:dyDescent="0.3">
      <c r="A13539">
        <v>46.088410000000003</v>
      </c>
      <c r="B13539">
        <v>12.59421</v>
      </c>
      <c r="C13539" t="s">
        <v>41</v>
      </c>
      <c r="D13539" t="s">
        <v>7108</v>
      </c>
      <c r="F13539" s="21"/>
      <c r="G13539" s="16" t="str">
        <f>HYPERLINK("http://maps.google.com/maps?f=q&amp;hl=en&amp;geocode=&amp;q=46.08841,12.59421")</f>
        <v>http://maps.google.com/maps?f=q&amp;hl=en&amp;geocode=&amp;q=46.08841,12.59421</v>
      </c>
    </row>
    <row r="13540" spans="1:7" ht="15" x14ac:dyDescent="0.3">
      <c r="A13540">
        <v>36.093150000000001</v>
      </c>
      <c r="B13540">
        <v>-78.968919999999997</v>
      </c>
      <c r="C13540" t="s">
        <v>42</v>
      </c>
      <c r="D13540" t="s">
        <v>6844</v>
      </c>
      <c r="F13540" s="21"/>
      <c r="G13540" s="16" t="str">
        <f>HYPERLINK("http://maps.google.com/maps?f=q&amp;hl=en&amp;geocode=&amp;q=36.09315,-78.96892")</f>
        <v>http://maps.google.com/maps?f=q&amp;hl=en&amp;geocode=&amp;q=36.09315,-78.96892</v>
      </c>
    </row>
    <row r="13541" spans="1:7" ht="15" x14ac:dyDescent="0.3">
      <c r="A13541" t="s">
        <v>44</v>
      </c>
      <c r="B13541" t="s">
        <v>44</v>
      </c>
      <c r="C13541" t="s">
        <v>44</v>
      </c>
      <c r="D13541" t="s">
        <v>3866</v>
      </c>
      <c r="F13541" s="21"/>
      <c r="G13541" s="16"/>
    </row>
    <row r="13542" spans="1:7" ht="15" x14ac:dyDescent="0.3">
      <c r="A13542">
        <v>37.860477293610998</v>
      </c>
      <c r="B13542">
        <v>-82.804754194483493</v>
      </c>
      <c r="C13542" t="s">
        <v>41</v>
      </c>
      <c r="D13542" t="s">
        <v>6849</v>
      </c>
      <c r="F13542" s="21"/>
      <c r="G13542" s="16" t="str">
        <f>HYPERLINK("http://maps.google.com/maps?f=q&amp;hl=en&amp;geocode=&amp;q=37.860477293611,-82.8047541944835")</f>
        <v>http://maps.google.com/maps?f=q&amp;hl=en&amp;geocode=&amp;q=37.860477293611,-82.8047541944835</v>
      </c>
    </row>
    <row r="13543" spans="1:7" ht="15" x14ac:dyDescent="0.3">
      <c r="A13543">
        <v>36.463260650634801</v>
      </c>
      <c r="B13543">
        <v>-6.2536149024963397</v>
      </c>
      <c r="C13543" t="s">
        <v>43</v>
      </c>
      <c r="D13543" t="s">
        <v>7416</v>
      </c>
      <c r="F13543" s="21"/>
      <c r="G13543" s="16" t="str">
        <f>HYPERLINK("http://maps.google.com/maps?f=q&amp;hl=en&amp;geocode=&amp;q=36.4632606506348,-6.25361490249634")</f>
        <v>http://maps.google.com/maps?f=q&amp;hl=en&amp;geocode=&amp;q=36.4632606506348,-6.25361490249634</v>
      </c>
    </row>
    <row r="13544" spans="1:7" ht="15" x14ac:dyDescent="0.3">
      <c r="A13544" t="s">
        <v>44</v>
      </c>
      <c r="B13544" t="s">
        <v>44</v>
      </c>
      <c r="C13544" t="s">
        <v>44</v>
      </c>
      <c r="D13544" t="s">
        <v>4584</v>
      </c>
      <c r="F13544" s="21"/>
      <c r="G13544" s="16"/>
    </row>
    <row r="13545" spans="1:7" ht="15" x14ac:dyDescent="0.3">
      <c r="A13545">
        <v>36.950839999999999</v>
      </c>
      <c r="B13545">
        <v>-112.52853</v>
      </c>
      <c r="C13545" t="s">
        <v>42</v>
      </c>
      <c r="D13545" t="s">
        <v>7305</v>
      </c>
      <c r="F13545" s="21"/>
      <c r="G13545" s="16" t="str">
        <f>HYPERLINK("http://maps.google.com/maps?f=q&amp;hl=en&amp;geocode=&amp;q=36.95084,-112.52853")</f>
        <v>http://maps.google.com/maps?f=q&amp;hl=en&amp;geocode=&amp;q=36.95084,-112.52853</v>
      </c>
    </row>
    <row r="13546" spans="1:7" ht="15" x14ac:dyDescent="0.3">
      <c r="A13546">
        <v>47.414239999999999</v>
      </c>
      <c r="B13546">
        <v>7.0715199999999996</v>
      </c>
      <c r="C13546" t="s">
        <v>41</v>
      </c>
      <c r="D13546" t="s">
        <v>4523</v>
      </c>
      <c r="F13546" s="21"/>
      <c r="G13546" s="16" t="str">
        <f>HYPERLINK("http://maps.google.com/maps?f=q&amp;hl=en&amp;geocode=&amp;q=47.41424,7.07152")</f>
        <v>http://maps.google.com/maps?f=q&amp;hl=en&amp;geocode=&amp;q=47.41424,7.07152</v>
      </c>
    </row>
    <row r="13547" spans="1:7" ht="15" x14ac:dyDescent="0.3">
      <c r="A13547">
        <v>47.414239999999999</v>
      </c>
      <c r="B13547">
        <v>7.0715199999999996</v>
      </c>
      <c r="C13547" t="s">
        <v>41</v>
      </c>
      <c r="D13547" t="s">
        <v>4523</v>
      </c>
      <c r="F13547" s="21"/>
      <c r="G13547" s="16" t="str">
        <f>HYPERLINK("http://maps.google.com/maps?f=q&amp;hl=en&amp;geocode=&amp;q=47.41424,7.07152")</f>
        <v>http://maps.google.com/maps?f=q&amp;hl=en&amp;geocode=&amp;q=47.41424,7.07152</v>
      </c>
    </row>
    <row r="13548" spans="1:7" ht="15" x14ac:dyDescent="0.3">
      <c r="A13548">
        <v>50.2208442687988</v>
      </c>
      <c r="B13548">
        <v>4.2594909667968803</v>
      </c>
      <c r="C13548" t="s">
        <v>43</v>
      </c>
      <c r="D13548" t="s">
        <v>6112</v>
      </c>
      <c r="F13548" s="21"/>
      <c r="G13548" s="16" t="str">
        <f>HYPERLINK("http://maps.google.com/maps?f=q&amp;hl=en&amp;geocode=&amp;q=50.2208442687988,4.25949096679688")</f>
        <v>http://maps.google.com/maps?f=q&amp;hl=en&amp;geocode=&amp;q=50.2208442687988,4.25949096679688</v>
      </c>
    </row>
    <row r="13549" spans="1:7" ht="15" x14ac:dyDescent="0.3">
      <c r="A13549">
        <v>50.2208442687988</v>
      </c>
      <c r="B13549">
        <v>4.2594909667968803</v>
      </c>
      <c r="C13549" t="s">
        <v>43</v>
      </c>
      <c r="D13549" t="s">
        <v>6112</v>
      </c>
      <c r="F13549" s="21"/>
      <c r="G13549" s="16" t="str">
        <f>HYPERLINK("http://maps.google.com/maps?f=q&amp;hl=en&amp;geocode=&amp;q=50.2208442687988,4.25949096679688")</f>
        <v>http://maps.google.com/maps?f=q&amp;hl=en&amp;geocode=&amp;q=50.2208442687988,4.25949096679688</v>
      </c>
    </row>
    <row r="13550" spans="1:7" ht="15" x14ac:dyDescent="0.3">
      <c r="A13550">
        <v>39.999935291695003</v>
      </c>
      <c r="B13550">
        <v>-88.151841301071101</v>
      </c>
      <c r="C13550" t="s">
        <v>41</v>
      </c>
      <c r="D13550" t="s">
        <v>7417</v>
      </c>
      <c r="F13550" s="21"/>
      <c r="G13550" s="16" t="str">
        <f>HYPERLINK("http://maps.google.com/maps?f=q&amp;hl=en&amp;geocode=&amp;q=39.999935291695,-88.1518413010711")</f>
        <v>http://maps.google.com/maps?f=q&amp;hl=en&amp;geocode=&amp;q=39.999935291695,-88.1518413010711</v>
      </c>
    </row>
    <row r="13551" spans="1:7" ht="15" x14ac:dyDescent="0.3">
      <c r="A13551">
        <v>40.016758861309803</v>
      </c>
      <c r="B13551">
        <v>-75.210418099833007</v>
      </c>
      <c r="C13551" t="s">
        <v>41</v>
      </c>
      <c r="D13551" t="s">
        <v>831</v>
      </c>
      <c r="F13551" s="21"/>
      <c r="G13551" s="16" t="str">
        <f>HYPERLINK("http://maps.google.com/maps?f=q&amp;hl=en&amp;geocode=&amp;q=40.0167588613098,-75.210418099833")</f>
        <v>http://maps.google.com/maps?f=q&amp;hl=en&amp;geocode=&amp;q=40.0167588613098,-75.210418099833</v>
      </c>
    </row>
    <row r="13552" spans="1:7" ht="15" x14ac:dyDescent="0.3">
      <c r="A13552">
        <v>40.016758861309803</v>
      </c>
      <c r="B13552">
        <v>-75.210418099833007</v>
      </c>
      <c r="C13552" t="s">
        <v>41</v>
      </c>
      <c r="D13552" t="s">
        <v>831</v>
      </c>
      <c r="F13552" s="21"/>
      <c r="G13552" s="16" t="str">
        <f>HYPERLINK("http://maps.google.com/maps?f=q&amp;hl=en&amp;geocode=&amp;q=40.0167588613098,-75.210418099833")</f>
        <v>http://maps.google.com/maps?f=q&amp;hl=en&amp;geocode=&amp;q=40.0167588613098,-75.210418099833</v>
      </c>
    </row>
    <row r="13553" spans="1:7" ht="15" x14ac:dyDescent="0.3">
      <c r="A13553" t="s">
        <v>44</v>
      </c>
      <c r="B13553" t="s">
        <v>44</v>
      </c>
      <c r="C13553" t="s">
        <v>44</v>
      </c>
      <c r="D13553" t="s">
        <v>7418</v>
      </c>
      <c r="F13553" s="21"/>
      <c r="G13553" s="16"/>
    </row>
    <row r="13554" spans="1:7" ht="15" x14ac:dyDescent="0.3">
      <c r="A13554" t="s">
        <v>44</v>
      </c>
      <c r="B13554" t="s">
        <v>44</v>
      </c>
      <c r="C13554" t="s">
        <v>44</v>
      </c>
      <c r="D13554" t="s">
        <v>3866</v>
      </c>
      <c r="F13554" s="21"/>
      <c r="G13554" s="16"/>
    </row>
    <row r="13555" spans="1:7" ht="15" x14ac:dyDescent="0.3">
      <c r="A13555" t="s">
        <v>44</v>
      </c>
      <c r="B13555" t="s">
        <v>44</v>
      </c>
      <c r="C13555" t="s">
        <v>44</v>
      </c>
      <c r="D13555" t="s">
        <v>3866</v>
      </c>
      <c r="F13555" s="21"/>
      <c r="G13555" s="16"/>
    </row>
    <row r="13556" spans="1:7" ht="15" x14ac:dyDescent="0.3">
      <c r="A13556" t="s">
        <v>44</v>
      </c>
      <c r="B13556" t="s">
        <v>44</v>
      </c>
      <c r="C13556" t="s">
        <v>44</v>
      </c>
      <c r="D13556" t="s">
        <v>7419</v>
      </c>
      <c r="F13556" s="21"/>
      <c r="G13556" s="16"/>
    </row>
    <row r="13557" spans="1:7" ht="15" x14ac:dyDescent="0.3">
      <c r="A13557">
        <v>40.038051605224602</v>
      </c>
      <c r="B13557">
        <v>-76.301292419433594</v>
      </c>
      <c r="C13557" t="s">
        <v>41</v>
      </c>
      <c r="D13557" t="s">
        <v>7420</v>
      </c>
      <c r="F13557" s="21"/>
      <c r="G13557" s="16" t="str">
        <f>HYPERLINK("http://maps.google.com/maps?f=q&amp;hl=en&amp;geocode=&amp;q=40.0380516052246,-76.3012924194336")</f>
        <v>http://maps.google.com/maps?f=q&amp;hl=en&amp;geocode=&amp;q=40.0380516052246,-76.3012924194336</v>
      </c>
    </row>
    <row r="13558" spans="1:7" ht="15" x14ac:dyDescent="0.3">
      <c r="A13558">
        <v>42.997422656800801</v>
      </c>
      <c r="B13558">
        <v>-95.623939346082395</v>
      </c>
      <c r="C13558" t="s">
        <v>41</v>
      </c>
      <c r="D13558" t="s">
        <v>71</v>
      </c>
      <c r="F13558" s="21"/>
      <c r="G13558" s="16" t="str">
        <f>HYPERLINK("http://maps.google.com/maps?f=q&amp;hl=en&amp;geocode=&amp;q=42.9974226568008,-95.6239393460824")</f>
        <v>http://maps.google.com/maps?f=q&amp;hl=en&amp;geocode=&amp;q=42.9974226568008,-95.6239393460824</v>
      </c>
    </row>
    <row r="13559" spans="1:7" ht="15" x14ac:dyDescent="0.3">
      <c r="A13559" t="s">
        <v>44</v>
      </c>
      <c r="B13559" t="s">
        <v>44</v>
      </c>
      <c r="C13559" t="s">
        <v>44</v>
      </c>
      <c r="D13559" t="s">
        <v>7350</v>
      </c>
      <c r="F13559" s="21"/>
      <c r="G13559" s="16"/>
    </row>
    <row r="13560" spans="1:7" ht="15" x14ac:dyDescent="0.3">
      <c r="A13560">
        <v>32.598625183105497</v>
      </c>
      <c r="B13560">
        <v>-80.973976135253906</v>
      </c>
      <c r="C13560" t="s">
        <v>43</v>
      </c>
      <c r="D13560" t="s">
        <v>6826</v>
      </c>
      <c r="F13560" s="21"/>
      <c r="G13560" s="16" t="str">
        <f>HYPERLINK("http://maps.google.com/maps?f=q&amp;hl=en&amp;geocode=&amp;q=32.5986251831055,-80.9739761352539")</f>
        <v>http://maps.google.com/maps?f=q&amp;hl=en&amp;geocode=&amp;q=32.5986251831055,-80.9739761352539</v>
      </c>
    </row>
    <row r="13561" spans="1:7" ht="15" x14ac:dyDescent="0.3">
      <c r="A13561">
        <v>35.402267280170399</v>
      </c>
      <c r="B13561">
        <v>-97.761408289361995</v>
      </c>
      <c r="C13561" t="s">
        <v>41</v>
      </c>
      <c r="D13561" t="s">
        <v>6960</v>
      </c>
      <c r="F13561" s="21"/>
      <c r="G13561" s="16" t="str">
        <f>HYPERLINK("http://maps.google.com/maps?f=q&amp;hl=en&amp;geocode=&amp;q=35.4022672801704,-97.761408289362")</f>
        <v>http://maps.google.com/maps?f=q&amp;hl=en&amp;geocode=&amp;q=35.4022672801704,-97.761408289362</v>
      </c>
    </row>
    <row r="13562" spans="1:7" ht="15" x14ac:dyDescent="0.3">
      <c r="A13562">
        <v>46.088410000000003</v>
      </c>
      <c r="B13562">
        <v>12.59421</v>
      </c>
      <c r="C13562" t="s">
        <v>41</v>
      </c>
      <c r="D13562" t="s">
        <v>7108</v>
      </c>
      <c r="F13562" s="21"/>
      <c r="G13562" s="16" t="str">
        <f>HYPERLINK("http://maps.google.com/maps?f=q&amp;hl=en&amp;geocode=&amp;q=46.08841,12.59421")</f>
        <v>http://maps.google.com/maps?f=q&amp;hl=en&amp;geocode=&amp;q=46.08841,12.59421</v>
      </c>
    </row>
    <row r="13563" spans="1:7" ht="15" x14ac:dyDescent="0.3">
      <c r="A13563">
        <v>22.0663356781006</v>
      </c>
      <c r="B13563">
        <v>-79.453147888183594</v>
      </c>
      <c r="C13563" t="s">
        <v>41</v>
      </c>
      <c r="D13563" t="s">
        <v>4919</v>
      </c>
      <c r="F13563" s="21"/>
      <c r="G13563" s="16" t="str">
        <f>HYPERLINK("http://maps.google.com/maps?f=q&amp;hl=en&amp;geocode=&amp;q=22.0663356781006,-79.4531478881836")</f>
        <v>http://maps.google.com/maps?f=q&amp;hl=en&amp;geocode=&amp;q=22.0663356781006,-79.4531478881836</v>
      </c>
    </row>
    <row r="13564" spans="1:7" ht="15" x14ac:dyDescent="0.3">
      <c r="A13564">
        <v>-26.655570983886701</v>
      </c>
      <c r="B13564">
        <v>27.840997695922901</v>
      </c>
      <c r="C13564" t="s">
        <v>43</v>
      </c>
      <c r="D13564" t="s">
        <v>7421</v>
      </c>
      <c r="F13564" s="21"/>
      <c r="G13564" s="16" t="str">
        <f>HYPERLINK("http://maps.google.com/maps?f=q&amp;hl=en&amp;geocode=&amp;q=-26.6555709838867,27.8409976959229")</f>
        <v>http://maps.google.com/maps?f=q&amp;hl=en&amp;geocode=&amp;q=-26.6555709838867,27.8409976959229</v>
      </c>
    </row>
    <row r="13565" spans="1:7" ht="15" x14ac:dyDescent="0.3">
      <c r="A13565">
        <v>35.402266001950501</v>
      </c>
      <c r="B13565">
        <v>-97.7614998822324</v>
      </c>
      <c r="C13565" t="s">
        <v>41</v>
      </c>
      <c r="D13565" t="s">
        <v>6932</v>
      </c>
      <c r="F13565" s="21"/>
      <c r="G13565" s="16" t="str">
        <f>HYPERLINK("http://maps.google.com/maps?f=q&amp;hl=en&amp;geocode=&amp;q=35.4022660019505,-97.7614998822324")</f>
        <v>http://maps.google.com/maps?f=q&amp;hl=en&amp;geocode=&amp;q=35.4022660019505,-97.7614998822324</v>
      </c>
    </row>
    <row r="13566" spans="1:7" ht="15" x14ac:dyDescent="0.3">
      <c r="A13566" t="s">
        <v>44</v>
      </c>
      <c r="B13566" t="s">
        <v>44</v>
      </c>
      <c r="C13566" t="s">
        <v>44</v>
      </c>
      <c r="D13566" t="s">
        <v>7422</v>
      </c>
      <c r="F13566" s="21"/>
      <c r="G13566" s="16"/>
    </row>
    <row r="13567" spans="1:7" ht="15" x14ac:dyDescent="0.3">
      <c r="A13567">
        <v>49.603244781494098</v>
      </c>
      <c r="B13567">
        <v>6.1243958473205602</v>
      </c>
      <c r="C13567" t="s">
        <v>41</v>
      </c>
      <c r="D13567" t="s">
        <v>7423</v>
      </c>
      <c r="F13567" s="21"/>
      <c r="G13567" s="16" t="str">
        <f>HYPERLINK("http://maps.google.com/maps?f=q&amp;hl=en&amp;geocode=&amp;q=49.6032447814941,6.12439584732056")</f>
        <v>http://maps.google.com/maps?f=q&amp;hl=en&amp;geocode=&amp;q=49.6032447814941,6.12439584732056</v>
      </c>
    </row>
    <row r="13568" spans="1:7" ht="15" x14ac:dyDescent="0.3">
      <c r="A13568" t="s">
        <v>44</v>
      </c>
      <c r="B13568" t="s">
        <v>44</v>
      </c>
      <c r="C13568" t="s">
        <v>44</v>
      </c>
      <c r="D13568" t="s">
        <v>227</v>
      </c>
      <c r="F13568" s="21"/>
      <c r="G13568" s="16"/>
    </row>
    <row r="13569" spans="1:7" ht="15" x14ac:dyDescent="0.3">
      <c r="A13569" t="s">
        <v>44</v>
      </c>
      <c r="B13569" t="s">
        <v>44</v>
      </c>
      <c r="C13569" t="s">
        <v>44</v>
      </c>
      <c r="D13569" t="s">
        <v>227</v>
      </c>
      <c r="F13569" s="21"/>
      <c r="G13569" s="16"/>
    </row>
    <row r="13570" spans="1:7" ht="15" x14ac:dyDescent="0.3">
      <c r="A13570" t="s">
        <v>44</v>
      </c>
      <c r="B13570" t="s">
        <v>44</v>
      </c>
      <c r="C13570" t="s">
        <v>44</v>
      </c>
      <c r="D13570" t="s">
        <v>227</v>
      </c>
      <c r="F13570" s="21"/>
      <c r="G13570" s="16"/>
    </row>
    <row r="13571" spans="1:7" ht="15" x14ac:dyDescent="0.3">
      <c r="A13571">
        <v>59.234821319580099</v>
      </c>
      <c r="B13571">
        <v>-135.44305419921901</v>
      </c>
      <c r="C13571" t="s">
        <v>43</v>
      </c>
      <c r="D13571" t="s">
        <v>7424</v>
      </c>
      <c r="F13571" s="21"/>
      <c r="G13571" s="16" t="str">
        <f>HYPERLINK("http://maps.google.com/maps?f=q&amp;hl=en&amp;geocode=&amp;q=59.2348213195801,-135.443054199219")</f>
        <v>http://maps.google.com/maps?f=q&amp;hl=en&amp;geocode=&amp;q=59.2348213195801,-135.443054199219</v>
      </c>
    </row>
    <row r="13572" spans="1:7" ht="15" x14ac:dyDescent="0.3">
      <c r="A13572">
        <v>39.923110000000001</v>
      </c>
      <c r="B13572">
        <v>-75.179770000000005</v>
      </c>
      <c r="C13572" t="s">
        <v>43</v>
      </c>
      <c r="D13572" t="s">
        <v>3928</v>
      </c>
      <c r="F13572" s="21"/>
      <c r="G13572" s="16" t="str">
        <f>HYPERLINK("http://maps.google.com/maps?f=q&amp;hl=en&amp;geocode=&amp;q=39.92311,-75.17977")</f>
        <v>http://maps.google.com/maps?f=q&amp;hl=en&amp;geocode=&amp;q=39.92311,-75.17977</v>
      </c>
    </row>
    <row r="13573" spans="1:7" ht="15" x14ac:dyDescent="0.3">
      <c r="A13573">
        <v>33.70975</v>
      </c>
      <c r="B13573">
        <v>-84.757279999999994</v>
      </c>
      <c r="C13573" t="s">
        <v>42</v>
      </c>
      <c r="D13573" t="s">
        <v>7425</v>
      </c>
      <c r="F13573" s="21"/>
      <c r="G13573" s="16" t="str">
        <f>HYPERLINK("http://maps.google.com/maps?f=q&amp;hl=en&amp;geocode=&amp;q=33.70975,-84.75728")</f>
        <v>http://maps.google.com/maps?f=q&amp;hl=en&amp;geocode=&amp;q=33.70975,-84.75728</v>
      </c>
    </row>
    <row r="13574" spans="1:7" ht="15" x14ac:dyDescent="0.3">
      <c r="A13574">
        <v>35.402267280170399</v>
      </c>
      <c r="B13574">
        <v>-97.761408289361995</v>
      </c>
      <c r="C13574" t="s">
        <v>41</v>
      </c>
      <c r="D13574" t="s">
        <v>6960</v>
      </c>
      <c r="F13574" s="21"/>
      <c r="G13574" s="16" t="str">
        <f>HYPERLINK("http://maps.google.com/maps?f=q&amp;hl=en&amp;geocode=&amp;q=35.4022672801704,-97.761408289362")</f>
        <v>http://maps.google.com/maps?f=q&amp;hl=en&amp;geocode=&amp;q=35.4022672801704,-97.761408289362</v>
      </c>
    </row>
    <row r="13575" spans="1:7" ht="15" x14ac:dyDescent="0.3">
      <c r="A13575">
        <v>35.402266001950501</v>
      </c>
      <c r="B13575">
        <v>-97.7614998822324</v>
      </c>
      <c r="C13575" t="s">
        <v>41</v>
      </c>
      <c r="D13575" t="s">
        <v>6932</v>
      </c>
      <c r="F13575" s="21"/>
      <c r="G13575" s="16" t="str">
        <f>HYPERLINK("http://maps.google.com/maps?f=q&amp;hl=en&amp;geocode=&amp;q=35.4022660019505,-97.7614998822324")</f>
        <v>http://maps.google.com/maps?f=q&amp;hl=en&amp;geocode=&amp;q=35.4022660019505,-97.7614998822324</v>
      </c>
    </row>
    <row r="13576" spans="1:7" ht="15" x14ac:dyDescent="0.3">
      <c r="A13576">
        <v>46.088410000000003</v>
      </c>
      <c r="B13576">
        <v>12.59421</v>
      </c>
      <c r="C13576" t="s">
        <v>41</v>
      </c>
      <c r="D13576" t="s">
        <v>7108</v>
      </c>
      <c r="F13576" s="21"/>
      <c r="G13576" s="16" t="str">
        <f>HYPERLINK("http://maps.google.com/maps?f=q&amp;hl=en&amp;geocode=&amp;q=46.08841,12.59421")</f>
        <v>http://maps.google.com/maps?f=q&amp;hl=en&amp;geocode=&amp;q=46.08841,12.59421</v>
      </c>
    </row>
    <row r="13577" spans="1:7" ht="15" x14ac:dyDescent="0.3">
      <c r="A13577">
        <v>46.088410000000003</v>
      </c>
      <c r="B13577">
        <v>12.59421</v>
      </c>
      <c r="C13577" t="s">
        <v>41</v>
      </c>
      <c r="D13577" t="s">
        <v>7108</v>
      </c>
      <c r="F13577" s="21"/>
      <c r="G13577" s="16" t="str">
        <f>HYPERLINK("http://maps.google.com/maps?f=q&amp;hl=en&amp;geocode=&amp;q=46.08841,12.59421")</f>
        <v>http://maps.google.com/maps?f=q&amp;hl=en&amp;geocode=&amp;q=46.08841,12.59421</v>
      </c>
    </row>
    <row r="13578" spans="1:7" ht="15" x14ac:dyDescent="0.3">
      <c r="A13578">
        <v>51.479621887207003</v>
      </c>
      <c r="B13578">
        <v>0.32697001099586498</v>
      </c>
      <c r="C13578" t="s">
        <v>41</v>
      </c>
      <c r="D13578" t="s">
        <v>7426</v>
      </c>
      <c r="F13578" s="21"/>
      <c r="G13578" s="16" t="str">
        <f>HYPERLINK("http://maps.google.com/maps?f=q&amp;hl=en&amp;geocode=&amp;q=51.479621887207,0.326970010995865")</f>
        <v>http://maps.google.com/maps?f=q&amp;hl=en&amp;geocode=&amp;q=51.479621887207,0.326970010995865</v>
      </c>
    </row>
    <row r="13579" spans="1:7" ht="15" x14ac:dyDescent="0.3">
      <c r="A13579">
        <v>41.892371954721597</v>
      </c>
      <c r="B13579">
        <v>-71.708669325196198</v>
      </c>
      <c r="C13579" t="s">
        <v>42</v>
      </c>
      <c r="D13579" t="s">
        <v>7427</v>
      </c>
      <c r="F13579" s="21"/>
      <c r="G13579" s="16" t="str">
        <f>HYPERLINK("http://maps.google.com/maps?f=q&amp;hl=en&amp;geocode=&amp;q=41.8923719547216,-71.7086693251962")</f>
        <v>http://maps.google.com/maps?f=q&amp;hl=en&amp;geocode=&amp;q=41.8923719547216,-71.7086693251962</v>
      </c>
    </row>
    <row r="13580" spans="1:7" ht="15" x14ac:dyDescent="0.3">
      <c r="A13580">
        <v>39.980200000000004</v>
      </c>
      <c r="B13580">
        <v>-75.156549999999996</v>
      </c>
      <c r="C13580" t="s">
        <v>43</v>
      </c>
      <c r="D13580" t="s">
        <v>4195</v>
      </c>
      <c r="F13580" s="21"/>
      <c r="G13580" s="16" t="str">
        <f>HYPERLINK("http://maps.google.com/maps?f=q&amp;hl=en&amp;geocode=&amp;q=39.9802,-75.15655")</f>
        <v>http://maps.google.com/maps?f=q&amp;hl=en&amp;geocode=&amp;q=39.9802,-75.15655</v>
      </c>
    </row>
    <row r="13581" spans="1:7" ht="15" x14ac:dyDescent="0.3">
      <c r="A13581">
        <v>39.589939999999999</v>
      </c>
      <c r="B13581">
        <v>-110.80983999999999</v>
      </c>
      <c r="C13581" t="s">
        <v>43</v>
      </c>
      <c r="D13581" t="s">
        <v>7428</v>
      </c>
      <c r="F13581" s="21"/>
      <c r="G13581" s="16" t="str">
        <f>HYPERLINK("http://maps.google.com/maps?f=q&amp;hl=en&amp;geocode=&amp;q=39.58994,-110.80984")</f>
        <v>http://maps.google.com/maps?f=q&amp;hl=en&amp;geocode=&amp;q=39.58994,-110.80984</v>
      </c>
    </row>
    <row r="13582" spans="1:7" ht="15" x14ac:dyDescent="0.3">
      <c r="A13582">
        <v>37.108328040074902</v>
      </c>
      <c r="B13582">
        <v>-82.364534307418396</v>
      </c>
      <c r="C13582" t="s">
        <v>41</v>
      </c>
      <c r="D13582" t="s">
        <v>7429</v>
      </c>
      <c r="F13582" s="21"/>
      <c r="G13582" s="16" t="str">
        <f>HYPERLINK("http://maps.google.com/maps?f=q&amp;hl=en&amp;geocode=&amp;q=37.1083280400749,-82.3645343074184")</f>
        <v>http://maps.google.com/maps?f=q&amp;hl=en&amp;geocode=&amp;q=37.1083280400749,-82.3645343074184</v>
      </c>
    </row>
    <row r="13583" spans="1:7" ht="15" x14ac:dyDescent="0.3">
      <c r="A13583">
        <v>37.108328040074902</v>
      </c>
      <c r="B13583">
        <v>-82.364534307418396</v>
      </c>
      <c r="C13583" t="s">
        <v>41</v>
      </c>
      <c r="D13583" t="s">
        <v>7429</v>
      </c>
      <c r="F13583" s="21"/>
      <c r="G13583" s="16" t="str">
        <f>HYPERLINK("http://maps.google.com/maps?f=q&amp;hl=en&amp;geocode=&amp;q=37.1083280400749,-82.3645343074184")</f>
        <v>http://maps.google.com/maps?f=q&amp;hl=en&amp;geocode=&amp;q=37.1083280400749,-82.3645343074184</v>
      </c>
    </row>
    <row r="13584" spans="1:7" ht="15" x14ac:dyDescent="0.3">
      <c r="A13584">
        <v>37.108328040074902</v>
      </c>
      <c r="B13584">
        <v>-82.364534307418396</v>
      </c>
      <c r="C13584" t="s">
        <v>41</v>
      </c>
      <c r="D13584" t="s">
        <v>7429</v>
      </c>
      <c r="F13584" s="21"/>
      <c r="G13584" s="16" t="str">
        <f>HYPERLINK("http://maps.google.com/maps?f=q&amp;hl=en&amp;geocode=&amp;q=37.1083280400749,-82.3645343074184")</f>
        <v>http://maps.google.com/maps?f=q&amp;hl=en&amp;geocode=&amp;q=37.1083280400749,-82.3645343074184</v>
      </c>
    </row>
    <row r="13585" spans="1:7" ht="15" x14ac:dyDescent="0.3">
      <c r="A13585" t="s">
        <v>44</v>
      </c>
      <c r="B13585" t="s">
        <v>44</v>
      </c>
      <c r="C13585" t="s">
        <v>44</v>
      </c>
      <c r="D13585" t="s">
        <v>75</v>
      </c>
      <c r="F13585" s="21"/>
      <c r="G13585" s="16"/>
    </row>
    <row r="13586" spans="1:7" ht="15" x14ac:dyDescent="0.3">
      <c r="A13586">
        <v>7.3835182189941397</v>
      </c>
      <c r="B13586">
        <v>-12.2588081359863</v>
      </c>
      <c r="C13586" t="s">
        <v>41</v>
      </c>
      <c r="D13586" t="s">
        <v>202</v>
      </c>
      <c r="F13586" s="21"/>
      <c r="G13586" s="16" t="str">
        <f>HYPERLINK("http://maps.google.com/maps?f=q&amp;hl=en&amp;geocode=&amp;q=7.38351821899414,-12.2588081359863")</f>
        <v>http://maps.google.com/maps?f=q&amp;hl=en&amp;geocode=&amp;q=7.38351821899414,-12.2588081359863</v>
      </c>
    </row>
    <row r="13587" spans="1:7" ht="15" x14ac:dyDescent="0.3">
      <c r="A13587" t="s">
        <v>44</v>
      </c>
      <c r="B13587" t="s">
        <v>44</v>
      </c>
      <c r="C13587" t="s">
        <v>44</v>
      </c>
      <c r="D13587" t="s">
        <v>7430</v>
      </c>
      <c r="F13587" s="21"/>
      <c r="G13587" s="16"/>
    </row>
    <row r="13588" spans="1:7" ht="15" x14ac:dyDescent="0.3">
      <c r="A13588">
        <v>42.281993865966797</v>
      </c>
      <c r="B13588">
        <v>23.887126922607401</v>
      </c>
      <c r="C13588" t="s">
        <v>43</v>
      </c>
      <c r="D13588" t="s">
        <v>7431</v>
      </c>
      <c r="F13588" s="21"/>
      <c r="G13588" s="16" t="str">
        <f>HYPERLINK("http://maps.google.com/maps?f=q&amp;hl=en&amp;geocode=&amp;q=42.2819938659668,23.8871269226074")</f>
        <v>http://maps.google.com/maps?f=q&amp;hl=en&amp;geocode=&amp;q=42.2819938659668,23.8871269226074</v>
      </c>
    </row>
    <row r="13589" spans="1:7" ht="15" x14ac:dyDescent="0.3">
      <c r="A13589">
        <v>37.389617952158503</v>
      </c>
      <c r="B13589">
        <v>-78.371674258435107</v>
      </c>
      <c r="C13589" t="s">
        <v>41</v>
      </c>
      <c r="D13589" t="s">
        <v>7432</v>
      </c>
      <c r="F13589" s="21"/>
      <c r="G13589" s="16" t="str">
        <f>HYPERLINK("http://maps.google.com/maps?f=q&amp;hl=en&amp;geocode=&amp;q=37.3896179521585,-78.3716742584351")</f>
        <v>http://maps.google.com/maps?f=q&amp;hl=en&amp;geocode=&amp;q=37.3896179521585,-78.3716742584351</v>
      </c>
    </row>
    <row r="13590" spans="1:7" ht="15" x14ac:dyDescent="0.3">
      <c r="A13590">
        <v>37.389617952158503</v>
      </c>
      <c r="B13590">
        <v>-78.371674258435107</v>
      </c>
      <c r="C13590" t="s">
        <v>41</v>
      </c>
      <c r="D13590" t="s">
        <v>7432</v>
      </c>
      <c r="F13590" s="21"/>
      <c r="G13590" s="16" t="str">
        <f>HYPERLINK("http://maps.google.com/maps?f=q&amp;hl=en&amp;geocode=&amp;q=37.3896179521585,-78.3716742584351")</f>
        <v>http://maps.google.com/maps?f=q&amp;hl=en&amp;geocode=&amp;q=37.3896179521585,-78.3716742584351</v>
      </c>
    </row>
    <row r="13591" spans="1:7" ht="15" x14ac:dyDescent="0.3">
      <c r="A13591">
        <v>37.389617952158503</v>
      </c>
      <c r="B13591">
        <v>-78.371674258435107</v>
      </c>
      <c r="C13591" t="s">
        <v>41</v>
      </c>
      <c r="D13591" t="s">
        <v>7432</v>
      </c>
      <c r="F13591" s="21"/>
      <c r="G13591" s="16" t="str">
        <f>HYPERLINK("http://maps.google.com/maps?f=q&amp;hl=en&amp;geocode=&amp;q=37.3896179521585,-78.3716742584351")</f>
        <v>http://maps.google.com/maps?f=q&amp;hl=en&amp;geocode=&amp;q=37.3896179521585,-78.3716742584351</v>
      </c>
    </row>
    <row r="13592" spans="1:7" ht="15" x14ac:dyDescent="0.3">
      <c r="A13592">
        <v>28.890840000000001</v>
      </c>
      <c r="B13592">
        <v>-81.257949999999994</v>
      </c>
      <c r="C13592" t="s">
        <v>42</v>
      </c>
      <c r="D13592" t="s">
        <v>7433</v>
      </c>
      <c r="F13592" s="21"/>
      <c r="G13592" s="16" t="str">
        <f>HYPERLINK("http://maps.google.com/maps?f=q&amp;hl=en&amp;geocode=&amp;q=28.89084,-81.25795")</f>
        <v>http://maps.google.com/maps?f=q&amp;hl=en&amp;geocode=&amp;q=28.89084,-81.25795</v>
      </c>
    </row>
    <row r="13593" spans="1:7" ht="15" x14ac:dyDescent="0.3">
      <c r="A13593">
        <v>44.435090025730297</v>
      </c>
      <c r="B13593">
        <v>-85.721582215330301</v>
      </c>
      <c r="C13593" t="s">
        <v>41</v>
      </c>
      <c r="D13593" t="s">
        <v>7434</v>
      </c>
      <c r="F13593" s="21"/>
      <c r="G13593" s="16" t="str">
        <f>HYPERLINK("http://maps.google.com/maps?f=q&amp;hl=en&amp;geocode=&amp;q=44.4350900257303,-85.7215822153303")</f>
        <v>http://maps.google.com/maps?f=q&amp;hl=en&amp;geocode=&amp;q=44.4350900257303,-85.7215822153303</v>
      </c>
    </row>
    <row r="13594" spans="1:7" ht="15" x14ac:dyDescent="0.3">
      <c r="A13594">
        <v>44.435090025730297</v>
      </c>
      <c r="B13594">
        <v>-85.721582215330301</v>
      </c>
      <c r="C13594" t="s">
        <v>41</v>
      </c>
      <c r="D13594" t="s">
        <v>7434</v>
      </c>
      <c r="F13594" s="21"/>
      <c r="G13594" s="16" t="str">
        <f>HYPERLINK("http://maps.google.com/maps?f=q&amp;hl=en&amp;geocode=&amp;q=44.4350900257303,-85.7215822153303")</f>
        <v>http://maps.google.com/maps?f=q&amp;hl=en&amp;geocode=&amp;q=44.4350900257303,-85.7215822153303</v>
      </c>
    </row>
    <row r="13595" spans="1:7" ht="15" x14ac:dyDescent="0.3">
      <c r="A13595">
        <v>47.068611145019503</v>
      </c>
      <c r="B13595">
        <v>15.4432697296143</v>
      </c>
      <c r="C13595" t="s">
        <v>41</v>
      </c>
      <c r="D13595" t="s">
        <v>6906</v>
      </c>
      <c r="F13595" s="21"/>
      <c r="G13595" s="16" t="str">
        <f>HYPERLINK("http://maps.google.com/maps?f=q&amp;hl=en&amp;geocode=&amp;q=47.0686111450195,15.4432697296143")</f>
        <v>http://maps.google.com/maps?f=q&amp;hl=en&amp;geocode=&amp;q=47.0686111450195,15.4432697296143</v>
      </c>
    </row>
    <row r="13596" spans="1:7" ht="15" x14ac:dyDescent="0.3">
      <c r="A13596">
        <v>38.922060162796797</v>
      </c>
      <c r="B13596">
        <v>-76.517185952754502</v>
      </c>
      <c r="C13596" t="s">
        <v>41</v>
      </c>
      <c r="D13596" t="s">
        <v>7435</v>
      </c>
      <c r="F13596" s="21"/>
      <c r="G13596" s="16" t="str">
        <f>HYPERLINK("http://maps.google.com/maps?f=q&amp;hl=en&amp;geocode=&amp;q=38.9220601627968,-76.5171859527545")</f>
        <v>http://maps.google.com/maps?f=q&amp;hl=en&amp;geocode=&amp;q=38.9220601627968,-76.5171859527545</v>
      </c>
    </row>
    <row r="13597" spans="1:7" ht="15" x14ac:dyDescent="0.3">
      <c r="A13597">
        <v>39.971870000000003</v>
      </c>
      <c r="B13597">
        <v>-75.235990000000001</v>
      </c>
      <c r="C13597" t="s">
        <v>42</v>
      </c>
      <c r="D13597" t="s">
        <v>7436</v>
      </c>
      <c r="F13597" s="21"/>
      <c r="G13597" s="16" t="str">
        <f>HYPERLINK("http://maps.google.com/maps?f=q&amp;hl=en&amp;geocode=&amp;q=39.97187,-75.23599")</f>
        <v>http://maps.google.com/maps?f=q&amp;hl=en&amp;geocode=&amp;q=39.97187,-75.23599</v>
      </c>
    </row>
    <row r="13598" spans="1:7" ht="15" x14ac:dyDescent="0.3">
      <c r="A13598" t="s">
        <v>44</v>
      </c>
      <c r="B13598" t="s">
        <v>44</v>
      </c>
      <c r="C13598" t="s">
        <v>44</v>
      </c>
      <c r="D13598" t="s">
        <v>7437</v>
      </c>
      <c r="F13598" s="21"/>
      <c r="G13598" s="16"/>
    </row>
    <row r="13599" spans="1:7" ht="15" x14ac:dyDescent="0.3">
      <c r="A13599" t="s">
        <v>44</v>
      </c>
      <c r="B13599" t="s">
        <v>44</v>
      </c>
      <c r="C13599" t="s">
        <v>44</v>
      </c>
      <c r="D13599" t="s">
        <v>7437</v>
      </c>
      <c r="F13599" s="21"/>
      <c r="G13599" s="16"/>
    </row>
    <row r="13600" spans="1:7" ht="15" x14ac:dyDescent="0.3">
      <c r="A13600">
        <v>-33.299518585205099</v>
      </c>
      <c r="B13600">
        <v>149.01606750488301</v>
      </c>
      <c r="C13600" t="s">
        <v>43</v>
      </c>
      <c r="D13600" t="s">
        <v>7438</v>
      </c>
      <c r="F13600" s="21"/>
      <c r="G13600" s="16" t="str">
        <f>HYPERLINK("http://maps.google.com/maps?f=q&amp;hl=en&amp;geocode=&amp;q=-33.2995185852051,149.016067504883")</f>
        <v>http://maps.google.com/maps?f=q&amp;hl=en&amp;geocode=&amp;q=-33.2995185852051,149.016067504883</v>
      </c>
    </row>
    <row r="13601" spans="1:7" ht="15" x14ac:dyDescent="0.3">
      <c r="A13601">
        <v>42.541233794245301</v>
      </c>
      <c r="B13601">
        <v>-94.089801267940999</v>
      </c>
      <c r="C13601" t="s">
        <v>41</v>
      </c>
      <c r="D13601" t="s">
        <v>7439</v>
      </c>
      <c r="F13601" s="21"/>
      <c r="G13601" s="16" t="str">
        <f>HYPERLINK("http://maps.google.com/maps?f=q&amp;hl=en&amp;geocode=&amp;q=42.5412337942453,-94.089801267941")</f>
        <v>http://maps.google.com/maps?f=q&amp;hl=en&amp;geocode=&amp;q=42.5412337942453,-94.089801267941</v>
      </c>
    </row>
    <row r="13602" spans="1:7" ht="15" x14ac:dyDescent="0.3">
      <c r="A13602">
        <v>43.235974876608402</v>
      </c>
      <c r="B13602">
        <v>-78.663675463699704</v>
      </c>
      <c r="C13602" t="s">
        <v>43</v>
      </c>
      <c r="D13602" t="s">
        <v>7440</v>
      </c>
      <c r="F13602" s="21"/>
      <c r="G13602" s="16" t="str">
        <f>HYPERLINK("http://maps.google.com/maps?f=q&amp;hl=en&amp;geocode=&amp;q=43.2359748766084,-78.6636754636997")</f>
        <v>http://maps.google.com/maps?f=q&amp;hl=en&amp;geocode=&amp;q=43.2359748766084,-78.6636754636997</v>
      </c>
    </row>
    <row r="13603" spans="1:7" ht="15" x14ac:dyDescent="0.3">
      <c r="A13603">
        <v>39.920969999999997</v>
      </c>
      <c r="B13603">
        <v>-75.174419999999998</v>
      </c>
      <c r="C13603" t="s">
        <v>41</v>
      </c>
      <c r="D13603" t="s">
        <v>7441</v>
      </c>
      <c r="F13603" s="21"/>
      <c r="G13603" s="16" t="str">
        <f>HYPERLINK("http://maps.google.com/maps?f=q&amp;hl=en&amp;geocode=&amp;q=39.92097,-75.17442")</f>
        <v>http://maps.google.com/maps?f=q&amp;hl=en&amp;geocode=&amp;q=39.92097,-75.17442</v>
      </c>
    </row>
    <row r="13604" spans="1:7" ht="15" x14ac:dyDescent="0.3">
      <c r="A13604">
        <v>39.054660797119098</v>
      </c>
      <c r="B13604">
        <v>-93.975875854492202</v>
      </c>
      <c r="C13604" t="s">
        <v>43</v>
      </c>
      <c r="D13604" t="s">
        <v>7442</v>
      </c>
      <c r="F13604" s="21"/>
      <c r="G13604" s="16" t="str">
        <f>HYPERLINK("http://maps.google.com/maps?f=q&amp;hl=en&amp;geocode=&amp;q=39.0546607971191,-93.9758758544922")</f>
        <v>http://maps.google.com/maps?f=q&amp;hl=en&amp;geocode=&amp;q=39.0546607971191,-93.9758758544922</v>
      </c>
    </row>
    <row r="13605" spans="1:7" ht="15" x14ac:dyDescent="0.3">
      <c r="A13605" t="s">
        <v>44</v>
      </c>
      <c r="B13605" t="s">
        <v>44</v>
      </c>
      <c r="C13605" t="s">
        <v>44</v>
      </c>
      <c r="D13605" t="s">
        <v>3866</v>
      </c>
      <c r="F13605" s="21"/>
      <c r="G13605" s="16"/>
    </row>
    <row r="13606" spans="1:7" ht="15" x14ac:dyDescent="0.3">
      <c r="A13606" t="s">
        <v>44</v>
      </c>
      <c r="B13606" t="s">
        <v>44</v>
      </c>
      <c r="C13606" t="s">
        <v>44</v>
      </c>
      <c r="D13606" t="s">
        <v>7443</v>
      </c>
      <c r="F13606" s="21"/>
      <c r="G13606" s="16"/>
    </row>
    <row r="13607" spans="1:7" ht="15" x14ac:dyDescent="0.3">
      <c r="A13607" t="s">
        <v>44</v>
      </c>
      <c r="B13607" t="s">
        <v>44</v>
      </c>
      <c r="C13607" t="s">
        <v>44</v>
      </c>
      <c r="D13607" t="s">
        <v>3866</v>
      </c>
      <c r="F13607" s="21"/>
      <c r="G13607" s="16"/>
    </row>
    <row r="13608" spans="1:7" ht="15" x14ac:dyDescent="0.3">
      <c r="A13608" t="s">
        <v>44</v>
      </c>
      <c r="B13608" t="s">
        <v>44</v>
      </c>
      <c r="C13608" t="s">
        <v>44</v>
      </c>
      <c r="D13608" t="s">
        <v>3866</v>
      </c>
      <c r="F13608" s="21"/>
      <c r="G13608" s="16"/>
    </row>
    <row r="13609" spans="1:7" ht="15" x14ac:dyDescent="0.3">
      <c r="A13609" t="s">
        <v>44</v>
      </c>
      <c r="B13609" t="s">
        <v>44</v>
      </c>
      <c r="C13609" t="s">
        <v>44</v>
      </c>
      <c r="D13609" t="s">
        <v>7418</v>
      </c>
      <c r="F13609" s="21"/>
      <c r="G13609" s="16"/>
    </row>
    <row r="13610" spans="1:7" ht="15" x14ac:dyDescent="0.3">
      <c r="A13610">
        <v>53.198951721191399</v>
      </c>
      <c r="B13610">
        <v>-105.47324371337901</v>
      </c>
      <c r="C13610" t="s">
        <v>43</v>
      </c>
      <c r="D13610" t="s">
        <v>7444</v>
      </c>
      <c r="F13610" s="21"/>
      <c r="G13610" s="16" t="str">
        <f>HYPERLINK("http://maps.google.com/maps?f=q&amp;hl=en&amp;geocode=&amp;q=53.1989517211914,-105.473243713379")</f>
        <v>http://maps.google.com/maps?f=q&amp;hl=en&amp;geocode=&amp;q=53.1989517211914,-105.473243713379</v>
      </c>
    </row>
    <row r="13611" spans="1:7" ht="15" x14ac:dyDescent="0.3">
      <c r="A13611">
        <v>39.943570000000001</v>
      </c>
      <c r="B13611">
        <v>-75.177009999999996</v>
      </c>
      <c r="C13611" t="s">
        <v>41</v>
      </c>
      <c r="D13611" t="s">
        <v>7445</v>
      </c>
      <c r="F13611" s="21"/>
      <c r="G13611" s="16" t="str">
        <f>HYPERLINK("http://maps.google.com/maps?f=q&amp;hl=en&amp;geocode=&amp;q=39.94357,-75.17701")</f>
        <v>http://maps.google.com/maps?f=q&amp;hl=en&amp;geocode=&amp;q=39.94357,-75.17701</v>
      </c>
    </row>
    <row r="13612" spans="1:7" ht="15" x14ac:dyDescent="0.3">
      <c r="A13612">
        <v>-27.114944458007798</v>
      </c>
      <c r="B13612">
        <v>152.37585449218801</v>
      </c>
      <c r="C13612" t="s">
        <v>43</v>
      </c>
      <c r="D13612" t="s">
        <v>7446</v>
      </c>
      <c r="F13612" s="21"/>
      <c r="G13612" s="16" t="str">
        <f>HYPERLINK("http://maps.google.com/maps?f=q&amp;hl=en&amp;geocode=&amp;q=-27.1149444580078,152.375854492188")</f>
        <v>http://maps.google.com/maps?f=q&amp;hl=en&amp;geocode=&amp;q=-27.1149444580078,152.375854492188</v>
      </c>
    </row>
    <row r="13613" spans="1:7" ht="15" x14ac:dyDescent="0.3">
      <c r="A13613">
        <v>39.939839999999997</v>
      </c>
      <c r="B13613">
        <v>-75.176130000000001</v>
      </c>
      <c r="C13613" t="s">
        <v>43</v>
      </c>
      <c r="D13613" t="s">
        <v>5893</v>
      </c>
      <c r="F13613" s="21"/>
      <c r="G13613" s="16" t="str">
        <f>HYPERLINK("http://maps.google.com/maps?f=q&amp;hl=en&amp;geocode=&amp;q=39.93984,-75.17613")</f>
        <v>http://maps.google.com/maps?f=q&amp;hl=en&amp;geocode=&amp;q=39.93984,-75.17613</v>
      </c>
    </row>
    <row r="13614" spans="1:7" ht="15" x14ac:dyDescent="0.3">
      <c r="A13614">
        <v>54.112960815429702</v>
      </c>
      <c r="B13614">
        <v>-3.19109010696411</v>
      </c>
      <c r="C13614" t="s">
        <v>41</v>
      </c>
      <c r="D13614" t="s">
        <v>7447</v>
      </c>
      <c r="F13614" s="21"/>
      <c r="G13614" s="16" t="str">
        <f>HYPERLINK("http://maps.google.com/maps?f=q&amp;hl=en&amp;geocode=&amp;q=54.1129608154297,-3.19109010696411")</f>
        <v>http://maps.google.com/maps?f=q&amp;hl=en&amp;geocode=&amp;q=54.1129608154297,-3.19109010696411</v>
      </c>
    </row>
    <row r="13615" spans="1:7" ht="15" x14ac:dyDescent="0.3">
      <c r="A13615">
        <v>53.198951721191399</v>
      </c>
      <c r="B13615">
        <v>-105.47324371337901</v>
      </c>
      <c r="C13615" t="s">
        <v>43</v>
      </c>
      <c r="D13615" t="s">
        <v>7448</v>
      </c>
      <c r="F13615" s="21"/>
      <c r="G13615" s="16" t="str">
        <f>HYPERLINK("http://maps.google.com/maps?f=q&amp;hl=en&amp;geocode=&amp;q=53.1989517211914,-105.473243713379")</f>
        <v>http://maps.google.com/maps?f=q&amp;hl=en&amp;geocode=&amp;q=53.1989517211914,-105.473243713379</v>
      </c>
    </row>
    <row r="13616" spans="1:7" ht="15" x14ac:dyDescent="0.3">
      <c r="A13616">
        <v>35.644132448771302</v>
      </c>
      <c r="B13616">
        <v>-101.45130037774599</v>
      </c>
      <c r="C13616" t="s">
        <v>43</v>
      </c>
      <c r="D13616" t="s">
        <v>2158</v>
      </c>
      <c r="F13616" s="21"/>
      <c r="G13616" s="16" t="str">
        <f>HYPERLINK("http://maps.google.com/maps?f=q&amp;hl=en&amp;geocode=&amp;q=35.6441324487713,-101.451300377746")</f>
        <v>http://maps.google.com/maps?f=q&amp;hl=en&amp;geocode=&amp;q=35.6441324487713,-101.451300377746</v>
      </c>
    </row>
    <row r="13617" spans="1:7" ht="15" x14ac:dyDescent="0.3">
      <c r="A13617">
        <v>40.044789999999999</v>
      </c>
      <c r="B13617">
        <v>-75.220219999999998</v>
      </c>
      <c r="C13617" t="s">
        <v>43</v>
      </c>
      <c r="D13617" t="s">
        <v>7449</v>
      </c>
      <c r="F13617" s="21"/>
      <c r="G13617" s="16" t="str">
        <f>HYPERLINK("http://maps.google.com/maps?f=q&amp;hl=en&amp;geocode=&amp;q=40.04479,-75.22022")</f>
        <v>http://maps.google.com/maps?f=q&amp;hl=en&amp;geocode=&amp;q=40.04479,-75.22022</v>
      </c>
    </row>
    <row r="13618" spans="1:7" ht="15" x14ac:dyDescent="0.3">
      <c r="D13618" s="25"/>
      <c r="F13618" s="21"/>
      <c r="G13618" s="16"/>
    </row>
    <row r="13619" spans="1:7" ht="15" x14ac:dyDescent="0.3">
      <c r="D13619" s="25"/>
      <c r="F13619" s="21"/>
      <c r="G13619" s="16"/>
    </row>
    <row r="13620" spans="1:7" ht="15" x14ac:dyDescent="0.3">
      <c r="D13620" s="25"/>
      <c r="F13620" s="21"/>
      <c r="G13620" s="16"/>
    </row>
    <row r="13621" spans="1:7" ht="15" x14ac:dyDescent="0.3">
      <c r="D13621" s="25"/>
      <c r="F13621" s="21"/>
      <c r="G13621" s="16"/>
    </row>
    <row r="13622" spans="1:7" ht="15" x14ac:dyDescent="0.3">
      <c r="D13622" s="25"/>
      <c r="F13622" s="21"/>
      <c r="G13622" s="16"/>
    </row>
    <row r="13623" spans="1:7" ht="15" x14ac:dyDescent="0.3">
      <c r="D13623" s="25"/>
      <c r="F13623" s="21"/>
      <c r="G13623" s="16"/>
    </row>
    <row r="13624" spans="1:7" ht="15" x14ac:dyDescent="0.3">
      <c r="D13624" s="25"/>
      <c r="F13624" s="21"/>
      <c r="G13624" s="16"/>
    </row>
    <row r="13625" spans="1:7" ht="15" x14ac:dyDescent="0.3">
      <c r="D13625" s="25"/>
      <c r="F13625" s="21"/>
      <c r="G13625" s="16"/>
    </row>
    <row r="13626" spans="1:7" ht="15" x14ac:dyDescent="0.3">
      <c r="D13626" s="25"/>
      <c r="F13626" s="21"/>
      <c r="G13626" s="16"/>
    </row>
    <row r="13627" spans="1:7" ht="15" x14ac:dyDescent="0.3">
      <c r="D13627" s="25"/>
      <c r="F13627" s="21"/>
      <c r="G13627" s="16"/>
    </row>
    <row r="13628" spans="1:7" ht="15" x14ac:dyDescent="0.3">
      <c r="D13628" s="25"/>
      <c r="F13628" s="21"/>
      <c r="G13628" s="16"/>
    </row>
    <row r="13629" spans="1:7" ht="15" x14ac:dyDescent="0.3">
      <c r="D13629" s="25"/>
      <c r="F13629" s="21"/>
      <c r="G13629" s="16"/>
    </row>
    <row r="13630" spans="1:7" ht="15" x14ac:dyDescent="0.3">
      <c r="D13630" s="25"/>
      <c r="F13630" s="21"/>
      <c r="G13630" s="16"/>
    </row>
    <row r="13631" spans="1:7" ht="15" x14ac:dyDescent="0.3">
      <c r="D13631" s="25"/>
      <c r="F13631" s="21"/>
      <c r="G13631" s="16"/>
    </row>
    <row r="13632" spans="1:7" ht="15" x14ac:dyDescent="0.3">
      <c r="D13632" s="25"/>
      <c r="F13632" s="21"/>
      <c r="G13632" s="16"/>
    </row>
    <row r="13633" spans="4:7" ht="15" x14ac:dyDescent="0.3">
      <c r="D13633" s="25"/>
      <c r="F13633" s="21"/>
      <c r="G13633" s="16"/>
    </row>
    <row r="13634" spans="4:7" ht="15" x14ac:dyDescent="0.3">
      <c r="D13634" s="25"/>
      <c r="F13634" s="21"/>
      <c r="G13634" s="16"/>
    </row>
    <row r="13635" spans="4:7" ht="15" x14ac:dyDescent="0.3">
      <c r="D13635" s="25"/>
      <c r="F13635" s="21"/>
      <c r="G13635" s="16"/>
    </row>
    <row r="13636" spans="4:7" ht="15" x14ac:dyDescent="0.3">
      <c r="D13636" s="25"/>
      <c r="F13636" s="21"/>
      <c r="G13636" s="16"/>
    </row>
    <row r="13637" spans="4:7" ht="15" x14ac:dyDescent="0.3">
      <c r="D13637" s="25"/>
      <c r="F13637" s="21"/>
      <c r="G13637" s="16"/>
    </row>
    <row r="13638" spans="4:7" ht="15" x14ac:dyDescent="0.3">
      <c r="D13638" s="25"/>
      <c r="F13638" s="21"/>
      <c r="G13638" s="16"/>
    </row>
    <row r="13639" spans="4:7" ht="15" x14ac:dyDescent="0.3">
      <c r="D13639" s="25"/>
      <c r="F13639" s="21"/>
      <c r="G13639" s="16"/>
    </row>
    <row r="13640" spans="4:7" ht="15" x14ac:dyDescent="0.3">
      <c r="D13640" s="25"/>
      <c r="F13640" s="21"/>
      <c r="G13640" s="16"/>
    </row>
    <row r="13641" spans="4:7" ht="15" x14ac:dyDescent="0.3">
      <c r="D13641" s="25"/>
      <c r="F13641" s="21"/>
      <c r="G13641" s="16"/>
    </row>
    <row r="13642" spans="4:7" ht="15" x14ac:dyDescent="0.3">
      <c r="D13642" s="25"/>
      <c r="F13642" s="21"/>
      <c r="G13642" s="16"/>
    </row>
    <row r="13643" spans="4:7" ht="15" x14ac:dyDescent="0.3">
      <c r="D13643" s="25"/>
      <c r="F13643" s="21"/>
      <c r="G13643" s="16"/>
    </row>
    <row r="13644" spans="4:7" ht="15" x14ac:dyDescent="0.3">
      <c r="D13644" s="25"/>
      <c r="F13644" s="21"/>
      <c r="G13644" s="16"/>
    </row>
    <row r="13645" spans="4:7" ht="15" x14ac:dyDescent="0.3">
      <c r="D13645" s="25"/>
      <c r="F13645" s="21"/>
      <c r="G13645" s="16"/>
    </row>
    <row r="13646" spans="4:7" ht="15" x14ac:dyDescent="0.3">
      <c r="D13646" s="25"/>
      <c r="F13646" s="21"/>
      <c r="G13646" s="16"/>
    </row>
    <row r="13647" spans="4:7" ht="15" x14ac:dyDescent="0.3">
      <c r="D13647" s="25"/>
      <c r="F13647" s="21"/>
      <c r="G13647" s="16"/>
    </row>
    <row r="13648" spans="4:7" ht="15" x14ac:dyDescent="0.3">
      <c r="D13648" s="25"/>
      <c r="F13648" s="21"/>
      <c r="G13648" s="16"/>
    </row>
    <row r="13649" spans="4:7" ht="15" x14ac:dyDescent="0.3">
      <c r="D13649" s="25"/>
      <c r="F13649" s="21"/>
      <c r="G13649" s="16"/>
    </row>
    <row r="13650" spans="4:7" ht="15" x14ac:dyDescent="0.3">
      <c r="D13650" s="25"/>
      <c r="F13650" s="21"/>
      <c r="G13650" s="16"/>
    </row>
    <row r="13651" spans="4:7" ht="15" x14ac:dyDescent="0.3">
      <c r="D13651" s="25"/>
      <c r="F13651" s="21"/>
      <c r="G13651" s="16"/>
    </row>
    <row r="13652" spans="4:7" ht="15" x14ac:dyDescent="0.3">
      <c r="D13652" s="25"/>
      <c r="F13652" s="21"/>
      <c r="G13652" s="16"/>
    </row>
    <row r="13653" spans="4:7" ht="15" x14ac:dyDescent="0.3">
      <c r="D13653" s="25"/>
      <c r="F13653" s="21"/>
      <c r="G13653" s="16"/>
    </row>
    <row r="13654" spans="4:7" ht="15" x14ac:dyDescent="0.3">
      <c r="D13654" s="25"/>
      <c r="F13654" s="21"/>
      <c r="G13654" s="16"/>
    </row>
    <row r="13655" spans="4:7" ht="15" x14ac:dyDescent="0.3">
      <c r="D13655" s="25"/>
      <c r="F13655" s="21"/>
      <c r="G13655" s="16"/>
    </row>
    <row r="13656" spans="4:7" ht="15" x14ac:dyDescent="0.3">
      <c r="D13656" s="25"/>
      <c r="F13656" s="21"/>
      <c r="G13656" s="16"/>
    </row>
    <row r="13657" spans="4:7" ht="15" x14ac:dyDescent="0.3">
      <c r="D13657" s="25"/>
      <c r="F13657" s="21"/>
      <c r="G13657" s="16"/>
    </row>
    <row r="13658" spans="4:7" ht="15" x14ac:dyDescent="0.3">
      <c r="D13658" s="25"/>
      <c r="F13658" s="21"/>
      <c r="G13658" s="16"/>
    </row>
    <row r="13659" spans="4:7" ht="15" x14ac:dyDescent="0.3">
      <c r="D13659" s="25"/>
      <c r="F13659" s="21"/>
      <c r="G13659" s="16"/>
    </row>
    <row r="13660" spans="4:7" ht="15" x14ac:dyDescent="0.3">
      <c r="D13660" s="25"/>
      <c r="F13660" s="21"/>
      <c r="G13660" s="16"/>
    </row>
    <row r="13661" spans="4:7" ht="15" x14ac:dyDescent="0.3">
      <c r="D13661" s="25"/>
      <c r="F13661" s="21"/>
      <c r="G13661" s="16"/>
    </row>
    <row r="13662" spans="4:7" ht="15" x14ac:dyDescent="0.3">
      <c r="D13662" s="25"/>
      <c r="F13662" s="21"/>
      <c r="G13662" s="16"/>
    </row>
    <row r="13663" spans="4:7" ht="15" x14ac:dyDescent="0.3">
      <c r="D13663" s="25"/>
      <c r="F13663" s="21"/>
      <c r="G13663" s="16"/>
    </row>
    <row r="13664" spans="4:7" ht="15" x14ac:dyDescent="0.3">
      <c r="D13664" s="25"/>
      <c r="F13664" s="21"/>
      <c r="G13664" s="16"/>
    </row>
    <row r="13665" spans="4:7" ht="15" x14ac:dyDescent="0.3">
      <c r="D13665" s="25"/>
      <c r="F13665" s="21"/>
      <c r="G13665" s="16"/>
    </row>
    <row r="13666" spans="4:7" ht="15" x14ac:dyDescent="0.3">
      <c r="D13666" s="25"/>
      <c r="F13666" s="21"/>
      <c r="G13666" s="16"/>
    </row>
    <row r="13667" spans="4:7" ht="15" x14ac:dyDescent="0.3">
      <c r="D13667" s="25"/>
      <c r="F13667" s="21"/>
      <c r="G13667" s="16"/>
    </row>
    <row r="13668" spans="4:7" ht="15" x14ac:dyDescent="0.3">
      <c r="D13668" s="25"/>
      <c r="F13668" s="21"/>
      <c r="G13668" s="16"/>
    </row>
    <row r="13669" spans="4:7" ht="15" x14ac:dyDescent="0.3">
      <c r="D13669" s="25"/>
      <c r="F13669" s="21"/>
      <c r="G13669" s="16"/>
    </row>
    <row r="13670" spans="4:7" ht="15" x14ac:dyDescent="0.3">
      <c r="D13670" s="25"/>
      <c r="F13670" s="21"/>
      <c r="G13670" s="16"/>
    </row>
    <row r="13671" spans="4:7" ht="15" x14ac:dyDescent="0.3">
      <c r="D13671" s="25"/>
      <c r="F13671" s="21"/>
      <c r="G13671" s="16"/>
    </row>
    <row r="13672" spans="4:7" ht="15" x14ac:dyDescent="0.3">
      <c r="D13672" s="25"/>
      <c r="F13672" s="21"/>
      <c r="G13672" s="16"/>
    </row>
    <row r="13673" spans="4:7" ht="15" x14ac:dyDescent="0.3">
      <c r="D13673" s="25"/>
      <c r="F13673" s="21"/>
      <c r="G13673" s="16"/>
    </row>
    <row r="13674" spans="4:7" ht="15" x14ac:dyDescent="0.3">
      <c r="D13674" s="25"/>
      <c r="F13674" s="21"/>
      <c r="G13674" s="16"/>
    </row>
    <row r="13675" spans="4:7" ht="15" x14ac:dyDescent="0.3">
      <c r="D13675" s="25"/>
      <c r="F13675" s="21"/>
      <c r="G13675" s="16"/>
    </row>
    <row r="13676" spans="4:7" ht="15" x14ac:dyDescent="0.3">
      <c r="D13676" s="25"/>
      <c r="F13676" s="21"/>
      <c r="G13676" s="16"/>
    </row>
    <row r="13677" spans="4:7" ht="15" x14ac:dyDescent="0.3">
      <c r="D13677" s="25"/>
      <c r="F13677" s="21"/>
      <c r="G13677" s="16"/>
    </row>
    <row r="13678" spans="4:7" ht="15" x14ac:dyDescent="0.3">
      <c r="D13678" s="25"/>
      <c r="F13678" s="21"/>
      <c r="G13678" s="16"/>
    </row>
    <row r="13679" spans="4:7" ht="15" x14ac:dyDescent="0.3">
      <c r="D13679" s="25"/>
      <c r="F13679" s="21"/>
      <c r="G13679" s="16"/>
    </row>
    <row r="13680" spans="4:7" ht="15" x14ac:dyDescent="0.3">
      <c r="D13680" s="25"/>
      <c r="F13680" s="21"/>
      <c r="G13680" s="16"/>
    </row>
    <row r="13681" spans="4:7" ht="15" x14ac:dyDescent="0.3">
      <c r="D13681" s="25"/>
      <c r="F13681" s="21"/>
      <c r="G13681" s="16"/>
    </row>
    <row r="13682" spans="4:7" ht="15" x14ac:dyDescent="0.3">
      <c r="D13682" s="25"/>
      <c r="F13682" s="21"/>
      <c r="G13682" s="16"/>
    </row>
    <row r="13683" spans="4:7" ht="15" x14ac:dyDescent="0.3">
      <c r="D13683" s="25"/>
      <c r="F13683" s="21"/>
      <c r="G13683" s="16"/>
    </row>
    <row r="13684" spans="4:7" ht="15" x14ac:dyDescent="0.3">
      <c r="D13684" s="25"/>
      <c r="F13684" s="21"/>
      <c r="G13684" s="16"/>
    </row>
    <row r="13685" spans="4:7" ht="15" x14ac:dyDescent="0.3">
      <c r="D13685" s="25"/>
      <c r="F13685" s="21"/>
      <c r="G13685" s="16"/>
    </row>
    <row r="13686" spans="4:7" ht="15" x14ac:dyDescent="0.3">
      <c r="D13686" s="25"/>
      <c r="F13686" s="21"/>
      <c r="G13686" s="16"/>
    </row>
    <row r="13687" spans="4:7" ht="15" x14ac:dyDescent="0.3">
      <c r="D13687" s="25"/>
      <c r="F13687" s="21"/>
      <c r="G13687" s="16"/>
    </row>
    <row r="13688" spans="4:7" ht="15" x14ac:dyDescent="0.3">
      <c r="D13688" s="25"/>
      <c r="F13688" s="21"/>
      <c r="G13688" s="16"/>
    </row>
    <row r="13689" spans="4:7" ht="15" x14ac:dyDescent="0.3">
      <c r="D13689" s="25"/>
      <c r="F13689" s="21"/>
      <c r="G13689" s="16"/>
    </row>
    <row r="13690" spans="4:7" ht="15" x14ac:dyDescent="0.3">
      <c r="D13690" s="25"/>
      <c r="F13690" s="21"/>
      <c r="G13690" s="16"/>
    </row>
    <row r="13691" spans="4:7" ht="15" x14ac:dyDescent="0.3">
      <c r="D13691" s="25"/>
      <c r="F13691" s="21"/>
      <c r="G13691" s="16"/>
    </row>
    <row r="13692" spans="4:7" ht="15" x14ac:dyDescent="0.3">
      <c r="D13692" s="25"/>
      <c r="F13692" s="21"/>
      <c r="G13692" s="16"/>
    </row>
    <row r="13693" spans="4:7" ht="15" x14ac:dyDescent="0.3">
      <c r="D13693" s="25"/>
      <c r="F13693" s="21"/>
      <c r="G13693" s="16"/>
    </row>
    <row r="13694" spans="4:7" ht="15" x14ac:dyDescent="0.3">
      <c r="D13694" s="25"/>
      <c r="F13694" s="21"/>
      <c r="G13694" s="16"/>
    </row>
    <row r="13695" spans="4:7" ht="15" x14ac:dyDescent="0.3">
      <c r="D13695" s="25"/>
      <c r="F13695" s="21"/>
      <c r="G13695" s="16"/>
    </row>
    <row r="13696" spans="4:7" ht="15" x14ac:dyDescent="0.3">
      <c r="D13696" s="25"/>
      <c r="F13696" s="21"/>
      <c r="G13696" s="16"/>
    </row>
    <row r="13697" spans="4:7" ht="15" x14ac:dyDescent="0.3">
      <c r="D13697" s="25"/>
      <c r="F13697" s="21"/>
      <c r="G13697" s="16"/>
    </row>
    <row r="13698" spans="4:7" ht="15" x14ac:dyDescent="0.3">
      <c r="D13698" s="25"/>
      <c r="F13698" s="21"/>
      <c r="G13698" s="16"/>
    </row>
    <row r="13699" spans="4:7" ht="15" x14ac:dyDescent="0.3">
      <c r="D13699" s="25"/>
      <c r="F13699" s="21"/>
      <c r="G13699" s="16"/>
    </row>
    <row r="13700" spans="4:7" ht="15" x14ac:dyDescent="0.3">
      <c r="D13700" s="25"/>
      <c r="F13700" s="21"/>
      <c r="G13700" s="16"/>
    </row>
    <row r="13701" spans="4:7" ht="15" x14ac:dyDescent="0.3">
      <c r="D13701" s="25"/>
      <c r="F13701" s="21"/>
      <c r="G13701" s="16"/>
    </row>
    <row r="13702" spans="4:7" ht="15" x14ac:dyDescent="0.3">
      <c r="D13702" s="25"/>
      <c r="F13702" s="21"/>
      <c r="G13702" s="16"/>
    </row>
    <row r="13703" spans="4:7" ht="15" x14ac:dyDescent="0.3">
      <c r="D13703" s="25"/>
      <c r="F13703" s="21"/>
      <c r="G13703" s="16"/>
    </row>
    <row r="13704" spans="4:7" ht="15" x14ac:dyDescent="0.3">
      <c r="D13704" s="25"/>
      <c r="F13704" s="21"/>
      <c r="G13704" s="16"/>
    </row>
    <row r="13705" spans="4:7" ht="15" x14ac:dyDescent="0.3">
      <c r="D13705" s="25"/>
      <c r="F13705" s="21"/>
      <c r="G13705" s="16"/>
    </row>
    <row r="13706" spans="4:7" ht="15" x14ac:dyDescent="0.3">
      <c r="D13706" s="25"/>
      <c r="F13706" s="21"/>
      <c r="G13706" s="16"/>
    </row>
    <row r="13707" spans="4:7" ht="15" x14ac:dyDescent="0.3">
      <c r="D13707" s="25"/>
      <c r="F13707" s="21"/>
      <c r="G13707" s="16"/>
    </row>
    <row r="13708" spans="4:7" ht="15" x14ac:dyDescent="0.3">
      <c r="D13708" s="25"/>
      <c r="F13708" s="21"/>
      <c r="G13708" s="16"/>
    </row>
    <row r="13709" spans="4:7" ht="15" x14ac:dyDescent="0.3">
      <c r="D13709" s="25"/>
      <c r="F13709" s="21"/>
      <c r="G13709" s="16"/>
    </row>
    <row r="13710" spans="4:7" ht="15" x14ac:dyDescent="0.3">
      <c r="D13710" s="25"/>
      <c r="F13710" s="21"/>
      <c r="G13710" s="16"/>
    </row>
    <row r="13711" spans="4:7" ht="15" x14ac:dyDescent="0.3">
      <c r="D13711" s="25"/>
      <c r="F13711" s="21"/>
      <c r="G13711" s="16"/>
    </row>
    <row r="13712" spans="4:7" ht="15" x14ac:dyDescent="0.3">
      <c r="D13712" s="25"/>
      <c r="F13712" s="21"/>
      <c r="G13712" s="16"/>
    </row>
    <row r="13713" spans="4:7" ht="15" x14ac:dyDescent="0.3">
      <c r="D13713" s="25"/>
      <c r="F13713" s="21"/>
      <c r="G13713" s="16"/>
    </row>
    <row r="13714" spans="4:7" ht="15" x14ac:dyDescent="0.3">
      <c r="D13714" s="25"/>
      <c r="F13714" s="21"/>
      <c r="G13714" s="16"/>
    </row>
    <row r="13715" spans="4:7" ht="15" x14ac:dyDescent="0.3">
      <c r="D13715" s="25"/>
      <c r="F13715" s="21"/>
      <c r="G13715" s="16"/>
    </row>
    <row r="13716" spans="4:7" ht="15" x14ac:dyDescent="0.3">
      <c r="D13716" s="25"/>
      <c r="F13716" s="21"/>
      <c r="G13716" s="16"/>
    </row>
    <row r="13717" spans="4:7" ht="15" x14ac:dyDescent="0.3">
      <c r="D13717" s="25"/>
      <c r="F13717" s="21"/>
      <c r="G13717" s="16"/>
    </row>
    <row r="13718" spans="4:7" ht="15" x14ac:dyDescent="0.3">
      <c r="D13718" s="25"/>
      <c r="F13718" s="21"/>
      <c r="G13718" s="16"/>
    </row>
    <row r="13719" spans="4:7" ht="15" x14ac:dyDescent="0.3">
      <c r="D13719" s="25"/>
      <c r="F13719" s="21"/>
      <c r="G13719" s="16"/>
    </row>
    <row r="13720" spans="4:7" ht="15" x14ac:dyDescent="0.3">
      <c r="D13720" s="25"/>
      <c r="F13720" s="21"/>
      <c r="G13720" s="16"/>
    </row>
    <row r="13721" spans="4:7" ht="15" x14ac:dyDescent="0.3">
      <c r="D13721" s="25"/>
      <c r="F13721" s="21"/>
      <c r="G13721" s="16"/>
    </row>
    <row r="13722" spans="4:7" ht="15" x14ac:dyDescent="0.3">
      <c r="D13722" s="25"/>
      <c r="F13722" s="21"/>
      <c r="G13722" s="16"/>
    </row>
    <row r="13723" spans="4:7" ht="15" x14ac:dyDescent="0.3">
      <c r="D13723" s="25"/>
      <c r="F13723" s="21"/>
      <c r="G13723" s="16"/>
    </row>
    <row r="13724" spans="4:7" ht="15" x14ac:dyDescent="0.3">
      <c r="D13724" s="25"/>
      <c r="F13724" s="21"/>
      <c r="G13724" s="16"/>
    </row>
    <row r="13725" spans="4:7" ht="15" x14ac:dyDescent="0.3">
      <c r="D13725" s="25"/>
      <c r="F13725" s="21"/>
      <c r="G13725" s="16"/>
    </row>
    <row r="13726" spans="4:7" ht="15" x14ac:dyDescent="0.3">
      <c r="D13726" s="25"/>
      <c r="F13726" s="21"/>
      <c r="G13726" s="16"/>
    </row>
    <row r="13727" spans="4:7" ht="15" x14ac:dyDescent="0.3">
      <c r="D13727" s="25"/>
      <c r="F13727" s="21"/>
      <c r="G13727" s="16"/>
    </row>
    <row r="13728" spans="4:7" ht="15" x14ac:dyDescent="0.3">
      <c r="D13728" s="25"/>
      <c r="F13728" s="21"/>
      <c r="G13728" s="16"/>
    </row>
    <row r="13729" spans="4:7" ht="15" x14ac:dyDescent="0.3">
      <c r="D13729" s="25"/>
      <c r="F13729" s="21"/>
      <c r="G13729" s="16"/>
    </row>
    <row r="13730" spans="4:7" ht="15" x14ac:dyDescent="0.3">
      <c r="D13730" s="25"/>
      <c r="F13730" s="21"/>
      <c r="G13730" s="16"/>
    </row>
    <row r="13731" spans="4:7" ht="15" x14ac:dyDescent="0.3">
      <c r="D13731" s="25"/>
      <c r="F13731" s="21"/>
      <c r="G13731" s="16"/>
    </row>
    <row r="13732" spans="4:7" ht="15" x14ac:dyDescent="0.3">
      <c r="D13732" s="25"/>
      <c r="F13732" s="21"/>
      <c r="G13732" s="16"/>
    </row>
    <row r="13733" spans="4:7" ht="15" x14ac:dyDescent="0.3">
      <c r="D13733" s="25"/>
      <c r="F13733" s="21"/>
      <c r="G13733" s="16"/>
    </row>
    <row r="13734" spans="4:7" ht="15" x14ac:dyDescent="0.3">
      <c r="D13734" s="25"/>
      <c r="F13734" s="21"/>
      <c r="G13734" s="16"/>
    </row>
    <row r="13735" spans="4:7" ht="15" x14ac:dyDescent="0.3">
      <c r="D13735" s="25"/>
      <c r="F13735" s="21"/>
      <c r="G13735" s="16"/>
    </row>
    <row r="13736" spans="4:7" ht="15" x14ac:dyDescent="0.3">
      <c r="D13736" s="25"/>
      <c r="F13736" s="21"/>
      <c r="G13736" s="16"/>
    </row>
    <row r="13737" spans="4:7" ht="15" x14ac:dyDescent="0.3">
      <c r="D13737" s="25"/>
      <c r="F13737" s="21"/>
      <c r="G13737" s="16"/>
    </row>
    <row r="13738" spans="4:7" ht="15" x14ac:dyDescent="0.3">
      <c r="D13738" s="25"/>
      <c r="F13738" s="21"/>
      <c r="G13738" s="16"/>
    </row>
    <row r="13739" spans="4:7" ht="15" x14ac:dyDescent="0.3">
      <c r="D13739" s="25"/>
      <c r="F13739" s="21"/>
      <c r="G13739" s="16"/>
    </row>
    <row r="13740" spans="4:7" ht="15" x14ac:dyDescent="0.3">
      <c r="D13740" s="25"/>
      <c r="F13740" s="21"/>
      <c r="G13740" s="16"/>
    </row>
    <row r="13741" spans="4:7" ht="15" x14ac:dyDescent="0.3">
      <c r="D13741" s="25"/>
      <c r="F13741" s="21"/>
      <c r="G13741" s="16"/>
    </row>
    <row r="13742" spans="4:7" ht="15" x14ac:dyDescent="0.3">
      <c r="D13742" s="25"/>
      <c r="F13742" s="21"/>
      <c r="G13742" s="16"/>
    </row>
    <row r="13743" spans="4:7" ht="15" x14ac:dyDescent="0.3">
      <c r="D13743" s="25"/>
      <c r="F13743" s="21"/>
      <c r="G13743" s="16"/>
    </row>
    <row r="13744" spans="4:7" ht="15" x14ac:dyDescent="0.3">
      <c r="D13744" s="25"/>
      <c r="F13744" s="21"/>
      <c r="G13744" s="16"/>
    </row>
    <row r="13745" spans="4:7" ht="15" x14ac:dyDescent="0.3">
      <c r="D13745" s="25"/>
      <c r="F13745" s="21"/>
      <c r="G13745" s="16"/>
    </row>
    <row r="13746" spans="4:7" ht="15" x14ac:dyDescent="0.3">
      <c r="D13746" s="25"/>
      <c r="F13746" s="21"/>
      <c r="G13746" s="16"/>
    </row>
    <row r="13747" spans="4:7" ht="15" x14ac:dyDescent="0.3">
      <c r="D13747" s="25"/>
      <c r="F13747" s="21"/>
      <c r="G13747" s="16"/>
    </row>
    <row r="13748" spans="4:7" ht="15" x14ac:dyDescent="0.3">
      <c r="D13748" s="25"/>
      <c r="F13748" s="21"/>
      <c r="G13748" s="16"/>
    </row>
    <row r="13749" spans="4:7" ht="15" x14ac:dyDescent="0.3">
      <c r="D13749" s="25"/>
      <c r="F13749" s="21"/>
      <c r="G13749" s="16"/>
    </row>
    <row r="13750" spans="4:7" ht="15" x14ac:dyDescent="0.3">
      <c r="D13750" s="25"/>
      <c r="F13750" s="21"/>
      <c r="G13750" s="16"/>
    </row>
    <row r="13751" spans="4:7" ht="15" x14ac:dyDescent="0.3">
      <c r="D13751" s="25"/>
      <c r="F13751" s="21"/>
      <c r="G13751" s="16"/>
    </row>
    <row r="13752" spans="4:7" ht="15" x14ac:dyDescent="0.3">
      <c r="D13752" s="25"/>
      <c r="F13752" s="21"/>
      <c r="G13752" s="16"/>
    </row>
    <row r="13753" spans="4:7" ht="15" x14ac:dyDescent="0.3">
      <c r="D13753" s="25"/>
      <c r="F13753" s="21"/>
      <c r="G13753" s="16"/>
    </row>
    <row r="13754" spans="4:7" ht="15" x14ac:dyDescent="0.3">
      <c r="D13754" s="25"/>
      <c r="F13754" s="21"/>
      <c r="G13754" s="16"/>
    </row>
    <row r="13755" spans="4:7" ht="15" x14ac:dyDescent="0.3">
      <c r="D13755" s="25"/>
      <c r="F13755" s="21"/>
      <c r="G13755" s="16"/>
    </row>
    <row r="13756" spans="4:7" ht="15" x14ac:dyDescent="0.3">
      <c r="D13756" s="25"/>
      <c r="F13756" s="21"/>
      <c r="G13756" s="16"/>
    </row>
    <row r="13757" spans="4:7" ht="15" x14ac:dyDescent="0.3">
      <c r="D13757" s="25"/>
      <c r="F13757" s="21"/>
      <c r="G13757" s="16"/>
    </row>
    <row r="13758" spans="4:7" ht="15" x14ac:dyDescent="0.3">
      <c r="D13758" s="25"/>
      <c r="F13758" s="21"/>
      <c r="G13758" s="16"/>
    </row>
    <row r="13759" spans="4:7" ht="15" x14ac:dyDescent="0.3">
      <c r="D13759" s="25"/>
      <c r="F13759" s="21"/>
      <c r="G13759" s="16"/>
    </row>
    <row r="13760" spans="4:7" ht="15" x14ac:dyDescent="0.3">
      <c r="D13760" s="25"/>
      <c r="F13760" s="21"/>
      <c r="G13760" s="16"/>
    </row>
    <row r="13761" spans="4:7" ht="15" x14ac:dyDescent="0.3">
      <c r="D13761" s="25"/>
      <c r="F13761" s="21"/>
      <c r="G13761" s="16"/>
    </row>
    <row r="13762" spans="4:7" ht="15" x14ac:dyDescent="0.3">
      <c r="D13762" s="25"/>
      <c r="F13762" s="21"/>
      <c r="G13762" s="16"/>
    </row>
    <row r="13763" spans="4:7" ht="15" x14ac:dyDescent="0.3">
      <c r="D13763" s="25"/>
      <c r="F13763" s="21"/>
      <c r="G13763" s="16"/>
    </row>
    <row r="13764" spans="4:7" ht="15" x14ac:dyDescent="0.3">
      <c r="D13764" s="25"/>
      <c r="F13764" s="21"/>
      <c r="G13764" s="16"/>
    </row>
    <row r="13765" spans="4:7" ht="15" x14ac:dyDescent="0.3">
      <c r="D13765" s="25"/>
      <c r="F13765" s="21"/>
      <c r="G13765" s="16"/>
    </row>
    <row r="13766" spans="4:7" ht="15" x14ac:dyDescent="0.3">
      <c r="D13766" s="25"/>
      <c r="F13766" s="21"/>
      <c r="G13766" s="16"/>
    </row>
    <row r="13767" spans="4:7" ht="15" x14ac:dyDescent="0.3">
      <c r="D13767" s="25"/>
      <c r="F13767" s="21"/>
      <c r="G13767" s="16"/>
    </row>
    <row r="13768" spans="4:7" ht="15" x14ac:dyDescent="0.3">
      <c r="D13768" s="25"/>
      <c r="F13768" s="21"/>
      <c r="G13768" s="16"/>
    </row>
    <row r="13769" spans="4:7" ht="15" x14ac:dyDescent="0.3">
      <c r="D13769" s="25"/>
      <c r="F13769" s="21"/>
      <c r="G13769" s="16"/>
    </row>
    <row r="13770" spans="4:7" ht="15" x14ac:dyDescent="0.3">
      <c r="D13770" s="25"/>
      <c r="F13770" s="21"/>
      <c r="G13770" s="16"/>
    </row>
    <row r="13771" spans="4:7" ht="15" x14ac:dyDescent="0.3">
      <c r="D13771" s="25"/>
      <c r="F13771" s="21"/>
      <c r="G13771" s="16"/>
    </row>
    <row r="13772" spans="4:7" ht="15" x14ac:dyDescent="0.3">
      <c r="D13772" s="25"/>
      <c r="F13772" s="21"/>
      <c r="G13772" s="16"/>
    </row>
    <row r="13773" spans="4:7" ht="15" x14ac:dyDescent="0.3">
      <c r="D13773" s="25"/>
      <c r="F13773" s="21"/>
      <c r="G13773" s="16"/>
    </row>
    <row r="13774" spans="4:7" ht="15" x14ac:dyDescent="0.3">
      <c r="D13774" s="25"/>
      <c r="F13774" s="21"/>
      <c r="G13774" s="16"/>
    </row>
    <row r="13775" spans="4:7" ht="15" x14ac:dyDescent="0.3">
      <c r="D13775" s="25"/>
      <c r="F13775" s="21"/>
      <c r="G13775" s="16"/>
    </row>
    <row r="13776" spans="4:7" ht="15" x14ac:dyDescent="0.3">
      <c r="D13776" s="25"/>
      <c r="F13776" s="21"/>
      <c r="G13776" s="16"/>
    </row>
    <row r="13777" spans="4:7" ht="15" x14ac:dyDescent="0.3">
      <c r="D13777" s="25"/>
      <c r="F13777" s="21"/>
      <c r="G13777" s="16"/>
    </row>
    <row r="13778" spans="4:7" ht="15" x14ac:dyDescent="0.3">
      <c r="D13778" s="25"/>
      <c r="F13778" s="21"/>
      <c r="G13778" s="16"/>
    </row>
    <row r="13779" spans="4:7" ht="15" x14ac:dyDescent="0.3">
      <c r="D13779" s="25"/>
      <c r="F13779" s="21"/>
      <c r="G13779" s="16"/>
    </row>
    <row r="13780" spans="4:7" ht="15" x14ac:dyDescent="0.3">
      <c r="D13780" s="25"/>
      <c r="F13780" s="21"/>
      <c r="G13780" s="16"/>
    </row>
    <row r="13781" spans="4:7" ht="15" x14ac:dyDescent="0.3">
      <c r="D13781" s="25"/>
      <c r="F13781" s="21"/>
      <c r="G13781" s="16"/>
    </row>
    <row r="13782" spans="4:7" ht="15" x14ac:dyDescent="0.3">
      <c r="D13782" s="25"/>
      <c r="F13782" s="21"/>
      <c r="G13782" s="16"/>
    </row>
    <row r="13783" spans="4:7" ht="15" x14ac:dyDescent="0.3">
      <c r="D13783" s="25"/>
      <c r="F13783" s="21"/>
      <c r="G13783" s="16"/>
    </row>
    <row r="13784" spans="4:7" ht="15" x14ac:dyDescent="0.3">
      <c r="D13784" s="25"/>
      <c r="F13784" s="21"/>
      <c r="G13784" s="16"/>
    </row>
    <row r="13785" spans="4:7" ht="15" x14ac:dyDescent="0.3">
      <c r="D13785" s="25"/>
      <c r="F13785" s="21"/>
      <c r="G13785" s="16"/>
    </row>
    <row r="13786" spans="4:7" ht="15" x14ac:dyDescent="0.3">
      <c r="D13786" s="25"/>
      <c r="F13786" s="21"/>
      <c r="G13786" s="16"/>
    </row>
    <row r="13787" spans="4:7" ht="15" x14ac:dyDescent="0.3">
      <c r="D13787" s="25"/>
      <c r="F13787" s="21"/>
      <c r="G13787" s="16"/>
    </row>
    <row r="13788" spans="4:7" ht="15" x14ac:dyDescent="0.3">
      <c r="D13788" s="25"/>
      <c r="F13788" s="21"/>
      <c r="G13788" s="16"/>
    </row>
    <row r="13789" spans="4:7" ht="15" x14ac:dyDescent="0.3">
      <c r="D13789" s="25"/>
      <c r="F13789" s="21"/>
      <c r="G13789" s="16"/>
    </row>
    <row r="13790" spans="4:7" ht="15" x14ac:dyDescent="0.3">
      <c r="D13790" s="25"/>
      <c r="F13790" s="21"/>
      <c r="G13790" s="16"/>
    </row>
    <row r="13791" spans="4:7" ht="15" x14ac:dyDescent="0.3">
      <c r="D13791" s="25"/>
      <c r="F13791" s="21"/>
      <c r="G13791" s="16"/>
    </row>
    <row r="13792" spans="4:7" ht="15" x14ac:dyDescent="0.3">
      <c r="D13792" s="25"/>
      <c r="F13792" s="21"/>
      <c r="G13792" s="16"/>
    </row>
    <row r="13793" spans="4:7" ht="15" x14ac:dyDescent="0.3">
      <c r="D13793" s="25"/>
      <c r="F13793" s="21"/>
      <c r="G13793" s="16"/>
    </row>
    <row r="13794" spans="4:7" ht="15" x14ac:dyDescent="0.3">
      <c r="D13794" s="25"/>
      <c r="F13794" s="21"/>
      <c r="G13794" s="16"/>
    </row>
    <row r="13795" spans="4:7" ht="15" x14ac:dyDescent="0.3">
      <c r="D13795" s="25"/>
      <c r="F13795" s="21"/>
      <c r="G13795" s="16"/>
    </row>
    <row r="13796" spans="4:7" ht="15" x14ac:dyDescent="0.3">
      <c r="D13796" s="25"/>
      <c r="F13796" s="21"/>
      <c r="G13796" s="16"/>
    </row>
    <row r="13797" spans="4:7" ht="15" x14ac:dyDescent="0.3">
      <c r="D13797" s="25"/>
      <c r="F13797" s="21"/>
      <c r="G13797" s="16"/>
    </row>
    <row r="13798" spans="4:7" ht="15" x14ac:dyDescent="0.3">
      <c r="D13798" s="25"/>
      <c r="F13798" s="21"/>
      <c r="G13798" s="16"/>
    </row>
    <row r="13799" spans="4:7" ht="15" x14ac:dyDescent="0.3">
      <c r="D13799" s="25"/>
      <c r="F13799" s="21"/>
      <c r="G13799" s="16"/>
    </row>
    <row r="13800" spans="4:7" ht="15" x14ac:dyDescent="0.3">
      <c r="D13800" s="25"/>
      <c r="F13800" s="21"/>
      <c r="G13800" s="16"/>
    </row>
    <row r="13801" spans="4:7" ht="15" x14ac:dyDescent="0.3">
      <c r="D13801" s="25"/>
      <c r="F13801" s="21"/>
      <c r="G13801" s="16"/>
    </row>
    <row r="13802" spans="4:7" ht="15" x14ac:dyDescent="0.3">
      <c r="D13802" s="25"/>
      <c r="F13802" s="21"/>
      <c r="G13802" s="16"/>
    </row>
    <row r="13803" spans="4:7" ht="15" x14ac:dyDescent="0.3">
      <c r="D13803" s="25"/>
      <c r="F13803" s="21"/>
      <c r="G13803" s="16"/>
    </row>
    <row r="13804" spans="4:7" ht="15" x14ac:dyDescent="0.3">
      <c r="D13804" s="25"/>
      <c r="F13804" s="21"/>
      <c r="G13804" s="16"/>
    </row>
    <row r="13805" spans="4:7" ht="15" x14ac:dyDescent="0.3">
      <c r="D13805" s="25"/>
      <c r="F13805" s="21"/>
      <c r="G13805" s="16"/>
    </row>
    <row r="13806" spans="4:7" ht="15" x14ac:dyDescent="0.3">
      <c r="D13806" s="25"/>
      <c r="F13806" s="21"/>
      <c r="G13806" s="16"/>
    </row>
    <row r="13807" spans="4:7" ht="15" x14ac:dyDescent="0.3">
      <c r="D13807" s="25"/>
      <c r="F13807" s="21"/>
      <c r="G13807" s="16"/>
    </row>
    <row r="13808" spans="4:7" ht="15" x14ac:dyDescent="0.3">
      <c r="D13808" s="25"/>
      <c r="F13808" s="21"/>
      <c r="G13808" s="16"/>
    </row>
    <row r="13809" spans="4:7" ht="15" x14ac:dyDescent="0.3">
      <c r="D13809" s="25"/>
      <c r="F13809" s="21"/>
      <c r="G13809" s="16"/>
    </row>
    <row r="13810" spans="4:7" ht="15" x14ac:dyDescent="0.3">
      <c r="D13810" s="25"/>
      <c r="F13810" s="21"/>
      <c r="G13810" s="16"/>
    </row>
    <row r="13811" spans="4:7" ht="15" x14ac:dyDescent="0.3">
      <c r="D13811" s="25"/>
      <c r="F13811" s="21"/>
      <c r="G13811" s="16"/>
    </row>
    <row r="13812" spans="4:7" ht="15" x14ac:dyDescent="0.3">
      <c r="D13812" s="25"/>
      <c r="F13812" s="21"/>
      <c r="G13812" s="16"/>
    </row>
    <row r="13813" spans="4:7" ht="15" x14ac:dyDescent="0.3">
      <c r="D13813" s="25"/>
      <c r="F13813" s="21"/>
      <c r="G13813" s="16"/>
    </row>
    <row r="13814" spans="4:7" ht="15" x14ac:dyDescent="0.3">
      <c r="D13814" s="25"/>
      <c r="F13814" s="21"/>
      <c r="G13814" s="16"/>
    </row>
    <row r="13815" spans="4:7" ht="15" x14ac:dyDescent="0.3">
      <c r="D13815" s="25"/>
      <c r="F13815" s="21"/>
      <c r="G13815" s="16"/>
    </row>
    <row r="13816" spans="4:7" ht="15" x14ac:dyDescent="0.3">
      <c r="D13816" s="25"/>
      <c r="F13816" s="21"/>
      <c r="G13816" s="16"/>
    </row>
    <row r="13817" spans="4:7" ht="15" x14ac:dyDescent="0.3">
      <c r="D13817" s="25"/>
      <c r="F13817" s="21"/>
      <c r="G13817" s="16"/>
    </row>
    <row r="13818" spans="4:7" ht="15" x14ac:dyDescent="0.3">
      <c r="D13818" s="25"/>
      <c r="F13818" s="21"/>
      <c r="G13818" s="16"/>
    </row>
    <row r="13819" spans="4:7" ht="15" x14ac:dyDescent="0.3">
      <c r="D13819" s="25"/>
      <c r="F13819" s="21"/>
      <c r="G13819" s="16"/>
    </row>
    <row r="13820" spans="4:7" ht="15" x14ac:dyDescent="0.3">
      <c r="D13820" s="25"/>
      <c r="F13820" s="21"/>
      <c r="G13820" s="16"/>
    </row>
    <row r="13821" spans="4:7" ht="15" x14ac:dyDescent="0.3">
      <c r="D13821" s="25"/>
      <c r="F13821" s="21"/>
      <c r="G13821" s="16"/>
    </row>
    <row r="13822" spans="4:7" ht="15" x14ac:dyDescent="0.3">
      <c r="D13822" s="25"/>
      <c r="F13822" s="21"/>
      <c r="G13822" s="16"/>
    </row>
    <row r="13823" spans="4:7" ht="15" x14ac:dyDescent="0.3">
      <c r="D13823" s="25"/>
      <c r="F13823" s="21"/>
      <c r="G13823" s="16"/>
    </row>
    <row r="13824" spans="4:7" ht="15" x14ac:dyDescent="0.3">
      <c r="D13824" s="25"/>
      <c r="F13824" s="21"/>
      <c r="G13824" s="16"/>
    </row>
    <row r="13825" spans="4:7" ht="15" x14ac:dyDescent="0.3">
      <c r="D13825" s="25"/>
      <c r="F13825" s="21"/>
      <c r="G13825" s="16"/>
    </row>
    <row r="13826" spans="4:7" ht="15" x14ac:dyDescent="0.3">
      <c r="D13826" s="25"/>
      <c r="F13826" s="21"/>
      <c r="G13826" s="16"/>
    </row>
    <row r="13827" spans="4:7" ht="15" x14ac:dyDescent="0.3">
      <c r="D13827" s="25"/>
      <c r="F13827" s="21"/>
      <c r="G13827" s="16"/>
    </row>
    <row r="13828" spans="4:7" ht="15" x14ac:dyDescent="0.3">
      <c r="D13828" s="25"/>
      <c r="F13828" s="21"/>
      <c r="G13828" s="16"/>
    </row>
    <row r="13829" spans="4:7" ht="15" x14ac:dyDescent="0.3">
      <c r="D13829" s="25"/>
      <c r="F13829" s="21"/>
      <c r="G13829" s="16"/>
    </row>
    <row r="13830" spans="4:7" ht="15" x14ac:dyDescent="0.3">
      <c r="D13830" s="25"/>
      <c r="F13830" s="21"/>
      <c r="G13830" s="16"/>
    </row>
    <row r="13831" spans="4:7" ht="15" x14ac:dyDescent="0.3">
      <c r="D13831" s="25"/>
      <c r="F13831" s="21"/>
      <c r="G13831" s="16"/>
    </row>
    <row r="13832" spans="4:7" ht="15" x14ac:dyDescent="0.3">
      <c r="D13832" s="25"/>
      <c r="F13832" s="21"/>
      <c r="G13832" s="16"/>
    </row>
    <row r="13833" spans="4:7" ht="15" x14ac:dyDescent="0.3">
      <c r="D13833" s="25"/>
      <c r="F13833" s="21"/>
      <c r="G13833" s="16"/>
    </row>
    <row r="13834" spans="4:7" ht="15" x14ac:dyDescent="0.3">
      <c r="D13834" s="25"/>
      <c r="F13834" s="21"/>
      <c r="G13834" s="16"/>
    </row>
    <row r="13835" spans="4:7" ht="15" x14ac:dyDescent="0.3">
      <c r="D13835" s="25"/>
      <c r="F13835" s="21"/>
      <c r="G13835" s="16"/>
    </row>
    <row r="13836" spans="4:7" ht="15" x14ac:dyDescent="0.3">
      <c r="D13836" s="25"/>
      <c r="F13836" s="21"/>
      <c r="G13836" s="16"/>
    </row>
    <row r="13837" spans="4:7" ht="15" x14ac:dyDescent="0.3">
      <c r="D13837" s="25"/>
      <c r="F13837" s="21"/>
      <c r="G13837" s="16"/>
    </row>
    <row r="13838" spans="4:7" ht="15" x14ac:dyDescent="0.3">
      <c r="D13838" s="25"/>
      <c r="F13838" s="21"/>
      <c r="G13838" s="16"/>
    </row>
    <row r="13839" spans="4:7" ht="15" x14ac:dyDescent="0.3">
      <c r="D13839" s="25"/>
      <c r="F13839" s="21"/>
      <c r="G13839" s="16"/>
    </row>
    <row r="13840" spans="4:7" ht="15" x14ac:dyDescent="0.3">
      <c r="D13840" s="25"/>
      <c r="F13840" s="21"/>
      <c r="G13840" s="16"/>
    </row>
    <row r="13841" spans="4:7" ht="15" x14ac:dyDescent="0.3">
      <c r="D13841" s="25"/>
      <c r="F13841" s="21"/>
      <c r="G13841" s="16"/>
    </row>
    <row r="13842" spans="4:7" ht="15" x14ac:dyDescent="0.3">
      <c r="D13842" s="25"/>
      <c r="F13842" s="21"/>
      <c r="G13842" s="16"/>
    </row>
    <row r="13843" spans="4:7" ht="15" x14ac:dyDescent="0.3">
      <c r="D13843" s="25"/>
      <c r="F13843" s="21"/>
      <c r="G13843" s="16"/>
    </row>
    <row r="13844" spans="4:7" ht="15" x14ac:dyDescent="0.3">
      <c r="D13844" s="25"/>
      <c r="F13844" s="21"/>
      <c r="G13844" s="16"/>
    </row>
    <row r="13845" spans="4:7" ht="15" x14ac:dyDescent="0.3">
      <c r="D13845" s="25"/>
      <c r="F13845" s="21"/>
      <c r="G13845" s="16"/>
    </row>
    <row r="13846" spans="4:7" ht="15" x14ac:dyDescent="0.3">
      <c r="D13846" s="25"/>
      <c r="F13846" s="21"/>
      <c r="G13846" s="16"/>
    </row>
    <row r="13847" spans="4:7" ht="15" x14ac:dyDescent="0.3">
      <c r="D13847" s="25"/>
      <c r="F13847" s="21"/>
      <c r="G13847" s="16"/>
    </row>
    <row r="13848" spans="4:7" ht="15" x14ac:dyDescent="0.3">
      <c r="D13848" s="25"/>
      <c r="F13848" s="21"/>
      <c r="G13848" s="16"/>
    </row>
    <row r="13849" spans="4:7" ht="15" x14ac:dyDescent="0.3">
      <c r="D13849" s="25"/>
      <c r="F13849" s="21"/>
      <c r="G13849" s="16"/>
    </row>
    <row r="13850" spans="4:7" ht="15" x14ac:dyDescent="0.3">
      <c r="D13850" s="25"/>
      <c r="F13850" s="21"/>
      <c r="G13850" s="16"/>
    </row>
    <row r="13851" spans="4:7" ht="15" x14ac:dyDescent="0.3">
      <c r="D13851" s="25"/>
      <c r="F13851" s="21"/>
      <c r="G13851" s="16"/>
    </row>
    <row r="13852" spans="4:7" ht="15" x14ac:dyDescent="0.3">
      <c r="D13852" s="25"/>
      <c r="F13852" s="21"/>
      <c r="G13852" s="16"/>
    </row>
    <row r="13853" spans="4:7" ht="15" x14ac:dyDescent="0.3">
      <c r="D13853" s="25"/>
      <c r="F13853" s="21"/>
      <c r="G13853" s="16"/>
    </row>
    <row r="13854" spans="4:7" ht="15" x14ac:dyDescent="0.3">
      <c r="D13854" s="25"/>
      <c r="F13854" s="21"/>
      <c r="G13854" s="16"/>
    </row>
    <row r="13855" spans="4:7" ht="15" x14ac:dyDescent="0.3">
      <c r="D13855" s="25"/>
      <c r="F13855" s="21"/>
      <c r="G13855" s="16"/>
    </row>
    <row r="13856" spans="4:7" ht="15" x14ac:dyDescent="0.3">
      <c r="D13856" s="25"/>
      <c r="F13856" s="21"/>
      <c r="G13856" s="16"/>
    </row>
    <row r="13857" spans="4:7" ht="15" x14ac:dyDescent="0.3">
      <c r="D13857" s="25"/>
      <c r="F13857" s="21"/>
      <c r="G13857" s="16"/>
    </row>
    <row r="13858" spans="4:7" ht="15" x14ac:dyDescent="0.3">
      <c r="D13858" s="25"/>
      <c r="F13858" s="21"/>
      <c r="G13858" s="16"/>
    </row>
    <row r="13859" spans="4:7" ht="15" x14ac:dyDescent="0.3">
      <c r="D13859" s="25"/>
      <c r="F13859" s="21"/>
      <c r="G13859" s="16"/>
    </row>
    <row r="13860" spans="4:7" ht="15" x14ac:dyDescent="0.3">
      <c r="D13860" s="25"/>
      <c r="F13860" s="21"/>
      <c r="G13860" s="16"/>
    </row>
    <row r="13861" spans="4:7" ht="15" x14ac:dyDescent="0.3">
      <c r="D13861" s="25"/>
      <c r="F13861" s="21"/>
      <c r="G13861" s="16"/>
    </row>
    <row r="13862" spans="4:7" ht="15" x14ac:dyDescent="0.3">
      <c r="D13862" s="25"/>
      <c r="F13862" s="21"/>
      <c r="G13862" s="16"/>
    </row>
    <row r="13863" spans="4:7" ht="15" x14ac:dyDescent="0.3">
      <c r="D13863" s="25"/>
      <c r="F13863" s="21"/>
      <c r="G13863" s="16"/>
    </row>
    <row r="13864" spans="4:7" ht="15" x14ac:dyDescent="0.3">
      <c r="D13864" s="25"/>
      <c r="F13864" s="21"/>
      <c r="G13864" s="16"/>
    </row>
    <row r="13865" spans="4:7" ht="15" x14ac:dyDescent="0.3">
      <c r="D13865" s="25"/>
      <c r="F13865" s="21"/>
      <c r="G13865" s="16"/>
    </row>
    <row r="13866" spans="4:7" ht="15" x14ac:dyDescent="0.3">
      <c r="D13866" s="25"/>
      <c r="F13866" s="21"/>
      <c r="G13866" s="16"/>
    </row>
    <row r="13867" spans="4:7" ht="15" x14ac:dyDescent="0.3">
      <c r="D13867" s="25"/>
      <c r="F13867" s="21"/>
      <c r="G13867" s="16"/>
    </row>
    <row r="13868" spans="4:7" ht="15" x14ac:dyDescent="0.3">
      <c r="D13868" s="25"/>
      <c r="F13868" s="21"/>
      <c r="G13868" s="16"/>
    </row>
    <row r="13869" spans="4:7" ht="15" x14ac:dyDescent="0.3">
      <c r="D13869" s="25"/>
      <c r="F13869" s="21"/>
      <c r="G13869" s="16"/>
    </row>
    <row r="13870" spans="4:7" ht="15" x14ac:dyDescent="0.3">
      <c r="D13870" s="25"/>
      <c r="F13870" s="21"/>
      <c r="G13870" s="16"/>
    </row>
    <row r="13871" spans="4:7" ht="15" x14ac:dyDescent="0.3">
      <c r="D13871" s="25"/>
      <c r="F13871" s="21"/>
      <c r="G13871" s="16"/>
    </row>
    <row r="13872" spans="4:7" ht="15" x14ac:dyDescent="0.3">
      <c r="D13872" s="25"/>
      <c r="F13872" s="21"/>
      <c r="G13872" s="16"/>
    </row>
    <row r="13873" spans="4:7" ht="15" x14ac:dyDescent="0.3">
      <c r="D13873" s="25"/>
      <c r="F13873" s="21"/>
      <c r="G13873" s="16"/>
    </row>
    <row r="13874" spans="4:7" ht="15" x14ac:dyDescent="0.3">
      <c r="D13874" s="25"/>
      <c r="F13874" s="21"/>
      <c r="G13874" s="16"/>
    </row>
    <row r="13875" spans="4:7" ht="15" x14ac:dyDescent="0.3">
      <c r="D13875" s="25"/>
      <c r="F13875" s="21"/>
      <c r="G13875" s="16"/>
    </row>
    <row r="13876" spans="4:7" ht="15" x14ac:dyDescent="0.3">
      <c r="D13876" s="25"/>
      <c r="F13876" s="21"/>
      <c r="G13876" s="16"/>
    </row>
    <row r="13877" spans="4:7" ht="15" x14ac:dyDescent="0.3">
      <c r="D13877" s="25"/>
      <c r="F13877" s="21"/>
      <c r="G13877" s="16"/>
    </row>
    <row r="13878" spans="4:7" ht="15" x14ac:dyDescent="0.3">
      <c r="D13878" s="25"/>
      <c r="F13878" s="21"/>
      <c r="G13878" s="16"/>
    </row>
    <row r="13879" spans="4:7" ht="15" x14ac:dyDescent="0.3">
      <c r="D13879" s="25"/>
      <c r="F13879" s="21"/>
      <c r="G13879" s="16"/>
    </row>
    <row r="13880" spans="4:7" ht="15" x14ac:dyDescent="0.3">
      <c r="D13880" s="25"/>
      <c r="F13880" s="21"/>
      <c r="G13880" s="16"/>
    </row>
    <row r="13881" spans="4:7" ht="15" x14ac:dyDescent="0.3">
      <c r="D13881" s="25"/>
      <c r="F13881" s="21"/>
      <c r="G13881" s="16"/>
    </row>
    <row r="13882" spans="4:7" ht="15" x14ac:dyDescent="0.3">
      <c r="D13882" s="25"/>
      <c r="F13882" s="21"/>
      <c r="G13882" s="16"/>
    </row>
    <row r="13883" spans="4:7" ht="15" x14ac:dyDescent="0.3">
      <c r="D13883" s="25"/>
      <c r="F13883" s="21"/>
      <c r="G13883" s="16"/>
    </row>
    <row r="13884" spans="4:7" ht="15" x14ac:dyDescent="0.3">
      <c r="D13884" s="25"/>
      <c r="F13884" s="21"/>
      <c r="G13884" s="16"/>
    </row>
    <row r="13885" spans="4:7" ht="15" x14ac:dyDescent="0.3">
      <c r="D13885" s="25"/>
      <c r="F13885" s="21"/>
      <c r="G13885" s="16"/>
    </row>
    <row r="13886" spans="4:7" ht="15" x14ac:dyDescent="0.3">
      <c r="D13886" s="25"/>
      <c r="F13886" s="21"/>
      <c r="G13886" s="16"/>
    </row>
    <row r="13887" spans="4:7" ht="15" x14ac:dyDescent="0.3">
      <c r="D13887" s="25"/>
      <c r="F13887" s="21"/>
      <c r="G13887" s="16"/>
    </row>
    <row r="13888" spans="4:7" ht="15" x14ac:dyDescent="0.3">
      <c r="D13888" s="25"/>
      <c r="F13888" s="21"/>
      <c r="G13888" s="16"/>
    </row>
    <row r="13889" spans="4:7" ht="15" x14ac:dyDescent="0.3">
      <c r="D13889" s="25"/>
      <c r="F13889" s="21"/>
      <c r="G13889" s="16"/>
    </row>
    <row r="13890" spans="4:7" ht="15" x14ac:dyDescent="0.3">
      <c r="D13890" s="25"/>
      <c r="F13890" s="21"/>
      <c r="G13890" s="16"/>
    </row>
    <row r="13891" spans="4:7" ht="15" x14ac:dyDescent="0.3">
      <c r="D13891" s="25"/>
      <c r="F13891" s="21"/>
      <c r="G13891" s="16"/>
    </row>
    <row r="13892" spans="4:7" ht="15" x14ac:dyDescent="0.3">
      <c r="D13892" s="25"/>
      <c r="F13892" s="21"/>
      <c r="G13892" s="16"/>
    </row>
    <row r="13893" spans="4:7" ht="15" x14ac:dyDescent="0.3">
      <c r="D13893" s="25"/>
      <c r="F13893" s="21"/>
      <c r="G13893" s="16"/>
    </row>
    <row r="13894" spans="4:7" ht="15" x14ac:dyDescent="0.3">
      <c r="D13894" s="25"/>
      <c r="F13894" s="21"/>
      <c r="G13894" s="16"/>
    </row>
    <row r="13895" spans="4:7" ht="15" x14ac:dyDescent="0.3">
      <c r="D13895" s="25"/>
      <c r="F13895" s="21"/>
      <c r="G13895" s="16"/>
    </row>
    <row r="13896" spans="4:7" ht="15" x14ac:dyDescent="0.3">
      <c r="D13896" s="25"/>
      <c r="F13896" s="21"/>
      <c r="G13896" s="16"/>
    </row>
    <row r="13897" spans="4:7" ht="15" x14ac:dyDescent="0.3">
      <c r="D13897" s="25"/>
      <c r="F13897" s="21"/>
      <c r="G13897" s="16"/>
    </row>
    <row r="13898" spans="4:7" ht="15" x14ac:dyDescent="0.3">
      <c r="D13898" s="25"/>
      <c r="F13898" s="21"/>
      <c r="G13898" s="16"/>
    </row>
    <row r="13899" spans="4:7" ht="15" x14ac:dyDescent="0.3">
      <c r="D13899" s="25"/>
      <c r="F13899" s="21"/>
      <c r="G13899" s="16"/>
    </row>
    <row r="13900" spans="4:7" ht="15" x14ac:dyDescent="0.3">
      <c r="D13900" s="25"/>
      <c r="F13900" s="21"/>
      <c r="G13900" s="16"/>
    </row>
    <row r="13901" spans="4:7" ht="15" x14ac:dyDescent="0.3">
      <c r="D13901" s="25"/>
      <c r="F13901" s="21"/>
      <c r="G13901" s="16"/>
    </row>
    <row r="13902" spans="4:7" ht="15" x14ac:dyDescent="0.3">
      <c r="D13902" s="25"/>
      <c r="F13902" s="21"/>
      <c r="G13902" s="16"/>
    </row>
    <row r="13903" spans="4:7" ht="15" x14ac:dyDescent="0.3">
      <c r="D13903" s="25"/>
      <c r="F13903" s="21"/>
      <c r="G13903" s="16"/>
    </row>
    <row r="13904" spans="4:7" ht="15" x14ac:dyDescent="0.3">
      <c r="D13904" s="25"/>
      <c r="F13904" s="21"/>
      <c r="G13904" s="16"/>
    </row>
    <row r="13905" spans="4:7" ht="15" x14ac:dyDescent="0.3">
      <c r="D13905" s="25"/>
      <c r="F13905" s="21"/>
      <c r="G13905" s="16"/>
    </row>
    <row r="13906" spans="4:7" ht="15" x14ac:dyDescent="0.3">
      <c r="D13906" s="25"/>
      <c r="F13906" s="21"/>
      <c r="G13906" s="16"/>
    </row>
    <row r="13907" spans="4:7" ht="15" x14ac:dyDescent="0.3">
      <c r="D13907" s="25"/>
      <c r="F13907" s="21"/>
      <c r="G13907" s="16"/>
    </row>
    <row r="13908" spans="4:7" ht="15" x14ac:dyDescent="0.3">
      <c r="D13908" s="25"/>
      <c r="F13908" s="21"/>
      <c r="G13908" s="16"/>
    </row>
    <row r="13909" spans="4:7" ht="15" x14ac:dyDescent="0.3">
      <c r="D13909" s="25"/>
      <c r="F13909" s="21"/>
      <c r="G13909" s="16"/>
    </row>
    <row r="13910" spans="4:7" ht="15" x14ac:dyDescent="0.3">
      <c r="D13910" s="25"/>
      <c r="F13910" s="21"/>
      <c r="G13910" s="16"/>
    </row>
    <row r="13911" spans="4:7" ht="15" x14ac:dyDescent="0.3">
      <c r="D13911" s="25"/>
      <c r="F13911" s="21"/>
      <c r="G13911" s="16"/>
    </row>
    <row r="13912" spans="4:7" ht="15" x14ac:dyDescent="0.3">
      <c r="D13912" s="25"/>
      <c r="F13912" s="21"/>
      <c r="G13912" s="16"/>
    </row>
    <row r="13913" spans="4:7" ht="15" x14ac:dyDescent="0.3">
      <c r="D13913" s="25"/>
      <c r="F13913" s="21"/>
      <c r="G13913" s="16"/>
    </row>
    <row r="13914" spans="4:7" ht="15" x14ac:dyDescent="0.3">
      <c r="D13914" s="25"/>
      <c r="F13914" s="21"/>
      <c r="G13914" s="16"/>
    </row>
    <row r="13915" spans="4:7" ht="15" x14ac:dyDescent="0.3">
      <c r="D13915" s="25"/>
      <c r="F13915" s="21"/>
      <c r="G13915" s="16"/>
    </row>
    <row r="13916" spans="4:7" ht="15" x14ac:dyDescent="0.3">
      <c r="D13916" s="25"/>
      <c r="F13916" s="21"/>
      <c r="G13916" s="16"/>
    </row>
    <row r="13917" spans="4:7" ht="15" x14ac:dyDescent="0.3">
      <c r="D13917" s="25"/>
      <c r="F13917" s="21"/>
      <c r="G13917" s="16"/>
    </row>
    <row r="13918" spans="4:7" ht="15" x14ac:dyDescent="0.3">
      <c r="D13918" s="25"/>
      <c r="F13918" s="21"/>
      <c r="G13918" s="16"/>
    </row>
    <row r="13919" spans="4:7" ht="15" x14ac:dyDescent="0.3">
      <c r="D13919" s="25"/>
      <c r="F13919" s="21"/>
      <c r="G13919" s="16"/>
    </row>
    <row r="13920" spans="4:7" ht="15" x14ac:dyDescent="0.3">
      <c r="D13920" s="25"/>
      <c r="F13920" s="21"/>
      <c r="G13920" s="16"/>
    </row>
    <row r="13921" spans="4:7" ht="15" x14ac:dyDescent="0.3">
      <c r="D13921" s="25"/>
      <c r="F13921" s="21"/>
      <c r="G13921" s="16"/>
    </row>
    <row r="13922" spans="4:7" ht="15" x14ac:dyDescent="0.3">
      <c r="D13922" s="25"/>
      <c r="F13922" s="21"/>
      <c r="G13922" s="16"/>
    </row>
    <row r="13923" spans="4:7" ht="15" x14ac:dyDescent="0.3">
      <c r="D13923" s="25"/>
      <c r="F13923" s="21"/>
      <c r="G13923" s="16"/>
    </row>
    <row r="13924" spans="4:7" ht="15" x14ac:dyDescent="0.3">
      <c r="D13924" s="25"/>
      <c r="F13924" s="21"/>
      <c r="G13924" s="16"/>
    </row>
    <row r="13925" spans="4:7" ht="15" x14ac:dyDescent="0.3">
      <c r="D13925" s="25"/>
      <c r="F13925" s="21"/>
      <c r="G13925" s="16"/>
    </row>
    <row r="13926" spans="4:7" ht="15" x14ac:dyDescent="0.3">
      <c r="D13926" s="25"/>
      <c r="F13926" s="21"/>
      <c r="G13926" s="16"/>
    </row>
    <row r="13927" spans="4:7" ht="15" x14ac:dyDescent="0.3">
      <c r="D13927" s="25"/>
      <c r="F13927" s="21"/>
      <c r="G13927" s="16"/>
    </row>
    <row r="13928" spans="4:7" ht="15" x14ac:dyDescent="0.3">
      <c r="D13928" s="25"/>
      <c r="F13928" s="21"/>
      <c r="G13928" s="16"/>
    </row>
    <row r="13929" spans="4:7" ht="15" x14ac:dyDescent="0.3">
      <c r="D13929" s="25"/>
      <c r="F13929" s="21"/>
      <c r="G13929" s="16"/>
    </row>
    <row r="13930" spans="4:7" ht="15" x14ac:dyDescent="0.3">
      <c r="D13930" s="25"/>
      <c r="F13930" s="21"/>
      <c r="G13930" s="16"/>
    </row>
    <row r="13931" spans="4:7" ht="15" x14ac:dyDescent="0.3">
      <c r="D13931" s="25"/>
      <c r="F13931" s="21"/>
      <c r="G13931" s="16"/>
    </row>
    <row r="13932" spans="4:7" ht="15" x14ac:dyDescent="0.3">
      <c r="D13932" s="25"/>
      <c r="F13932" s="21"/>
      <c r="G13932" s="16"/>
    </row>
    <row r="13933" spans="4:7" ht="15" x14ac:dyDescent="0.3">
      <c r="D13933" s="25"/>
      <c r="F13933" s="21"/>
      <c r="G13933" s="16"/>
    </row>
    <row r="13934" spans="4:7" ht="15" x14ac:dyDescent="0.3">
      <c r="D13934" s="25"/>
      <c r="F13934" s="21"/>
      <c r="G13934" s="16"/>
    </row>
    <row r="13935" spans="4:7" ht="15" x14ac:dyDescent="0.3">
      <c r="D13935" s="25"/>
      <c r="F13935" s="21"/>
      <c r="G13935" s="16"/>
    </row>
    <row r="13936" spans="4:7" ht="15" x14ac:dyDescent="0.3">
      <c r="D13936" s="25"/>
      <c r="F13936" s="21"/>
      <c r="G13936" s="16"/>
    </row>
    <row r="13937" spans="4:7" ht="15" x14ac:dyDescent="0.3">
      <c r="D13937" s="25"/>
      <c r="F13937" s="21"/>
      <c r="G13937" s="16"/>
    </row>
    <row r="13938" spans="4:7" ht="15" x14ac:dyDescent="0.3">
      <c r="D13938" s="25"/>
      <c r="F13938" s="21"/>
      <c r="G13938" s="16"/>
    </row>
    <row r="13939" spans="4:7" ht="15" x14ac:dyDescent="0.3">
      <c r="D13939" s="25"/>
      <c r="F13939" s="21"/>
      <c r="G13939" s="16"/>
    </row>
    <row r="13940" spans="4:7" ht="15" x14ac:dyDescent="0.3">
      <c r="D13940" s="25"/>
      <c r="F13940" s="21"/>
      <c r="G13940" s="16"/>
    </row>
    <row r="13941" spans="4:7" ht="15" x14ac:dyDescent="0.3">
      <c r="D13941" s="25"/>
      <c r="F13941" s="21"/>
      <c r="G13941" s="16"/>
    </row>
    <row r="13942" spans="4:7" ht="15" x14ac:dyDescent="0.3">
      <c r="D13942" s="25"/>
      <c r="F13942" s="21"/>
      <c r="G13942" s="16"/>
    </row>
    <row r="13943" spans="4:7" ht="15" x14ac:dyDescent="0.3">
      <c r="D13943" s="25"/>
      <c r="F13943" s="21"/>
      <c r="G13943" s="16"/>
    </row>
    <row r="13944" spans="4:7" ht="15" x14ac:dyDescent="0.3">
      <c r="D13944" s="25"/>
      <c r="F13944" s="21"/>
      <c r="G13944" s="16"/>
    </row>
    <row r="13945" spans="4:7" ht="15" x14ac:dyDescent="0.3">
      <c r="D13945" s="25"/>
      <c r="F13945" s="21"/>
      <c r="G13945" s="16"/>
    </row>
    <row r="13946" spans="4:7" ht="15" x14ac:dyDescent="0.3">
      <c r="D13946" s="25"/>
      <c r="F13946" s="21"/>
      <c r="G13946" s="16"/>
    </row>
    <row r="13947" spans="4:7" ht="15" x14ac:dyDescent="0.3">
      <c r="D13947" s="25"/>
      <c r="F13947" s="21"/>
      <c r="G13947" s="16"/>
    </row>
    <row r="13948" spans="4:7" ht="15" x14ac:dyDescent="0.3">
      <c r="D13948" s="25"/>
      <c r="F13948" s="21"/>
      <c r="G13948" s="16"/>
    </row>
    <row r="13949" spans="4:7" ht="15" x14ac:dyDescent="0.3">
      <c r="D13949" s="25"/>
      <c r="F13949" s="21"/>
      <c r="G13949" s="16"/>
    </row>
    <row r="13950" spans="4:7" ht="15" x14ac:dyDescent="0.3">
      <c r="D13950" s="25"/>
      <c r="F13950" s="21"/>
      <c r="G13950" s="16"/>
    </row>
    <row r="13951" spans="4:7" ht="15" x14ac:dyDescent="0.3">
      <c r="D13951" s="25"/>
      <c r="F13951" s="21"/>
      <c r="G13951" s="16"/>
    </row>
    <row r="13952" spans="4:7" ht="15" x14ac:dyDescent="0.3">
      <c r="D13952" s="25"/>
      <c r="F13952" s="21"/>
      <c r="G13952" s="16"/>
    </row>
    <row r="13953" spans="4:7" ht="15" x14ac:dyDescent="0.3">
      <c r="D13953" s="25"/>
      <c r="F13953" s="21"/>
      <c r="G13953" s="16"/>
    </row>
    <row r="13954" spans="4:7" ht="15" x14ac:dyDescent="0.3">
      <c r="D13954" s="25"/>
      <c r="F13954" s="21"/>
      <c r="G13954" s="16"/>
    </row>
    <row r="13955" spans="4:7" ht="15" x14ac:dyDescent="0.3">
      <c r="D13955" s="25"/>
      <c r="F13955" s="21"/>
      <c r="G13955" s="16"/>
    </row>
    <row r="13956" spans="4:7" ht="15" x14ac:dyDescent="0.3">
      <c r="D13956" s="25"/>
      <c r="F13956" s="21"/>
      <c r="G13956" s="16"/>
    </row>
    <row r="13957" spans="4:7" ht="15" x14ac:dyDescent="0.3">
      <c r="D13957" s="25"/>
      <c r="F13957" s="21"/>
      <c r="G13957" s="16"/>
    </row>
    <row r="13958" spans="4:7" ht="15" x14ac:dyDescent="0.3">
      <c r="D13958" s="25"/>
      <c r="F13958" s="21"/>
      <c r="G13958" s="16"/>
    </row>
    <row r="13959" spans="4:7" ht="15" x14ac:dyDescent="0.3">
      <c r="D13959" s="25"/>
      <c r="F13959" s="21"/>
      <c r="G13959" s="16"/>
    </row>
    <row r="13960" spans="4:7" ht="15" x14ac:dyDescent="0.3">
      <c r="D13960" s="25"/>
      <c r="F13960" s="21"/>
      <c r="G13960" s="16"/>
    </row>
    <row r="13961" spans="4:7" ht="15" x14ac:dyDescent="0.3">
      <c r="D13961" s="25"/>
      <c r="F13961" s="21"/>
      <c r="G13961" s="16"/>
    </row>
    <row r="13962" spans="4:7" ht="15" x14ac:dyDescent="0.3">
      <c r="D13962" s="25"/>
      <c r="F13962" s="21"/>
      <c r="G13962" s="16"/>
    </row>
    <row r="13963" spans="4:7" ht="15" x14ac:dyDescent="0.3">
      <c r="D13963" s="25"/>
      <c r="F13963" s="21"/>
      <c r="G13963" s="16"/>
    </row>
    <row r="13964" spans="4:7" ht="15" x14ac:dyDescent="0.3">
      <c r="D13964" s="25"/>
      <c r="F13964" s="21"/>
      <c r="G13964" s="16"/>
    </row>
    <row r="13965" spans="4:7" ht="15" x14ac:dyDescent="0.3">
      <c r="D13965" s="25"/>
      <c r="F13965" s="21"/>
      <c r="G13965" s="16"/>
    </row>
    <row r="13966" spans="4:7" ht="15" x14ac:dyDescent="0.3">
      <c r="D13966" s="25"/>
      <c r="F13966" s="21"/>
      <c r="G13966" s="16"/>
    </row>
    <row r="13967" spans="4:7" ht="15" x14ac:dyDescent="0.3">
      <c r="D13967" s="25"/>
      <c r="F13967" s="21"/>
      <c r="G13967" s="16"/>
    </row>
    <row r="13968" spans="4:7" ht="15" x14ac:dyDescent="0.3">
      <c r="D13968" s="25"/>
      <c r="F13968" s="21"/>
      <c r="G13968" s="16"/>
    </row>
    <row r="13969" spans="4:7" ht="15" x14ac:dyDescent="0.3">
      <c r="D13969" s="25"/>
      <c r="F13969" s="21"/>
      <c r="G13969" s="16"/>
    </row>
    <row r="13970" spans="4:7" ht="15" x14ac:dyDescent="0.3">
      <c r="D13970" s="25"/>
      <c r="F13970" s="21"/>
      <c r="G13970" s="16"/>
    </row>
    <row r="13971" spans="4:7" ht="15" x14ac:dyDescent="0.3">
      <c r="D13971" s="25"/>
      <c r="F13971" s="21"/>
      <c r="G13971" s="16"/>
    </row>
    <row r="13972" spans="4:7" ht="15" x14ac:dyDescent="0.3">
      <c r="D13972" s="25"/>
      <c r="F13972" s="21"/>
      <c r="G13972" s="16"/>
    </row>
    <row r="13973" spans="4:7" ht="15" x14ac:dyDescent="0.3">
      <c r="D13973" s="25"/>
      <c r="F13973" s="21"/>
      <c r="G13973" s="16"/>
    </row>
    <row r="13974" spans="4:7" ht="15" x14ac:dyDescent="0.3">
      <c r="D13974" s="25"/>
      <c r="F13974" s="21"/>
      <c r="G13974" s="16"/>
    </row>
    <row r="13975" spans="4:7" ht="15" x14ac:dyDescent="0.3">
      <c r="D13975" s="25"/>
      <c r="F13975" s="21"/>
      <c r="G13975" s="16"/>
    </row>
    <row r="13976" spans="4:7" ht="15" x14ac:dyDescent="0.3">
      <c r="D13976" s="25"/>
      <c r="F13976" s="21"/>
      <c r="G13976" s="16"/>
    </row>
    <row r="13977" spans="4:7" ht="15" x14ac:dyDescent="0.3">
      <c r="D13977" s="25"/>
      <c r="F13977" s="21"/>
      <c r="G13977" s="16"/>
    </row>
    <row r="13978" spans="4:7" ht="15" x14ac:dyDescent="0.3">
      <c r="D13978" s="25"/>
      <c r="F13978" s="21"/>
      <c r="G13978" s="16"/>
    </row>
    <row r="13979" spans="4:7" ht="15" x14ac:dyDescent="0.3">
      <c r="D13979" s="25"/>
      <c r="F13979" s="21"/>
      <c r="G13979" s="16"/>
    </row>
    <row r="13980" spans="4:7" ht="15" x14ac:dyDescent="0.3">
      <c r="D13980" s="25"/>
      <c r="F13980" s="21"/>
      <c r="G13980" s="16"/>
    </row>
    <row r="13981" spans="4:7" ht="15" x14ac:dyDescent="0.3">
      <c r="D13981" s="25"/>
      <c r="F13981" s="21"/>
      <c r="G13981" s="16"/>
    </row>
    <row r="13982" spans="4:7" ht="15" x14ac:dyDescent="0.3">
      <c r="D13982" s="25"/>
      <c r="F13982" s="21"/>
      <c r="G13982" s="16"/>
    </row>
    <row r="13983" spans="4:7" ht="15" x14ac:dyDescent="0.3">
      <c r="D13983" s="25"/>
      <c r="F13983" s="21"/>
      <c r="G13983" s="16"/>
    </row>
    <row r="13984" spans="4:7" ht="15" x14ac:dyDescent="0.3">
      <c r="D13984" s="25"/>
      <c r="F13984" s="21"/>
      <c r="G13984" s="16"/>
    </row>
    <row r="13985" spans="4:7" ht="15" x14ac:dyDescent="0.3">
      <c r="D13985" s="25"/>
      <c r="F13985" s="21"/>
      <c r="G13985" s="16"/>
    </row>
    <row r="13986" spans="4:7" ht="15" x14ac:dyDescent="0.3">
      <c r="D13986" s="25"/>
      <c r="F13986" s="21"/>
      <c r="G13986" s="16"/>
    </row>
    <row r="13987" spans="4:7" ht="15" x14ac:dyDescent="0.3">
      <c r="D13987" s="25"/>
      <c r="F13987" s="21"/>
      <c r="G13987" s="16"/>
    </row>
    <row r="13988" spans="4:7" ht="15" x14ac:dyDescent="0.3">
      <c r="D13988" s="25"/>
      <c r="F13988" s="21"/>
      <c r="G13988" s="16"/>
    </row>
    <row r="13989" spans="4:7" ht="15" x14ac:dyDescent="0.3">
      <c r="D13989" s="25"/>
      <c r="F13989" s="21"/>
      <c r="G13989" s="16"/>
    </row>
    <row r="13990" spans="4:7" ht="15" x14ac:dyDescent="0.3">
      <c r="D13990" s="25"/>
      <c r="F13990" s="21"/>
      <c r="G13990" s="16"/>
    </row>
    <row r="13991" spans="4:7" ht="15" x14ac:dyDescent="0.3">
      <c r="D13991" s="25"/>
      <c r="F13991" s="21"/>
      <c r="G13991" s="16"/>
    </row>
    <row r="13992" spans="4:7" ht="15" x14ac:dyDescent="0.3">
      <c r="D13992" s="25"/>
      <c r="F13992" s="21"/>
      <c r="G13992" s="16"/>
    </row>
    <row r="13993" spans="4:7" ht="15" x14ac:dyDescent="0.3">
      <c r="D13993" s="25"/>
      <c r="F13993" s="21"/>
      <c r="G13993" s="16"/>
    </row>
    <row r="13994" spans="4:7" ht="15" x14ac:dyDescent="0.3">
      <c r="D13994" s="25"/>
      <c r="F13994" s="21"/>
      <c r="G13994" s="16"/>
    </row>
    <row r="13995" spans="4:7" ht="15" x14ac:dyDescent="0.3">
      <c r="D13995" s="25"/>
      <c r="F13995" s="21"/>
      <c r="G13995" s="16"/>
    </row>
    <row r="13996" spans="4:7" ht="15" x14ac:dyDescent="0.3">
      <c r="D13996" s="25"/>
      <c r="F13996" s="21"/>
      <c r="G13996" s="16"/>
    </row>
    <row r="13997" spans="4:7" ht="15" x14ac:dyDescent="0.3">
      <c r="D13997" s="25"/>
      <c r="F13997" s="21"/>
      <c r="G13997" s="16"/>
    </row>
    <row r="13998" spans="4:7" ht="15" x14ac:dyDescent="0.3">
      <c r="D13998" s="25"/>
      <c r="F13998" s="21"/>
      <c r="G13998" s="16"/>
    </row>
    <row r="13999" spans="4:7" ht="15" x14ac:dyDescent="0.3">
      <c r="D13999" s="25"/>
      <c r="F13999" s="21"/>
      <c r="G13999" s="16"/>
    </row>
    <row r="14000" spans="4:7" ht="15" x14ac:dyDescent="0.3">
      <c r="D14000" s="25"/>
      <c r="F14000" s="21"/>
      <c r="G14000" s="16"/>
    </row>
    <row r="14001" spans="4:7" ht="15" x14ac:dyDescent="0.3">
      <c r="D14001" s="25"/>
      <c r="F14001" s="21"/>
      <c r="G14001" s="16"/>
    </row>
    <row r="14002" spans="4:7" ht="15" x14ac:dyDescent="0.3">
      <c r="D14002" s="25"/>
      <c r="F14002" s="21"/>
      <c r="G14002" s="16"/>
    </row>
    <row r="14003" spans="4:7" ht="15" x14ac:dyDescent="0.3">
      <c r="D14003" s="25"/>
      <c r="F14003" s="21"/>
      <c r="G14003" s="16"/>
    </row>
    <row r="14004" spans="4:7" ht="15" x14ac:dyDescent="0.3">
      <c r="D14004" s="25"/>
      <c r="F14004" s="21"/>
      <c r="G14004" s="16"/>
    </row>
    <row r="14005" spans="4:7" ht="15" x14ac:dyDescent="0.3">
      <c r="D14005" s="25"/>
      <c r="F14005" s="21"/>
      <c r="G14005" s="16"/>
    </row>
    <row r="14006" spans="4:7" ht="15" x14ac:dyDescent="0.3">
      <c r="D14006" s="25"/>
      <c r="F14006" s="21"/>
      <c r="G14006" s="16"/>
    </row>
    <row r="14007" spans="4:7" ht="15" x14ac:dyDescent="0.3">
      <c r="D14007" s="25"/>
      <c r="F14007" s="21"/>
      <c r="G14007" s="16"/>
    </row>
    <row r="14008" spans="4:7" ht="15" x14ac:dyDescent="0.3">
      <c r="D14008" s="25"/>
      <c r="F14008" s="21"/>
      <c r="G14008" s="16"/>
    </row>
    <row r="14009" spans="4:7" ht="15" x14ac:dyDescent="0.3">
      <c r="D14009" s="25"/>
      <c r="F14009" s="21"/>
      <c r="G14009" s="16"/>
    </row>
    <row r="14010" spans="4:7" ht="15" x14ac:dyDescent="0.3">
      <c r="D14010" s="25"/>
      <c r="F14010" s="21"/>
      <c r="G14010" s="16"/>
    </row>
    <row r="14011" spans="4:7" ht="15" x14ac:dyDescent="0.3">
      <c r="D14011" s="25"/>
      <c r="F14011" s="21"/>
      <c r="G14011" s="16"/>
    </row>
    <row r="14012" spans="4:7" ht="15" x14ac:dyDescent="0.3">
      <c r="D14012" s="25"/>
      <c r="F14012" s="21"/>
      <c r="G14012" s="16"/>
    </row>
    <row r="14013" spans="4:7" ht="15" x14ac:dyDescent="0.3">
      <c r="D14013" s="25"/>
      <c r="F14013" s="21"/>
      <c r="G14013" s="16"/>
    </row>
    <row r="14014" spans="4:7" ht="15" x14ac:dyDescent="0.3">
      <c r="D14014" s="25"/>
      <c r="F14014" s="21"/>
      <c r="G14014" s="16"/>
    </row>
    <row r="14015" spans="4:7" ht="15" x14ac:dyDescent="0.3">
      <c r="D14015" s="25"/>
      <c r="F14015" s="21"/>
      <c r="G14015" s="16"/>
    </row>
    <row r="14016" spans="4:7" ht="15" x14ac:dyDescent="0.3">
      <c r="D14016" s="25"/>
      <c r="F14016" s="21"/>
      <c r="G14016" s="16"/>
    </row>
    <row r="14017" spans="4:7" ht="15" x14ac:dyDescent="0.3">
      <c r="D14017" s="25"/>
      <c r="F14017" s="21"/>
      <c r="G14017" s="16"/>
    </row>
    <row r="14018" spans="4:7" ht="15" x14ac:dyDescent="0.3">
      <c r="D14018" s="25"/>
      <c r="F14018" s="21"/>
      <c r="G14018" s="16"/>
    </row>
    <row r="14019" spans="4:7" ht="15" x14ac:dyDescent="0.3">
      <c r="D14019" s="25"/>
      <c r="F14019" s="21"/>
      <c r="G14019" s="16"/>
    </row>
    <row r="14020" spans="4:7" ht="15" x14ac:dyDescent="0.3">
      <c r="D14020" s="25"/>
      <c r="F14020" s="21"/>
      <c r="G14020" s="16"/>
    </row>
    <row r="14021" spans="4:7" ht="15" x14ac:dyDescent="0.3">
      <c r="D14021" s="25"/>
      <c r="F14021" s="21"/>
      <c r="G14021" s="16"/>
    </row>
    <row r="14022" spans="4:7" ht="15" x14ac:dyDescent="0.3">
      <c r="D14022" s="25"/>
      <c r="F14022" s="21"/>
      <c r="G14022" s="16"/>
    </row>
    <row r="14023" spans="4:7" ht="15" x14ac:dyDescent="0.3">
      <c r="D14023" s="25"/>
      <c r="F14023" s="21"/>
      <c r="G14023" s="16"/>
    </row>
    <row r="14024" spans="4:7" ht="15" x14ac:dyDescent="0.3">
      <c r="D14024" s="25"/>
      <c r="F14024" s="21"/>
      <c r="G14024" s="16"/>
    </row>
    <row r="14025" spans="4:7" ht="15" x14ac:dyDescent="0.3">
      <c r="D14025" s="25"/>
      <c r="F14025" s="21"/>
      <c r="G14025" s="16"/>
    </row>
    <row r="14026" spans="4:7" ht="15" x14ac:dyDescent="0.3">
      <c r="D14026" s="25"/>
      <c r="F14026" s="21"/>
      <c r="G14026" s="16"/>
    </row>
    <row r="14027" spans="4:7" ht="15" x14ac:dyDescent="0.3">
      <c r="D14027" s="25"/>
      <c r="F14027" s="21"/>
      <c r="G14027" s="16"/>
    </row>
    <row r="14028" spans="4:7" ht="15" x14ac:dyDescent="0.3">
      <c r="D14028" s="25"/>
      <c r="F14028" s="21"/>
      <c r="G14028" s="16"/>
    </row>
    <row r="14029" spans="4:7" ht="15" x14ac:dyDescent="0.3">
      <c r="D14029" s="25"/>
      <c r="F14029" s="21"/>
      <c r="G14029" s="16"/>
    </row>
    <row r="14030" spans="4:7" ht="15" x14ac:dyDescent="0.3">
      <c r="D14030" s="25"/>
      <c r="F14030" s="21"/>
      <c r="G14030" s="16"/>
    </row>
    <row r="14031" spans="4:7" ht="15" x14ac:dyDescent="0.3">
      <c r="D14031" s="25"/>
      <c r="F14031" s="21"/>
      <c r="G14031" s="16"/>
    </row>
    <row r="14032" spans="4:7" ht="15" x14ac:dyDescent="0.3">
      <c r="D14032" s="25"/>
      <c r="F14032" s="21"/>
      <c r="G14032" s="16"/>
    </row>
    <row r="14033" spans="4:7" ht="15" x14ac:dyDescent="0.3">
      <c r="D14033" s="25"/>
      <c r="F14033" s="21"/>
      <c r="G14033" s="16"/>
    </row>
    <row r="14034" spans="4:7" ht="15" x14ac:dyDescent="0.3">
      <c r="D14034" s="25"/>
      <c r="F14034" s="21"/>
      <c r="G14034" s="16"/>
    </row>
    <row r="14035" spans="4:7" ht="15" x14ac:dyDescent="0.3">
      <c r="D14035" s="25"/>
      <c r="F14035" s="21"/>
      <c r="G14035" s="16"/>
    </row>
    <row r="14036" spans="4:7" ht="15" x14ac:dyDescent="0.3">
      <c r="D14036" s="25"/>
      <c r="F14036" s="21"/>
      <c r="G14036" s="16"/>
    </row>
    <row r="14037" spans="4:7" ht="15" x14ac:dyDescent="0.3">
      <c r="D14037" s="25"/>
      <c r="F14037" s="21"/>
      <c r="G14037" s="16"/>
    </row>
    <row r="14038" spans="4:7" ht="15" x14ac:dyDescent="0.3">
      <c r="D14038" s="25"/>
      <c r="F14038" s="21"/>
      <c r="G14038" s="16"/>
    </row>
    <row r="14039" spans="4:7" ht="15" x14ac:dyDescent="0.3">
      <c r="D14039" s="25"/>
      <c r="F14039" s="21"/>
      <c r="G14039" s="16"/>
    </row>
    <row r="14040" spans="4:7" ht="15" x14ac:dyDescent="0.3">
      <c r="D14040" s="25"/>
      <c r="F14040" s="21"/>
      <c r="G14040" s="16"/>
    </row>
    <row r="14041" spans="4:7" ht="15" x14ac:dyDescent="0.3">
      <c r="D14041" s="25"/>
      <c r="F14041" s="21"/>
      <c r="G14041" s="16"/>
    </row>
    <row r="14042" spans="4:7" ht="15" x14ac:dyDescent="0.3">
      <c r="D14042" s="25"/>
      <c r="F14042" s="21"/>
      <c r="G14042" s="16"/>
    </row>
    <row r="14043" spans="4:7" ht="15" x14ac:dyDescent="0.3">
      <c r="D14043" s="25"/>
      <c r="F14043" s="21"/>
      <c r="G14043" s="16"/>
    </row>
    <row r="14044" spans="4:7" ht="15" x14ac:dyDescent="0.3">
      <c r="D14044" s="25"/>
      <c r="F14044" s="21"/>
      <c r="G14044" s="16"/>
    </row>
    <row r="14045" spans="4:7" ht="15" x14ac:dyDescent="0.3">
      <c r="D14045" s="25"/>
      <c r="F14045" s="21"/>
      <c r="G14045" s="16"/>
    </row>
    <row r="14046" spans="4:7" ht="15" x14ac:dyDescent="0.3">
      <c r="D14046" s="25"/>
      <c r="F14046" s="21"/>
      <c r="G14046" s="16"/>
    </row>
    <row r="14047" spans="4:7" ht="15" x14ac:dyDescent="0.3">
      <c r="D14047" s="25"/>
      <c r="F14047" s="21"/>
      <c r="G14047" s="16"/>
    </row>
    <row r="14048" spans="4:7" ht="15" x14ac:dyDescent="0.3">
      <c r="D14048" s="25"/>
      <c r="F14048" s="21"/>
      <c r="G14048" s="16"/>
    </row>
    <row r="14049" spans="4:7" ht="15" x14ac:dyDescent="0.3">
      <c r="D14049" s="25"/>
      <c r="F14049" s="21"/>
      <c r="G14049" s="16"/>
    </row>
    <row r="14050" spans="4:7" ht="15" x14ac:dyDescent="0.3">
      <c r="D14050" s="25"/>
      <c r="F14050" s="21"/>
      <c r="G14050" s="16"/>
    </row>
    <row r="14051" spans="4:7" ht="15" x14ac:dyDescent="0.3">
      <c r="D14051" s="25"/>
      <c r="F14051" s="21"/>
      <c r="G14051" s="16"/>
    </row>
    <row r="14052" spans="4:7" ht="15" x14ac:dyDescent="0.3">
      <c r="D14052" s="25"/>
      <c r="F14052" s="21"/>
      <c r="G14052" s="16"/>
    </row>
    <row r="14053" spans="4:7" ht="15" x14ac:dyDescent="0.3">
      <c r="D14053" s="25"/>
      <c r="F14053" s="21"/>
      <c r="G14053" s="16"/>
    </row>
    <row r="14054" spans="4:7" ht="15" x14ac:dyDescent="0.3">
      <c r="D14054" s="25"/>
      <c r="F14054" s="21"/>
      <c r="G14054" s="16"/>
    </row>
    <row r="14055" spans="4:7" ht="15" x14ac:dyDescent="0.3">
      <c r="D14055" s="25"/>
      <c r="F14055" s="21"/>
      <c r="G14055" s="16"/>
    </row>
    <row r="14056" spans="4:7" ht="15" x14ac:dyDescent="0.3">
      <c r="D14056" s="25"/>
      <c r="F14056" s="21"/>
      <c r="G14056" s="16"/>
    </row>
    <row r="14057" spans="4:7" ht="15" x14ac:dyDescent="0.3">
      <c r="D14057" s="25"/>
      <c r="F14057" s="21"/>
      <c r="G14057" s="16"/>
    </row>
    <row r="14058" spans="4:7" ht="15" x14ac:dyDescent="0.3">
      <c r="D14058" s="25"/>
      <c r="F14058" s="21"/>
      <c r="G14058" s="16"/>
    </row>
    <row r="14059" spans="4:7" ht="15" x14ac:dyDescent="0.3">
      <c r="D14059" s="25"/>
      <c r="F14059" s="21"/>
      <c r="G14059" s="16"/>
    </row>
    <row r="14060" spans="4:7" ht="15" x14ac:dyDescent="0.3">
      <c r="D14060" s="25"/>
      <c r="F14060" s="21"/>
      <c r="G14060" s="16"/>
    </row>
    <row r="14061" spans="4:7" ht="15" x14ac:dyDescent="0.3">
      <c r="D14061" s="25"/>
      <c r="F14061" s="21"/>
      <c r="G14061" s="16"/>
    </row>
    <row r="14062" spans="4:7" ht="15" x14ac:dyDescent="0.3">
      <c r="D14062" s="25"/>
      <c r="F14062" s="21"/>
      <c r="G14062" s="16"/>
    </row>
    <row r="14063" spans="4:7" ht="15" x14ac:dyDescent="0.3">
      <c r="D14063" s="25"/>
      <c r="F14063" s="21"/>
      <c r="G14063" s="16"/>
    </row>
    <row r="14064" spans="4:7" ht="15" x14ac:dyDescent="0.3">
      <c r="D14064" s="25"/>
      <c r="F14064" s="21"/>
      <c r="G14064" s="16"/>
    </row>
    <row r="14065" spans="4:7" ht="15" x14ac:dyDescent="0.3">
      <c r="D14065" s="25"/>
      <c r="F14065" s="21"/>
      <c r="G14065" s="16"/>
    </row>
    <row r="14066" spans="4:7" ht="15" x14ac:dyDescent="0.3">
      <c r="D14066" s="25"/>
      <c r="F14066" s="21"/>
      <c r="G14066" s="16"/>
    </row>
    <row r="14067" spans="4:7" ht="15" x14ac:dyDescent="0.3">
      <c r="D14067" s="25"/>
      <c r="F14067" s="21"/>
      <c r="G14067" s="16"/>
    </row>
    <row r="14068" spans="4:7" ht="15" x14ac:dyDescent="0.3">
      <c r="D14068" s="25"/>
      <c r="F14068" s="21"/>
      <c r="G14068" s="16"/>
    </row>
    <row r="14069" spans="4:7" ht="15" x14ac:dyDescent="0.3">
      <c r="D14069" s="25"/>
      <c r="F14069" s="21"/>
      <c r="G14069" s="16"/>
    </row>
    <row r="14070" spans="4:7" ht="15" x14ac:dyDescent="0.3">
      <c r="D14070" s="25"/>
      <c r="F14070" s="21"/>
      <c r="G14070" s="16"/>
    </row>
    <row r="14071" spans="4:7" ht="15" x14ac:dyDescent="0.3">
      <c r="D14071" s="25"/>
      <c r="F14071" s="21"/>
      <c r="G14071" s="16"/>
    </row>
    <row r="14072" spans="4:7" ht="15" x14ac:dyDescent="0.3">
      <c r="D14072" s="25"/>
      <c r="F14072" s="21"/>
      <c r="G14072" s="16"/>
    </row>
    <row r="14073" spans="4:7" ht="15" x14ac:dyDescent="0.3">
      <c r="D14073" s="25"/>
      <c r="F14073" s="21"/>
      <c r="G14073" s="16"/>
    </row>
    <row r="14074" spans="4:7" ht="15" x14ac:dyDescent="0.3">
      <c r="D14074" s="25"/>
      <c r="F14074" s="21"/>
      <c r="G14074" s="16"/>
    </row>
    <row r="14075" spans="4:7" ht="15" x14ac:dyDescent="0.3">
      <c r="D14075" s="25"/>
      <c r="F14075" s="21"/>
      <c r="G14075" s="16"/>
    </row>
    <row r="14076" spans="4:7" ht="15" x14ac:dyDescent="0.3">
      <c r="D14076" s="25"/>
      <c r="F14076" s="21"/>
      <c r="G14076" s="16"/>
    </row>
    <row r="14077" spans="4:7" ht="15" x14ac:dyDescent="0.3">
      <c r="D14077" s="25"/>
      <c r="F14077" s="21"/>
      <c r="G14077" s="16"/>
    </row>
    <row r="14078" spans="4:7" ht="15" x14ac:dyDescent="0.3">
      <c r="D14078" s="25"/>
      <c r="F14078" s="21"/>
      <c r="G14078" s="16"/>
    </row>
    <row r="14079" spans="4:7" ht="15" x14ac:dyDescent="0.3">
      <c r="D14079" s="25"/>
      <c r="F14079" s="21"/>
      <c r="G14079" s="16"/>
    </row>
    <row r="14080" spans="4:7" ht="15" x14ac:dyDescent="0.3">
      <c r="D14080" s="25"/>
      <c r="F14080" s="21"/>
      <c r="G14080" s="16"/>
    </row>
    <row r="14081" spans="4:7" ht="15" x14ac:dyDescent="0.3">
      <c r="D14081" s="25"/>
      <c r="F14081" s="21"/>
      <c r="G14081" s="16"/>
    </row>
    <row r="14082" spans="4:7" ht="15" x14ac:dyDescent="0.3">
      <c r="D14082" s="25"/>
      <c r="F14082" s="21"/>
      <c r="G14082" s="16"/>
    </row>
    <row r="14083" spans="4:7" ht="15" x14ac:dyDescent="0.3">
      <c r="D14083" s="25"/>
      <c r="F14083" s="21"/>
      <c r="G14083" s="16"/>
    </row>
    <row r="14084" spans="4:7" ht="15" x14ac:dyDescent="0.3">
      <c r="D14084" s="25"/>
      <c r="F14084" s="21"/>
      <c r="G14084" s="16"/>
    </row>
    <row r="14085" spans="4:7" ht="15" x14ac:dyDescent="0.3">
      <c r="D14085" s="25"/>
      <c r="F14085" s="21"/>
      <c r="G14085" s="16"/>
    </row>
    <row r="14086" spans="4:7" ht="15" x14ac:dyDescent="0.3">
      <c r="D14086" s="25"/>
      <c r="F14086" s="21"/>
      <c r="G14086" s="16"/>
    </row>
    <row r="14087" spans="4:7" ht="15" x14ac:dyDescent="0.3">
      <c r="D14087" s="25"/>
      <c r="F14087" s="21"/>
      <c r="G14087" s="16"/>
    </row>
    <row r="14088" spans="4:7" ht="15" x14ac:dyDescent="0.3">
      <c r="D14088" s="25"/>
      <c r="F14088" s="21"/>
      <c r="G14088" s="16"/>
    </row>
    <row r="14089" spans="4:7" ht="15" x14ac:dyDescent="0.3">
      <c r="D14089" s="25"/>
      <c r="F14089" s="21"/>
      <c r="G14089" s="16"/>
    </row>
    <row r="14090" spans="4:7" ht="15" x14ac:dyDescent="0.3">
      <c r="D14090" s="25"/>
      <c r="F14090" s="21"/>
      <c r="G14090" s="16"/>
    </row>
    <row r="14091" spans="4:7" ht="15" x14ac:dyDescent="0.3">
      <c r="D14091" s="25"/>
      <c r="F14091" s="21"/>
      <c r="G14091" s="16"/>
    </row>
    <row r="14092" spans="4:7" ht="15" x14ac:dyDescent="0.3">
      <c r="D14092" s="25"/>
      <c r="F14092" s="21"/>
      <c r="G14092" s="16"/>
    </row>
    <row r="14093" spans="4:7" ht="15" x14ac:dyDescent="0.3">
      <c r="D14093" s="25"/>
      <c r="F14093" s="21"/>
      <c r="G14093" s="16"/>
    </row>
    <row r="14094" spans="4:7" ht="15" x14ac:dyDescent="0.3">
      <c r="D14094" s="25"/>
      <c r="F14094" s="21"/>
      <c r="G14094" s="16"/>
    </row>
    <row r="14095" spans="4:7" ht="15" x14ac:dyDescent="0.3">
      <c r="D14095" s="25"/>
      <c r="F14095" s="21"/>
      <c r="G14095" s="16"/>
    </row>
    <row r="14096" spans="4:7" ht="15" x14ac:dyDescent="0.3">
      <c r="D14096" s="25"/>
      <c r="F14096" s="21"/>
      <c r="G14096" s="16"/>
    </row>
    <row r="14097" spans="4:7" ht="15" x14ac:dyDescent="0.3">
      <c r="D14097" s="25"/>
      <c r="F14097" s="21"/>
      <c r="G14097" s="16"/>
    </row>
    <row r="14098" spans="4:7" ht="15" x14ac:dyDescent="0.3">
      <c r="D14098" s="25"/>
      <c r="F14098" s="21"/>
      <c r="G14098" s="16"/>
    </row>
    <row r="14099" spans="4:7" ht="15" x14ac:dyDescent="0.3">
      <c r="D14099" s="25"/>
      <c r="F14099" s="21"/>
      <c r="G14099" s="16"/>
    </row>
    <row r="14100" spans="4:7" ht="15" x14ac:dyDescent="0.3">
      <c r="D14100" s="25"/>
      <c r="F14100" s="21"/>
      <c r="G14100" s="16"/>
    </row>
    <row r="14101" spans="4:7" ht="15" x14ac:dyDescent="0.3">
      <c r="D14101" s="25"/>
      <c r="F14101" s="21"/>
      <c r="G14101" s="16"/>
    </row>
    <row r="14102" spans="4:7" ht="15" x14ac:dyDescent="0.3">
      <c r="D14102" s="25"/>
      <c r="F14102" s="21"/>
      <c r="G14102" s="16"/>
    </row>
    <row r="14103" spans="4:7" ht="15" x14ac:dyDescent="0.3">
      <c r="D14103" s="25"/>
      <c r="F14103" s="21"/>
      <c r="G14103" s="16"/>
    </row>
    <row r="14104" spans="4:7" ht="15" x14ac:dyDescent="0.3">
      <c r="D14104" s="25"/>
      <c r="F14104" s="21"/>
      <c r="G14104" s="16"/>
    </row>
    <row r="14105" spans="4:7" ht="15" x14ac:dyDescent="0.3">
      <c r="D14105" s="25"/>
      <c r="F14105" s="21"/>
      <c r="G14105" s="16"/>
    </row>
    <row r="14106" spans="4:7" ht="15" x14ac:dyDescent="0.3">
      <c r="D14106" s="25"/>
      <c r="F14106" s="21"/>
      <c r="G14106" s="16"/>
    </row>
    <row r="14107" spans="4:7" ht="15" x14ac:dyDescent="0.3">
      <c r="D14107" s="25"/>
      <c r="F14107" s="21"/>
      <c r="G14107" s="16"/>
    </row>
    <row r="14108" spans="4:7" ht="15" x14ac:dyDescent="0.3">
      <c r="D14108" s="25"/>
      <c r="F14108" s="21"/>
      <c r="G14108" s="16"/>
    </row>
    <row r="14109" spans="4:7" ht="15" x14ac:dyDescent="0.3">
      <c r="D14109" s="25"/>
      <c r="F14109" s="21"/>
      <c r="G14109" s="16"/>
    </row>
    <row r="14110" spans="4:7" ht="15" x14ac:dyDescent="0.3">
      <c r="D14110" s="25"/>
      <c r="F14110" s="21"/>
      <c r="G14110" s="16"/>
    </row>
    <row r="14111" spans="4:7" ht="15" x14ac:dyDescent="0.3">
      <c r="D14111" s="25"/>
      <c r="F14111" s="21"/>
      <c r="G14111" s="16"/>
    </row>
    <row r="14112" spans="4:7" ht="15" x14ac:dyDescent="0.3">
      <c r="D14112" s="25"/>
      <c r="F14112" s="21"/>
      <c r="G14112" s="16"/>
    </row>
    <row r="14113" spans="4:7" ht="15" x14ac:dyDescent="0.3">
      <c r="D14113" s="25"/>
      <c r="F14113" s="21"/>
      <c r="G14113" s="16"/>
    </row>
    <row r="14114" spans="4:7" ht="15" x14ac:dyDescent="0.3">
      <c r="D14114" s="25"/>
      <c r="F14114" s="21"/>
      <c r="G14114" s="16"/>
    </row>
    <row r="14115" spans="4:7" ht="15" x14ac:dyDescent="0.3">
      <c r="D14115" s="25"/>
      <c r="F14115" s="21"/>
      <c r="G14115" s="16"/>
    </row>
    <row r="14116" spans="4:7" ht="15" x14ac:dyDescent="0.3">
      <c r="D14116" s="25"/>
      <c r="F14116" s="21"/>
      <c r="G14116" s="16"/>
    </row>
    <row r="14117" spans="4:7" ht="15" x14ac:dyDescent="0.3">
      <c r="D14117" s="25"/>
      <c r="F14117" s="21"/>
      <c r="G14117" s="16"/>
    </row>
    <row r="14118" spans="4:7" ht="15" x14ac:dyDescent="0.3">
      <c r="D14118" s="25"/>
      <c r="F14118" s="21"/>
      <c r="G14118" s="16"/>
    </row>
    <row r="14119" spans="4:7" ht="15" x14ac:dyDescent="0.3">
      <c r="D14119" s="25"/>
      <c r="F14119" s="21"/>
      <c r="G14119" s="16"/>
    </row>
    <row r="14120" spans="4:7" ht="15" x14ac:dyDescent="0.3">
      <c r="D14120" s="25"/>
      <c r="F14120" s="21"/>
      <c r="G14120" s="16"/>
    </row>
    <row r="14121" spans="4:7" ht="15" x14ac:dyDescent="0.3">
      <c r="D14121" s="25"/>
      <c r="F14121" s="21"/>
      <c r="G14121" s="16"/>
    </row>
    <row r="14122" spans="4:7" ht="15" x14ac:dyDescent="0.3">
      <c r="D14122" s="25"/>
      <c r="F14122" s="21"/>
      <c r="G14122" s="16"/>
    </row>
    <row r="14123" spans="4:7" ht="15" x14ac:dyDescent="0.3">
      <c r="D14123" s="25"/>
      <c r="F14123" s="21"/>
      <c r="G14123" s="16"/>
    </row>
    <row r="14124" spans="4:7" ht="15" x14ac:dyDescent="0.3">
      <c r="D14124" s="25"/>
      <c r="F14124" s="21"/>
      <c r="G14124" s="16"/>
    </row>
    <row r="14125" spans="4:7" ht="15" x14ac:dyDescent="0.3">
      <c r="D14125" s="25"/>
      <c r="F14125" s="21"/>
      <c r="G14125" s="16"/>
    </row>
    <row r="14126" spans="4:7" ht="15" x14ac:dyDescent="0.3">
      <c r="D14126" s="25"/>
      <c r="F14126" s="21"/>
      <c r="G14126" s="16"/>
    </row>
    <row r="14127" spans="4:7" ht="15" x14ac:dyDescent="0.3">
      <c r="D14127" s="25"/>
      <c r="F14127" s="21"/>
      <c r="G14127" s="16"/>
    </row>
    <row r="14128" spans="4:7" ht="15" x14ac:dyDescent="0.3">
      <c r="D14128" s="25"/>
      <c r="F14128" s="21"/>
      <c r="G14128" s="16"/>
    </row>
    <row r="14129" spans="4:7" ht="15" x14ac:dyDescent="0.3">
      <c r="D14129" s="25"/>
      <c r="F14129" s="21"/>
      <c r="G14129" s="16"/>
    </row>
    <row r="14130" spans="4:7" ht="15" x14ac:dyDescent="0.3">
      <c r="D14130" s="25"/>
      <c r="F14130" s="21"/>
      <c r="G14130" s="16"/>
    </row>
    <row r="14131" spans="4:7" ht="15" x14ac:dyDescent="0.3">
      <c r="D14131" s="25"/>
      <c r="F14131" s="21"/>
      <c r="G14131" s="16"/>
    </row>
    <row r="14132" spans="4:7" ht="15" x14ac:dyDescent="0.3">
      <c r="D14132" s="25"/>
      <c r="F14132" s="21"/>
      <c r="G14132" s="16"/>
    </row>
    <row r="14133" spans="4:7" ht="15" x14ac:dyDescent="0.3">
      <c r="D14133" s="25"/>
      <c r="F14133" s="21"/>
      <c r="G14133" s="16"/>
    </row>
    <row r="14134" spans="4:7" ht="15" x14ac:dyDescent="0.3">
      <c r="D14134" s="25"/>
      <c r="F14134" s="21"/>
      <c r="G14134" s="16"/>
    </row>
    <row r="14135" spans="4:7" ht="15" x14ac:dyDescent="0.3">
      <c r="D14135" s="25"/>
      <c r="F14135" s="21"/>
      <c r="G14135" s="16"/>
    </row>
    <row r="14136" spans="4:7" ht="15" x14ac:dyDescent="0.3">
      <c r="D14136" s="25"/>
      <c r="F14136" s="21"/>
      <c r="G14136" s="16"/>
    </row>
    <row r="14137" spans="4:7" ht="15" x14ac:dyDescent="0.3">
      <c r="D14137" s="25"/>
      <c r="F14137" s="21"/>
      <c r="G14137" s="16"/>
    </row>
    <row r="14138" spans="4:7" ht="15" x14ac:dyDescent="0.3">
      <c r="D14138" s="25"/>
      <c r="F14138" s="21"/>
      <c r="G14138" s="16"/>
    </row>
    <row r="14139" spans="4:7" ht="15" x14ac:dyDescent="0.3">
      <c r="D14139" s="25"/>
      <c r="F14139" s="21"/>
      <c r="G14139" s="16"/>
    </row>
    <row r="14140" spans="4:7" ht="15" x14ac:dyDescent="0.3">
      <c r="D14140" s="25"/>
      <c r="F14140" s="21"/>
      <c r="G14140" s="16"/>
    </row>
    <row r="14141" spans="4:7" ht="15" x14ac:dyDescent="0.3">
      <c r="D14141" s="25"/>
      <c r="F14141" s="21"/>
      <c r="G14141" s="16"/>
    </row>
    <row r="14142" spans="4:7" ht="15" x14ac:dyDescent="0.3">
      <c r="D14142" s="25"/>
      <c r="F14142" s="21"/>
      <c r="G14142" s="16"/>
    </row>
    <row r="14143" spans="4:7" ht="15" x14ac:dyDescent="0.3">
      <c r="D14143" s="25"/>
      <c r="F14143" s="21"/>
      <c r="G14143" s="16"/>
    </row>
    <row r="14144" spans="4:7" ht="15" x14ac:dyDescent="0.3">
      <c r="D14144" s="25"/>
      <c r="F14144" s="21"/>
      <c r="G14144" s="16"/>
    </row>
    <row r="14145" spans="4:7" ht="15" x14ac:dyDescent="0.3">
      <c r="D14145" s="25"/>
      <c r="F14145" s="21"/>
      <c r="G14145" s="16"/>
    </row>
    <row r="14146" spans="4:7" ht="15" x14ac:dyDescent="0.3">
      <c r="D14146" s="25"/>
      <c r="F14146" s="21"/>
      <c r="G14146" s="16"/>
    </row>
    <row r="14147" spans="4:7" ht="15" x14ac:dyDescent="0.3">
      <c r="D14147" s="25"/>
      <c r="F14147" s="21"/>
      <c r="G14147" s="16"/>
    </row>
    <row r="14148" spans="4:7" ht="15" x14ac:dyDescent="0.3">
      <c r="D14148" s="25"/>
      <c r="F14148" s="21"/>
      <c r="G14148" s="16"/>
    </row>
    <row r="14149" spans="4:7" ht="15" x14ac:dyDescent="0.3">
      <c r="D14149" s="25"/>
      <c r="F14149" s="21"/>
      <c r="G14149" s="16"/>
    </row>
    <row r="14150" spans="4:7" ht="15" x14ac:dyDescent="0.3">
      <c r="D14150" s="25"/>
      <c r="F14150" s="21"/>
      <c r="G14150" s="16"/>
    </row>
    <row r="14151" spans="4:7" ht="15" x14ac:dyDescent="0.3">
      <c r="D14151" s="25"/>
      <c r="F14151" s="21"/>
      <c r="G14151" s="16"/>
    </row>
    <row r="14152" spans="4:7" ht="15" x14ac:dyDescent="0.3">
      <c r="D14152" s="25"/>
      <c r="F14152" s="21"/>
      <c r="G14152" s="16"/>
    </row>
    <row r="14153" spans="4:7" ht="15" x14ac:dyDescent="0.3">
      <c r="D14153" s="25"/>
      <c r="F14153" s="21"/>
      <c r="G14153" s="16"/>
    </row>
    <row r="14154" spans="4:7" ht="15" x14ac:dyDescent="0.3">
      <c r="D14154" s="25"/>
      <c r="F14154" s="21"/>
      <c r="G14154" s="16"/>
    </row>
    <row r="14155" spans="4:7" ht="15" x14ac:dyDescent="0.3">
      <c r="D14155" s="25"/>
      <c r="F14155" s="21"/>
      <c r="G14155" s="16"/>
    </row>
    <row r="14156" spans="4:7" ht="15" x14ac:dyDescent="0.3">
      <c r="D14156" s="25"/>
      <c r="F14156" s="21"/>
      <c r="G14156" s="16"/>
    </row>
    <row r="14157" spans="4:7" ht="15" x14ac:dyDescent="0.3">
      <c r="D14157" s="25"/>
      <c r="F14157" s="21"/>
      <c r="G14157" s="16"/>
    </row>
    <row r="14158" spans="4:7" ht="15" x14ac:dyDescent="0.3">
      <c r="D14158" s="25"/>
      <c r="F14158" s="21"/>
      <c r="G14158" s="16"/>
    </row>
    <row r="14159" spans="4:7" ht="15" x14ac:dyDescent="0.3">
      <c r="D14159" s="25"/>
      <c r="F14159" s="21"/>
      <c r="G14159" s="16"/>
    </row>
    <row r="14160" spans="4:7" ht="15" x14ac:dyDescent="0.3">
      <c r="D14160" s="25"/>
      <c r="F14160" s="21"/>
      <c r="G14160" s="16"/>
    </row>
    <row r="14161" spans="4:7" ht="15" x14ac:dyDescent="0.3">
      <c r="D14161" s="25"/>
      <c r="F14161" s="21"/>
      <c r="G14161" s="16"/>
    </row>
    <row r="14162" spans="4:7" ht="15" x14ac:dyDescent="0.3">
      <c r="D14162" s="25"/>
      <c r="F14162" s="21"/>
      <c r="G14162" s="16"/>
    </row>
    <row r="14163" spans="4:7" ht="15" x14ac:dyDescent="0.3">
      <c r="D14163" s="25"/>
      <c r="F14163" s="21"/>
      <c r="G14163" s="16"/>
    </row>
    <row r="14164" spans="4:7" ht="15" x14ac:dyDescent="0.3">
      <c r="D14164" s="25"/>
      <c r="F14164" s="21"/>
      <c r="G14164" s="16"/>
    </row>
    <row r="14165" spans="4:7" ht="15" x14ac:dyDescent="0.3">
      <c r="D14165" s="25"/>
      <c r="F14165" s="21"/>
      <c r="G14165" s="16"/>
    </row>
    <row r="14166" spans="4:7" ht="15" x14ac:dyDescent="0.3">
      <c r="D14166" s="25"/>
      <c r="F14166" s="21"/>
      <c r="G14166" s="16"/>
    </row>
    <row r="14167" spans="4:7" ht="15" x14ac:dyDescent="0.3">
      <c r="D14167" s="25"/>
      <c r="F14167" s="21"/>
      <c r="G14167" s="16"/>
    </row>
    <row r="14168" spans="4:7" ht="15" x14ac:dyDescent="0.3">
      <c r="D14168" s="25"/>
      <c r="F14168" s="21"/>
      <c r="G14168" s="16"/>
    </row>
    <row r="14169" spans="4:7" ht="15" x14ac:dyDescent="0.3">
      <c r="D14169" s="25"/>
      <c r="F14169" s="21"/>
      <c r="G14169" s="16"/>
    </row>
    <row r="14170" spans="4:7" ht="15" x14ac:dyDescent="0.3">
      <c r="D14170" s="25"/>
      <c r="F14170" s="21"/>
      <c r="G14170" s="16"/>
    </row>
    <row r="14171" spans="4:7" ht="15" x14ac:dyDescent="0.3">
      <c r="D14171" s="25"/>
      <c r="F14171" s="21"/>
      <c r="G14171" s="16"/>
    </row>
    <row r="14172" spans="4:7" ht="15" x14ac:dyDescent="0.3">
      <c r="D14172" s="25"/>
      <c r="F14172" s="21"/>
      <c r="G14172" s="16"/>
    </row>
    <row r="14173" spans="4:7" ht="15" x14ac:dyDescent="0.3">
      <c r="D14173" s="25"/>
      <c r="F14173" s="21"/>
      <c r="G14173" s="16"/>
    </row>
    <row r="14174" spans="4:7" ht="15" x14ac:dyDescent="0.3">
      <c r="D14174" s="25"/>
      <c r="F14174" s="21"/>
      <c r="G14174" s="16"/>
    </row>
    <row r="14175" spans="4:7" ht="15" x14ac:dyDescent="0.3">
      <c r="D14175" s="25"/>
      <c r="F14175" s="21"/>
      <c r="G14175" s="16"/>
    </row>
    <row r="14176" spans="4:7" ht="15" x14ac:dyDescent="0.3">
      <c r="D14176" s="25"/>
      <c r="F14176" s="21"/>
      <c r="G14176" s="16"/>
    </row>
    <row r="14177" spans="4:7" ht="15" x14ac:dyDescent="0.3">
      <c r="D14177" s="25"/>
      <c r="F14177" s="21"/>
      <c r="G14177" s="16"/>
    </row>
    <row r="14178" spans="4:7" ht="15" x14ac:dyDescent="0.3">
      <c r="D14178" s="25"/>
      <c r="F14178" s="21"/>
      <c r="G14178" s="16"/>
    </row>
    <row r="14179" spans="4:7" ht="15" x14ac:dyDescent="0.3">
      <c r="D14179" s="25"/>
      <c r="F14179" s="21"/>
      <c r="G14179" s="16"/>
    </row>
    <row r="14180" spans="4:7" ht="15" x14ac:dyDescent="0.3">
      <c r="D14180" s="25"/>
      <c r="F14180" s="21"/>
      <c r="G14180" s="16"/>
    </row>
    <row r="14181" spans="4:7" ht="15" x14ac:dyDescent="0.3">
      <c r="D14181" s="25"/>
      <c r="F14181" s="21"/>
      <c r="G14181" s="16"/>
    </row>
    <row r="14182" spans="4:7" ht="15" x14ac:dyDescent="0.3">
      <c r="D14182" s="25"/>
      <c r="F14182" s="21"/>
      <c r="G14182" s="16"/>
    </row>
    <row r="14183" spans="4:7" ht="15" x14ac:dyDescent="0.3">
      <c r="D14183" s="25"/>
      <c r="F14183" s="21"/>
      <c r="G14183" s="16"/>
    </row>
    <row r="14184" spans="4:7" ht="15" x14ac:dyDescent="0.3">
      <c r="D14184" s="25"/>
      <c r="F14184" s="21"/>
      <c r="G14184" s="16"/>
    </row>
    <row r="14185" spans="4:7" ht="15" x14ac:dyDescent="0.3">
      <c r="D14185" s="25"/>
      <c r="F14185" s="21"/>
      <c r="G14185" s="16"/>
    </row>
    <row r="14186" spans="4:7" ht="15" x14ac:dyDescent="0.3">
      <c r="D14186" s="25"/>
      <c r="F14186" s="21"/>
      <c r="G14186" s="16"/>
    </row>
    <row r="14187" spans="4:7" ht="15" x14ac:dyDescent="0.3">
      <c r="D14187" s="25"/>
      <c r="F14187" s="21"/>
      <c r="G14187" s="16"/>
    </row>
    <row r="14188" spans="4:7" ht="15" x14ac:dyDescent="0.3">
      <c r="D14188" s="25"/>
      <c r="F14188" s="21"/>
      <c r="G14188" s="16"/>
    </row>
    <row r="14189" spans="4:7" ht="15" x14ac:dyDescent="0.3">
      <c r="D14189" s="25"/>
      <c r="F14189" s="21"/>
      <c r="G14189" s="16"/>
    </row>
    <row r="14190" spans="4:7" ht="15" x14ac:dyDescent="0.3">
      <c r="D14190" s="25"/>
      <c r="F14190" s="21"/>
      <c r="G14190" s="16"/>
    </row>
    <row r="14191" spans="4:7" ht="15" x14ac:dyDescent="0.3">
      <c r="D14191" s="25"/>
      <c r="F14191" s="21"/>
      <c r="G14191" s="16"/>
    </row>
    <row r="14192" spans="4:7" ht="15" x14ac:dyDescent="0.3">
      <c r="D14192" s="25"/>
      <c r="F14192" s="21"/>
      <c r="G14192" s="16"/>
    </row>
    <row r="14193" spans="4:7" ht="15" x14ac:dyDescent="0.3">
      <c r="D14193" s="25"/>
      <c r="F14193" s="21"/>
      <c r="G14193" s="16"/>
    </row>
    <row r="14194" spans="4:7" ht="15" x14ac:dyDescent="0.3">
      <c r="D14194" s="25"/>
      <c r="F14194" s="21"/>
      <c r="G14194" s="16"/>
    </row>
    <row r="14195" spans="4:7" ht="15" x14ac:dyDescent="0.3">
      <c r="D14195" s="25"/>
      <c r="F14195" s="21"/>
      <c r="G14195" s="16"/>
    </row>
    <row r="14196" spans="4:7" ht="15" x14ac:dyDescent="0.3">
      <c r="D14196" s="25"/>
      <c r="F14196" s="21"/>
      <c r="G14196" s="16"/>
    </row>
    <row r="14197" spans="4:7" ht="15" x14ac:dyDescent="0.3">
      <c r="D14197" s="25"/>
      <c r="F14197" s="21"/>
      <c r="G14197" s="16"/>
    </row>
    <row r="14198" spans="4:7" ht="15" x14ac:dyDescent="0.3">
      <c r="D14198" s="25"/>
      <c r="F14198" s="21"/>
      <c r="G14198" s="16"/>
    </row>
    <row r="14199" spans="4:7" ht="15" x14ac:dyDescent="0.3">
      <c r="D14199" s="25"/>
      <c r="F14199" s="21"/>
      <c r="G14199" s="16"/>
    </row>
    <row r="14200" spans="4:7" ht="15" x14ac:dyDescent="0.3">
      <c r="D14200" s="25"/>
      <c r="F14200" s="21"/>
      <c r="G14200" s="16"/>
    </row>
    <row r="14201" spans="4:7" ht="15" x14ac:dyDescent="0.3">
      <c r="D14201" s="25"/>
      <c r="F14201" s="21"/>
      <c r="G14201" s="16"/>
    </row>
    <row r="14202" spans="4:7" ht="15" x14ac:dyDescent="0.3">
      <c r="D14202" s="25"/>
      <c r="F14202" s="21"/>
      <c r="G14202" s="16"/>
    </row>
    <row r="14203" spans="4:7" ht="15" x14ac:dyDescent="0.3">
      <c r="D14203" s="25"/>
      <c r="F14203" s="21"/>
      <c r="G14203" s="16"/>
    </row>
    <row r="14204" spans="4:7" ht="15" x14ac:dyDescent="0.3">
      <c r="D14204" s="25"/>
      <c r="F14204" s="21"/>
      <c r="G14204" s="16"/>
    </row>
    <row r="14205" spans="4:7" ht="15" x14ac:dyDescent="0.3">
      <c r="D14205" s="25"/>
      <c r="F14205" s="21"/>
      <c r="G14205" s="16"/>
    </row>
    <row r="14206" spans="4:7" ht="15" x14ac:dyDescent="0.3">
      <c r="D14206" s="25"/>
      <c r="F14206" s="21"/>
      <c r="G14206" s="16"/>
    </row>
    <row r="14207" spans="4:7" ht="15" x14ac:dyDescent="0.3">
      <c r="D14207" s="25"/>
      <c r="F14207" s="21"/>
      <c r="G14207" s="16"/>
    </row>
    <row r="14208" spans="4:7" ht="15" x14ac:dyDescent="0.3">
      <c r="D14208" s="25"/>
      <c r="F14208" s="21"/>
      <c r="G14208" s="16"/>
    </row>
    <row r="14209" spans="4:7" ht="15" x14ac:dyDescent="0.3">
      <c r="D14209" s="25"/>
      <c r="F14209" s="21"/>
      <c r="G14209" s="16"/>
    </row>
    <row r="14210" spans="4:7" ht="15" x14ac:dyDescent="0.3">
      <c r="D14210" s="25"/>
      <c r="F14210" s="21"/>
      <c r="G14210" s="16"/>
    </row>
    <row r="14211" spans="4:7" ht="15" x14ac:dyDescent="0.3">
      <c r="D14211" s="25"/>
      <c r="F14211" s="21"/>
      <c r="G14211" s="16"/>
    </row>
    <row r="14212" spans="4:7" ht="15" x14ac:dyDescent="0.3">
      <c r="D14212" s="25"/>
      <c r="F14212" s="21"/>
      <c r="G14212" s="16"/>
    </row>
    <row r="14213" spans="4:7" ht="15" x14ac:dyDescent="0.3">
      <c r="D14213" s="25"/>
      <c r="F14213" s="21"/>
      <c r="G14213" s="16"/>
    </row>
    <row r="14214" spans="4:7" ht="15" x14ac:dyDescent="0.3">
      <c r="D14214" s="25"/>
      <c r="F14214" s="21"/>
      <c r="G14214" s="16"/>
    </row>
    <row r="14215" spans="4:7" ht="15" x14ac:dyDescent="0.3">
      <c r="D14215" s="25"/>
      <c r="F14215" s="21"/>
      <c r="G14215" s="16"/>
    </row>
    <row r="14216" spans="4:7" ht="15" x14ac:dyDescent="0.3">
      <c r="D14216" s="25"/>
      <c r="F14216" s="21"/>
      <c r="G14216" s="16"/>
    </row>
    <row r="14217" spans="4:7" ht="15" x14ac:dyDescent="0.3">
      <c r="D14217" s="25"/>
      <c r="F14217" s="21"/>
      <c r="G14217" s="16"/>
    </row>
    <row r="14218" spans="4:7" ht="15" x14ac:dyDescent="0.3">
      <c r="D14218" s="25"/>
      <c r="F14218" s="21"/>
      <c r="G14218" s="16"/>
    </row>
    <row r="14219" spans="4:7" ht="15" x14ac:dyDescent="0.3">
      <c r="D14219" s="25"/>
      <c r="F14219" s="21"/>
      <c r="G14219" s="16"/>
    </row>
    <row r="14220" spans="4:7" ht="15" x14ac:dyDescent="0.3">
      <c r="D14220" s="25"/>
      <c r="F14220" s="21"/>
      <c r="G14220" s="16"/>
    </row>
    <row r="14221" spans="4:7" ht="15" x14ac:dyDescent="0.3">
      <c r="D14221" s="25"/>
      <c r="F14221" s="21"/>
      <c r="G14221" s="16"/>
    </row>
    <row r="14222" spans="4:7" ht="15" x14ac:dyDescent="0.3">
      <c r="D14222" s="25"/>
      <c r="F14222" s="21"/>
      <c r="G14222" s="16"/>
    </row>
    <row r="14223" spans="4:7" ht="15" x14ac:dyDescent="0.3">
      <c r="D14223" s="25"/>
      <c r="F14223" s="21"/>
      <c r="G14223" s="16"/>
    </row>
    <row r="14224" spans="4:7" ht="15" x14ac:dyDescent="0.3">
      <c r="D14224" s="25"/>
      <c r="F14224" s="21"/>
      <c r="G14224" s="16"/>
    </row>
    <row r="14225" spans="4:7" ht="15" x14ac:dyDescent="0.3">
      <c r="D14225" s="25"/>
      <c r="F14225" s="21"/>
      <c r="G14225" s="16"/>
    </row>
    <row r="14226" spans="4:7" ht="15" x14ac:dyDescent="0.3">
      <c r="D14226" s="25"/>
      <c r="F14226" s="21"/>
      <c r="G14226" s="16"/>
    </row>
    <row r="14227" spans="4:7" ht="15" x14ac:dyDescent="0.3">
      <c r="D14227" s="25"/>
      <c r="F14227" s="21"/>
      <c r="G14227" s="16"/>
    </row>
    <row r="14228" spans="4:7" ht="15" x14ac:dyDescent="0.3">
      <c r="D14228" s="25"/>
      <c r="F14228" s="21"/>
      <c r="G14228" s="16"/>
    </row>
    <row r="14229" spans="4:7" ht="15" x14ac:dyDescent="0.3">
      <c r="D14229" s="25"/>
      <c r="F14229" s="21"/>
      <c r="G14229" s="16"/>
    </row>
    <row r="14230" spans="4:7" ht="15" x14ac:dyDescent="0.3">
      <c r="D14230" s="25"/>
      <c r="F14230" s="21"/>
      <c r="G14230" s="16"/>
    </row>
    <row r="14231" spans="4:7" ht="15" x14ac:dyDescent="0.3">
      <c r="D14231" s="25"/>
      <c r="F14231" s="21"/>
      <c r="G14231" s="16"/>
    </row>
    <row r="14232" spans="4:7" ht="15" x14ac:dyDescent="0.3">
      <c r="D14232" s="25"/>
      <c r="F14232" s="21"/>
      <c r="G14232" s="16"/>
    </row>
    <row r="14233" spans="4:7" ht="15" x14ac:dyDescent="0.3">
      <c r="D14233" s="25"/>
      <c r="F14233" s="21"/>
      <c r="G14233" s="16"/>
    </row>
    <row r="14234" spans="4:7" ht="15" x14ac:dyDescent="0.3">
      <c r="D14234" s="25"/>
      <c r="F14234" s="21"/>
      <c r="G14234" s="16"/>
    </row>
    <row r="14235" spans="4:7" ht="15" x14ac:dyDescent="0.3">
      <c r="D14235" s="25"/>
      <c r="F14235" s="21"/>
      <c r="G14235" s="16"/>
    </row>
    <row r="14236" spans="4:7" ht="15" x14ac:dyDescent="0.3">
      <c r="D14236" s="25"/>
      <c r="F14236" s="21"/>
      <c r="G14236" s="16"/>
    </row>
    <row r="14237" spans="4:7" ht="15" x14ac:dyDescent="0.3">
      <c r="D14237" s="25"/>
      <c r="F14237" s="21"/>
      <c r="G14237" s="16"/>
    </row>
    <row r="14238" spans="4:7" ht="15" x14ac:dyDescent="0.3">
      <c r="D14238" s="25"/>
      <c r="F14238" s="21"/>
      <c r="G14238" s="16"/>
    </row>
    <row r="14239" spans="4:7" ht="15" x14ac:dyDescent="0.3">
      <c r="D14239" s="25"/>
      <c r="F14239" s="21"/>
      <c r="G14239" s="16"/>
    </row>
    <row r="14240" spans="4:7" ht="15" x14ac:dyDescent="0.3">
      <c r="D14240" s="25"/>
      <c r="F14240" s="21"/>
      <c r="G14240" s="16"/>
    </row>
    <row r="14241" spans="4:7" ht="15" x14ac:dyDescent="0.3">
      <c r="D14241" s="25"/>
      <c r="F14241" s="21"/>
      <c r="G14241" s="16"/>
    </row>
    <row r="14242" spans="4:7" ht="15" x14ac:dyDescent="0.3">
      <c r="D14242" s="25"/>
      <c r="F14242" s="21"/>
      <c r="G14242" s="16"/>
    </row>
    <row r="14243" spans="4:7" ht="15" x14ac:dyDescent="0.3">
      <c r="D14243" s="25"/>
      <c r="F14243" s="21"/>
      <c r="G14243" s="16"/>
    </row>
    <row r="14244" spans="4:7" ht="15" x14ac:dyDescent="0.3">
      <c r="D14244" s="25"/>
      <c r="F14244" s="21"/>
      <c r="G14244" s="16"/>
    </row>
    <row r="14245" spans="4:7" ht="15" x14ac:dyDescent="0.3">
      <c r="D14245" s="25"/>
      <c r="F14245" s="21"/>
      <c r="G14245" s="16"/>
    </row>
    <row r="14246" spans="4:7" ht="15" x14ac:dyDescent="0.3">
      <c r="D14246" s="25"/>
      <c r="F14246" s="21"/>
      <c r="G14246" s="16"/>
    </row>
    <row r="14247" spans="4:7" ht="15" x14ac:dyDescent="0.3">
      <c r="D14247" s="25"/>
      <c r="F14247" s="21"/>
      <c r="G14247" s="16"/>
    </row>
    <row r="14248" spans="4:7" ht="15" x14ac:dyDescent="0.3">
      <c r="D14248" s="25"/>
      <c r="F14248" s="21"/>
      <c r="G14248" s="16"/>
    </row>
    <row r="14249" spans="4:7" ht="15" x14ac:dyDescent="0.3">
      <c r="D14249" s="25"/>
      <c r="F14249" s="21"/>
      <c r="G14249" s="16"/>
    </row>
    <row r="14250" spans="4:7" ht="15" x14ac:dyDescent="0.3">
      <c r="D14250" s="25"/>
      <c r="F14250" s="21"/>
      <c r="G14250" s="16"/>
    </row>
    <row r="14251" spans="4:7" ht="15" x14ac:dyDescent="0.3">
      <c r="D14251" s="25"/>
      <c r="F14251" s="21"/>
      <c r="G14251" s="16"/>
    </row>
    <row r="14252" spans="4:7" ht="15" x14ac:dyDescent="0.3">
      <c r="D14252" s="25"/>
      <c r="F14252" s="21"/>
      <c r="G14252" s="16"/>
    </row>
    <row r="14253" spans="4:7" ht="15" x14ac:dyDescent="0.3">
      <c r="D14253" s="25"/>
      <c r="F14253" s="21"/>
      <c r="G14253" s="16"/>
    </row>
    <row r="14254" spans="4:7" ht="15" x14ac:dyDescent="0.3">
      <c r="D14254" s="25"/>
      <c r="F14254" s="21"/>
      <c r="G14254" s="16"/>
    </row>
    <row r="14255" spans="4:7" ht="15" x14ac:dyDescent="0.3">
      <c r="D14255" s="25"/>
      <c r="F14255" s="21"/>
      <c r="G14255" s="16"/>
    </row>
    <row r="14256" spans="4:7" ht="15" x14ac:dyDescent="0.3">
      <c r="D14256" s="25"/>
      <c r="F14256" s="21"/>
      <c r="G14256" s="16"/>
    </row>
    <row r="14257" spans="4:7" ht="15" x14ac:dyDescent="0.3">
      <c r="D14257" s="25"/>
      <c r="F14257" s="21"/>
      <c r="G14257" s="16"/>
    </row>
    <row r="14258" spans="4:7" ht="15" x14ac:dyDescent="0.3">
      <c r="D14258" s="25"/>
      <c r="F14258" s="21"/>
      <c r="G14258" s="16"/>
    </row>
    <row r="14259" spans="4:7" ht="15" x14ac:dyDescent="0.3">
      <c r="D14259" s="25"/>
      <c r="F14259" s="21"/>
      <c r="G14259" s="16"/>
    </row>
    <row r="14260" spans="4:7" ht="15" x14ac:dyDescent="0.3">
      <c r="D14260" s="25"/>
      <c r="F14260" s="21"/>
      <c r="G14260" s="16"/>
    </row>
    <row r="14261" spans="4:7" ht="15" x14ac:dyDescent="0.3">
      <c r="D14261" s="25"/>
      <c r="F14261" s="21"/>
      <c r="G14261" s="16"/>
    </row>
    <row r="14262" spans="4:7" ht="15" x14ac:dyDescent="0.3">
      <c r="D14262" s="25"/>
      <c r="F14262" s="21"/>
      <c r="G14262" s="16"/>
    </row>
    <row r="14263" spans="4:7" ht="15" x14ac:dyDescent="0.3">
      <c r="D14263" s="25"/>
      <c r="F14263" s="21"/>
      <c r="G14263" s="16"/>
    </row>
    <row r="14264" spans="4:7" ht="15" x14ac:dyDescent="0.3">
      <c r="D14264" s="25"/>
      <c r="F14264" s="21"/>
      <c r="G14264" s="16"/>
    </row>
    <row r="14265" spans="4:7" ht="15" x14ac:dyDescent="0.3">
      <c r="D14265" s="25"/>
      <c r="F14265" s="21"/>
      <c r="G14265" s="16"/>
    </row>
    <row r="14266" spans="4:7" ht="15" x14ac:dyDescent="0.3">
      <c r="D14266" s="25"/>
      <c r="F14266" s="21"/>
      <c r="G14266" s="16"/>
    </row>
    <row r="14267" spans="4:7" ht="15" x14ac:dyDescent="0.3">
      <c r="D14267" s="25"/>
      <c r="F14267" s="21"/>
      <c r="G14267" s="16"/>
    </row>
    <row r="14268" spans="4:7" ht="15" x14ac:dyDescent="0.3">
      <c r="D14268" s="25"/>
      <c r="F14268" s="21"/>
      <c r="G14268" s="16"/>
    </row>
    <row r="14269" spans="4:7" ht="15" x14ac:dyDescent="0.3">
      <c r="D14269" s="25"/>
      <c r="F14269" s="21"/>
      <c r="G14269" s="16"/>
    </row>
    <row r="14270" spans="4:7" ht="15" x14ac:dyDescent="0.3">
      <c r="D14270" s="25"/>
      <c r="F14270" s="21"/>
      <c r="G14270" s="16"/>
    </row>
    <row r="14271" spans="4:7" ht="15" x14ac:dyDescent="0.3">
      <c r="D14271" s="25"/>
      <c r="F14271" s="21"/>
      <c r="G14271" s="16"/>
    </row>
    <row r="14272" spans="4:7" ht="15" x14ac:dyDescent="0.3">
      <c r="D14272" s="25"/>
      <c r="F14272" s="21"/>
      <c r="G14272" s="16"/>
    </row>
    <row r="14273" spans="4:7" ht="15" x14ac:dyDescent="0.3">
      <c r="D14273" s="25"/>
      <c r="F14273" s="21"/>
      <c r="G14273" s="16"/>
    </row>
    <row r="14274" spans="4:7" ht="15" x14ac:dyDescent="0.3">
      <c r="D14274" s="25"/>
      <c r="F14274" s="21"/>
      <c r="G14274" s="16"/>
    </row>
    <row r="14275" spans="4:7" ht="15" x14ac:dyDescent="0.3">
      <c r="D14275" s="25"/>
      <c r="F14275" s="21"/>
      <c r="G14275" s="16"/>
    </row>
    <row r="14276" spans="4:7" ht="15" x14ac:dyDescent="0.3">
      <c r="D14276" s="25"/>
      <c r="F14276" s="21"/>
      <c r="G14276" s="16"/>
    </row>
    <row r="14277" spans="4:7" ht="15" x14ac:dyDescent="0.3">
      <c r="D14277" s="25"/>
      <c r="F14277" s="21"/>
      <c r="G14277" s="16"/>
    </row>
    <row r="14278" spans="4:7" ht="15" x14ac:dyDescent="0.3">
      <c r="D14278" s="25"/>
      <c r="F14278" s="21"/>
      <c r="G14278" s="16"/>
    </row>
    <row r="14279" spans="4:7" ht="15" x14ac:dyDescent="0.3">
      <c r="D14279" s="25"/>
      <c r="F14279" s="21"/>
      <c r="G14279" s="16"/>
    </row>
    <row r="14280" spans="4:7" ht="15" x14ac:dyDescent="0.3">
      <c r="D14280" s="25"/>
      <c r="F14280" s="21"/>
      <c r="G14280" s="16"/>
    </row>
    <row r="14281" spans="4:7" ht="15" x14ac:dyDescent="0.3">
      <c r="D14281" s="25"/>
      <c r="F14281" s="21"/>
      <c r="G14281" s="16"/>
    </row>
    <row r="14282" spans="4:7" ht="15" x14ac:dyDescent="0.3">
      <c r="D14282" s="25"/>
      <c r="F14282" s="21"/>
      <c r="G14282" s="16"/>
    </row>
    <row r="14283" spans="4:7" ht="15" x14ac:dyDescent="0.3">
      <c r="D14283" s="25"/>
      <c r="F14283" s="21"/>
      <c r="G14283" s="16"/>
    </row>
    <row r="14284" spans="4:7" ht="15" x14ac:dyDescent="0.3">
      <c r="D14284" s="25"/>
      <c r="F14284" s="21"/>
      <c r="G14284" s="16"/>
    </row>
    <row r="14285" spans="4:7" ht="15" x14ac:dyDescent="0.3">
      <c r="D14285" s="25"/>
      <c r="F14285" s="21"/>
      <c r="G14285" s="16"/>
    </row>
    <row r="14286" spans="4:7" ht="15" x14ac:dyDescent="0.3">
      <c r="D14286" s="25"/>
      <c r="F14286" s="21"/>
      <c r="G14286" s="16"/>
    </row>
    <row r="14287" spans="4:7" ht="15" x14ac:dyDescent="0.3">
      <c r="D14287" s="25"/>
      <c r="F14287" s="21"/>
      <c r="G14287" s="16"/>
    </row>
    <row r="14288" spans="4:7" ht="15" x14ac:dyDescent="0.3">
      <c r="D14288" s="25"/>
      <c r="F14288" s="21"/>
      <c r="G14288" s="16"/>
    </row>
    <row r="14289" spans="4:7" ht="15" x14ac:dyDescent="0.3">
      <c r="D14289" s="25"/>
      <c r="F14289" s="21"/>
      <c r="G14289" s="16"/>
    </row>
    <row r="14290" spans="4:7" ht="15" x14ac:dyDescent="0.3">
      <c r="D14290" s="25"/>
      <c r="F14290" s="21"/>
      <c r="G14290" s="16"/>
    </row>
    <row r="14291" spans="4:7" ht="15" x14ac:dyDescent="0.3">
      <c r="D14291" s="25"/>
      <c r="F14291" s="21"/>
      <c r="G14291" s="16"/>
    </row>
    <row r="14292" spans="4:7" ht="15" x14ac:dyDescent="0.3">
      <c r="D14292" s="25"/>
      <c r="F14292" s="21"/>
      <c r="G14292" s="16"/>
    </row>
    <row r="14293" spans="4:7" ht="15" x14ac:dyDescent="0.3">
      <c r="D14293" s="25"/>
      <c r="F14293" s="21"/>
      <c r="G14293" s="16"/>
    </row>
    <row r="14294" spans="4:7" ht="15" x14ac:dyDescent="0.3">
      <c r="D14294" s="25"/>
      <c r="F14294" s="21"/>
      <c r="G14294" s="16"/>
    </row>
    <row r="14295" spans="4:7" ht="15" x14ac:dyDescent="0.3">
      <c r="D14295" s="25"/>
      <c r="F14295" s="21"/>
      <c r="G14295" s="16"/>
    </row>
    <row r="14296" spans="4:7" ht="15" x14ac:dyDescent="0.3">
      <c r="D14296" s="25"/>
      <c r="F14296" s="21"/>
      <c r="G14296" s="16"/>
    </row>
    <row r="14297" spans="4:7" ht="15" x14ac:dyDescent="0.3">
      <c r="D14297" s="25"/>
      <c r="F14297" s="21"/>
      <c r="G14297" s="16"/>
    </row>
    <row r="14298" spans="4:7" ht="15" x14ac:dyDescent="0.3">
      <c r="D14298" s="25"/>
      <c r="F14298" s="21"/>
      <c r="G14298" s="16"/>
    </row>
    <row r="14299" spans="4:7" ht="15" x14ac:dyDescent="0.3">
      <c r="D14299" s="25"/>
      <c r="F14299" s="21"/>
      <c r="G14299" s="16"/>
    </row>
    <row r="14300" spans="4:7" ht="15" x14ac:dyDescent="0.3">
      <c r="D14300" s="25"/>
      <c r="F14300" s="21"/>
      <c r="G14300" s="16"/>
    </row>
    <row r="14301" spans="4:7" ht="15" x14ac:dyDescent="0.3">
      <c r="D14301" s="25"/>
      <c r="F14301" s="21"/>
      <c r="G14301" s="16"/>
    </row>
    <row r="14302" spans="4:7" ht="15" x14ac:dyDescent="0.3">
      <c r="D14302" s="25"/>
      <c r="F14302" s="21"/>
      <c r="G14302" s="16"/>
    </row>
    <row r="14303" spans="4:7" ht="15" x14ac:dyDescent="0.3">
      <c r="D14303" s="25"/>
      <c r="F14303" s="21"/>
      <c r="G14303" s="16"/>
    </row>
    <row r="14304" spans="4:7" ht="15" x14ac:dyDescent="0.3">
      <c r="D14304" s="25"/>
      <c r="F14304" s="21"/>
      <c r="G14304" s="16"/>
    </row>
    <row r="14305" spans="4:7" ht="15" x14ac:dyDescent="0.3">
      <c r="D14305" s="25"/>
      <c r="F14305" s="21"/>
      <c r="G14305" s="16"/>
    </row>
    <row r="14306" spans="4:7" ht="15" x14ac:dyDescent="0.3">
      <c r="D14306" s="25"/>
      <c r="F14306" s="21"/>
      <c r="G14306" s="16"/>
    </row>
    <row r="14307" spans="4:7" ht="15" x14ac:dyDescent="0.3">
      <c r="D14307" s="25"/>
      <c r="F14307" s="21"/>
      <c r="G14307" s="16"/>
    </row>
    <row r="14308" spans="4:7" ht="15" x14ac:dyDescent="0.3">
      <c r="D14308" s="25"/>
      <c r="F14308" s="21"/>
      <c r="G14308" s="16"/>
    </row>
    <row r="14309" spans="4:7" ht="15" x14ac:dyDescent="0.3">
      <c r="D14309" s="25"/>
      <c r="F14309" s="21"/>
      <c r="G14309" s="16"/>
    </row>
    <row r="14310" spans="4:7" ht="15" x14ac:dyDescent="0.3">
      <c r="D14310" s="25"/>
      <c r="F14310" s="21"/>
      <c r="G14310" s="16"/>
    </row>
    <row r="14311" spans="4:7" ht="15" x14ac:dyDescent="0.3">
      <c r="D14311" s="25"/>
      <c r="F14311" s="21"/>
      <c r="G14311" s="16"/>
    </row>
    <row r="14312" spans="4:7" ht="15" x14ac:dyDescent="0.3">
      <c r="D14312" s="25"/>
      <c r="F14312" s="21"/>
      <c r="G14312" s="16"/>
    </row>
    <row r="14313" spans="4:7" ht="15" x14ac:dyDescent="0.3">
      <c r="D14313" s="25"/>
      <c r="F14313" s="21"/>
      <c r="G14313" s="16"/>
    </row>
    <row r="14314" spans="4:7" ht="15" x14ac:dyDescent="0.3">
      <c r="D14314" s="25"/>
      <c r="F14314" s="21"/>
      <c r="G14314" s="16"/>
    </row>
    <row r="14315" spans="4:7" ht="15" x14ac:dyDescent="0.3">
      <c r="D14315" s="25"/>
      <c r="F14315" s="21"/>
      <c r="G14315" s="16"/>
    </row>
    <row r="14316" spans="4:7" ht="15" x14ac:dyDescent="0.3">
      <c r="D14316" s="25"/>
      <c r="F14316" s="21"/>
      <c r="G14316" s="16"/>
    </row>
    <row r="14317" spans="4:7" ht="15" x14ac:dyDescent="0.3">
      <c r="D14317" s="25"/>
      <c r="F14317" s="21"/>
      <c r="G14317" s="16"/>
    </row>
    <row r="14318" spans="4:7" ht="15" x14ac:dyDescent="0.3">
      <c r="D14318" s="25"/>
      <c r="F14318" s="21"/>
      <c r="G14318" s="16"/>
    </row>
    <row r="14319" spans="4:7" ht="15" x14ac:dyDescent="0.3">
      <c r="D14319" s="25"/>
      <c r="F14319" s="21"/>
      <c r="G14319" s="16"/>
    </row>
    <row r="14320" spans="4:7" ht="15" x14ac:dyDescent="0.3">
      <c r="D14320" s="25"/>
      <c r="F14320" s="21"/>
      <c r="G14320" s="16"/>
    </row>
    <row r="14321" spans="4:7" ht="15" x14ac:dyDescent="0.3">
      <c r="D14321" s="25"/>
      <c r="F14321" s="21"/>
      <c r="G14321" s="16"/>
    </row>
    <row r="14322" spans="4:7" ht="15" x14ac:dyDescent="0.3">
      <c r="D14322" s="25"/>
      <c r="F14322" s="21"/>
      <c r="G14322" s="16"/>
    </row>
    <row r="14323" spans="4:7" ht="15" x14ac:dyDescent="0.3">
      <c r="D14323" s="25"/>
      <c r="F14323" s="21"/>
      <c r="G14323" s="16"/>
    </row>
    <row r="14324" spans="4:7" ht="15" x14ac:dyDescent="0.3">
      <c r="D14324" s="25"/>
      <c r="F14324" s="21"/>
      <c r="G14324" s="16"/>
    </row>
    <row r="14325" spans="4:7" ht="15" x14ac:dyDescent="0.3">
      <c r="D14325" s="25"/>
      <c r="F14325" s="21"/>
      <c r="G14325" s="16"/>
    </row>
    <row r="14326" spans="4:7" ht="15" x14ac:dyDescent="0.3">
      <c r="D14326" s="25"/>
      <c r="F14326" s="21"/>
      <c r="G14326" s="16"/>
    </row>
    <row r="14327" spans="4:7" ht="15" x14ac:dyDescent="0.3">
      <c r="D14327" s="25"/>
      <c r="F14327" s="21"/>
      <c r="G14327" s="16"/>
    </row>
    <row r="14328" spans="4:7" ht="15" x14ac:dyDescent="0.3">
      <c r="D14328" s="25"/>
      <c r="F14328" s="21"/>
      <c r="G14328" s="16"/>
    </row>
    <row r="14329" spans="4:7" ht="15" x14ac:dyDescent="0.3">
      <c r="D14329" s="25"/>
      <c r="F14329" s="21"/>
      <c r="G14329" s="16"/>
    </row>
    <row r="14330" spans="4:7" ht="15" x14ac:dyDescent="0.3">
      <c r="D14330" s="25"/>
      <c r="F14330" s="21"/>
      <c r="G14330" s="16"/>
    </row>
    <row r="14331" spans="4:7" ht="15" x14ac:dyDescent="0.3">
      <c r="D14331" s="25"/>
      <c r="F14331" s="21"/>
      <c r="G14331" s="16"/>
    </row>
    <row r="14332" spans="4:7" ht="15" x14ac:dyDescent="0.3">
      <c r="D14332" s="25"/>
      <c r="F14332" s="21"/>
      <c r="G14332" s="16"/>
    </row>
    <row r="14333" spans="4:7" ht="15" x14ac:dyDescent="0.3">
      <c r="D14333" s="25"/>
      <c r="F14333" s="21"/>
      <c r="G14333" s="16"/>
    </row>
    <row r="14334" spans="4:7" ht="15" x14ac:dyDescent="0.3">
      <c r="D14334" s="25"/>
      <c r="F14334" s="21"/>
      <c r="G14334" s="16"/>
    </row>
    <row r="14335" spans="4:7" ht="15" x14ac:dyDescent="0.3">
      <c r="D14335" s="25"/>
      <c r="F14335" s="21"/>
      <c r="G14335" s="16"/>
    </row>
    <row r="14336" spans="4:7" ht="15" x14ac:dyDescent="0.3">
      <c r="D14336" s="25"/>
      <c r="F14336" s="21"/>
      <c r="G14336" s="16"/>
    </row>
    <row r="14337" spans="4:7" ht="15" x14ac:dyDescent="0.3">
      <c r="D14337" s="25"/>
      <c r="F14337" s="21"/>
      <c r="G14337" s="16"/>
    </row>
    <row r="14338" spans="4:7" ht="15" x14ac:dyDescent="0.3">
      <c r="D14338" s="25"/>
      <c r="F14338" s="21"/>
      <c r="G14338" s="16"/>
    </row>
    <row r="14339" spans="4:7" ht="15" x14ac:dyDescent="0.3">
      <c r="D14339" s="25"/>
      <c r="F14339" s="21"/>
      <c r="G14339" s="16"/>
    </row>
    <row r="14340" spans="4:7" ht="15" x14ac:dyDescent="0.3">
      <c r="D14340" s="25"/>
      <c r="F14340" s="21"/>
      <c r="G14340" s="16"/>
    </row>
    <row r="14341" spans="4:7" ht="15" x14ac:dyDescent="0.3">
      <c r="D14341" s="25"/>
      <c r="F14341" s="21"/>
      <c r="G14341" s="16"/>
    </row>
    <row r="14342" spans="4:7" ht="15" x14ac:dyDescent="0.3">
      <c r="D14342" s="25"/>
      <c r="F14342" s="21"/>
      <c r="G14342" s="16"/>
    </row>
    <row r="14343" spans="4:7" ht="15" x14ac:dyDescent="0.3">
      <c r="D14343" s="25"/>
      <c r="F14343" s="21"/>
      <c r="G14343" s="16"/>
    </row>
    <row r="14344" spans="4:7" ht="15" x14ac:dyDescent="0.3">
      <c r="D14344" s="25"/>
      <c r="F14344" s="21"/>
      <c r="G14344" s="16"/>
    </row>
    <row r="14345" spans="4:7" ht="15" x14ac:dyDescent="0.3">
      <c r="D14345" s="25"/>
      <c r="F14345" s="21"/>
      <c r="G14345" s="16"/>
    </row>
    <row r="14346" spans="4:7" ht="15" x14ac:dyDescent="0.3">
      <c r="D14346" s="25"/>
      <c r="F14346" s="21"/>
      <c r="G14346" s="16"/>
    </row>
    <row r="14347" spans="4:7" ht="15" x14ac:dyDescent="0.3">
      <c r="D14347" s="25"/>
      <c r="F14347" s="21"/>
      <c r="G14347" s="16"/>
    </row>
    <row r="14348" spans="4:7" ht="15" x14ac:dyDescent="0.3">
      <c r="D14348" s="25"/>
      <c r="F14348" s="21"/>
      <c r="G14348" s="16"/>
    </row>
    <row r="14349" spans="4:7" ht="15" x14ac:dyDescent="0.3">
      <c r="D14349" s="25"/>
      <c r="F14349" s="21"/>
      <c r="G14349" s="16"/>
    </row>
    <row r="14350" spans="4:7" ht="15" x14ac:dyDescent="0.3">
      <c r="D14350" s="25"/>
      <c r="F14350" s="21"/>
      <c r="G14350" s="16"/>
    </row>
    <row r="14351" spans="4:7" ht="15" x14ac:dyDescent="0.3">
      <c r="D14351" s="25"/>
      <c r="F14351" s="21"/>
      <c r="G14351" s="16"/>
    </row>
    <row r="14352" spans="4:7" ht="15" x14ac:dyDescent="0.3">
      <c r="D14352" s="25"/>
      <c r="F14352" s="21"/>
      <c r="G14352" s="16"/>
    </row>
    <row r="14353" spans="4:7" ht="15" x14ac:dyDescent="0.3">
      <c r="D14353" s="25"/>
      <c r="F14353" s="21"/>
      <c r="G14353" s="16"/>
    </row>
    <row r="14354" spans="4:7" ht="15" x14ac:dyDescent="0.3">
      <c r="D14354" s="25"/>
      <c r="F14354" s="21"/>
      <c r="G14354" s="16"/>
    </row>
    <row r="14355" spans="4:7" ht="15" x14ac:dyDescent="0.3">
      <c r="D14355" s="25"/>
      <c r="F14355" s="21"/>
      <c r="G14355" s="16"/>
    </row>
    <row r="14356" spans="4:7" ht="15" x14ac:dyDescent="0.3">
      <c r="D14356" s="25"/>
      <c r="F14356" s="21"/>
      <c r="G14356" s="16"/>
    </row>
    <row r="14357" spans="4:7" ht="15" x14ac:dyDescent="0.3">
      <c r="D14357" s="25"/>
      <c r="F14357" s="21"/>
      <c r="G14357" s="16"/>
    </row>
    <row r="14358" spans="4:7" ht="15" x14ac:dyDescent="0.3">
      <c r="D14358" s="25"/>
      <c r="F14358" s="21"/>
      <c r="G14358" s="16"/>
    </row>
    <row r="14359" spans="4:7" ht="15" x14ac:dyDescent="0.3">
      <c r="D14359" s="25"/>
      <c r="F14359" s="21"/>
      <c r="G14359" s="16"/>
    </row>
    <row r="14360" spans="4:7" ht="15" x14ac:dyDescent="0.3">
      <c r="D14360" s="25"/>
      <c r="F14360" s="21"/>
      <c r="G14360" s="16"/>
    </row>
    <row r="14361" spans="4:7" ht="15" x14ac:dyDescent="0.3">
      <c r="D14361" s="25"/>
      <c r="F14361" s="21"/>
      <c r="G14361" s="16"/>
    </row>
    <row r="14362" spans="4:7" ht="15" x14ac:dyDescent="0.3">
      <c r="D14362" s="25"/>
      <c r="F14362" s="21"/>
      <c r="G14362" s="16"/>
    </row>
    <row r="14363" spans="4:7" ht="15" x14ac:dyDescent="0.3">
      <c r="D14363" s="25"/>
      <c r="F14363" s="21"/>
      <c r="G14363" s="16"/>
    </row>
    <row r="14364" spans="4:7" ht="15" x14ac:dyDescent="0.3">
      <c r="D14364" s="25"/>
      <c r="F14364" s="21"/>
      <c r="G14364" s="16"/>
    </row>
    <row r="14365" spans="4:7" ht="15" x14ac:dyDescent="0.3">
      <c r="D14365" s="25"/>
      <c r="F14365" s="21"/>
      <c r="G14365" s="16"/>
    </row>
    <row r="14366" spans="4:7" ht="15" x14ac:dyDescent="0.3">
      <c r="D14366" s="25"/>
      <c r="F14366" s="21"/>
      <c r="G14366" s="16"/>
    </row>
    <row r="14367" spans="4:7" ht="15" x14ac:dyDescent="0.3">
      <c r="D14367" s="25"/>
      <c r="F14367" s="21"/>
      <c r="G14367" s="16"/>
    </row>
    <row r="14368" spans="4:7" ht="15" x14ac:dyDescent="0.3">
      <c r="D14368" s="25"/>
      <c r="F14368" s="21"/>
      <c r="G14368" s="16"/>
    </row>
    <row r="14369" spans="4:7" ht="15" x14ac:dyDescent="0.3">
      <c r="D14369" s="25"/>
      <c r="F14369" s="21"/>
      <c r="G14369" s="16"/>
    </row>
    <row r="14370" spans="4:7" ht="15" x14ac:dyDescent="0.3">
      <c r="D14370" s="25"/>
      <c r="F14370" s="21"/>
      <c r="G14370" s="16"/>
    </row>
    <row r="14371" spans="4:7" ht="15" x14ac:dyDescent="0.3">
      <c r="D14371" s="25"/>
      <c r="F14371" s="21"/>
      <c r="G14371" s="16"/>
    </row>
    <row r="14372" spans="4:7" ht="15" x14ac:dyDescent="0.3">
      <c r="D14372" s="25"/>
      <c r="F14372" s="21"/>
      <c r="G14372" s="16"/>
    </row>
    <row r="14373" spans="4:7" ht="15" x14ac:dyDescent="0.3">
      <c r="D14373" s="25"/>
      <c r="F14373" s="21"/>
      <c r="G14373" s="16"/>
    </row>
    <row r="14374" spans="4:7" ht="15" x14ac:dyDescent="0.3">
      <c r="D14374" s="25"/>
      <c r="F14374" s="21"/>
      <c r="G14374" s="16"/>
    </row>
    <row r="14375" spans="4:7" ht="15" x14ac:dyDescent="0.3">
      <c r="D14375" s="25"/>
      <c r="F14375" s="21"/>
      <c r="G14375" s="16"/>
    </row>
    <row r="14376" spans="4:7" ht="15" x14ac:dyDescent="0.3">
      <c r="D14376" s="25"/>
      <c r="F14376" s="21"/>
      <c r="G14376" s="16"/>
    </row>
    <row r="14377" spans="4:7" ht="15" x14ac:dyDescent="0.3">
      <c r="D14377" s="25"/>
      <c r="F14377" s="21"/>
      <c r="G14377" s="16"/>
    </row>
    <row r="14378" spans="4:7" ht="15" x14ac:dyDescent="0.3">
      <c r="D14378" s="25"/>
      <c r="F14378" s="21"/>
      <c r="G14378" s="16"/>
    </row>
    <row r="14379" spans="4:7" ht="15" x14ac:dyDescent="0.3">
      <c r="D14379" s="25"/>
      <c r="F14379" s="21"/>
      <c r="G14379" s="16"/>
    </row>
    <row r="14380" spans="4:7" ht="15" x14ac:dyDescent="0.3">
      <c r="D14380" s="25"/>
      <c r="F14380" s="21"/>
      <c r="G14380" s="16"/>
    </row>
    <row r="14381" spans="4:7" ht="15" x14ac:dyDescent="0.3">
      <c r="D14381" s="25"/>
      <c r="F14381" s="21"/>
      <c r="G14381" s="16"/>
    </row>
    <row r="14382" spans="4:7" ht="15" x14ac:dyDescent="0.3">
      <c r="D14382" s="25"/>
      <c r="F14382" s="21"/>
      <c r="G14382" s="16"/>
    </row>
    <row r="14383" spans="4:7" ht="15" x14ac:dyDescent="0.3">
      <c r="D14383" s="25"/>
      <c r="F14383" s="21"/>
      <c r="G14383" s="16"/>
    </row>
    <row r="14384" spans="4:7" ht="15" x14ac:dyDescent="0.3">
      <c r="D14384" s="25"/>
      <c r="F14384" s="21"/>
      <c r="G14384" s="16"/>
    </row>
    <row r="14385" spans="4:7" ht="15" x14ac:dyDescent="0.3">
      <c r="D14385" s="25"/>
      <c r="F14385" s="21"/>
      <c r="G14385" s="16"/>
    </row>
    <row r="14386" spans="4:7" ht="15" x14ac:dyDescent="0.3">
      <c r="D14386" s="25"/>
      <c r="F14386" s="21"/>
      <c r="G14386" s="16"/>
    </row>
    <row r="14387" spans="4:7" ht="15" x14ac:dyDescent="0.3">
      <c r="D14387" s="25"/>
      <c r="F14387" s="21"/>
      <c r="G14387" s="16"/>
    </row>
    <row r="14388" spans="4:7" ht="15" x14ac:dyDescent="0.3">
      <c r="D14388" s="25"/>
      <c r="F14388" s="21"/>
      <c r="G14388" s="16"/>
    </row>
    <row r="14389" spans="4:7" ht="15" x14ac:dyDescent="0.3">
      <c r="D14389" s="25"/>
      <c r="F14389" s="21"/>
      <c r="G14389" s="16"/>
    </row>
    <row r="14390" spans="4:7" ht="15" x14ac:dyDescent="0.3">
      <c r="D14390" s="25"/>
      <c r="F14390" s="21"/>
      <c r="G14390" s="16"/>
    </row>
    <row r="14391" spans="4:7" ht="15" x14ac:dyDescent="0.3">
      <c r="D14391" s="25"/>
      <c r="F14391" s="21"/>
      <c r="G14391" s="16"/>
    </row>
    <row r="14392" spans="4:7" ht="15" x14ac:dyDescent="0.3">
      <c r="D14392" s="25"/>
      <c r="F14392" s="21"/>
      <c r="G14392" s="16"/>
    </row>
    <row r="14393" spans="4:7" ht="15" x14ac:dyDescent="0.3">
      <c r="D14393" s="25"/>
      <c r="F14393" s="21"/>
      <c r="G14393" s="16"/>
    </row>
    <row r="14394" spans="4:7" ht="15" x14ac:dyDescent="0.3">
      <c r="D14394" s="25"/>
      <c r="F14394" s="21"/>
      <c r="G14394" s="16"/>
    </row>
    <row r="14395" spans="4:7" ht="15" x14ac:dyDescent="0.3">
      <c r="D14395" s="25"/>
      <c r="F14395" s="21"/>
      <c r="G14395" s="16"/>
    </row>
    <row r="14396" spans="4:7" ht="15" x14ac:dyDescent="0.3">
      <c r="D14396" s="25"/>
      <c r="F14396" s="21"/>
      <c r="G14396" s="16"/>
    </row>
    <row r="14397" spans="4:7" ht="15" x14ac:dyDescent="0.3">
      <c r="D14397" s="25"/>
      <c r="F14397" s="21"/>
      <c r="G14397" s="16"/>
    </row>
    <row r="14398" spans="4:7" ht="15" x14ac:dyDescent="0.3">
      <c r="D14398" s="25"/>
      <c r="F14398" s="21"/>
      <c r="G14398" s="16"/>
    </row>
    <row r="14399" spans="4:7" ht="15" x14ac:dyDescent="0.3">
      <c r="D14399" s="25"/>
      <c r="F14399" s="21"/>
      <c r="G14399" s="16"/>
    </row>
    <row r="14400" spans="4:7" ht="15" x14ac:dyDescent="0.3">
      <c r="D14400" s="25"/>
      <c r="F14400" s="21"/>
      <c r="G14400" s="16"/>
    </row>
    <row r="14401" spans="4:7" ht="15" x14ac:dyDescent="0.3">
      <c r="D14401" s="25"/>
      <c r="F14401" s="21"/>
      <c r="G14401" s="16"/>
    </row>
    <row r="14402" spans="4:7" ht="15" x14ac:dyDescent="0.3">
      <c r="D14402" s="25"/>
      <c r="F14402" s="21"/>
      <c r="G14402" s="16"/>
    </row>
    <row r="14403" spans="4:7" ht="15" x14ac:dyDescent="0.3">
      <c r="D14403" s="25"/>
      <c r="F14403" s="21"/>
      <c r="G14403" s="16"/>
    </row>
    <row r="14404" spans="4:7" ht="15" x14ac:dyDescent="0.3">
      <c r="D14404" s="25"/>
      <c r="F14404" s="21"/>
      <c r="G14404" s="16"/>
    </row>
    <row r="14405" spans="4:7" ht="15" x14ac:dyDescent="0.3">
      <c r="D14405" s="25"/>
      <c r="F14405" s="21"/>
      <c r="G14405" s="16"/>
    </row>
    <row r="14406" spans="4:7" ht="15" x14ac:dyDescent="0.3">
      <c r="D14406" s="25"/>
      <c r="F14406" s="21"/>
      <c r="G14406" s="16"/>
    </row>
    <row r="14407" spans="4:7" ht="15" x14ac:dyDescent="0.3">
      <c r="D14407" s="25"/>
      <c r="F14407" s="21"/>
      <c r="G14407" s="16"/>
    </row>
    <row r="14408" spans="4:7" ht="15" x14ac:dyDescent="0.3">
      <c r="D14408" s="25"/>
      <c r="F14408" s="21"/>
      <c r="G14408" s="16"/>
    </row>
    <row r="14409" spans="4:7" ht="15" x14ac:dyDescent="0.3">
      <c r="D14409" s="25"/>
      <c r="F14409" s="21"/>
      <c r="G14409" s="16"/>
    </row>
    <row r="14410" spans="4:7" ht="15" x14ac:dyDescent="0.3">
      <c r="D14410" s="25"/>
      <c r="F14410" s="21"/>
      <c r="G14410" s="16"/>
    </row>
    <row r="14411" spans="4:7" ht="15" x14ac:dyDescent="0.3">
      <c r="D14411" s="25"/>
      <c r="F14411" s="21"/>
      <c r="G14411" s="16"/>
    </row>
    <row r="14412" spans="4:7" ht="15" x14ac:dyDescent="0.3">
      <c r="D14412" s="25"/>
      <c r="F14412" s="21"/>
      <c r="G14412" s="16"/>
    </row>
    <row r="14413" spans="4:7" ht="15" x14ac:dyDescent="0.3">
      <c r="D14413" s="25"/>
      <c r="F14413" s="21"/>
      <c r="G14413" s="16"/>
    </row>
    <row r="14414" spans="4:7" ht="15" x14ac:dyDescent="0.3">
      <c r="D14414" s="25"/>
      <c r="F14414" s="21"/>
      <c r="G14414" s="16"/>
    </row>
    <row r="14415" spans="4:7" ht="15" x14ac:dyDescent="0.3">
      <c r="D14415" s="25"/>
      <c r="F14415" s="21"/>
      <c r="G14415" s="16"/>
    </row>
    <row r="14416" spans="4:7" ht="15" x14ac:dyDescent="0.3">
      <c r="D14416" s="25"/>
      <c r="F14416" s="21"/>
      <c r="G14416" s="16"/>
    </row>
    <row r="14417" spans="4:7" ht="15" x14ac:dyDescent="0.3">
      <c r="D14417" s="25"/>
      <c r="F14417" s="21"/>
      <c r="G14417" s="16"/>
    </row>
    <row r="14418" spans="4:7" ht="15" x14ac:dyDescent="0.3">
      <c r="D14418" s="25"/>
      <c r="F14418" s="21"/>
      <c r="G14418" s="16"/>
    </row>
    <row r="14419" spans="4:7" ht="15" x14ac:dyDescent="0.3">
      <c r="D14419" s="25"/>
      <c r="F14419" s="21"/>
      <c r="G14419" s="16"/>
    </row>
    <row r="14420" spans="4:7" ht="15" x14ac:dyDescent="0.3">
      <c r="D14420" s="25"/>
      <c r="F14420" s="21"/>
      <c r="G14420" s="16"/>
    </row>
    <row r="14421" spans="4:7" ht="15" x14ac:dyDescent="0.3">
      <c r="D14421" s="25"/>
      <c r="F14421" s="21"/>
      <c r="G14421" s="16"/>
    </row>
    <row r="14422" spans="4:7" ht="15" x14ac:dyDescent="0.3">
      <c r="D14422" s="25"/>
      <c r="F14422" s="21"/>
      <c r="G14422" s="16"/>
    </row>
    <row r="14423" spans="4:7" ht="15" x14ac:dyDescent="0.3">
      <c r="D14423" s="25"/>
      <c r="F14423" s="21"/>
      <c r="G14423" s="16"/>
    </row>
    <row r="14424" spans="4:7" ht="15" x14ac:dyDescent="0.3">
      <c r="D14424" s="25"/>
      <c r="F14424" s="21"/>
      <c r="G14424" s="16"/>
    </row>
    <row r="14425" spans="4:7" ht="15" x14ac:dyDescent="0.3">
      <c r="D14425" s="25"/>
      <c r="F14425" s="21"/>
      <c r="G14425" s="16"/>
    </row>
    <row r="14426" spans="4:7" ht="15" x14ac:dyDescent="0.3">
      <c r="D14426" s="25"/>
      <c r="F14426" s="21"/>
      <c r="G14426" s="16"/>
    </row>
    <row r="14427" spans="4:7" ht="15" x14ac:dyDescent="0.3">
      <c r="D14427" s="25"/>
      <c r="F14427" s="21"/>
      <c r="G14427" s="16"/>
    </row>
    <row r="14428" spans="4:7" ht="15" x14ac:dyDescent="0.3">
      <c r="D14428" s="25"/>
      <c r="F14428" s="21"/>
      <c r="G14428" s="16"/>
    </row>
    <row r="14429" spans="4:7" ht="15" x14ac:dyDescent="0.3">
      <c r="D14429" s="25"/>
      <c r="F14429" s="21"/>
      <c r="G14429" s="16"/>
    </row>
    <row r="14430" spans="4:7" ht="15" x14ac:dyDescent="0.3">
      <c r="D14430" s="25"/>
      <c r="F14430" s="21"/>
      <c r="G14430" s="16"/>
    </row>
    <row r="14431" spans="4:7" ht="15" x14ac:dyDescent="0.3">
      <c r="D14431" s="25"/>
      <c r="F14431" s="21"/>
      <c r="G14431" s="16"/>
    </row>
    <row r="14432" spans="4:7" ht="15" x14ac:dyDescent="0.3">
      <c r="D14432" s="25"/>
      <c r="F14432" s="21"/>
      <c r="G14432" s="16"/>
    </row>
    <row r="14433" spans="4:7" ht="15" x14ac:dyDescent="0.3">
      <c r="D14433" s="25"/>
      <c r="F14433" s="21"/>
      <c r="G14433" s="16"/>
    </row>
    <row r="14434" spans="4:7" ht="15" x14ac:dyDescent="0.3">
      <c r="D14434" s="25"/>
      <c r="F14434" s="21"/>
      <c r="G14434" s="16"/>
    </row>
    <row r="14435" spans="4:7" ht="15" x14ac:dyDescent="0.3">
      <c r="D14435" s="25"/>
      <c r="F14435" s="21"/>
      <c r="G14435" s="16"/>
    </row>
    <row r="14436" spans="4:7" ht="15" x14ac:dyDescent="0.3">
      <c r="D14436" s="25"/>
      <c r="F14436" s="21"/>
      <c r="G14436" s="16"/>
    </row>
    <row r="14437" spans="4:7" ht="15" x14ac:dyDescent="0.3">
      <c r="D14437" s="25"/>
      <c r="F14437" s="21"/>
      <c r="G14437" s="16"/>
    </row>
    <row r="14438" spans="4:7" ht="15" x14ac:dyDescent="0.3">
      <c r="D14438" s="25"/>
      <c r="F14438" s="21"/>
      <c r="G14438" s="16"/>
    </row>
    <row r="14439" spans="4:7" ht="15" x14ac:dyDescent="0.3">
      <c r="D14439" s="25"/>
      <c r="F14439" s="21"/>
      <c r="G14439" s="16"/>
    </row>
    <row r="14440" spans="4:7" ht="15" x14ac:dyDescent="0.3">
      <c r="D14440" s="25"/>
      <c r="F14440" s="21"/>
      <c r="G14440" s="16"/>
    </row>
    <row r="14441" spans="4:7" ht="15" x14ac:dyDescent="0.3">
      <c r="D14441" s="25"/>
      <c r="F14441" s="21"/>
      <c r="G14441" s="16"/>
    </row>
    <row r="14442" spans="4:7" ht="15" x14ac:dyDescent="0.3">
      <c r="D14442" s="25"/>
      <c r="F14442" s="21"/>
      <c r="G14442" s="16"/>
    </row>
    <row r="14443" spans="4:7" ht="15" x14ac:dyDescent="0.3">
      <c r="D14443" s="25"/>
      <c r="F14443" s="21"/>
      <c r="G14443" s="16"/>
    </row>
    <row r="14444" spans="4:7" ht="15" x14ac:dyDescent="0.3">
      <c r="D14444" s="25"/>
      <c r="F14444" s="21"/>
      <c r="G14444" s="16"/>
    </row>
    <row r="14445" spans="4:7" ht="15" x14ac:dyDescent="0.3">
      <c r="D14445" s="25"/>
      <c r="F14445" s="21"/>
      <c r="G14445" s="16"/>
    </row>
    <row r="14446" spans="4:7" ht="15" x14ac:dyDescent="0.3">
      <c r="D14446" s="25"/>
      <c r="F14446" s="21"/>
      <c r="G14446" s="16"/>
    </row>
    <row r="14447" spans="4:7" ht="15" x14ac:dyDescent="0.3">
      <c r="D14447" s="25"/>
      <c r="F14447" s="21"/>
      <c r="G14447" s="16"/>
    </row>
    <row r="14448" spans="4:7" ht="15" x14ac:dyDescent="0.3">
      <c r="D14448" s="25"/>
      <c r="F14448" s="21"/>
      <c r="G14448" s="16"/>
    </row>
    <row r="14449" spans="4:7" ht="15" x14ac:dyDescent="0.3">
      <c r="D14449" s="25"/>
      <c r="F14449" s="21"/>
      <c r="G14449" s="16"/>
    </row>
    <row r="14450" spans="4:7" ht="15" x14ac:dyDescent="0.3">
      <c r="D14450" s="25"/>
      <c r="F14450" s="21"/>
      <c r="G14450" s="16"/>
    </row>
    <row r="14451" spans="4:7" ht="15" x14ac:dyDescent="0.3">
      <c r="D14451" s="25"/>
      <c r="F14451" s="21"/>
      <c r="G14451" s="16"/>
    </row>
    <row r="14452" spans="4:7" ht="15" x14ac:dyDescent="0.3">
      <c r="D14452" s="25"/>
      <c r="F14452" s="21"/>
      <c r="G14452" s="16"/>
    </row>
    <row r="14453" spans="4:7" ht="15" x14ac:dyDescent="0.3">
      <c r="D14453" s="25"/>
      <c r="F14453" s="21"/>
      <c r="G14453" s="16"/>
    </row>
    <row r="14454" spans="4:7" ht="15" x14ac:dyDescent="0.3">
      <c r="D14454" s="25"/>
      <c r="F14454" s="21"/>
      <c r="G14454" s="16"/>
    </row>
    <row r="14455" spans="4:7" ht="15" x14ac:dyDescent="0.3">
      <c r="D14455" s="25"/>
      <c r="F14455" s="21"/>
      <c r="G14455" s="16"/>
    </row>
    <row r="14456" spans="4:7" ht="15" x14ac:dyDescent="0.3">
      <c r="D14456" s="25"/>
      <c r="F14456" s="21"/>
      <c r="G14456" s="16"/>
    </row>
    <row r="14457" spans="4:7" ht="15" x14ac:dyDescent="0.3">
      <c r="D14457" s="25"/>
      <c r="F14457" s="21"/>
      <c r="G14457" s="16"/>
    </row>
    <row r="14458" spans="4:7" ht="15" x14ac:dyDescent="0.3">
      <c r="D14458" s="25"/>
      <c r="F14458" s="21"/>
      <c r="G14458" s="16"/>
    </row>
    <row r="14459" spans="4:7" ht="15" x14ac:dyDescent="0.3">
      <c r="D14459" s="25"/>
      <c r="F14459" s="21"/>
      <c r="G14459" s="16"/>
    </row>
    <row r="14460" spans="4:7" ht="15" x14ac:dyDescent="0.3">
      <c r="D14460" s="25"/>
      <c r="F14460" s="21"/>
      <c r="G14460" s="16"/>
    </row>
    <row r="14461" spans="4:7" ht="15" x14ac:dyDescent="0.3">
      <c r="D14461" s="25"/>
      <c r="F14461" s="21"/>
      <c r="G14461" s="16"/>
    </row>
    <row r="14462" spans="4:7" ht="15" x14ac:dyDescent="0.3">
      <c r="D14462" s="25"/>
      <c r="F14462" s="21"/>
      <c r="G14462" s="16"/>
    </row>
    <row r="14463" spans="4:7" ht="15" x14ac:dyDescent="0.3">
      <c r="D14463" s="25"/>
      <c r="F14463" s="21"/>
      <c r="G14463" s="16"/>
    </row>
    <row r="14464" spans="4:7" ht="15" x14ac:dyDescent="0.3">
      <c r="D14464" s="25"/>
      <c r="F14464" s="21"/>
      <c r="G14464" s="16"/>
    </row>
    <row r="14465" spans="4:7" ht="15" x14ac:dyDescent="0.3">
      <c r="D14465" s="25"/>
      <c r="F14465" s="21"/>
      <c r="G14465" s="16"/>
    </row>
    <row r="14466" spans="4:7" ht="15" x14ac:dyDescent="0.3">
      <c r="D14466" s="25"/>
      <c r="F14466" s="21"/>
      <c r="G14466" s="16"/>
    </row>
    <row r="14467" spans="4:7" ht="15" x14ac:dyDescent="0.3">
      <c r="D14467" s="25"/>
      <c r="F14467" s="21"/>
      <c r="G14467" s="16"/>
    </row>
    <row r="14468" spans="4:7" ht="15" x14ac:dyDescent="0.3">
      <c r="D14468" s="25"/>
      <c r="F14468" s="21"/>
      <c r="G14468" s="16"/>
    </row>
    <row r="14469" spans="4:7" ht="15" x14ac:dyDescent="0.3">
      <c r="D14469" s="25"/>
      <c r="F14469" s="21"/>
      <c r="G14469" s="16"/>
    </row>
    <row r="14470" spans="4:7" ht="15" x14ac:dyDescent="0.3">
      <c r="D14470" s="25"/>
      <c r="F14470" s="21"/>
      <c r="G14470" s="16"/>
    </row>
    <row r="14471" spans="4:7" ht="15" x14ac:dyDescent="0.3">
      <c r="D14471" s="25"/>
      <c r="F14471" s="21"/>
      <c r="G14471" s="16"/>
    </row>
    <row r="14472" spans="4:7" ht="15" x14ac:dyDescent="0.3">
      <c r="D14472" s="25"/>
      <c r="F14472" s="21"/>
      <c r="G14472" s="16"/>
    </row>
    <row r="14473" spans="4:7" ht="15" x14ac:dyDescent="0.3">
      <c r="D14473" s="25"/>
      <c r="F14473" s="21"/>
      <c r="G14473" s="16"/>
    </row>
    <row r="14474" spans="4:7" ht="15" x14ac:dyDescent="0.3">
      <c r="D14474" s="25"/>
      <c r="F14474" s="21"/>
      <c r="G14474" s="16"/>
    </row>
    <row r="14475" spans="4:7" ht="15" x14ac:dyDescent="0.3">
      <c r="D14475" s="25"/>
      <c r="F14475" s="21"/>
      <c r="G14475" s="16"/>
    </row>
    <row r="14476" spans="4:7" ht="15" x14ac:dyDescent="0.3">
      <c r="D14476" s="25"/>
      <c r="F14476" s="21"/>
      <c r="G14476" s="16"/>
    </row>
    <row r="14477" spans="4:7" ht="15" x14ac:dyDescent="0.3">
      <c r="D14477" s="25"/>
      <c r="F14477" s="21"/>
      <c r="G14477" s="16"/>
    </row>
    <row r="14478" spans="4:7" ht="15" x14ac:dyDescent="0.3">
      <c r="D14478" s="25"/>
      <c r="F14478" s="21"/>
      <c r="G14478" s="16"/>
    </row>
    <row r="14479" spans="4:7" ht="15" x14ac:dyDescent="0.3">
      <c r="D14479" s="25"/>
      <c r="F14479" s="21"/>
      <c r="G14479" s="16"/>
    </row>
    <row r="14480" spans="4:7" ht="15" x14ac:dyDescent="0.3">
      <c r="D14480" s="25"/>
      <c r="F14480" s="21"/>
      <c r="G14480" s="16"/>
    </row>
    <row r="14481" spans="4:7" ht="15" x14ac:dyDescent="0.3">
      <c r="D14481" s="25"/>
      <c r="F14481" s="21"/>
      <c r="G14481" s="16"/>
    </row>
    <row r="14482" spans="4:7" ht="15" x14ac:dyDescent="0.3">
      <c r="D14482" s="25"/>
      <c r="F14482" s="21"/>
      <c r="G14482" s="16"/>
    </row>
    <row r="14483" spans="4:7" ht="15" x14ac:dyDescent="0.3">
      <c r="D14483" s="25"/>
      <c r="F14483" s="21"/>
      <c r="G14483" s="16"/>
    </row>
    <row r="14484" spans="4:7" ht="15" x14ac:dyDescent="0.3">
      <c r="D14484" s="25"/>
      <c r="F14484" s="21"/>
      <c r="G14484" s="16"/>
    </row>
    <row r="14485" spans="4:7" ht="15" x14ac:dyDescent="0.3">
      <c r="D14485" s="25"/>
      <c r="F14485" s="21"/>
      <c r="G14485" s="16"/>
    </row>
    <row r="14486" spans="4:7" ht="15" x14ac:dyDescent="0.3">
      <c r="D14486" s="25"/>
      <c r="F14486" s="21"/>
      <c r="G14486" s="16"/>
    </row>
    <row r="14487" spans="4:7" ht="15" x14ac:dyDescent="0.3">
      <c r="D14487" s="25"/>
      <c r="F14487" s="21"/>
      <c r="G14487" s="16"/>
    </row>
    <row r="14488" spans="4:7" ht="15" x14ac:dyDescent="0.3">
      <c r="D14488" s="25"/>
      <c r="F14488" s="21"/>
      <c r="G14488" s="16"/>
    </row>
    <row r="14489" spans="4:7" ht="15" x14ac:dyDescent="0.3">
      <c r="D14489" s="25"/>
      <c r="F14489" s="21"/>
      <c r="G14489" s="16"/>
    </row>
    <row r="14490" spans="4:7" ht="15" x14ac:dyDescent="0.3">
      <c r="D14490" s="25"/>
      <c r="F14490" s="21"/>
      <c r="G14490" s="16"/>
    </row>
    <row r="14491" spans="4:7" ht="15" x14ac:dyDescent="0.3">
      <c r="D14491" s="25"/>
      <c r="F14491" s="21"/>
      <c r="G14491" s="16"/>
    </row>
    <row r="14492" spans="4:7" ht="15" x14ac:dyDescent="0.3">
      <c r="D14492" s="25"/>
      <c r="F14492" s="21"/>
      <c r="G14492" s="16"/>
    </row>
    <row r="14493" spans="4:7" ht="15" x14ac:dyDescent="0.3">
      <c r="D14493" s="25"/>
      <c r="F14493" s="21"/>
      <c r="G14493" s="16"/>
    </row>
    <row r="14494" spans="4:7" ht="15" x14ac:dyDescent="0.3">
      <c r="D14494" s="25"/>
      <c r="F14494" s="21"/>
      <c r="G14494" s="16"/>
    </row>
    <row r="14495" spans="4:7" ht="15" x14ac:dyDescent="0.3">
      <c r="D14495" s="25"/>
      <c r="F14495" s="21"/>
      <c r="G14495" s="16"/>
    </row>
    <row r="14496" spans="4:7" ht="15" x14ac:dyDescent="0.3">
      <c r="D14496" s="25"/>
      <c r="F14496" s="21"/>
      <c r="G14496" s="16"/>
    </row>
    <row r="14497" spans="4:7" ht="15" x14ac:dyDescent="0.3">
      <c r="D14497" s="25"/>
      <c r="F14497" s="21"/>
      <c r="G14497" s="16"/>
    </row>
    <row r="14498" spans="4:7" ht="15" x14ac:dyDescent="0.3">
      <c r="D14498" s="25"/>
      <c r="F14498" s="21"/>
      <c r="G14498" s="16"/>
    </row>
    <row r="14499" spans="4:7" ht="15" x14ac:dyDescent="0.3">
      <c r="D14499" s="25"/>
      <c r="F14499" s="21"/>
      <c r="G14499" s="16"/>
    </row>
    <row r="14500" spans="4:7" ht="15" x14ac:dyDescent="0.3">
      <c r="D14500" s="25"/>
      <c r="F14500" s="21"/>
      <c r="G14500" s="16"/>
    </row>
    <row r="14501" spans="4:7" ht="15" x14ac:dyDescent="0.3">
      <c r="D14501" s="25"/>
      <c r="F14501" s="21"/>
      <c r="G14501" s="16"/>
    </row>
    <row r="14502" spans="4:7" ht="15" x14ac:dyDescent="0.3">
      <c r="D14502" s="25"/>
      <c r="F14502" s="21"/>
      <c r="G14502" s="16"/>
    </row>
    <row r="14503" spans="4:7" ht="15" x14ac:dyDescent="0.3">
      <c r="D14503" s="25"/>
      <c r="F14503" s="21"/>
      <c r="G14503" s="16"/>
    </row>
    <row r="14504" spans="4:7" ht="15" x14ac:dyDescent="0.3">
      <c r="D14504" s="25"/>
      <c r="F14504" s="21"/>
      <c r="G14504" s="16"/>
    </row>
    <row r="14505" spans="4:7" ht="15" x14ac:dyDescent="0.3">
      <c r="D14505" s="25"/>
      <c r="F14505" s="21"/>
      <c r="G14505" s="16"/>
    </row>
    <row r="14506" spans="4:7" ht="15" x14ac:dyDescent="0.3">
      <c r="D14506" s="25"/>
      <c r="F14506" s="21"/>
      <c r="G14506" s="16"/>
    </row>
    <row r="14507" spans="4:7" ht="15" x14ac:dyDescent="0.3">
      <c r="D14507" s="25"/>
      <c r="F14507" s="21"/>
      <c r="G14507" s="16"/>
    </row>
    <row r="14508" spans="4:7" ht="15" x14ac:dyDescent="0.3">
      <c r="D14508" s="25"/>
      <c r="F14508" s="21"/>
      <c r="G14508" s="16"/>
    </row>
    <row r="14509" spans="4:7" ht="15" x14ac:dyDescent="0.3">
      <c r="D14509" s="25"/>
      <c r="F14509" s="21"/>
      <c r="G14509" s="16"/>
    </row>
    <row r="14510" spans="4:7" ht="15" x14ac:dyDescent="0.3">
      <c r="D14510" s="25"/>
      <c r="F14510" s="21"/>
      <c r="G14510" s="16"/>
    </row>
    <row r="14511" spans="4:7" ht="15" x14ac:dyDescent="0.3">
      <c r="D14511" s="25"/>
      <c r="F14511" s="21"/>
      <c r="G14511" s="16"/>
    </row>
    <row r="14512" spans="4:7" ht="15" x14ac:dyDescent="0.3">
      <c r="D14512" s="25"/>
      <c r="F14512" s="21"/>
      <c r="G14512" s="16"/>
    </row>
    <row r="14513" spans="4:7" ht="15" x14ac:dyDescent="0.3">
      <c r="D14513" s="25"/>
      <c r="F14513" s="21"/>
      <c r="G14513" s="16"/>
    </row>
    <row r="14514" spans="4:7" ht="15" x14ac:dyDescent="0.3">
      <c r="D14514" s="25"/>
      <c r="F14514" s="21"/>
      <c r="G14514" s="16"/>
    </row>
    <row r="14515" spans="4:7" ht="15" x14ac:dyDescent="0.3">
      <c r="D14515" s="25"/>
      <c r="F14515" s="21"/>
      <c r="G14515" s="16"/>
    </row>
    <row r="14516" spans="4:7" ht="15" x14ac:dyDescent="0.3">
      <c r="D14516" s="25"/>
      <c r="F14516" s="21"/>
      <c r="G14516" s="16"/>
    </row>
    <row r="14517" spans="4:7" ht="15" x14ac:dyDescent="0.3">
      <c r="D14517" s="25"/>
      <c r="F14517" s="21"/>
      <c r="G14517" s="16"/>
    </row>
    <row r="14518" spans="4:7" ht="15" x14ac:dyDescent="0.3">
      <c r="D14518" s="25"/>
      <c r="F14518" s="21"/>
      <c r="G14518" s="16"/>
    </row>
    <row r="14519" spans="4:7" ht="15" x14ac:dyDescent="0.3">
      <c r="D14519" s="25"/>
      <c r="F14519" s="21"/>
      <c r="G14519" s="16"/>
    </row>
    <row r="14520" spans="4:7" ht="15" x14ac:dyDescent="0.3">
      <c r="D14520" s="25"/>
      <c r="F14520" s="21"/>
      <c r="G14520" s="16"/>
    </row>
    <row r="14521" spans="4:7" ht="15" x14ac:dyDescent="0.3">
      <c r="D14521" s="25"/>
      <c r="F14521" s="21"/>
      <c r="G14521" s="16"/>
    </row>
    <row r="14522" spans="4:7" ht="15" x14ac:dyDescent="0.3">
      <c r="D14522" s="25"/>
      <c r="F14522" s="21"/>
      <c r="G14522" s="16"/>
    </row>
    <row r="14523" spans="4:7" ht="15" x14ac:dyDescent="0.3">
      <c r="D14523" s="25"/>
      <c r="F14523" s="21"/>
      <c r="G14523" s="16"/>
    </row>
    <row r="14524" spans="4:7" ht="15" x14ac:dyDescent="0.3">
      <c r="D14524" s="25"/>
      <c r="F14524" s="21"/>
      <c r="G14524" s="16"/>
    </row>
    <row r="14525" spans="4:7" ht="15" x14ac:dyDescent="0.3">
      <c r="D14525" s="25"/>
      <c r="F14525" s="21"/>
      <c r="G14525" s="16"/>
    </row>
    <row r="14526" spans="4:7" ht="15" x14ac:dyDescent="0.3">
      <c r="D14526" s="25"/>
      <c r="F14526" s="21"/>
      <c r="G14526" s="16"/>
    </row>
    <row r="14527" spans="4:7" ht="15" x14ac:dyDescent="0.3">
      <c r="D14527" s="25"/>
      <c r="F14527" s="21"/>
      <c r="G14527" s="16"/>
    </row>
    <row r="14528" spans="4:7" ht="15" x14ac:dyDescent="0.3">
      <c r="D14528" s="25"/>
      <c r="F14528" s="21"/>
      <c r="G14528" s="16"/>
    </row>
    <row r="14529" spans="4:7" ht="15" x14ac:dyDescent="0.3">
      <c r="D14529" s="25"/>
      <c r="F14529" s="21"/>
      <c r="G14529" s="16"/>
    </row>
    <row r="14530" spans="4:7" ht="15" x14ac:dyDescent="0.3">
      <c r="D14530" s="25"/>
      <c r="F14530" s="21"/>
      <c r="G14530" s="16"/>
    </row>
    <row r="14531" spans="4:7" ht="15" x14ac:dyDescent="0.3">
      <c r="D14531" s="25"/>
      <c r="F14531" s="21"/>
      <c r="G14531" s="16"/>
    </row>
    <row r="14532" spans="4:7" ht="15" x14ac:dyDescent="0.3">
      <c r="D14532" s="25"/>
      <c r="F14532" s="21"/>
      <c r="G14532" s="16"/>
    </row>
    <row r="14533" spans="4:7" ht="15" x14ac:dyDescent="0.3">
      <c r="D14533" s="25"/>
      <c r="F14533" s="21"/>
      <c r="G14533" s="16"/>
    </row>
    <row r="14534" spans="4:7" ht="15" x14ac:dyDescent="0.3">
      <c r="D14534" s="25"/>
      <c r="F14534" s="21"/>
      <c r="G14534" s="16"/>
    </row>
    <row r="14535" spans="4:7" ht="15" x14ac:dyDescent="0.3">
      <c r="D14535" s="25"/>
      <c r="F14535" s="21"/>
      <c r="G14535" s="16"/>
    </row>
    <row r="14536" spans="4:7" ht="15" x14ac:dyDescent="0.3">
      <c r="D14536" s="25"/>
      <c r="F14536" s="21"/>
      <c r="G14536" s="16"/>
    </row>
    <row r="14537" spans="4:7" ht="15" x14ac:dyDescent="0.3">
      <c r="D14537" s="25"/>
      <c r="F14537" s="21"/>
      <c r="G14537" s="16"/>
    </row>
    <row r="14538" spans="4:7" ht="15" x14ac:dyDescent="0.3">
      <c r="D14538" s="25"/>
      <c r="F14538" s="21"/>
      <c r="G14538" s="16"/>
    </row>
    <row r="14539" spans="4:7" ht="15" x14ac:dyDescent="0.3">
      <c r="D14539" s="25"/>
      <c r="F14539" s="21"/>
      <c r="G14539" s="16"/>
    </row>
    <row r="14540" spans="4:7" ht="15" x14ac:dyDescent="0.3">
      <c r="D14540" s="25"/>
      <c r="F14540" s="21"/>
      <c r="G14540" s="16"/>
    </row>
    <row r="14541" spans="4:7" ht="15" x14ac:dyDescent="0.3">
      <c r="D14541" s="25"/>
      <c r="F14541" s="21"/>
      <c r="G14541" s="16"/>
    </row>
    <row r="14542" spans="4:7" ht="15" x14ac:dyDescent="0.3">
      <c r="D14542" s="25"/>
      <c r="F14542" s="21"/>
      <c r="G14542" s="16"/>
    </row>
    <row r="14543" spans="4:7" ht="15" x14ac:dyDescent="0.3">
      <c r="D14543" s="25"/>
      <c r="F14543" s="21"/>
      <c r="G14543" s="16"/>
    </row>
    <row r="14544" spans="4:7" ht="15" x14ac:dyDescent="0.3">
      <c r="D14544" s="25"/>
      <c r="F14544" s="21"/>
      <c r="G14544" s="16"/>
    </row>
    <row r="14545" spans="4:7" ht="15" x14ac:dyDescent="0.3">
      <c r="D14545" s="25"/>
      <c r="F14545" s="21"/>
      <c r="G14545" s="16"/>
    </row>
    <row r="14546" spans="4:7" ht="15" x14ac:dyDescent="0.3">
      <c r="D14546" s="25"/>
      <c r="F14546" s="21"/>
      <c r="G14546" s="16"/>
    </row>
    <row r="14547" spans="4:7" ht="15" x14ac:dyDescent="0.3">
      <c r="D14547" s="25"/>
      <c r="F14547" s="21"/>
      <c r="G14547" s="16"/>
    </row>
    <row r="14548" spans="4:7" ht="15" x14ac:dyDescent="0.3">
      <c r="D14548" s="25"/>
      <c r="F14548" s="21"/>
      <c r="G14548" s="16"/>
    </row>
    <row r="14549" spans="4:7" ht="15" x14ac:dyDescent="0.3">
      <c r="D14549" s="25"/>
      <c r="F14549" s="21"/>
      <c r="G14549" s="16"/>
    </row>
    <row r="14550" spans="4:7" ht="15" x14ac:dyDescent="0.3">
      <c r="D14550" s="25"/>
      <c r="F14550" s="21"/>
      <c r="G14550" s="16"/>
    </row>
    <row r="14551" spans="4:7" ht="15" x14ac:dyDescent="0.3">
      <c r="D14551" s="25"/>
      <c r="F14551" s="21"/>
      <c r="G14551" s="16"/>
    </row>
    <row r="14552" spans="4:7" ht="15" x14ac:dyDescent="0.3">
      <c r="D14552" s="25"/>
      <c r="F14552" s="21"/>
      <c r="G14552" s="16"/>
    </row>
    <row r="14553" spans="4:7" ht="15" x14ac:dyDescent="0.3">
      <c r="D14553" s="25"/>
      <c r="F14553" s="21"/>
      <c r="G14553" s="16"/>
    </row>
    <row r="14554" spans="4:7" ht="15" x14ac:dyDescent="0.3">
      <c r="D14554" s="25"/>
      <c r="F14554" s="21"/>
      <c r="G14554" s="16"/>
    </row>
    <row r="14555" spans="4:7" ht="15" x14ac:dyDescent="0.3">
      <c r="D14555" s="25"/>
      <c r="F14555" s="21"/>
      <c r="G14555" s="16"/>
    </row>
    <row r="14556" spans="4:7" ht="15" x14ac:dyDescent="0.3">
      <c r="D14556" s="25"/>
      <c r="F14556" s="21"/>
      <c r="G14556" s="16"/>
    </row>
    <row r="14557" spans="4:7" ht="15" x14ac:dyDescent="0.3">
      <c r="D14557" s="25"/>
      <c r="F14557" s="21"/>
      <c r="G14557" s="16"/>
    </row>
    <row r="14558" spans="4:7" ht="15" x14ac:dyDescent="0.3">
      <c r="D14558" s="25"/>
      <c r="F14558" s="21"/>
      <c r="G14558" s="16"/>
    </row>
    <row r="14559" spans="4:7" ht="15" x14ac:dyDescent="0.3">
      <c r="D14559" s="25"/>
      <c r="F14559" s="21"/>
      <c r="G14559" s="16"/>
    </row>
    <row r="14560" spans="4:7" ht="15" x14ac:dyDescent="0.3">
      <c r="D14560" s="25"/>
      <c r="F14560" s="21"/>
      <c r="G14560" s="16"/>
    </row>
    <row r="14561" spans="4:7" ht="15" x14ac:dyDescent="0.3">
      <c r="D14561" s="25"/>
      <c r="F14561" s="21"/>
      <c r="G14561" s="16"/>
    </row>
    <row r="14562" spans="4:7" ht="15" x14ac:dyDescent="0.3">
      <c r="D14562" s="25"/>
      <c r="F14562" s="21"/>
      <c r="G14562" s="16"/>
    </row>
    <row r="14563" spans="4:7" ht="15" x14ac:dyDescent="0.3">
      <c r="D14563" s="25"/>
      <c r="F14563" s="21"/>
      <c r="G14563" s="16"/>
    </row>
    <row r="14564" spans="4:7" ht="15" x14ac:dyDescent="0.3">
      <c r="D14564" s="25"/>
      <c r="F14564" s="21"/>
      <c r="G14564" s="16"/>
    </row>
    <row r="14565" spans="4:7" ht="15" x14ac:dyDescent="0.3">
      <c r="D14565" s="25"/>
      <c r="F14565" s="21"/>
      <c r="G14565" s="16"/>
    </row>
    <row r="14566" spans="4:7" ht="15" x14ac:dyDescent="0.3">
      <c r="D14566" s="25"/>
      <c r="F14566" s="21"/>
      <c r="G14566" s="16"/>
    </row>
    <row r="14567" spans="4:7" ht="15" x14ac:dyDescent="0.3">
      <c r="D14567" s="25"/>
      <c r="F14567" s="21"/>
      <c r="G14567" s="16"/>
    </row>
    <row r="14568" spans="4:7" ht="15" x14ac:dyDescent="0.3">
      <c r="D14568" s="25"/>
      <c r="F14568" s="21"/>
      <c r="G14568" s="16"/>
    </row>
    <row r="14569" spans="4:7" ht="15" x14ac:dyDescent="0.3">
      <c r="D14569" s="25"/>
      <c r="F14569" s="21"/>
      <c r="G14569" s="16"/>
    </row>
    <row r="14570" spans="4:7" ht="15" x14ac:dyDescent="0.3">
      <c r="D14570" s="25"/>
      <c r="F14570" s="21"/>
      <c r="G14570" s="16"/>
    </row>
    <row r="14571" spans="4:7" ht="15" x14ac:dyDescent="0.3">
      <c r="D14571" s="25"/>
      <c r="F14571" s="21"/>
      <c r="G14571" s="16"/>
    </row>
    <row r="14572" spans="4:7" ht="15" x14ac:dyDescent="0.3">
      <c r="D14572" s="25"/>
      <c r="F14572" s="21"/>
      <c r="G14572" s="16"/>
    </row>
    <row r="14573" spans="4:7" ht="15" x14ac:dyDescent="0.3">
      <c r="D14573" s="25"/>
      <c r="F14573" s="21"/>
      <c r="G14573" s="16"/>
    </row>
    <row r="14574" spans="4:7" ht="15" x14ac:dyDescent="0.3">
      <c r="D14574" s="25"/>
      <c r="F14574" s="21"/>
      <c r="G14574" s="16"/>
    </row>
    <row r="14575" spans="4:7" ht="15" x14ac:dyDescent="0.3">
      <c r="D14575" s="25"/>
      <c r="F14575" s="21"/>
      <c r="G14575" s="16"/>
    </row>
    <row r="14576" spans="4:7" ht="15" x14ac:dyDescent="0.3">
      <c r="D14576" s="25"/>
      <c r="F14576" s="21"/>
      <c r="G14576" s="16"/>
    </row>
    <row r="14577" spans="4:7" ht="15" x14ac:dyDescent="0.3">
      <c r="D14577" s="25"/>
      <c r="F14577" s="21"/>
      <c r="G14577" s="16"/>
    </row>
    <row r="14578" spans="4:7" ht="15" x14ac:dyDescent="0.3">
      <c r="D14578" s="25"/>
      <c r="F14578" s="21"/>
      <c r="G14578" s="16"/>
    </row>
    <row r="14579" spans="4:7" ht="15" x14ac:dyDescent="0.3">
      <c r="D14579" s="25"/>
      <c r="F14579" s="21"/>
      <c r="G14579" s="16"/>
    </row>
    <row r="14580" spans="4:7" ht="15" x14ac:dyDescent="0.3">
      <c r="D14580" s="25"/>
      <c r="F14580" s="21"/>
      <c r="G14580" s="16"/>
    </row>
    <row r="14581" spans="4:7" ht="15" x14ac:dyDescent="0.3">
      <c r="D14581" s="25"/>
      <c r="F14581" s="21"/>
      <c r="G14581" s="16"/>
    </row>
    <row r="14582" spans="4:7" ht="15" x14ac:dyDescent="0.3">
      <c r="D14582" s="25"/>
      <c r="F14582" s="21"/>
      <c r="G14582" s="16"/>
    </row>
    <row r="14583" spans="4:7" ht="15" x14ac:dyDescent="0.3">
      <c r="D14583" s="25"/>
      <c r="F14583" s="21"/>
      <c r="G14583" s="16"/>
    </row>
    <row r="14584" spans="4:7" ht="15" x14ac:dyDescent="0.3">
      <c r="D14584" s="25"/>
      <c r="F14584" s="21"/>
      <c r="G14584" s="16"/>
    </row>
    <row r="14585" spans="4:7" ht="15" x14ac:dyDescent="0.3">
      <c r="D14585" s="25"/>
      <c r="F14585" s="21"/>
      <c r="G14585" s="16"/>
    </row>
    <row r="14586" spans="4:7" ht="15" x14ac:dyDescent="0.3">
      <c r="D14586" s="25"/>
      <c r="F14586" s="21"/>
      <c r="G14586" s="16"/>
    </row>
    <row r="14587" spans="4:7" ht="15" x14ac:dyDescent="0.3">
      <c r="D14587" s="25"/>
      <c r="F14587" s="21"/>
      <c r="G14587" s="16"/>
    </row>
    <row r="14588" spans="4:7" ht="15" x14ac:dyDescent="0.3">
      <c r="D14588" s="25"/>
      <c r="F14588" s="21"/>
      <c r="G14588" s="16"/>
    </row>
    <row r="14589" spans="4:7" ht="15" x14ac:dyDescent="0.3">
      <c r="D14589" s="25"/>
      <c r="F14589" s="21"/>
      <c r="G14589" s="16"/>
    </row>
    <row r="14590" spans="4:7" ht="15" x14ac:dyDescent="0.3">
      <c r="D14590" s="25"/>
      <c r="F14590" s="21"/>
      <c r="G14590" s="16"/>
    </row>
    <row r="14591" spans="4:7" ht="15" x14ac:dyDescent="0.3">
      <c r="D14591" s="25"/>
      <c r="F14591" s="21"/>
      <c r="G14591" s="16"/>
    </row>
    <row r="14592" spans="4:7" ht="15" x14ac:dyDescent="0.3">
      <c r="D14592" s="25"/>
      <c r="F14592" s="21"/>
      <c r="G14592" s="16"/>
    </row>
    <row r="14593" spans="4:7" ht="15" x14ac:dyDescent="0.3">
      <c r="D14593" s="25"/>
      <c r="F14593" s="21"/>
      <c r="G14593" s="16"/>
    </row>
    <row r="14594" spans="4:7" ht="15" x14ac:dyDescent="0.3">
      <c r="D14594" s="25"/>
      <c r="F14594" s="21"/>
      <c r="G14594" s="16"/>
    </row>
    <row r="14595" spans="4:7" ht="15" x14ac:dyDescent="0.3">
      <c r="D14595" s="25"/>
      <c r="F14595" s="21"/>
      <c r="G14595" s="16"/>
    </row>
    <row r="14596" spans="4:7" ht="15" x14ac:dyDescent="0.3">
      <c r="D14596" s="25"/>
      <c r="F14596" s="21"/>
      <c r="G14596" s="16"/>
    </row>
    <row r="14597" spans="4:7" ht="15" x14ac:dyDescent="0.3">
      <c r="D14597" s="25"/>
      <c r="F14597" s="21"/>
      <c r="G14597" s="16"/>
    </row>
    <row r="14598" spans="4:7" ht="15" x14ac:dyDescent="0.3">
      <c r="D14598" s="25"/>
      <c r="F14598" s="21"/>
      <c r="G14598" s="16"/>
    </row>
    <row r="14599" spans="4:7" ht="15" x14ac:dyDescent="0.3">
      <c r="D14599" s="25"/>
      <c r="F14599" s="21"/>
      <c r="G14599" s="16"/>
    </row>
    <row r="14600" spans="4:7" ht="15" x14ac:dyDescent="0.3">
      <c r="D14600" s="25"/>
      <c r="F14600" s="21"/>
      <c r="G14600" s="16"/>
    </row>
    <row r="14601" spans="4:7" ht="15" x14ac:dyDescent="0.3">
      <c r="D14601" s="25"/>
      <c r="F14601" s="21"/>
      <c r="G14601" s="16"/>
    </row>
    <row r="14602" spans="4:7" ht="15" x14ac:dyDescent="0.3">
      <c r="D14602" s="25"/>
      <c r="F14602" s="21"/>
      <c r="G14602" s="16"/>
    </row>
    <row r="14603" spans="4:7" ht="15" x14ac:dyDescent="0.3">
      <c r="D14603" s="25"/>
      <c r="F14603" s="21"/>
      <c r="G14603" s="16"/>
    </row>
    <row r="14604" spans="4:7" ht="15" x14ac:dyDescent="0.3">
      <c r="D14604" s="25"/>
      <c r="F14604" s="21"/>
      <c r="G14604" s="16"/>
    </row>
    <row r="14605" spans="4:7" ht="15" x14ac:dyDescent="0.3">
      <c r="D14605" s="25"/>
      <c r="F14605" s="21"/>
      <c r="G14605" s="16"/>
    </row>
    <row r="14606" spans="4:7" ht="15" x14ac:dyDescent="0.3">
      <c r="D14606" s="25"/>
      <c r="F14606" s="21"/>
      <c r="G14606" s="16"/>
    </row>
    <row r="14607" spans="4:7" ht="15" x14ac:dyDescent="0.3">
      <c r="D14607" s="25"/>
      <c r="F14607" s="21"/>
      <c r="G14607" s="16"/>
    </row>
    <row r="14608" spans="4:7" ht="15" x14ac:dyDescent="0.3">
      <c r="D14608" s="25"/>
      <c r="F14608" s="21"/>
      <c r="G14608" s="16"/>
    </row>
    <row r="14609" spans="4:7" ht="15" x14ac:dyDescent="0.3">
      <c r="D14609" s="25"/>
      <c r="F14609" s="21"/>
      <c r="G14609" s="16"/>
    </row>
    <row r="14610" spans="4:7" ht="15" x14ac:dyDescent="0.3">
      <c r="D14610" s="25"/>
      <c r="F14610" s="21"/>
      <c r="G14610" s="16"/>
    </row>
    <row r="14611" spans="4:7" ht="15" x14ac:dyDescent="0.3">
      <c r="D14611" s="25"/>
      <c r="F14611" s="21"/>
      <c r="G14611" s="16"/>
    </row>
    <row r="14612" spans="4:7" ht="15" x14ac:dyDescent="0.3">
      <c r="D14612" s="25"/>
      <c r="F14612" s="21"/>
      <c r="G14612" s="16"/>
    </row>
    <row r="14613" spans="4:7" ht="15" x14ac:dyDescent="0.3">
      <c r="D14613" s="25"/>
      <c r="F14613" s="21"/>
      <c r="G14613" s="16"/>
    </row>
    <row r="14614" spans="4:7" ht="15" x14ac:dyDescent="0.3">
      <c r="D14614" s="25"/>
      <c r="F14614" s="21"/>
      <c r="G14614" s="16"/>
    </row>
    <row r="14615" spans="4:7" ht="15" x14ac:dyDescent="0.3">
      <c r="D14615" s="25"/>
      <c r="F14615" s="21"/>
      <c r="G14615" s="16"/>
    </row>
    <row r="14616" spans="4:7" ht="15" x14ac:dyDescent="0.3">
      <c r="D14616" s="25"/>
      <c r="F14616" s="21"/>
      <c r="G14616" s="16"/>
    </row>
    <row r="14617" spans="4:7" ht="15" x14ac:dyDescent="0.3">
      <c r="D14617" s="25"/>
      <c r="F14617" s="21"/>
      <c r="G14617" s="16"/>
    </row>
    <row r="14618" spans="4:7" ht="15" x14ac:dyDescent="0.3">
      <c r="D14618" s="25"/>
      <c r="F14618" s="21"/>
      <c r="G14618" s="16"/>
    </row>
    <row r="14619" spans="4:7" ht="15" x14ac:dyDescent="0.3">
      <c r="D14619" s="25"/>
      <c r="F14619" s="21"/>
      <c r="G14619" s="16"/>
    </row>
    <row r="14620" spans="4:7" ht="15" x14ac:dyDescent="0.3">
      <c r="D14620" s="25"/>
      <c r="F14620" s="21"/>
      <c r="G14620" s="16"/>
    </row>
    <row r="14621" spans="4:7" ht="15" x14ac:dyDescent="0.3">
      <c r="D14621" s="25"/>
      <c r="F14621" s="21"/>
      <c r="G14621" s="16"/>
    </row>
    <row r="14622" spans="4:7" ht="15" x14ac:dyDescent="0.3">
      <c r="D14622" s="25"/>
      <c r="F14622" s="21"/>
      <c r="G14622" s="16"/>
    </row>
    <row r="14623" spans="4:7" ht="15" x14ac:dyDescent="0.3">
      <c r="D14623" s="25"/>
      <c r="F14623" s="21"/>
      <c r="G14623" s="16"/>
    </row>
    <row r="14624" spans="4:7" ht="15" x14ac:dyDescent="0.3">
      <c r="D14624" s="25"/>
      <c r="F14624" s="21"/>
      <c r="G14624" s="16"/>
    </row>
    <row r="14625" spans="4:7" ht="15" x14ac:dyDescent="0.3">
      <c r="D14625" s="25"/>
      <c r="F14625" s="21"/>
      <c r="G14625" s="16"/>
    </row>
    <row r="14626" spans="4:7" ht="15" x14ac:dyDescent="0.3">
      <c r="D14626" s="25"/>
      <c r="F14626" s="21"/>
      <c r="G14626" s="16"/>
    </row>
    <row r="14627" spans="4:7" ht="15" x14ac:dyDescent="0.3">
      <c r="D14627" s="25"/>
      <c r="F14627" s="21"/>
      <c r="G14627" s="16"/>
    </row>
    <row r="14628" spans="4:7" ht="15" x14ac:dyDescent="0.3">
      <c r="D14628" s="25"/>
      <c r="F14628" s="21"/>
      <c r="G14628" s="16"/>
    </row>
    <row r="14629" spans="4:7" ht="15" x14ac:dyDescent="0.3">
      <c r="D14629" s="25"/>
      <c r="F14629" s="21"/>
      <c r="G14629" s="16"/>
    </row>
    <row r="14630" spans="4:7" ht="15" x14ac:dyDescent="0.3">
      <c r="D14630" s="25"/>
      <c r="F14630" s="21"/>
      <c r="G14630" s="16"/>
    </row>
    <row r="14631" spans="4:7" ht="15" x14ac:dyDescent="0.3">
      <c r="D14631" s="25"/>
      <c r="F14631" s="21"/>
      <c r="G14631" s="16"/>
    </row>
    <row r="14632" spans="4:7" ht="15" x14ac:dyDescent="0.3">
      <c r="D14632" s="25"/>
      <c r="F14632" s="21"/>
      <c r="G14632" s="16"/>
    </row>
    <row r="14633" spans="4:7" ht="15" x14ac:dyDescent="0.3">
      <c r="D14633" s="25"/>
      <c r="F14633" s="21"/>
      <c r="G14633" s="16"/>
    </row>
    <row r="14634" spans="4:7" ht="15" x14ac:dyDescent="0.3">
      <c r="D14634" s="25"/>
      <c r="F14634" s="21"/>
      <c r="G14634" s="16"/>
    </row>
    <row r="14635" spans="4:7" ht="15" x14ac:dyDescent="0.3">
      <c r="D14635" s="25"/>
      <c r="F14635" s="21"/>
      <c r="G14635" s="16"/>
    </row>
    <row r="14636" spans="4:7" ht="15" x14ac:dyDescent="0.3">
      <c r="D14636" s="25"/>
      <c r="F14636" s="21"/>
      <c r="G14636" s="16"/>
    </row>
    <row r="14637" spans="4:7" ht="15" x14ac:dyDescent="0.3">
      <c r="D14637" s="25"/>
      <c r="F14637" s="21"/>
      <c r="G14637" s="16"/>
    </row>
    <row r="14638" spans="4:7" ht="15" x14ac:dyDescent="0.3">
      <c r="D14638" s="25"/>
      <c r="F14638" s="21"/>
      <c r="G14638" s="16"/>
    </row>
    <row r="14639" spans="4:7" ht="15" x14ac:dyDescent="0.3">
      <c r="D14639" s="25"/>
      <c r="F14639" s="21"/>
      <c r="G14639" s="16"/>
    </row>
    <row r="14640" spans="4:7" ht="15" x14ac:dyDescent="0.3">
      <c r="D14640" s="25"/>
      <c r="F14640" s="21"/>
      <c r="G14640" s="16"/>
    </row>
    <row r="14641" spans="4:7" ht="15" x14ac:dyDescent="0.3">
      <c r="D14641" s="25"/>
      <c r="F14641" s="21"/>
      <c r="G14641" s="16"/>
    </row>
    <row r="14642" spans="4:7" ht="15" x14ac:dyDescent="0.3">
      <c r="D14642" s="25"/>
      <c r="F14642" s="21"/>
      <c r="G14642" s="16"/>
    </row>
    <row r="14643" spans="4:7" ht="15" x14ac:dyDescent="0.3">
      <c r="D14643" s="25"/>
      <c r="F14643" s="21"/>
      <c r="G14643" s="16"/>
    </row>
    <row r="14644" spans="4:7" ht="15" x14ac:dyDescent="0.3">
      <c r="D14644" s="25"/>
      <c r="F14644" s="21"/>
      <c r="G14644" s="16"/>
    </row>
    <row r="14645" spans="4:7" ht="15" x14ac:dyDescent="0.3">
      <c r="D14645" s="25"/>
      <c r="F14645" s="21"/>
      <c r="G14645" s="16"/>
    </row>
    <row r="14646" spans="4:7" ht="15" x14ac:dyDescent="0.3">
      <c r="D14646" s="25"/>
      <c r="F14646" s="21"/>
      <c r="G14646" s="16"/>
    </row>
    <row r="14647" spans="4:7" ht="15" x14ac:dyDescent="0.3">
      <c r="D14647" s="25"/>
      <c r="F14647" s="21"/>
      <c r="G14647" s="16"/>
    </row>
    <row r="14648" spans="4:7" ht="15" x14ac:dyDescent="0.3">
      <c r="D14648" s="25"/>
      <c r="F14648" s="21"/>
      <c r="G14648" s="16"/>
    </row>
    <row r="14649" spans="4:7" ht="15" x14ac:dyDescent="0.3">
      <c r="D14649" s="25"/>
      <c r="F14649" s="21"/>
      <c r="G14649" s="16"/>
    </row>
    <row r="14650" spans="4:7" ht="15" x14ac:dyDescent="0.3">
      <c r="D14650" s="25"/>
      <c r="F14650" s="21"/>
      <c r="G14650" s="16"/>
    </row>
    <row r="14651" spans="4:7" ht="15" x14ac:dyDescent="0.3">
      <c r="D14651" s="25"/>
      <c r="F14651" s="21"/>
      <c r="G14651" s="16"/>
    </row>
    <row r="14652" spans="4:7" ht="15" x14ac:dyDescent="0.3">
      <c r="D14652" s="25"/>
      <c r="F14652" s="21"/>
      <c r="G14652" s="16"/>
    </row>
    <row r="14653" spans="4:7" ht="15" x14ac:dyDescent="0.3">
      <c r="D14653" s="25"/>
      <c r="F14653" s="21"/>
      <c r="G14653" s="16"/>
    </row>
    <row r="14654" spans="4:7" ht="15" x14ac:dyDescent="0.3">
      <c r="D14654" s="25"/>
      <c r="F14654" s="21"/>
      <c r="G14654" s="16"/>
    </row>
    <row r="14655" spans="4:7" ht="15" x14ac:dyDescent="0.3">
      <c r="D14655" s="25"/>
      <c r="F14655" s="21"/>
      <c r="G14655" s="16"/>
    </row>
    <row r="14656" spans="4:7" ht="15" x14ac:dyDescent="0.3">
      <c r="D14656" s="25"/>
      <c r="F14656" s="21"/>
      <c r="G14656" s="16"/>
    </row>
    <row r="14657" spans="4:7" ht="15" x14ac:dyDescent="0.3">
      <c r="D14657" s="25"/>
      <c r="F14657" s="21"/>
      <c r="G14657" s="16"/>
    </row>
    <row r="14658" spans="4:7" ht="15" x14ac:dyDescent="0.3">
      <c r="D14658" s="25"/>
      <c r="F14658" s="21"/>
      <c r="G14658" s="16"/>
    </row>
    <row r="14659" spans="4:7" ht="15" x14ac:dyDescent="0.3">
      <c r="D14659" s="25"/>
      <c r="F14659" s="21"/>
      <c r="G14659" s="16"/>
    </row>
    <row r="14660" spans="4:7" ht="15" x14ac:dyDescent="0.3">
      <c r="D14660" s="25"/>
      <c r="F14660" s="21"/>
      <c r="G14660" s="16"/>
    </row>
    <row r="14661" spans="4:7" ht="15" x14ac:dyDescent="0.3">
      <c r="D14661" s="25"/>
      <c r="F14661" s="21"/>
      <c r="G14661" s="16"/>
    </row>
    <row r="14662" spans="4:7" ht="15" x14ac:dyDescent="0.3">
      <c r="D14662" s="25"/>
      <c r="F14662" s="21"/>
      <c r="G14662" s="16"/>
    </row>
    <row r="14663" spans="4:7" ht="15" x14ac:dyDescent="0.3">
      <c r="D14663" s="25"/>
      <c r="F14663" s="21"/>
      <c r="G14663" s="16"/>
    </row>
    <row r="14664" spans="4:7" ht="15" x14ac:dyDescent="0.3">
      <c r="D14664" s="25"/>
      <c r="F14664" s="21"/>
      <c r="G14664" s="16"/>
    </row>
    <row r="14665" spans="4:7" ht="15" x14ac:dyDescent="0.3">
      <c r="D14665" s="25"/>
      <c r="F14665" s="21"/>
      <c r="G14665" s="16"/>
    </row>
    <row r="14666" spans="4:7" ht="15" x14ac:dyDescent="0.3">
      <c r="D14666" s="25"/>
      <c r="F14666" s="21"/>
      <c r="G14666" s="16"/>
    </row>
    <row r="14667" spans="4:7" ht="15" x14ac:dyDescent="0.3">
      <c r="D14667" s="25"/>
      <c r="F14667" s="21"/>
      <c r="G14667" s="16"/>
    </row>
    <row r="14668" spans="4:7" ht="15" x14ac:dyDescent="0.3">
      <c r="D14668" s="25"/>
      <c r="F14668" s="21"/>
      <c r="G14668" s="16"/>
    </row>
    <row r="14669" spans="4:7" ht="15" x14ac:dyDescent="0.3">
      <c r="D14669" s="25"/>
      <c r="F14669" s="21"/>
      <c r="G14669" s="16"/>
    </row>
    <row r="14670" spans="4:7" ht="15" x14ac:dyDescent="0.3">
      <c r="D14670" s="25"/>
      <c r="F14670" s="21"/>
      <c r="G14670" s="16"/>
    </row>
    <row r="14671" spans="4:7" ht="15" x14ac:dyDescent="0.3">
      <c r="D14671" s="25"/>
      <c r="F14671" s="21"/>
      <c r="G14671" s="16"/>
    </row>
    <row r="14672" spans="4:7" ht="15" x14ac:dyDescent="0.3">
      <c r="D14672" s="25"/>
      <c r="F14672" s="21"/>
      <c r="G14672" s="16"/>
    </row>
    <row r="14673" spans="4:7" ht="15" x14ac:dyDescent="0.3">
      <c r="D14673" s="25"/>
      <c r="F14673" s="21"/>
      <c r="G14673" s="16"/>
    </row>
    <row r="14674" spans="4:7" ht="15" x14ac:dyDescent="0.3">
      <c r="D14674" s="25"/>
      <c r="F14674" s="21"/>
      <c r="G14674" s="16"/>
    </row>
    <row r="14675" spans="4:7" ht="15" x14ac:dyDescent="0.3">
      <c r="D14675" s="25"/>
      <c r="F14675" s="21"/>
      <c r="G14675" s="16"/>
    </row>
    <row r="14676" spans="4:7" ht="15" x14ac:dyDescent="0.3">
      <c r="D14676" s="25"/>
      <c r="F14676" s="21"/>
      <c r="G14676" s="16"/>
    </row>
    <row r="14677" spans="4:7" ht="15" x14ac:dyDescent="0.3">
      <c r="D14677" s="25"/>
      <c r="F14677" s="21"/>
      <c r="G14677" s="16"/>
    </row>
    <row r="14678" spans="4:7" ht="15" x14ac:dyDescent="0.3">
      <c r="D14678" s="25"/>
      <c r="F14678" s="21"/>
      <c r="G14678" s="16"/>
    </row>
    <row r="14679" spans="4:7" ht="15" x14ac:dyDescent="0.3">
      <c r="D14679" s="25"/>
      <c r="F14679" s="21"/>
      <c r="G14679" s="16"/>
    </row>
    <row r="14680" spans="4:7" ht="15" x14ac:dyDescent="0.3">
      <c r="D14680" s="25"/>
      <c r="F14680" s="21"/>
      <c r="G14680" s="16"/>
    </row>
    <row r="14681" spans="4:7" ht="15" x14ac:dyDescent="0.3">
      <c r="D14681" s="25"/>
      <c r="F14681" s="21"/>
      <c r="G14681" s="16"/>
    </row>
    <row r="14682" spans="4:7" ht="15" x14ac:dyDescent="0.3">
      <c r="D14682" s="25"/>
      <c r="F14682" s="21"/>
      <c r="G14682" s="16"/>
    </row>
    <row r="14683" spans="4:7" ht="15" x14ac:dyDescent="0.3">
      <c r="D14683" s="25"/>
      <c r="F14683" s="21"/>
      <c r="G14683" s="16"/>
    </row>
    <row r="14684" spans="4:7" ht="15" x14ac:dyDescent="0.3">
      <c r="D14684" s="25"/>
      <c r="F14684" s="21"/>
      <c r="G14684" s="16"/>
    </row>
    <row r="14685" spans="4:7" ht="15" x14ac:dyDescent="0.3">
      <c r="D14685" s="25"/>
      <c r="F14685" s="21"/>
      <c r="G14685" s="16"/>
    </row>
    <row r="14686" spans="4:7" ht="15" x14ac:dyDescent="0.3">
      <c r="D14686" s="25"/>
      <c r="F14686" s="21"/>
      <c r="G14686" s="16"/>
    </row>
    <row r="14687" spans="4:7" ht="15" x14ac:dyDescent="0.3">
      <c r="D14687" s="25"/>
      <c r="F14687" s="21"/>
      <c r="G14687" s="16"/>
    </row>
    <row r="14688" spans="4:7" ht="15" x14ac:dyDescent="0.3">
      <c r="D14688" s="25"/>
      <c r="F14688" s="21"/>
      <c r="G14688" s="16"/>
    </row>
    <row r="14689" spans="4:7" ht="15" x14ac:dyDescent="0.3">
      <c r="D14689" s="25"/>
      <c r="F14689" s="21"/>
      <c r="G14689" s="16"/>
    </row>
    <row r="14690" spans="4:7" ht="15" x14ac:dyDescent="0.3">
      <c r="D14690" s="25"/>
      <c r="F14690" s="21"/>
      <c r="G14690" s="16"/>
    </row>
    <row r="14691" spans="4:7" ht="15" x14ac:dyDescent="0.3">
      <c r="D14691" s="25"/>
      <c r="F14691" s="21"/>
      <c r="G14691" s="16"/>
    </row>
    <row r="14692" spans="4:7" ht="15" x14ac:dyDescent="0.3">
      <c r="D14692" s="25"/>
      <c r="F14692" s="21"/>
      <c r="G14692" s="16"/>
    </row>
    <row r="14693" spans="4:7" ht="15" x14ac:dyDescent="0.3">
      <c r="D14693" s="25"/>
      <c r="F14693" s="21"/>
      <c r="G14693" s="16"/>
    </row>
    <row r="14694" spans="4:7" ht="15" x14ac:dyDescent="0.3">
      <c r="D14694" s="25"/>
      <c r="F14694" s="21"/>
      <c r="G14694" s="16"/>
    </row>
    <row r="14695" spans="4:7" ht="15" x14ac:dyDescent="0.3">
      <c r="D14695" s="25"/>
      <c r="F14695" s="21"/>
      <c r="G14695" s="16"/>
    </row>
    <row r="14696" spans="4:7" ht="15" x14ac:dyDescent="0.3">
      <c r="D14696" s="25"/>
      <c r="F14696" s="21"/>
      <c r="G14696" s="16"/>
    </row>
    <row r="14697" spans="4:7" ht="15" x14ac:dyDescent="0.3">
      <c r="D14697" s="25"/>
      <c r="F14697" s="21"/>
      <c r="G14697" s="16"/>
    </row>
    <row r="14698" spans="4:7" ht="15" x14ac:dyDescent="0.3">
      <c r="D14698" s="25"/>
      <c r="F14698" s="21"/>
      <c r="G14698" s="16"/>
    </row>
    <row r="14699" spans="4:7" ht="15" x14ac:dyDescent="0.3">
      <c r="D14699" s="25"/>
      <c r="F14699" s="21"/>
      <c r="G14699" s="16"/>
    </row>
    <row r="14700" spans="4:7" ht="15" x14ac:dyDescent="0.3">
      <c r="D14700" s="25"/>
      <c r="F14700" s="21"/>
      <c r="G14700" s="16"/>
    </row>
    <row r="14701" spans="4:7" ht="15" x14ac:dyDescent="0.3">
      <c r="D14701" s="25"/>
      <c r="F14701" s="21"/>
      <c r="G14701" s="16"/>
    </row>
    <row r="14702" spans="4:7" ht="15" x14ac:dyDescent="0.3">
      <c r="D14702" s="25"/>
      <c r="F14702" s="21"/>
      <c r="G14702" s="16"/>
    </row>
    <row r="14703" spans="4:7" ht="15" x14ac:dyDescent="0.3">
      <c r="D14703" s="25"/>
      <c r="F14703" s="21"/>
      <c r="G14703" s="16"/>
    </row>
    <row r="14704" spans="4:7" ht="15" x14ac:dyDescent="0.3">
      <c r="D14704" s="25"/>
      <c r="F14704" s="21"/>
      <c r="G14704" s="16"/>
    </row>
    <row r="14705" spans="4:7" ht="15" x14ac:dyDescent="0.3">
      <c r="D14705" s="25"/>
      <c r="F14705" s="21"/>
      <c r="G14705" s="16"/>
    </row>
    <row r="14706" spans="4:7" ht="15" x14ac:dyDescent="0.3">
      <c r="D14706" s="25"/>
      <c r="F14706" s="21"/>
      <c r="G14706" s="16"/>
    </row>
    <row r="14707" spans="4:7" ht="15" x14ac:dyDescent="0.3">
      <c r="D14707" s="25"/>
      <c r="F14707" s="21"/>
      <c r="G14707" s="16"/>
    </row>
    <row r="14708" spans="4:7" ht="15" x14ac:dyDescent="0.3">
      <c r="D14708" s="25"/>
      <c r="F14708" s="21"/>
      <c r="G14708" s="16"/>
    </row>
    <row r="14709" spans="4:7" ht="15" x14ac:dyDescent="0.3">
      <c r="D14709" s="25"/>
      <c r="F14709" s="21"/>
      <c r="G14709" s="16"/>
    </row>
    <row r="14710" spans="4:7" ht="15" x14ac:dyDescent="0.3">
      <c r="D14710" s="25"/>
      <c r="F14710" s="21"/>
      <c r="G14710" s="16"/>
    </row>
    <row r="14711" spans="4:7" ht="15" x14ac:dyDescent="0.3">
      <c r="D14711" s="25"/>
      <c r="F14711" s="21"/>
      <c r="G14711" s="16"/>
    </row>
    <row r="14712" spans="4:7" ht="15" x14ac:dyDescent="0.3">
      <c r="D14712" s="25"/>
      <c r="F14712" s="21"/>
      <c r="G14712" s="16"/>
    </row>
    <row r="14713" spans="4:7" ht="15" x14ac:dyDescent="0.3">
      <c r="D14713" s="25"/>
      <c r="F14713" s="21"/>
      <c r="G14713" s="16"/>
    </row>
    <row r="14714" spans="4:7" ht="15" x14ac:dyDescent="0.3">
      <c r="D14714" s="25"/>
      <c r="F14714" s="21"/>
      <c r="G14714" s="16"/>
    </row>
    <row r="14715" spans="4:7" ht="15" x14ac:dyDescent="0.3">
      <c r="D14715" s="25"/>
      <c r="F14715" s="21"/>
      <c r="G14715" s="16"/>
    </row>
    <row r="14716" spans="4:7" ht="15" x14ac:dyDescent="0.3">
      <c r="D14716" s="25"/>
      <c r="F14716" s="21"/>
      <c r="G14716" s="16"/>
    </row>
    <row r="14717" spans="4:7" ht="15" x14ac:dyDescent="0.3">
      <c r="D14717" s="25"/>
      <c r="F14717" s="21"/>
      <c r="G14717" s="16"/>
    </row>
    <row r="14718" spans="4:7" ht="15" x14ac:dyDescent="0.3">
      <c r="D14718" s="25"/>
      <c r="F14718" s="21"/>
      <c r="G14718" s="16"/>
    </row>
    <row r="14719" spans="4:7" ht="15" x14ac:dyDescent="0.3">
      <c r="D14719" s="25"/>
      <c r="F14719" s="21"/>
      <c r="G14719" s="16"/>
    </row>
    <row r="14720" spans="4:7" ht="15" x14ac:dyDescent="0.3">
      <c r="D14720" s="25"/>
      <c r="F14720" s="21"/>
      <c r="G14720" s="16"/>
    </row>
    <row r="14721" spans="4:7" ht="15" x14ac:dyDescent="0.3">
      <c r="D14721" s="25"/>
      <c r="F14721" s="21"/>
      <c r="G14721" s="16"/>
    </row>
    <row r="14722" spans="4:7" ht="15" x14ac:dyDescent="0.3">
      <c r="D14722" s="25"/>
      <c r="F14722" s="21"/>
      <c r="G14722" s="16"/>
    </row>
    <row r="14723" spans="4:7" ht="15" x14ac:dyDescent="0.3">
      <c r="D14723" s="25"/>
      <c r="F14723" s="21"/>
      <c r="G14723" s="16"/>
    </row>
    <row r="14724" spans="4:7" ht="15" x14ac:dyDescent="0.3">
      <c r="D14724" s="25"/>
      <c r="F14724" s="21"/>
      <c r="G14724" s="16"/>
    </row>
    <row r="14725" spans="4:7" ht="15" x14ac:dyDescent="0.3">
      <c r="D14725" s="25"/>
      <c r="F14725" s="21"/>
      <c r="G14725" s="16"/>
    </row>
    <row r="14726" spans="4:7" ht="15" x14ac:dyDescent="0.3">
      <c r="D14726" s="25"/>
      <c r="F14726" s="21"/>
      <c r="G14726" s="16"/>
    </row>
    <row r="14727" spans="4:7" ht="15" x14ac:dyDescent="0.3">
      <c r="D14727" s="25"/>
      <c r="F14727" s="21"/>
      <c r="G14727" s="16"/>
    </row>
    <row r="14728" spans="4:7" ht="15" x14ac:dyDescent="0.3">
      <c r="D14728" s="25"/>
      <c r="F14728" s="21"/>
      <c r="G14728" s="16"/>
    </row>
    <row r="14729" spans="4:7" ht="15" x14ac:dyDescent="0.3">
      <c r="D14729" s="25"/>
      <c r="F14729" s="21"/>
      <c r="G14729" s="16"/>
    </row>
    <row r="14730" spans="4:7" ht="15" x14ac:dyDescent="0.3">
      <c r="D14730" s="25"/>
      <c r="F14730" s="21"/>
      <c r="G14730" s="16"/>
    </row>
    <row r="14731" spans="4:7" ht="15" x14ac:dyDescent="0.3">
      <c r="D14731" s="25"/>
      <c r="F14731" s="21"/>
      <c r="G14731" s="16"/>
    </row>
    <row r="14732" spans="4:7" ht="15" x14ac:dyDescent="0.3">
      <c r="D14732" s="25"/>
      <c r="F14732" s="21"/>
      <c r="G14732" s="16"/>
    </row>
    <row r="14733" spans="4:7" ht="15" x14ac:dyDescent="0.3">
      <c r="D14733" s="25"/>
      <c r="F14733" s="21"/>
      <c r="G14733" s="16"/>
    </row>
    <row r="14734" spans="4:7" ht="15" x14ac:dyDescent="0.3">
      <c r="D14734" s="25"/>
      <c r="F14734" s="21"/>
      <c r="G14734" s="16"/>
    </row>
    <row r="14735" spans="4:7" ht="15" x14ac:dyDescent="0.3">
      <c r="D14735" s="25"/>
      <c r="F14735" s="21"/>
      <c r="G14735" s="16"/>
    </row>
    <row r="14736" spans="4:7" ht="15" x14ac:dyDescent="0.3">
      <c r="D14736" s="25"/>
      <c r="F14736" s="21"/>
      <c r="G14736" s="16"/>
    </row>
    <row r="14737" spans="4:7" ht="15" x14ac:dyDescent="0.3">
      <c r="D14737" s="25"/>
      <c r="F14737" s="21"/>
      <c r="G14737" s="16"/>
    </row>
    <row r="14738" spans="4:7" ht="15" x14ac:dyDescent="0.3">
      <c r="D14738" s="25"/>
      <c r="F14738" s="21"/>
      <c r="G14738" s="16"/>
    </row>
    <row r="14739" spans="4:7" ht="15" x14ac:dyDescent="0.3">
      <c r="D14739" s="25"/>
      <c r="F14739" s="21"/>
      <c r="G14739" s="16"/>
    </row>
    <row r="14740" spans="4:7" ht="15" x14ac:dyDescent="0.3">
      <c r="D14740" s="25"/>
      <c r="F14740" s="21"/>
      <c r="G14740" s="16"/>
    </row>
    <row r="14741" spans="4:7" ht="15" x14ac:dyDescent="0.3">
      <c r="D14741" s="25"/>
      <c r="F14741" s="21"/>
      <c r="G14741" s="16"/>
    </row>
    <row r="14742" spans="4:7" ht="15" x14ac:dyDescent="0.3">
      <c r="D14742" s="25"/>
      <c r="F14742" s="21"/>
      <c r="G14742" s="16"/>
    </row>
    <row r="14743" spans="4:7" ht="15" x14ac:dyDescent="0.3">
      <c r="D14743" s="25"/>
      <c r="F14743" s="21"/>
      <c r="G14743" s="16"/>
    </row>
    <row r="14744" spans="4:7" ht="15" x14ac:dyDescent="0.3">
      <c r="D14744" s="25"/>
      <c r="F14744" s="21"/>
      <c r="G14744" s="16"/>
    </row>
    <row r="14745" spans="4:7" ht="15" x14ac:dyDescent="0.3">
      <c r="D14745" s="25"/>
      <c r="F14745" s="21"/>
      <c r="G14745" s="16"/>
    </row>
    <row r="14746" spans="4:7" ht="15" x14ac:dyDescent="0.3">
      <c r="D14746" s="25"/>
      <c r="F14746" s="21"/>
      <c r="G14746" s="16"/>
    </row>
    <row r="14747" spans="4:7" ht="15" x14ac:dyDescent="0.3">
      <c r="D14747" s="25"/>
      <c r="F14747" s="21"/>
      <c r="G14747" s="16"/>
    </row>
    <row r="14748" spans="4:7" ht="15" x14ac:dyDescent="0.3">
      <c r="D14748" s="25"/>
      <c r="F14748" s="21"/>
      <c r="G14748" s="16"/>
    </row>
    <row r="14749" spans="4:7" ht="15" x14ac:dyDescent="0.3">
      <c r="D14749" s="25"/>
      <c r="F14749" s="21"/>
      <c r="G14749" s="16"/>
    </row>
    <row r="14750" spans="4:7" ht="15" x14ac:dyDescent="0.3">
      <c r="D14750" s="25"/>
      <c r="F14750" s="21"/>
      <c r="G14750" s="16"/>
    </row>
    <row r="14751" spans="4:7" ht="15" x14ac:dyDescent="0.3">
      <c r="D14751" s="25"/>
      <c r="F14751" s="21"/>
      <c r="G14751" s="16"/>
    </row>
    <row r="14752" spans="4:7" ht="15" x14ac:dyDescent="0.3">
      <c r="D14752" s="25"/>
      <c r="F14752" s="21"/>
      <c r="G14752" s="16"/>
    </row>
    <row r="14753" spans="4:7" ht="15" x14ac:dyDescent="0.3">
      <c r="D14753" s="25"/>
      <c r="F14753" s="21"/>
      <c r="G14753" s="16"/>
    </row>
    <row r="14754" spans="4:7" ht="15" x14ac:dyDescent="0.3">
      <c r="D14754" s="25"/>
      <c r="F14754" s="21"/>
      <c r="G14754" s="16"/>
    </row>
    <row r="14755" spans="4:7" ht="15" x14ac:dyDescent="0.3">
      <c r="D14755" s="25"/>
      <c r="F14755" s="21"/>
      <c r="G14755" s="16"/>
    </row>
    <row r="14756" spans="4:7" ht="15" x14ac:dyDescent="0.3">
      <c r="D14756" s="25"/>
      <c r="F14756" s="21"/>
      <c r="G14756" s="16"/>
    </row>
    <row r="14757" spans="4:7" ht="15" x14ac:dyDescent="0.3">
      <c r="D14757" s="25"/>
      <c r="F14757" s="21"/>
      <c r="G14757" s="16"/>
    </row>
    <row r="14758" spans="4:7" ht="15" x14ac:dyDescent="0.3">
      <c r="D14758" s="25"/>
      <c r="F14758" s="21"/>
      <c r="G14758" s="16"/>
    </row>
    <row r="14759" spans="4:7" ht="15" x14ac:dyDescent="0.3">
      <c r="D14759" s="25"/>
      <c r="F14759" s="21"/>
      <c r="G14759" s="16"/>
    </row>
    <row r="14760" spans="4:7" ht="15" x14ac:dyDescent="0.3">
      <c r="D14760" s="25"/>
      <c r="F14760" s="21"/>
      <c r="G14760" s="16"/>
    </row>
    <row r="14761" spans="4:7" ht="15" x14ac:dyDescent="0.3">
      <c r="D14761" s="25"/>
      <c r="F14761" s="21"/>
      <c r="G14761" s="16"/>
    </row>
    <row r="14762" spans="4:7" ht="15" x14ac:dyDescent="0.3">
      <c r="D14762" s="25"/>
      <c r="F14762" s="21"/>
      <c r="G14762" s="16"/>
    </row>
    <row r="14763" spans="4:7" ht="15" x14ac:dyDescent="0.3">
      <c r="D14763" s="25"/>
      <c r="F14763" s="21"/>
      <c r="G14763" s="16"/>
    </row>
    <row r="14764" spans="4:7" ht="15" x14ac:dyDescent="0.3">
      <c r="D14764" s="25"/>
      <c r="F14764" s="21"/>
      <c r="G14764" s="16"/>
    </row>
    <row r="14765" spans="4:7" ht="15" x14ac:dyDescent="0.3">
      <c r="D14765" s="25"/>
      <c r="F14765" s="21"/>
      <c r="G14765" s="16"/>
    </row>
    <row r="14766" spans="4:7" ht="15" x14ac:dyDescent="0.3">
      <c r="D14766" s="25"/>
      <c r="F14766" s="21"/>
      <c r="G14766" s="16"/>
    </row>
    <row r="14767" spans="4:7" ht="15" x14ac:dyDescent="0.3">
      <c r="D14767" s="25"/>
      <c r="F14767" s="21"/>
      <c r="G14767" s="16"/>
    </row>
    <row r="14768" spans="4:7" ht="15" x14ac:dyDescent="0.3">
      <c r="D14768" s="25"/>
      <c r="F14768" s="21"/>
      <c r="G14768" s="16"/>
    </row>
    <row r="14769" spans="4:7" ht="15" x14ac:dyDescent="0.3">
      <c r="D14769" s="25"/>
      <c r="F14769" s="21"/>
      <c r="G14769" s="16"/>
    </row>
    <row r="14770" spans="4:7" ht="15" x14ac:dyDescent="0.3">
      <c r="D14770" s="25"/>
      <c r="F14770" s="21"/>
      <c r="G14770" s="16"/>
    </row>
    <row r="14771" spans="4:7" ht="15" x14ac:dyDescent="0.3">
      <c r="D14771" s="25"/>
      <c r="F14771" s="21"/>
      <c r="G14771" s="16"/>
    </row>
    <row r="14772" spans="4:7" ht="15" x14ac:dyDescent="0.3">
      <c r="D14772" s="25"/>
      <c r="F14772" s="21"/>
      <c r="G14772" s="16"/>
    </row>
    <row r="14773" spans="4:7" ht="15" x14ac:dyDescent="0.3">
      <c r="D14773" s="25"/>
      <c r="F14773" s="21"/>
      <c r="G14773" s="16"/>
    </row>
    <row r="14774" spans="4:7" ht="15" x14ac:dyDescent="0.3">
      <c r="D14774" s="25"/>
      <c r="F14774" s="21"/>
      <c r="G14774" s="16"/>
    </row>
    <row r="14775" spans="4:7" ht="15" x14ac:dyDescent="0.3">
      <c r="D14775" s="25"/>
      <c r="F14775" s="21"/>
      <c r="G14775" s="16"/>
    </row>
    <row r="14776" spans="4:7" ht="15" x14ac:dyDescent="0.3">
      <c r="D14776" s="25"/>
      <c r="F14776" s="21"/>
      <c r="G14776" s="16"/>
    </row>
    <row r="14777" spans="4:7" ht="15" x14ac:dyDescent="0.3">
      <c r="D14777" s="25"/>
      <c r="F14777" s="21"/>
      <c r="G14777" s="16"/>
    </row>
    <row r="14778" spans="4:7" ht="15" x14ac:dyDescent="0.3">
      <c r="D14778" s="25"/>
      <c r="F14778" s="21"/>
      <c r="G14778" s="16"/>
    </row>
    <row r="14779" spans="4:7" ht="15" x14ac:dyDescent="0.3">
      <c r="D14779" s="25"/>
      <c r="F14779" s="21"/>
      <c r="G14779" s="16"/>
    </row>
    <row r="14780" spans="4:7" ht="15" x14ac:dyDescent="0.3">
      <c r="D14780" s="25"/>
      <c r="F14780" s="21"/>
      <c r="G14780" s="16"/>
    </row>
    <row r="14781" spans="4:7" ht="15" x14ac:dyDescent="0.3">
      <c r="D14781" s="25"/>
      <c r="F14781" s="21"/>
      <c r="G14781" s="16"/>
    </row>
    <row r="14782" spans="4:7" ht="15" x14ac:dyDescent="0.3">
      <c r="D14782" s="25"/>
      <c r="F14782" s="21"/>
      <c r="G14782" s="16"/>
    </row>
    <row r="14783" spans="4:7" ht="15" x14ac:dyDescent="0.3">
      <c r="D14783" s="25"/>
      <c r="F14783" s="21"/>
      <c r="G14783" s="16"/>
    </row>
    <row r="14784" spans="4:7" ht="15" x14ac:dyDescent="0.3">
      <c r="D14784" s="25"/>
      <c r="F14784" s="21"/>
      <c r="G14784" s="16"/>
    </row>
    <row r="14785" spans="4:7" ht="15" x14ac:dyDescent="0.3">
      <c r="D14785" s="25"/>
      <c r="F14785" s="21"/>
      <c r="G14785" s="16"/>
    </row>
    <row r="14786" spans="4:7" ht="15" x14ac:dyDescent="0.3">
      <c r="D14786" s="25"/>
      <c r="F14786" s="21"/>
      <c r="G14786" s="16"/>
    </row>
    <row r="14787" spans="4:7" x14ac:dyDescent="0.2">
      <c r="D14787" s="25"/>
      <c r="F14787" s="21"/>
    </row>
    <row r="14788" spans="4:7" ht="15" x14ac:dyDescent="0.3">
      <c r="D14788" s="25"/>
      <c r="F14788" s="21"/>
      <c r="G14788" s="16"/>
    </row>
    <row r="14789" spans="4:7" ht="15" x14ac:dyDescent="0.3">
      <c r="D14789" s="25"/>
      <c r="F14789" s="21"/>
      <c r="G14789" s="16"/>
    </row>
    <row r="14790" spans="4:7" ht="15" x14ac:dyDescent="0.3">
      <c r="D14790" s="25"/>
      <c r="F14790" s="21"/>
      <c r="G14790" s="16"/>
    </row>
    <row r="14791" spans="4:7" ht="15" x14ac:dyDescent="0.3">
      <c r="D14791" s="25"/>
      <c r="F14791" s="21"/>
      <c r="G14791" s="16"/>
    </row>
    <row r="14792" spans="4:7" ht="15" x14ac:dyDescent="0.3">
      <c r="D14792" s="25"/>
      <c r="F14792" s="21"/>
      <c r="G14792" s="16"/>
    </row>
    <row r="14793" spans="4:7" ht="15" x14ac:dyDescent="0.3">
      <c r="D14793" s="25"/>
      <c r="F14793" s="21"/>
      <c r="G14793" s="16"/>
    </row>
    <row r="14794" spans="4:7" ht="15" x14ac:dyDescent="0.3">
      <c r="D14794" s="25"/>
      <c r="F14794" s="21"/>
      <c r="G14794" s="16"/>
    </row>
    <row r="14795" spans="4:7" ht="15" x14ac:dyDescent="0.3">
      <c r="D14795" s="25"/>
      <c r="F14795" s="21"/>
      <c r="G14795" s="16"/>
    </row>
    <row r="14796" spans="4:7" ht="15" x14ac:dyDescent="0.3">
      <c r="D14796" s="25"/>
      <c r="F14796" s="21"/>
      <c r="G14796" s="16"/>
    </row>
    <row r="14797" spans="4:7" ht="15" x14ac:dyDescent="0.3">
      <c r="D14797" s="25"/>
      <c r="F14797" s="21"/>
      <c r="G14797" s="16"/>
    </row>
    <row r="14798" spans="4:7" ht="15" x14ac:dyDescent="0.3">
      <c r="D14798" s="25"/>
      <c r="F14798" s="21"/>
      <c r="G14798" s="16"/>
    </row>
    <row r="14799" spans="4:7" ht="15" x14ac:dyDescent="0.3">
      <c r="D14799" s="25"/>
      <c r="F14799" s="21"/>
      <c r="G14799" s="16"/>
    </row>
    <row r="14800" spans="4:7" ht="15" x14ac:dyDescent="0.3">
      <c r="D14800" s="25"/>
      <c r="F14800" s="21"/>
      <c r="G14800" s="16"/>
    </row>
    <row r="14801" spans="4:7" ht="15" x14ac:dyDescent="0.3">
      <c r="D14801" s="25"/>
      <c r="F14801" s="21"/>
      <c r="G14801" s="16"/>
    </row>
    <row r="14802" spans="4:7" ht="15" x14ac:dyDescent="0.3">
      <c r="D14802" s="25"/>
      <c r="F14802" s="21"/>
      <c r="G14802" s="16"/>
    </row>
    <row r="14803" spans="4:7" ht="15" x14ac:dyDescent="0.3">
      <c r="D14803" s="25"/>
      <c r="F14803" s="21"/>
      <c r="G14803" s="16"/>
    </row>
    <row r="14804" spans="4:7" ht="15" x14ac:dyDescent="0.3">
      <c r="D14804" s="25"/>
      <c r="F14804" s="21"/>
      <c r="G14804" s="16"/>
    </row>
    <row r="14805" spans="4:7" ht="15" x14ac:dyDescent="0.3">
      <c r="D14805" s="25"/>
      <c r="F14805" s="21"/>
      <c r="G14805" s="16"/>
    </row>
    <row r="14806" spans="4:7" ht="15" x14ac:dyDescent="0.3">
      <c r="D14806" s="25"/>
      <c r="F14806" s="21"/>
      <c r="G14806" s="16"/>
    </row>
    <row r="14807" spans="4:7" ht="15" x14ac:dyDescent="0.3">
      <c r="D14807" s="25"/>
      <c r="F14807" s="21"/>
      <c r="G14807" s="16"/>
    </row>
    <row r="14808" spans="4:7" ht="15" x14ac:dyDescent="0.3">
      <c r="D14808" s="25"/>
      <c r="F14808" s="21"/>
      <c r="G14808" s="16"/>
    </row>
    <row r="14809" spans="4:7" ht="15" x14ac:dyDescent="0.3">
      <c r="D14809" s="25"/>
      <c r="F14809" s="21"/>
      <c r="G14809" s="16"/>
    </row>
    <row r="14810" spans="4:7" ht="15" x14ac:dyDescent="0.3">
      <c r="D14810" s="25"/>
      <c r="F14810" s="21"/>
      <c r="G14810" s="16"/>
    </row>
    <row r="14811" spans="4:7" ht="15" x14ac:dyDescent="0.3">
      <c r="D14811" s="25"/>
      <c r="F14811" s="21"/>
      <c r="G14811" s="16"/>
    </row>
    <row r="14812" spans="4:7" ht="15" x14ac:dyDescent="0.3">
      <c r="D14812" s="25"/>
      <c r="F14812" s="21"/>
      <c r="G14812" s="16"/>
    </row>
    <row r="14813" spans="4:7" ht="15" x14ac:dyDescent="0.3">
      <c r="D14813" s="25"/>
      <c r="F14813" s="21"/>
      <c r="G14813" s="16"/>
    </row>
    <row r="14814" spans="4:7" ht="15" x14ac:dyDescent="0.3">
      <c r="D14814" s="25"/>
      <c r="F14814" s="21"/>
      <c r="G14814" s="16"/>
    </row>
    <row r="14815" spans="4:7" ht="15" x14ac:dyDescent="0.3">
      <c r="D14815" s="25"/>
      <c r="F14815" s="21"/>
      <c r="G14815" s="16"/>
    </row>
    <row r="14816" spans="4:7" ht="15" x14ac:dyDescent="0.3">
      <c r="D14816" s="25"/>
      <c r="F14816" s="21"/>
      <c r="G14816" s="16"/>
    </row>
    <row r="14817" spans="4:7" ht="15" x14ac:dyDescent="0.3">
      <c r="D14817" s="25"/>
      <c r="F14817" s="21"/>
      <c r="G14817" s="16"/>
    </row>
    <row r="14818" spans="4:7" ht="15" x14ac:dyDescent="0.3">
      <c r="D14818" s="25"/>
      <c r="F14818" s="21"/>
      <c r="G14818" s="16"/>
    </row>
    <row r="14819" spans="4:7" ht="15" x14ac:dyDescent="0.3">
      <c r="D14819" s="25"/>
      <c r="F14819" s="21"/>
      <c r="G14819" s="16"/>
    </row>
    <row r="14820" spans="4:7" ht="15" x14ac:dyDescent="0.3">
      <c r="D14820" s="25"/>
      <c r="F14820" s="21"/>
      <c r="G14820" s="16"/>
    </row>
    <row r="14821" spans="4:7" ht="15" x14ac:dyDescent="0.3">
      <c r="D14821" s="25"/>
      <c r="F14821" s="21"/>
      <c r="G14821" s="16"/>
    </row>
    <row r="14822" spans="4:7" ht="15" x14ac:dyDescent="0.3">
      <c r="D14822" s="25"/>
      <c r="F14822" s="21"/>
      <c r="G14822" s="16"/>
    </row>
    <row r="14823" spans="4:7" ht="15" x14ac:dyDescent="0.3">
      <c r="D14823" s="25"/>
      <c r="F14823" s="21"/>
      <c r="G14823" s="16"/>
    </row>
    <row r="14824" spans="4:7" ht="15" x14ac:dyDescent="0.3">
      <c r="D14824" s="25"/>
      <c r="F14824" s="21"/>
      <c r="G14824" s="16"/>
    </row>
    <row r="14825" spans="4:7" ht="15" x14ac:dyDescent="0.3">
      <c r="D14825" s="25"/>
      <c r="F14825" s="21"/>
      <c r="G14825" s="16"/>
    </row>
    <row r="14826" spans="4:7" ht="15" x14ac:dyDescent="0.3">
      <c r="D14826" s="25"/>
      <c r="F14826" s="21"/>
      <c r="G14826" s="16"/>
    </row>
    <row r="14827" spans="4:7" ht="15" x14ac:dyDescent="0.3">
      <c r="D14827" s="25"/>
      <c r="F14827" s="21"/>
      <c r="G14827" s="16"/>
    </row>
    <row r="14828" spans="4:7" ht="15" x14ac:dyDescent="0.3">
      <c r="D14828" s="25"/>
      <c r="F14828" s="21"/>
      <c r="G14828" s="16"/>
    </row>
    <row r="14829" spans="4:7" ht="15" x14ac:dyDescent="0.3">
      <c r="D14829" s="25"/>
      <c r="F14829" s="21"/>
      <c r="G14829" s="16"/>
    </row>
    <row r="14830" spans="4:7" ht="15" x14ac:dyDescent="0.3">
      <c r="D14830" s="25"/>
      <c r="F14830" s="21"/>
      <c r="G14830" s="16"/>
    </row>
    <row r="14831" spans="4:7" ht="15" x14ac:dyDescent="0.3">
      <c r="D14831" s="25"/>
      <c r="F14831" s="21"/>
      <c r="G14831" s="16"/>
    </row>
    <row r="14832" spans="4:7" ht="15" x14ac:dyDescent="0.3">
      <c r="D14832" s="25"/>
      <c r="F14832" s="21"/>
      <c r="G14832" s="16"/>
    </row>
    <row r="14833" spans="4:7" ht="15" x14ac:dyDescent="0.3">
      <c r="D14833" s="25"/>
      <c r="F14833" s="21"/>
      <c r="G14833" s="16"/>
    </row>
    <row r="14834" spans="4:7" ht="15" x14ac:dyDescent="0.3">
      <c r="D14834" s="25"/>
      <c r="F14834" s="21"/>
      <c r="G14834" s="16"/>
    </row>
    <row r="14835" spans="4:7" ht="15" x14ac:dyDescent="0.3">
      <c r="D14835" s="25"/>
      <c r="F14835" s="21"/>
      <c r="G14835" s="16"/>
    </row>
    <row r="14836" spans="4:7" ht="15" x14ac:dyDescent="0.3">
      <c r="D14836" s="25"/>
      <c r="F14836" s="21"/>
      <c r="G14836" s="16"/>
    </row>
    <row r="14837" spans="4:7" ht="15" x14ac:dyDescent="0.3">
      <c r="D14837" s="25"/>
      <c r="F14837" s="21"/>
      <c r="G14837" s="16"/>
    </row>
    <row r="14838" spans="4:7" ht="15" x14ac:dyDescent="0.3">
      <c r="D14838" s="25"/>
      <c r="F14838" s="21"/>
      <c r="G14838" s="16"/>
    </row>
    <row r="14839" spans="4:7" ht="15" x14ac:dyDescent="0.3">
      <c r="D14839" s="25"/>
      <c r="F14839" s="21"/>
      <c r="G14839" s="16"/>
    </row>
    <row r="14840" spans="4:7" ht="15" x14ac:dyDescent="0.3">
      <c r="D14840" s="25"/>
      <c r="F14840" s="21"/>
      <c r="G14840" s="16"/>
    </row>
    <row r="14841" spans="4:7" ht="15" x14ac:dyDescent="0.3">
      <c r="D14841" s="25"/>
      <c r="F14841" s="21"/>
      <c r="G14841" s="16"/>
    </row>
    <row r="14842" spans="4:7" ht="15" x14ac:dyDescent="0.3">
      <c r="D14842" s="25"/>
      <c r="F14842" s="21"/>
      <c r="G14842" s="16"/>
    </row>
    <row r="14843" spans="4:7" ht="15" x14ac:dyDescent="0.3">
      <c r="D14843" s="25"/>
      <c r="F14843" s="21"/>
      <c r="G14843" s="16"/>
    </row>
    <row r="14844" spans="4:7" ht="15" x14ac:dyDescent="0.3">
      <c r="D14844" s="25"/>
      <c r="F14844" s="21"/>
      <c r="G14844" s="16"/>
    </row>
    <row r="14845" spans="4:7" ht="15" x14ac:dyDescent="0.3">
      <c r="D14845" s="25"/>
      <c r="F14845" s="21"/>
      <c r="G14845" s="16"/>
    </row>
    <row r="14846" spans="4:7" ht="15" x14ac:dyDescent="0.3">
      <c r="D14846" s="25"/>
      <c r="F14846" s="21"/>
      <c r="G14846" s="16"/>
    </row>
    <row r="14847" spans="4:7" ht="15" x14ac:dyDescent="0.3">
      <c r="D14847" s="25"/>
      <c r="F14847" s="21"/>
      <c r="G14847" s="16"/>
    </row>
    <row r="14848" spans="4:7" ht="15" x14ac:dyDescent="0.3">
      <c r="D14848" s="25"/>
      <c r="F14848" s="21"/>
      <c r="G14848" s="16"/>
    </row>
    <row r="14849" spans="4:7" ht="15" x14ac:dyDescent="0.3">
      <c r="D14849" s="25"/>
      <c r="F14849" s="21"/>
      <c r="G14849" s="16"/>
    </row>
    <row r="14850" spans="4:7" ht="15" x14ac:dyDescent="0.3">
      <c r="D14850" s="25"/>
      <c r="F14850" s="21"/>
      <c r="G14850" s="16"/>
    </row>
    <row r="14851" spans="4:7" ht="15" x14ac:dyDescent="0.3">
      <c r="D14851" s="25"/>
      <c r="F14851" s="21"/>
      <c r="G14851" s="16"/>
    </row>
    <row r="14852" spans="4:7" ht="15" x14ac:dyDescent="0.3">
      <c r="D14852" s="25"/>
      <c r="F14852" s="21"/>
      <c r="G14852" s="16"/>
    </row>
    <row r="14853" spans="4:7" ht="15" x14ac:dyDescent="0.3">
      <c r="D14853" s="25"/>
      <c r="F14853" s="21"/>
      <c r="G14853" s="16"/>
    </row>
    <row r="14854" spans="4:7" ht="15" x14ac:dyDescent="0.3">
      <c r="D14854" s="25"/>
      <c r="F14854" s="21"/>
      <c r="G14854" s="16"/>
    </row>
    <row r="14855" spans="4:7" ht="15" x14ac:dyDescent="0.3">
      <c r="D14855" s="25"/>
      <c r="F14855" s="21"/>
      <c r="G14855" s="16"/>
    </row>
    <row r="14856" spans="4:7" ht="15" x14ac:dyDescent="0.3">
      <c r="D14856" s="25"/>
      <c r="F14856" s="21"/>
      <c r="G14856" s="16"/>
    </row>
    <row r="14857" spans="4:7" ht="15" x14ac:dyDescent="0.3">
      <c r="D14857" s="25"/>
      <c r="F14857" s="21"/>
      <c r="G14857" s="16"/>
    </row>
    <row r="14858" spans="4:7" ht="15" x14ac:dyDescent="0.3">
      <c r="D14858" s="25"/>
      <c r="F14858" s="21"/>
      <c r="G14858" s="16"/>
    </row>
    <row r="14859" spans="4:7" ht="15" x14ac:dyDescent="0.3">
      <c r="D14859" s="25"/>
      <c r="F14859" s="21"/>
      <c r="G14859" s="16"/>
    </row>
    <row r="14860" spans="4:7" ht="15" x14ac:dyDescent="0.3">
      <c r="D14860" s="25"/>
      <c r="F14860" s="21"/>
      <c r="G14860" s="16"/>
    </row>
    <row r="14861" spans="4:7" ht="15" x14ac:dyDescent="0.3">
      <c r="D14861" s="25"/>
      <c r="F14861" s="21"/>
      <c r="G14861" s="16"/>
    </row>
    <row r="14862" spans="4:7" ht="15" x14ac:dyDescent="0.3">
      <c r="D14862" s="25"/>
      <c r="F14862" s="21"/>
      <c r="G14862" s="16"/>
    </row>
    <row r="14863" spans="4:7" ht="15" x14ac:dyDescent="0.3">
      <c r="D14863" s="25"/>
      <c r="F14863" s="21"/>
      <c r="G14863" s="16"/>
    </row>
    <row r="14864" spans="4:7" ht="15" x14ac:dyDescent="0.3">
      <c r="D14864" s="25"/>
      <c r="F14864" s="21"/>
      <c r="G14864" s="16"/>
    </row>
    <row r="14865" spans="4:7" ht="15" x14ac:dyDescent="0.3">
      <c r="D14865" s="25"/>
      <c r="F14865" s="21"/>
      <c r="G14865" s="16"/>
    </row>
    <row r="14866" spans="4:7" ht="15" x14ac:dyDescent="0.3">
      <c r="D14866" s="25"/>
      <c r="F14866" s="21"/>
      <c r="G14866" s="16"/>
    </row>
    <row r="14867" spans="4:7" ht="15" x14ac:dyDescent="0.3">
      <c r="D14867" s="25"/>
      <c r="F14867" s="21"/>
      <c r="G14867" s="16"/>
    </row>
    <row r="14868" spans="4:7" ht="15" x14ac:dyDescent="0.3">
      <c r="D14868" s="25"/>
      <c r="F14868" s="21"/>
      <c r="G14868" s="16"/>
    </row>
    <row r="14869" spans="4:7" ht="15" x14ac:dyDescent="0.3">
      <c r="D14869" s="25"/>
      <c r="F14869" s="21"/>
      <c r="G14869" s="16"/>
    </row>
    <row r="14870" spans="4:7" ht="15" x14ac:dyDescent="0.3">
      <c r="D14870" s="25"/>
      <c r="F14870" s="21"/>
      <c r="G14870" s="16"/>
    </row>
    <row r="14871" spans="4:7" ht="15" x14ac:dyDescent="0.3">
      <c r="D14871" s="25"/>
      <c r="F14871" s="21"/>
      <c r="G14871" s="16"/>
    </row>
    <row r="14872" spans="4:7" ht="15" x14ac:dyDescent="0.3">
      <c r="D14872" s="25"/>
      <c r="F14872" s="21"/>
      <c r="G14872" s="16"/>
    </row>
    <row r="14873" spans="4:7" ht="15" x14ac:dyDescent="0.3">
      <c r="D14873" s="25"/>
      <c r="F14873" s="21"/>
      <c r="G14873" s="16"/>
    </row>
    <row r="14874" spans="4:7" ht="15" x14ac:dyDescent="0.3">
      <c r="D14874" s="25"/>
      <c r="F14874" s="21"/>
      <c r="G14874" s="16"/>
    </row>
    <row r="14875" spans="4:7" ht="15" x14ac:dyDescent="0.3">
      <c r="D14875" s="25"/>
      <c r="F14875" s="21"/>
      <c r="G14875" s="16"/>
    </row>
    <row r="14876" spans="4:7" ht="15" x14ac:dyDescent="0.3">
      <c r="D14876" s="25"/>
      <c r="F14876" s="21"/>
      <c r="G14876" s="16"/>
    </row>
    <row r="14877" spans="4:7" ht="15" x14ac:dyDescent="0.3">
      <c r="D14877" s="25"/>
      <c r="F14877" s="21"/>
      <c r="G14877" s="16"/>
    </row>
    <row r="14878" spans="4:7" ht="15" x14ac:dyDescent="0.3">
      <c r="D14878" s="25"/>
      <c r="F14878" s="21"/>
      <c r="G14878" s="16"/>
    </row>
    <row r="14879" spans="4:7" ht="15" x14ac:dyDescent="0.3">
      <c r="D14879" s="25"/>
      <c r="F14879" s="21"/>
      <c r="G14879" s="16"/>
    </row>
    <row r="14880" spans="4:7" ht="15" x14ac:dyDescent="0.3">
      <c r="D14880" s="25"/>
      <c r="F14880" s="21"/>
      <c r="G14880" s="16"/>
    </row>
    <row r="14881" spans="4:7" ht="15" x14ac:dyDescent="0.3">
      <c r="D14881" s="25"/>
      <c r="F14881" s="21"/>
      <c r="G14881" s="16"/>
    </row>
    <row r="14882" spans="4:7" ht="15" x14ac:dyDescent="0.3">
      <c r="D14882" s="25"/>
      <c r="F14882" s="21"/>
      <c r="G14882" s="16"/>
    </row>
    <row r="14883" spans="4:7" ht="15" x14ac:dyDescent="0.3">
      <c r="D14883" s="25"/>
      <c r="F14883" s="21"/>
      <c r="G14883" s="16"/>
    </row>
    <row r="14884" spans="4:7" ht="15" x14ac:dyDescent="0.3">
      <c r="D14884" s="25"/>
      <c r="F14884" s="21"/>
      <c r="G14884" s="16"/>
    </row>
    <row r="14885" spans="4:7" ht="15" x14ac:dyDescent="0.3">
      <c r="D14885" s="25"/>
      <c r="F14885" s="21"/>
      <c r="G14885" s="16"/>
    </row>
    <row r="14886" spans="4:7" ht="15" x14ac:dyDescent="0.3">
      <c r="D14886" s="25"/>
      <c r="F14886" s="21"/>
      <c r="G14886" s="16"/>
    </row>
    <row r="14887" spans="4:7" ht="15" x14ac:dyDescent="0.3">
      <c r="D14887" s="25"/>
      <c r="F14887" s="21"/>
      <c r="G14887" s="16"/>
    </row>
    <row r="14888" spans="4:7" ht="15" x14ac:dyDescent="0.3">
      <c r="D14888" s="25"/>
      <c r="F14888" s="21"/>
      <c r="G14888" s="16"/>
    </row>
    <row r="14889" spans="4:7" ht="15" x14ac:dyDescent="0.3">
      <c r="D14889" s="25"/>
      <c r="F14889" s="21"/>
      <c r="G14889" s="16"/>
    </row>
    <row r="14890" spans="4:7" ht="15" x14ac:dyDescent="0.3">
      <c r="D14890" s="25"/>
      <c r="F14890" s="21"/>
      <c r="G14890" s="16"/>
    </row>
    <row r="14891" spans="4:7" ht="15" x14ac:dyDescent="0.3">
      <c r="D14891" s="25"/>
      <c r="F14891" s="21"/>
      <c r="G14891" s="16"/>
    </row>
    <row r="14892" spans="4:7" ht="15" x14ac:dyDescent="0.3">
      <c r="D14892" s="25"/>
      <c r="F14892" s="21"/>
      <c r="G14892" s="16"/>
    </row>
    <row r="14893" spans="4:7" ht="15" x14ac:dyDescent="0.3">
      <c r="D14893" s="25"/>
      <c r="F14893" s="21"/>
      <c r="G14893" s="16"/>
    </row>
    <row r="14894" spans="4:7" ht="15" x14ac:dyDescent="0.3">
      <c r="D14894" s="25"/>
      <c r="F14894" s="21"/>
      <c r="G14894" s="16"/>
    </row>
    <row r="14895" spans="4:7" ht="15" x14ac:dyDescent="0.3">
      <c r="D14895" s="25"/>
      <c r="F14895" s="21"/>
      <c r="G14895" s="16"/>
    </row>
    <row r="14896" spans="4:7" ht="15" x14ac:dyDescent="0.3">
      <c r="D14896" s="25"/>
      <c r="F14896" s="21"/>
      <c r="G14896" s="16"/>
    </row>
    <row r="14897" spans="4:7" ht="15" x14ac:dyDescent="0.3">
      <c r="D14897" s="25"/>
      <c r="F14897" s="21"/>
      <c r="G14897" s="16"/>
    </row>
    <row r="14898" spans="4:7" ht="15" x14ac:dyDescent="0.3">
      <c r="D14898" s="25"/>
      <c r="F14898" s="21"/>
      <c r="G14898" s="16"/>
    </row>
    <row r="14899" spans="4:7" ht="15" x14ac:dyDescent="0.3">
      <c r="D14899" s="25"/>
      <c r="F14899" s="21"/>
      <c r="G14899" s="16"/>
    </row>
    <row r="14900" spans="4:7" ht="15" x14ac:dyDescent="0.3">
      <c r="D14900" s="25"/>
      <c r="F14900" s="21"/>
      <c r="G14900" s="16"/>
    </row>
    <row r="14901" spans="4:7" ht="15" x14ac:dyDescent="0.3">
      <c r="D14901" s="25"/>
      <c r="F14901" s="21"/>
      <c r="G14901" s="16"/>
    </row>
    <row r="14902" spans="4:7" ht="15" x14ac:dyDescent="0.3">
      <c r="D14902" s="25"/>
      <c r="F14902" s="21"/>
      <c r="G14902" s="16"/>
    </row>
    <row r="14903" spans="4:7" ht="15" x14ac:dyDescent="0.3">
      <c r="D14903" s="25"/>
      <c r="F14903" s="21"/>
      <c r="G14903" s="16"/>
    </row>
    <row r="14904" spans="4:7" ht="15" x14ac:dyDescent="0.3">
      <c r="D14904" s="25"/>
      <c r="F14904" s="21"/>
      <c r="G14904" s="16"/>
    </row>
    <row r="14905" spans="4:7" ht="15" x14ac:dyDescent="0.3">
      <c r="D14905" s="25"/>
      <c r="F14905" s="21"/>
      <c r="G14905" s="16"/>
    </row>
    <row r="14906" spans="4:7" ht="15" x14ac:dyDescent="0.3">
      <c r="D14906" s="25"/>
      <c r="F14906" s="21"/>
      <c r="G14906" s="16"/>
    </row>
    <row r="14907" spans="4:7" ht="15" x14ac:dyDescent="0.3">
      <c r="D14907" s="25"/>
      <c r="F14907" s="21"/>
      <c r="G14907" s="16"/>
    </row>
    <row r="14908" spans="4:7" ht="15" x14ac:dyDescent="0.3">
      <c r="D14908" s="25"/>
      <c r="F14908" s="21"/>
      <c r="G14908" s="16"/>
    </row>
    <row r="14909" spans="4:7" ht="15" x14ac:dyDescent="0.3">
      <c r="D14909" s="25"/>
      <c r="F14909" s="21"/>
      <c r="G14909" s="16"/>
    </row>
    <row r="14910" spans="4:7" ht="15" x14ac:dyDescent="0.3">
      <c r="D14910" s="25"/>
      <c r="F14910" s="21"/>
      <c r="G14910" s="16"/>
    </row>
    <row r="14911" spans="4:7" ht="15" x14ac:dyDescent="0.3">
      <c r="D14911" s="25"/>
      <c r="F14911" s="21"/>
      <c r="G14911" s="16"/>
    </row>
    <row r="14912" spans="4:7" ht="15" x14ac:dyDescent="0.3">
      <c r="D14912" s="25"/>
      <c r="F14912" s="21"/>
      <c r="G14912" s="16"/>
    </row>
    <row r="14913" spans="4:7" ht="15" x14ac:dyDescent="0.3">
      <c r="D14913" s="25"/>
      <c r="F14913" s="21"/>
      <c r="G14913" s="16"/>
    </row>
    <row r="14914" spans="4:7" ht="15" x14ac:dyDescent="0.3">
      <c r="D14914" s="25"/>
      <c r="F14914" s="21"/>
      <c r="G14914" s="16"/>
    </row>
    <row r="14915" spans="4:7" ht="15" x14ac:dyDescent="0.3">
      <c r="D14915" s="25"/>
      <c r="F14915" s="21"/>
      <c r="G14915" s="16"/>
    </row>
    <row r="14916" spans="4:7" ht="15" x14ac:dyDescent="0.3">
      <c r="D14916" s="25"/>
      <c r="F14916" s="21"/>
      <c r="G14916" s="16"/>
    </row>
    <row r="14917" spans="4:7" ht="15" x14ac:dyDescent="0.3">
      <c r="D14917" s="25"/>
      <c r="F14917" s="21"/>
      <c r="G14917" s="16"/>
    </row>
    <row r="14918" spans="4:7" ht="15" x14ac:dyDescent="0.3">
      <c r="D14918" s="25"/>
      <c r="F14918" s="21"/>
      <c r="G14918" s="16"/>
    </row>
    <row r="14919" spans="4:7" ht="15" x14ac:dyDescent="0.3">
      <c r="D14919" s="25"/>
      <c r="F14919" s="21"/>
      <c r="G14919" s="16"/>
    </row>
    <row r="14920" spans="4:7" ht="15" x14ac:dyDescent="0.3">
      <c r="D14920" s="25"/>
      <c r="F14920" s="21"/>
      <c r="G14920" s="16"/>
    </row>
    <row r="14921" spans="4:7" ht="15" x14ac:dyDescent="0.3">
      <c r="D14921" s="25"/>
      <c r="F14921" s="21"/>
      <c r="G14921" s="16"/>
    </row>
    <row r="14922" spans="4:7" ht="15" x14ac:dyDescent="0.3">
      <c r="D14922" s="25"/>
      <c r="F14922" s="21"/>
      <c r="G14922" s="16"/>
    </row>
    <row r="14923" spans="4:7" ht="15" x14ac:dyDescent="0.3">
      <c r="D14923" s="25"/>
      <c r="F14923" s="21"/>
      <c r="G14923" s="16"/>
    </row>
    <row r="14924" spans="4:7" ht="15" x14ac:dyDescent="0.3">
      <c r="D14924" s="25"/>
      <c r="F14924" s="21"/>
      <c r="G14924" s="16"/>
    </row>
    <row r="14925" spans="4:7" ht="15" x14ac:dyDescent="0.3">
      <c r="D14925" s="25"/>
      <c r="F14925" s="21"/>
      <c r="G14925" s="16"/>
    </row>
    <row r="14926" spans="4:7" ht="15" x14ac:dyDescent="0.3">
      <c r="D14926" s="25"/>
      <c r="F14926" s="21"/>
      <c r="G14926" s="16"/>
    </row>
    <row r="14927" spans="4:7" ht="15" x14ac:dyDescent="0.3">
      <c r="D14927" s="25"/>
      <c r="F14927" s="21"/>
      <c r="G14927" s="16"/>
    </row>
    <row r="14928" spans="4:7" ht="15" x14ac:dyDescent="0.3">
      <c r="D14928" s="25"/>
      <c r="F14928" s="21"/>
      <c r="G14928" s="16"/>
    </row>
    <row r="14929" spans="4:7" ht="15" x14ac:dyDescent="0.3">
      <c r="D14929" s="25"/>
      <c r="F14929" s="21"/>
      <c r="G14929" s="16"/>
    </row>
    <row r="14930" spans="4:7" ht="15" x14ac:dyDescent="0.3">
      <c r="D14930" s="25"/>
      <c r="F14930" s="21"/>
      <c r="G14930" s="16"/>
    </row>
    <row r="14931" spans="4:7" ht="15" x14ac:dyDescent="0.3">
      <c r="D14931" s="25"/>
      <c r="F14931" s="21"/>
      <c r="G14931" s="16"/>
    </row>
    <row r="14932" spans="4:7" ht="15" x14ac:dyDescent="0.3">
      <c r="D14932" s="25"/>
      <c r="F14932" s="21"/>
      <c r="G14932" s="16"/>
    </row>
    <row r="14933" spans="4:7" ht="15" x14ac:dyDescent="0.3">
      <c r="D14933" s="25"/>
      <c r="F14933" s="21"/>
      <c r="G14933" s="16"/>
    </row>
    <row r="14934" spans="4:7" ht="15" x14ac:dyDescent="0.3">
      <c r="D14934" s="25"/>
      <c r="F14934" s="21"/>
      <c r="G14934" s="16"/>
    </row>
    <row r="14935" spans="4:7" ht="15" x14ac:dyDescent="0.3">
      <c r="D14935" s="25"/>
      <c r="F14935" s="21"/>
      <c r="G14935" s="16"/>
    </row>
    <row r="14936" spans="4:7" ht="15" x14ac:dyDescent="0.3">
      <c r="D14936" s="25"/>
      <c r="F14936" s="21"/>
      <c r="G14936" s="16"/>
    </row>
    <row r="14937" spans="4:7" ht="15" x14ac:dyDescent="0.3">
      <c r="D14937" s="25"/>
      <c r="F14937" s="21"/>
      <c r="G14937" s="16"/>
    </row>
    <row r="14938" spans="4:7" ht="15" x14ac:dyDescent="0.3">
      <c r="D14938" s="25"/>
      <c r="F14938" s="21"/>
      <c r="G14938" s="16"/>
    </row>
    <row r="14939" spans="4:7" ht="15" x14ac:dyDescent="0.3">
      <c r="D14939" s="25"/>
      <c r="F14939" s="21"/>
      <c r="G14939" s="16"/>
    </row>
    <row r="14940" spans="4:7" ht="15" x14ac:dyDescent="0.3">
      <c r="D14940" s="25"/>
      <c r="F14940" s="21"/>
      <c r="G14940" s="16"/>
    </row>
    <row r="14941" spans="4:7" ht="15" x14ac:dyDescent="0.3">
      <c r="D14941" s="25"/>
      <c r="F14941" s="21"/>
      <c r="G14941" s="16"/>
    </row>
    <row r="14942" spans="4:7" ht="15" x14ac:dyDescent="0.3">
      <c r="D14942" s="25"/>
      <c r="F14942" s="21"/>
      <c r="G14942" s="16"/>
    </row>
    <row r="14943" spans="4:7" ht="15" x14ac:dyDescent="0.3">
      <c r="D14943" s="25"/>
      <c r="F14943" s="21"/>
      <c r="G14943" s="16"/>
    </row>
    <row r="14944" spans="4:7" ht="15" x14ac:dyDescent="0.3">
      <c r="D14944" s="25"/>
      <c r="F14944" s="21"/>
      <c r="G14944" s="16"/>
    </row>
    <row r="14945" spans="4:7" ht="15" x14ac:dyDescent="0.3">
      <c r="D14945" s="25"/>
      <c r="F14945" s="21"/>
      <c r="G14945" s="16"/>
    </row>
    <row r="14946" spans="4:7" ht="15" x14ac:dyDescent="0.3">
      <c r="D14946" s="25"/>
      <c r="F14946" s="21"/>
      <c r="G14946" s="16"/>
    </row>
    <row r="14947" spans="4:7" ht="15" x14ac:dyDescent="0.3">
      <c r="D14947" s="25"/>
      <c r="F14947" s="21"/>
      <c r="G14947" s="16"/>
    </row>
    <row r="14948" spans="4:7" ht="15" x14ac:dyDescent="0.3">
      <c r="D14948" s="25"/>
      <c r="F14948" s="21"/>
      <c r="G14948" s="16"/>
    </row>
    <row r="14949" spans="4:7" ht="15" x14ac:dyDescent="0.3">
      <c r="D14949" s="25"/>
      <c r="F14949" s="21"/>
      <c r="G14949" s="16"/>
    </row>
    <row r="14950" spans="4:7" ht="15" x14ac:dyDescent="0.3">
      <c r="D14950" s="25"/>
      <c r="F14950" s="21"/>
      <c r="G14950" s="16"/>
    </row>
    <row r="14951" spans="4:7" ht="15" x14ac:dyDescent="0.3">
      <c r="D14951" s="25"/>
      <c r="F14951" s="21"/>
      <c r="G14951" s="16"/>
    </row>
    <row r="14952" spans="4:7" ht="15" x14ac:dyDescent="0.3">
      <c r="D14952" s="25"/>
      <c r="F14952" s="21"/>
      <c r="G14952" s="16"/>
    </row>
    <row r="14953" spans="4:7" ht="15" x14ac:dyDescent="0.3">
      <c r="D14953" s="25"/>
      <c r="F14953" s="21"/>
      <c r="G14953" s="16"/>
    </row>
    <row r="14954" spans="4:7" ht="15" x14ac:dyDescent="0.3">
      <c r="D14954" s="25"/>
      <c r="F14954" s="21"/>
      <c r="G14954" s="16"/>
    </row>
    <row r="14955" spans="4:7" ht="15" x14ac:dyDescent="0.3">
      <c r="D14955" s="25"/>
      <c r="F14955" s="21"/>
      <c r="G14955" s="16"/>
    </row>
    <row r="14956" spans="4:7" ht="15" x14ac:dyDescent="0.3">
      <c r="D14956" s="25"/>
      <c r="F14956" s="21"/>
      <c r="G14956" s="16"/>
    </row>
    <row r="14957" spans="4:7" ht="15" x14ac:dyDescent="0.3">
      <c r="D14957" s="25"/>
      <c r="F14957" s="21"/>
      <c r="G14957" s="16"/>
    </row>
    <row r="14958" spans="4:7" ht="15" x14ac:dyDescent="0.3">
      <c r="D14958" s="25"/>
      <c r="F14958" s="21"/>
      <c r="G14958" s="16"/>
    </row>
    <row r="14959" spans="4:7" ht="15" x14ac:dyDescent="0.3">
      <c r="D14959" s="25"/>
      <c r="F14959" s="21"/>
      <c r="G14959" s="16"/>
    </row>
    <row r="14960" spans="4:7" ht="15" x14ac:dyDescent="0.3">
      <c r="D14960" s="25"/>
      <c r="F14960" s="21"/>
      <c r="G14960" s="16"/>
    </row>
    <row r="14961" spans="4:7" ht="15" x14ac:dyDescent="0.3">
      <c r="D14961" s="25"/>
      <c r="F14961" s="21"/>
      <c r="G14961" s="16"/>
    </row>
    <row r="14962" spans="4:7" ht="15" x14ac:dyDescent="0.3">
      <c r="D14962" s="25"/>
      <c r="F14962" s="21"/>
      <c r="G14962" s="16"/>
    </row>
    <row r="14963" spans="4:7" ht="15" x14ac:dyDescent="0.3">
      <c r="D14963" s="25"/>
      <c r="F14963" s="21"/>
      <c r="G14963" s="16"/>
    </row>
    <row r="14964" spans="4:7" ht="15" x14ac:dyDescent="0.3">
      <c r="D14964" s="25"/>
      <c r="F14964" s="21"/>
      <c r="G14964" s="16"/>
    </row>
    <row r="14965" spans="4:7" ht="15" x14ac:dyDescent="0.3">
      <c r="D14965" s="25"/>
      <c r="F14965" s="21"/>
      <c r="G14965" s="16"/>
    </row>
    <row r="14966" spans="4:7" ht="15" x14ac:dyDescent="0.3">
      <c r="D14966" s="25"/>
      <c r="F14966" s="21"/>
      <c r="G14966" s="16"/>
    </row>
    <row r="14967" spans="4:7" ht="15" x14ac:dyDescent="0.3">
      <c r="D14967" s="25"/>
      <c r="F14967" s="21"/>
      <c r="G14967" s="16"/>
    </row>
    <row r="14968" spans="4:7" ht="15" x14ac:dyDescent="0.3">
      <c r="D14968" s="25"/>
      <c r="F14968" s="21"/>
      <c r="G14968" s="16"/>
    </row>
    <row r="14969" spans="4:7" ht="15" x14ac:dyDescent="0.3">
      <c r="D14969" s="25"/>
      <c r="F14969" s="21"/>
      <c r="G14969" s="16"/>
    </row>
    <row r="14970" spans="4:7" ht="15" x14ac:dyDescent="0.3">
      <c r="D14970" s="25"/>
      <c r="F14970" s="21"/>
      <c r="G14970" s="16"/>
    </row>
    <row r="14971" spans="4:7" ht="15" x14ac:dyDescent="0.3">
      <c r="D14971" s="25"/>
      <c r="F14971" s="21"/>
      <c r="G14971" s="16"/>
    </row>
    <row r="14972" spans="4:7" ht="15" x14ac:dyDescent="0.3">
      <c r="D14972" s="25"/>
      <c r="F14972" s="21"/>
      <c r="G14972" s="16"/>
    </row>
    <row r="14973" spans="4:7" ht="15" x14ac:dyDescent="0.3">
      <c r="D14973" s="25"/>
      <c r="F14973" s="21"/>
      <c r="G14973" s="16"/>
    </row>
    <row r="14974" spans="4:7" ht="15" x14ac:dyDescent="0.3">
      <c r="D14974" s="25"/>
      <c r="F14974" s="21"/>
      <c r="G14974" s="16"/>
    </row>
    <row r="14975" spans="4:7" ht="15" x14ac:dyDescent="0.3">
      <c r="D14975" s="25"/>
      <c r="F14975" s="21"/>
      <c r="G14975" s="16"/>
    </row>
    <row r="14976" spans="4:7" ht="15" x14ac:dyDescent="0.3">
      <c r="D14976" s="25"/>
      <c r="F14976" s="21"/>
      <c r="G14976" s="16"/>
    </row>
    <row r="14977" spans="4:7" ht="15" x14ac:dyDescent="0.3">
      <c r="D14977" s="25"/>
      <c r="F14977" s="21"/>
      <c r="G14977" s="16"/>
    </row>
    <row r="14978" spans="4:7" ht="15" x14ac:dyDescent="0.3">
      <c r="D14978" s="25"/>
      <c r="F14978" s="21"/>
      <c r="G14978" s="16"/>
    </row>
    <row r="14979" spans="4:7" ht="15" x14ac:dyDescent="0.3">
      <c r="D14979" s="25"/>
      <c r="F14979" s="21"/>
      <c r="G14979" s="16"/>
    </row>
    <row r="14980" spans="4:7" ht="15" x14ac:dyDescent="0.3">
      <c r="D14980" s="25"/>
      <c r="F14980" s="21"/>
      <c r="G14980" s="16"/>
    </row>
    <row r="14981" spans="4:7" ht="15" x14ac:dyDescent="0.3">
      <c r="D14981" s="25"/>
      <c r="F14981" s="21"/>
      <c r="G14981" s="16"/>
    </row>
    <row r="14982" spans="4:7" ht="15" x14ac:dyDescent="0.3">
      <c r="D14982" s="25"/>
      <c r="F14982" s="21"/>
      <c r="G14982" s="16"/>
    </row>
    <row r="14983" spans="4:7" ht="15" x14ac:dyDescent="0.3">
      <c r="D14983" s="25"/>
      <c r="F14983" s="21"/>
      <c r="G14983" s="16"/>
    </row>
    <row r="14984" spans="4:7" ht="15" x14ac:dyDescent="0.3">
      <c r="D14984" s="25"/>
      <c r="F14984" s="21"/>
      <c r="G14984" s="16"/>
    </row>
    <row r="14985" spans="4:7" ht="15" x14ac:dyDescent="0.3">
      <c r="D14985" s="25"/>
      <c r="F14985" s="21"/>
      <c r="G14985" s="16"/>
    </row>
    <row r="14986" spans="4:7" ht="15" x14ac:dyDescent="0.3">
      <c r="D14986" s="25"/>
      <c r="F14986" s="21"/>
      <c r="G14986" s="16"/>
    </row>
    <row r="14987" spans="4:7" ht="15" x14ac:dyDescent="0.3">
      <c r="D14987" s="25"/>
      <c r="F14987" s="21"/>
      <c r="G14987" s="16"/>
    </row>
    <row r="14988" spans="4:7" ht="15" x14ac:dyDescent="0.3">
      <c r="D14988" s="25"/>
      <c r="F14988" s="21"/>
      <c r="G14988" s="16"/>
    </row>
    <row r="14989" spans="4:7" ht="15" x14ac:dyDescent="0.3">
      <c r="D14989" s="25"/>
      <c r="F14989" s="21"/>
      <c r="G14989" s="16"/>
    </row>
    <row r="14990" spans="4:7" ht="15" x14ac:dyDescent="0.3">
      <c r="D14990" s="25"/>
      <c r="F14990" s="21"/>
      <c r="G14990" s="16"/>
    </row>
    <row r="14991" spans="4:7" ht="15" x14ac:dyDescent="0.3">
      <c r="D14991" s="25"/>
      <c r="F14991" s="21"/>
      <c r="G14991" s="16"/>
    </row>
    <row r="14992" spans="4:7" ht="15" x14ac:dyDescent="0.3">
      <c r="D14992" s="25"/>
      <c r="F14992" s="21"/>
      <c r="G14992" s="16"/>
    </row>
    <row r="14993" spans="4:7" ht="15" x14ac:dyDescent="0.3">
      <c r="D14993" s="25"/>
      <c r="F14993" s="21"/>
      <c r="G14993" s="16"/>
    </row>
    <row r="14994" spans="4:7" ht="15" x14ac:dyDescent="0.3">
      <c r="D14994" s="25"/>
      <c r="F14994" s="21"/>
      <c r="G14994" s="16"/>
    </row>
    <row r="14995" spans="4:7" ht="15" x14ac:dyDescent="0.3">
      <c r="D14995" s="25"/>
      <c r="F14995" s="21"/>
      <c r="G14995" s="16"/>
    </row>
    <row r="14996" spans="4:7" ht="15" x14ac:dyDescent="0.3">
      <c r="D14996" s="25"/>
      <c r="F14996" s="21"/>
      <c r="G14996" s="16"/>
    </row>
    <row r="14997" spans="4:7" ht="15" x14ac:dyDescent="0.3">
      <c r="D14997" s="25"/>
      <c r="F14997" s="21"/>
      <c r="G14997" s="16"/>
    </row>
    <row r="14998" spans="4:7" ht="15" x14ac:dyDescent="0.3">
      <c r="D14998" s="25"/>
      <c r="F14998" s="21"/>
      <c r="G14998" s="16"/>
    </row>
    <row r="14999" spans="4:7" ht="15" x14ac:dyDescent="0.3">
      <c r="D14999" s="25"/>
      <c r="F14999" s="21"/>
      <c r="G14999" s="16"/>
    </row>
    <row r="15000" spans="4:7" ht="15" x14ac:dyDescent="0.3">
      <c r="D15000" s="25"/>
      <c r="F15000" s="21"/>
      <c r="G15000" s="16"/>
    </row>
    <row r="15001" spans="4:7" ht="15" x14ac:dyDescent="0.3">
      <c r="D15001" s="25"/>
      <c r="F15001" s="21"/>
      <c r="G15001" s="16"/>
    </row>
    <row r="15002" spans="4:7" ht="15" x14ac:dyDescent="0.3">
      <c r="D15002" s="25"/>
      <c r="F15002" s="21"/>
      <c r="G15002" s="16"/>
    </row>
    <row r="15003" spans="4:7" ht="15" x14ac:dyDescent="0.3">
      <c r="D15003" s="25"/>
      <c r="F15003" s="21"/>
      <c r="G15003" s="16"/>
    </row>
    <row r="15004" spans="4:7" ht="15" x14ac:dyDescent="0.3">
      <c r="D15004" s="25"/>
      <c r="F15004" s="21"/>
      <c r="G15004" s="16"/>
    </row>
    <row r="15005" spans="4:7" ht="15" x14ac:dyDescent="0.3">
      <c r="D15005" s="25"/>
      <c r="F15005" s="21"/>
      <c r="G15005" s="16"/>
    </row>
    <row r="15006" spans="4:7" ht="15" x14ac:dyDescent="0.3">
      <c r="D15006" s="25"/>
      <c r="F15006" s="21"/>
      <c r="G15006" s="16"/>
    </row>
    <row r="15007" spans="4:7" ht="15" x14ac:dyDescent="0.3">
      <c r="D15007" s="25"/>
      <c r="F15007" s="21"/>
      <c r="G15007" s="16"/>
    </row>
    <row r="15008" spans="4:7" ht="15" x14ac:dyDescent="0.3">
      <c r="D15008" s="25"/>
      <c r="F15008" s="21"/>
      <c r="G15008" s="16"/>
    </row>
    <row r="15009" spans="4:7" ht="15" x14ac:dyDescent="0.3">
      <c r="D15009" s="25"/>
      <c r="F15009" s="21"/>
      <c r="G15009" s="16"/>
    </row>
    <row r="15010" spans="4:7" ht="15" x14ac:dyDescent="0.3">
      <c r="D15010" s="25"/>
      <c r="F15010" s="21"/>
      <c r="G15010" s="16"/>
    </row>
    <row r="15011" spans="4:7" ht="15" x14ac:dyDescent="0.3">
      <c r="D15011" s="25"/>
      <c r="F15011" s="21"/>
      <c r="G15011" s="16"/>
    </row>
    <row r="15012" spans="4:7" ht="15" x14ac:dyDescent="0.3">
      <c r="D15012" s="25"/>
      <c r="F15012" s="21"/>
      <c r="G15012" s="16"/>
    </row>
    <row r="15013" spans="4:7" ht="15" x14ac:dyDescent="0.3">
      <c r="D15013" s="25"/>
      <c r="F15013" s="21"/>
      <c r="G15013" s="16"/>
    </row>
    <row r="15014" spans="4:7" ht="15" x14ac:dyDescent="0.3">
      <c r="D15014" s="25"/>
      <c r="F15014" s="21"/>
      <c r="G15014" s="16"/>
    </row>
    <row r="15015" spans="4:7" ht="15" x14ac:dyDescent="0.3">
      <c r="D15015" s="25"/>
      <c r="F15015" s="21"/>
      <c r="G15015" s="16"/>
    </row>
    <row r="15016" spans="4:7" ht="15" x14ac:dyDescent="0.3">
      <c r="D15016" s="25"/>
      <c r="F15016" s="21"/>
      <c r="G15016" s="16"/>
    </row>
    <row r="15017" spans="4:7" ht="15" x14ac:dyDescent="0.3">
      <c r="D15017" s="25"/>
      <c r="F15017" s="21"/>
      <c r="G15017" s="16"/>
    </row>
    <row r="15018" spans="4:7" ht="15" x14ac:dyDescent="0.3">
      <c r="D15018" s="25"/>
      <c r="F15018" s="21"/>
      <c r="G15018" s="16"/>
    </row>
    <row r="15019" spans="4:7" ht="15" x14ac:dyDescent="0.3">
      <c r="D15019" s="25"/>
      <c r="F15019" s="21"/>
      <c r="G15019" s="16"/>
    </row>
    <row r="15020" spans="4:7" ht="15" x14ac:dyDescent="0.3">
      <c r="D15020" s="25"/>
      <c r="F15020" s="21"/>
      <c r="G15020" s="16"/>
    </row>
    <row r="15021" spans="4:7" ht="15" x14ac:dyDescent="0.3">
      <c r="D15021" s="25"/>
      <c r="F15021" s="21"/>
      <c r="G15021" s="16"/>
    </row>
    <row r="15022" spans="4:7" ht="15" x14ac:dyDescent="0.3">
      <c r="D15022" s="25"/>
      <c r="F15022" s="21"/>
      <c r="G15022" s="16"/>
    </row>
    <row r="15023" spans="4:7" ht="15" x14ac:dyDescent="0.3">
      <c r="D15023" s="25"/>
      <c r="F15023" s="21"/>
      <c r="G15023" s="16"/>
    </row>
    <row r="15024" spans="4:7" ht="15" x14ac:dyDescent="0.3">
      <c r="D15024" s="25"/>
      <c r="F15024" s="21"/>
      <c r="G15024" s="16"/>
    </row>
    <row r="15025" spans="4:7" ht="15" x14ac:dyDescent="0.3">
      <c r="D15025" s="25"/>
      <c r="F15025" s="21"/>
      <c r="G15025" s="16"/>
    </row>
    <row r="15026" spans="4:7" ht="15" x14ac:dyDescent="0.3">
      <c r="D15026" s="25"/>
      <c r="F15026" s="21"/>
      <c r="G15026" s="16"/>
    </row>
    <row r="15027" spans="4:7" ht="15" x14ac:dyDescent="0.3">
      <c r="D15027" s="25"/>
      <c r="F15027" s="21"/>
      <c r="G15027" s="16"/>
    </row>
    <row r="15028" spans="4:7" ht="15" x14ac:dyDescent="0.3">
      <c r="D15028" s="25"/>
      <c r="F15028" s="21"/>
      <c r="G15028" s="16"/>
    </row>
    <row r="15029" spans="4:7" ht="15" x14ac:dyDescent="0.3">
      <c r="D15029" s="25"/>
      <c r="F15029" s="21"/>
      <c r="G15029" s="16"/>
    </row>
    <row r="15030" spans="4:7" ht="15" x14ac:dyDescent="0.3">
      <c r="D15030" s="25"/>
      <c r="F15030" s="21"/>
      <c r="G15030" s="16"/>
    </row>
    <row r="15031" spans="4:7" ht="15" x14ac:dyDescent="0.3">
      <c r="D15031" s="25"/>
      <c r="F15031" s="21"/>
      <c r="G15031" s="16"/>
    </row>
    <row r="15032" spans="4:7" ht="15" x14ac:dyDescent="0.3">
      <c r="D15032" s="25"/>
      <c r="F15032" s="21"/>
      <c r="G15032" s="16"/>
    </row>
    <row r="15033" spans="4:7" ht="15" x14ac:dyDescent="0.3">
      <c r="D15033" s="25"/>
      <c r="F15033" s="21"/>
      <c r="G15033" s="16"/>
    </row>
    <row r="15034" spans="4:7" ht="15" x14ac:dyDescent="0.3">
      <c r="D15034" s="25"/>
      <c r="F15034" s="21"/>
      <c r="G15034" s="16"/>
    </row>
    <row r="15035" spans="4:7" ht="15" x14ac:dyDescent="0.3">
      <c r="D15035" s="25"/>
      <c r="F15035" s="21"/>
      <c r="G15035" s="16"/>
    </row>
    <row r="15036" spans="4:7" ht="15" x14ac:dyDescent="0.3">
      <c r="D15036" s="25"/>
      <c r="F15036" s="21"/>
      <c r="G15036" s="16"/>
    </row>
    <row r="15037" spans="4:7" ht="15" x14ac:dyDescent="0.3">
      <c r="D15037" s="25"/>
      <c r="F15037" s="21"/>
      <c r="G15037" s="16"/>
    </row>
    <row r="15038" spans="4:7" ht="15" x14ac:dyDescent="0.3">
      <c r="D15038" s="25"/>
      <c r="F15038" s="21"/>
      <c r="G15038" s="16"/>
    </row>
    <row r="15039" spans="4:7" ht="15" x14ac:dyDescent="0.3">
      <c r="D15039" s="25"/>
      <c r="F15039" s="21"/>
      <c r="G15039" s="16"/>
    </row>
    <row r="15040" spans="4:7" ht="15" x14ac:dyDescent="0.3">
      <c r="D15040" s="25"/>
      <c r="F15040" s="21"/>
      <c r="G15040" s="16"/>
    </row>
    <row r="15041" spans="4:7" ht="15" x14ac:dyDescent="0.3">
      <c r="D15041" s="25"/>
      <c r="F15041" s="21"/>
      <c r="G15041" s="16"/>
    </row>
    <row r="15042" spans="4:7" ht="15" x14ac:dyDescent="0.3">
      <c r="D15042" s="25"/>
      <c r="F15042" s="21"/>
      <c r="G15042" s="16"/>
    </row>
    <row r="15043" spans="4:7" ht="15" x14ac:dyDescent="0.3">
      <c r="D15043" s="25"/>
      <c r="F15043" s="21"/>
      <c r="G15043" s="16"/>
    </row>
    <row r="15044" spans="4:7" ht="15" x14ac:dyDescent="0.3">
      <c r="D15044" s="25"/>
      <c r="F15044" s="21"/>
      <c r="G15044" s="16"/>
    </row>
    <row r="15045" spans="4:7" ht="15" x14ac:dyDescent="0.3">
      <c r="D15045" s="25"/>
      <c r="F15045" s="21"/>
      <c r="G15045" s="16"/>
    </row>
    <row r="15046" spans="4:7" ht="15" x14ac:dyDescent="0.3">
      <c r="D15046" s="25"/>
      <c r="F15046" s="21"/>
      <c r="G15046" s="16"/>
    </row>
    <row r="15047" spans="4:7" ht="15" x14ac:dyDescent="0.3">
      <c r="D15047" s="25"/>
      <c r="F15047" s="21"/>
      <c r="G15047" s="16"/>
    </row>
    <row r="15048" spans="4:7" ht="15" x14ac:dyDescent="0.3">
      <c r="D15048" s="25"/>
      <c r="F15048" s="21"/>
      <c r="G15048" s="16"/>
    </row>
    <row r="15049" spans="4:7" ht="15" x14ac:dyDescent="0.3">
      <c r="D15049" s="25"/>
      <c r="F15049" s="21"/>
      <c r="G15049" s="16"/>
    </row>
    <row r="15050" spans="4:7" ht="15" x14ac:dyDescent="0.3">
      <c r="D15050" s="25"/>
      <c r="F15050" s="21"/>
      <c r="G15050" s="16"/>
    </row>
    <row r="15051" spans="4:7" ht="15" x14ac:dyDescent="0.3">
      <c r="D15051" s="25"/>
      <c r="F15051" s="21"/>
      <c r="G15051" s="16"/>
    </row>
    <row r="15052" spans="4:7" ht="15" x14ac:dyDescent="0.3">
      <c r="D15052" s="25"/>
      <c r="F15052" s="21"/>
      <c r="G15052" s="16"/>
    </row>
    <row r="15053" spans="4:7" ht="15" x14ac:dyDescent="0.3">
      <c r="D15053" s="25"/>
      <c r="F15053" s="21"/>
      <c r="G15053" s="16"/>
    </row>
    <row r="15054" spans="4:7" ht="15" x14ac:dyDescent="0.3">
      <c r="D15054" s="25"/>
      <c r="F15054" s="21"/>
      <c r="G15054" s="16"/>
    </row>
    <row r="15055" spans="4:7" ht="15" x14ac:dyDescent="0.3">
      <c r="D15055" s="25"/>
      <c r="F15055" s="21"/>
      <c r="G15055" s="16"/>
    </row>
    <row r="15056" spans="4:7" ht="15" x14ac:dyDescent="0.3">
      <c r="D15056" s="25"/>
      <c r="F15056" s="21"/>
      <c r="G15056" s="16"/>
    </row>
    <row r="15057" spans="4:7" ht="15" x14ac:dyDescent="0.3">
      <c r="D15057" s="25"/>
      <c r="F15057" s="21"/>
      <c r="G15057" s="16"/>
    </row>
    <row r="15058" spans="4:7" ht="15" x14ac:dyDescent="0.3">
      <c r="D15058" s="25"/>
      <c r="F15058" s="21"/>
      <c r="G15058" s="16"/>
    </row>
    <row r="15059" spans="4:7" ht="15" x14ac:dyDescent="0.3">
      <c r="D15059" s="25"/>
      <c r="F15059" s="21"/>
      <c r="G15059" s="16"/>
    </row>
    <row r="15060" spans="4:7" ht="15" x14ac:dyDescent="0.3">
      <c r="D15060" s="25"/>
      <c r="F15060" s="21"/>
      <c r="G15060" s="16"/>
    </row>
    <row r="15061" spans="4:7" ht="15" x14ac:dyDescent="0.3">
      <c r="D15061" s="25"/>
      <c r="F15061" s="21"/>
      <c r="G15061" s="16"/>
    </row>
    <row r="15062" spans="4:7" ht="15" x14ac:dyDescent="0.3">
      <c r="D15062" s="25"/>
      <c r="F15062" s="21"/>
      <c r="G15062" s="16"/>
    </row>
    <row r="15063" spans="4:7" ht="15" x14ac:dyDescent="0.3">
      <c r="D15063" s="25"/>
      <c r="F15063" s="21"/>
      <c r="G15063" s="16"/>
    </row>
    <row r="15064" spans="4:7" ht="15" x14ac:dyDescent="0.3">
      <c r="D15064" s="25"/>
      <c r="F15064" s="21"/>
      <c r="G15064" s="16"/>
    </row>
    <row r="15065" spans="4:7" ht="15" x14ac:dyDescent="0.3">
      <c r="D15065" s="25"/>
      <c r="F15065" s="21"/>
      <c r="G15065" s="16"/>
    </row>
    <row r="15066" spans="4:7" ht="15" x14ac:dyDescent="0.3">
      <c r="D15066" s="25"/>
      <c r="F15066" s="21"/>
      <c r="G15066" s="16"/>
    </row>
    <row r="15067" spans="4:7" ht="15" x14ac:dyDescent="0.3">
      <c r="D15067" s="25"/>
      <c r="F15067" s="21"/>
      <c r="G15067" s="16"/>
    </row>
    <row r="15068" spans="4:7" ht="15" x14ac:dyDescent="0.3">
      <c r="D15068" s="25"/>
      <c r="F15068" s="21"/>
      <c r="G15068" s="16"/>
    </row>
    <row r="15069" spans="4:7" ht="15" x14ac:dyDescent="0.3">
      <c r="D15069" s="25"/>
      <c r="F15069" s="21"/>
      <c r="G15069" s="16"/>
    </row>
    <row r="15070" spans="4:7" ht="15" x14ac:dyDescent="0.3">
      <c r="D15070" s="25"/>
      <c r="F15070" s="21"/>
      <c r="G15070" s="16"/>
    </row>
    <row r="15071" spans="4:7" ht="15" x14ac:dyDescent="0.3">
      <c r="D15071" s="25"/>
      <c r="F15071" s="21"/>
      <c r="G15071" s="16"/>
    </row>
    <row r="15072" spans="4:7" ht="15" x14ac:dyDescent="0.3">
      <c r="D15072" s="25"/>
      <c r="F15072" s="21"/>
      <c r="G15072" s="16"/>
    </row>
    <row r="15073" spans="4:7" ht="15" x14ac:dyDescent="0.3">
      <c r="D15073" s="25"/>
      <c r="F15073" s="21"/>
      <c r="G15073" s="16"/>
    </row>
    <row r="15074" spans="4:7" ht="15" x14ac:dyDescent="0.3">
      <c r="D15074" s="25"/>
      <c r="F15074" s="21"/>
      <c r="G15074" s="16"/>
    </row>
    <row r="15075" spans="4:7" ht="15" x14ac:dyDescent="0.3">
      <c r="D15075" s="25"/>
      <c r="F15075" s="21"/>
      <c r="G15075" s="16"/>
    </row>
    <row r="15076" spans="4:7" ht="15" x14ac:dyDescent="0.3">
      <c r="D15076" s="25"/>
      <c r="F15076" s="21"/>
      <c r="G15076" s="16"/>
    </row>
    <row r="15077" spans="4:7" ht="15" x14ac:dyDescent="0.3">
      <c r="D15077" s="25"/>
      <c r="F15077" s="21"/>
      <c r="G15077" s="16"/>
    </row>
    <row r="15078" spans="4:7" ht="15" x14ac:dyDescent="0.3">
      <c r="D15078" s="25"/>
      <c r="F15078" s="21"/>
      <c r="G15078" s="16"/>
    </row>
    <row r="15079" spans="4:7" ht="15" x14ac:dyDescent="0.3">
      <c r="D15079" s="25"/>
      <c r="F15079" s="21"/>
      <c r="G15079" s="16"/>
    </row>
    <row r="15080" spans="4:7" ht="15" x14ac:dyDescent="0.3">
      <c r="D15080" s="25"/>
      <c r="F15080" s="21"/>
      <c r="G15080" s="16"/>
    </row>
    <row r="15081" spans="4:7" ht="15" x14ac:dyDescent="0.3">
      <c r="D15081" s="25"/>
      <c r="F15081" s="21"/>
      <c r="G15081" s="16"/>
    </row>
    <row r="15082" spans="4:7" ht="15" x14ac:dyDescent="0.3">
      <c r="D15082" s="25"/>
      <c r="F15082" s="21"/>
      <c r="G15082" s="16"/>
    </row>
    <row r="15083" spans="4:7" ht="15" x14ac:dyDescent="0.3">
      <c r="D15083" s="25"/>
      <c r="F15083" s="21"/>
      <c r="G15083" s="16"/>
    </row>
    <row r="15084" spans="4:7" ht="15" x14ac:dyDescent="0.3">
      <c r="D15084" s="25"/>
      <c r="F15084" s="21"/>
      <c r="G15084" s="16"/>
    </row>
    <row r="15085" spans="4:7" ht="15" x14ac:dyDescent="0.3">
      <c r="D15085" s="25"/>
      <c r="F15085" s="21"/>
      <c r="G15085" s="16"/>
    </row>
    <row r="15086" spans="4:7" ht="15" x14ac:dyDescent="0.3">
      <c r="D15086" s="25"/>
      <c r="F15086" s="21"/>
      <c r="G15086" s="16"/>
    </row>
    <row r="15087" spans="4:7" ht="15" x14ac:dyDescent="0.3">
      <c r="D15087" s="25"/>
      <c r="F15087" s="21"/>
      <c r="G15087" s="16"/>
    </row>
    <row r="15088" spans="4:7" ht="15" x14ac:dyDescent="0.3">
      <c r="D15088" s="25"/>
      <c r="F15088" s="21"/>
      <c r="G15088" s="16"/>
    </row>
    <row r="15089" spans="4:7" ht="15" x14ac:dyDescent="0.3">
      <c r="D15089" s="25"/>
      <c r="F15089" s="21"/>
      <c r="G15089" s="16"/>
    </row>
    <row r="15090" spans="4:7" ht="15" x14ac:dyDescent="0.3">
      <c r="D15090" s="25"/>
      <c r="F15090" s="21"/>
      <c r="G15090" s="16"/>
    </row>
    <row r="15091" spans="4:7" ht="15" x14ac:dyDescent="0.3">
      <c r="D15091" s="25"/>
      <c r="F15091" s="21"/>
      <c r="G15091" s="16"/>
    </row>
    <row r="15092" spans="4:7" ht="15" x14ac:dyDescent="0.3">
      <c r="D15092" s="25"/>
      <c r="F15092" s="21"/>
      <c r="G15092" s="16"/>
    </row>
    <row r="15093" spans="4:7" ht="15" x14ac:dyDescent="0.3">
      <c r="D15093" s="25"/>
      <c r="F15093" s="21"/>
      <c r="G15093" s="16"/>
    </row>
    <row r="15094" spans="4:7" ht="15" x14ac:dyDescent="0.3">
      <c r="D15094" s="25"/>
      <c r="F15094" s="21"/>
      <c r="G15094" s="16"/>
    </row>
    <row r="15095" spans="4:7" ht="15" x14ac:dyDescent="0.3">
      <c r="D15095" s="25"/>
      <c r="F15095" s="21"/>
      <c r="G15095" s="16"/>
    </row>
    <row r="15096" spans="4:7" ht="15" x14ac:dyDescent="0.3">
      <c r="D15096" s="25"/>
      <c r="F15096" s="21"/>
      <c r="G15096" s="16"/>
    </row>
    <row r="15097" spans="4:7" ht="15" x14ac:dyDescent="0.3">
      <c r="D15097" s="25"/>
      <c r="F15097" s="21"/>
      <c r="G15097" s="16"/>
    </row>
    <row r="15098" spans="4:7" ht="15" x14ac:dyDescent="0.3">
      <c r="D15098" s="25"/>
      <c r="F15098" s="21"/>
      <c r="G15098" s="16"/>
    </row>
    <row r="15099" spans="4:7" ht="15" x14ac:dyDescent="0.3">
      <c r="D15099" s="25"/>
      <c r="F15099" s="21"/>
      <c r="G15099" s="16"/>
    </row>
    <row r="15100" spans="4:7" ht="15" x14ac:dyDescent="0.3">
      <c r="D15100" s="25"/>
      <c r="F15100" s="21"/>
      <c r="G15100" s="16"/>
    </row>
    <row r="15101" spans="4:7" ht="15" x14ac:dyDescent="0.3">
      <c r="D15101" s="25"/>
      <c r="F15101" s="21"/>
      <c r="G15101" s="16"/>
    </row>
    <row r="15102" spans="4:7" ht="15" x14ac:dyDescent="0.3">
      <c r="D15102" s="25"/>
      <c r="F15102" s="21"/>
      <c r="G15102" s="16"/>
    </row>
    <row r="15103" spans="4:7" ht="15" x14ac:dyDescent="0.3">
      <c r="D15103" s="25"/>
      <c r="F15103" s="21"/>
      <c r="G15103" s="16"/>
    </row>
    <row r="15104" spans="4:7" ht="15" x14ac:dyDescent="0.3">
      <c r="D15104" s="25"/>
      <c r="F15104" s="21"/>
      <c r="G15104" s="16"/>
    </row>
    <row r="15105" spans="4:7" ht="15" x14ac:dyDescent="0.3">
      <c r="D15105" s="25"/>
      <c r="F15105" s="21"/>
      <c r="G15105" s="16"/>
    </row>
    <row r="15106" spans="4:7" ht="15" x14ac:dyDescent="0.3">
      <c r="D15106" s="25"/>
      <c r="F15106" s="21"/>
      <c r="G15106" s="16"/>
    </row>
    <row r="15107" spans="4:7" ht="15" x14ac:dyDescent="0.3">
      <c r="D15107" s="25"/>
      <c r="F15107" s="21"/>
      <c r="G15107" s="16"/>
    </row>
    <row r="15108" spans="4:7" ht="15" x14ac:dyDescent="0.3">
      <c r="D15108" s="25"/>
      <c r="F15108" s="21"/>
      <c r="G15108" s="16"/>
    </row>
    <row r="15109" spans="4:7" ht="15" x14ac:dyDescent="0.3">
      <c r="D15109" s="25"/>
      <c r="F15109" s="21"/>
      <c r="G15109" s="16"/>
    </row>
    <row r="15110" spans="4:7" ht="15" x14ac:dyDescent="0.3">
      <c r="D15110" s="25"/>
      <c r="F15110" s="21"/>
      <c r="G15110" s="16"/>
    </row>
    <row r="15111" spans="4:7" ht="15" x14ac:dyDescent="0.3">
      <c r="D15111" s="25"/>
      <c r="F15111" s="21"/>
      <c r="G15111" s="16"/>
    </row>
    <row r="15112" spans="4:7" ht="15" x14ac:dyDescent="0.3">
      <c r="D15112" s="25"/>
      <c r="F15112" s="21"/>
      <c r="G15112" s="16"/>
    </row>
    <row r="15113" spans="4:7" ht="15" x14ac:dyDescent="0.3">
      <c r="D15113" s="25"/>
      <c r="F15113" s="21"/>
      <c r="G15113" s="16"/>
    </row>
    <row r="15114" spans="4:7" ht="15" x14ac:dyDescent="0.3">
      <c r="D15114" s="25"/>
      <c r="F15114" s="21"/>
      <c r="G15114" s="16"/>
    </row>
    <row r="15115" spans="4:7" ht="15" x14ac:dyDescent="0.3">
      <c r="D15115" s="25"/>
      <c r="F15115" s="21"/>
      <c r="G15115" s="16"/>
    </row>
    <row r="15116" spans="4:7" ht="15" x14ac:dyDescent="0.3">
      <c r="D15116" s="25"/>
      <c r="F15116" s="21"/>
      <c r="G15116" s="16"/>
    </row>
    <row r="15117" spans="4:7" ht="15" x14ac:dyDescent="0.3">
      <c r="D15117" s="25"/>
      <c r="F15117" s="21"/>
      <c r="G15117" s="16"/>
    </row>
    <row r="15118" spans="4:7" ht="15" x14ac:dyDescent="0.3">
      <c r="D15118" s="25"/>
      <c r="F15118" s="21"/>
      <c r="G15118" s="16"/>
    </row>
    <row r="15119" spans="4:7" ht="15" x14ac:dyDescent="0.3">
      <c r="D15119" s="25"/>
      <c r="F15119" s="21"/>
      <c r="G15119" s="16"/>
    </row>
    <row r="15120" spans="4:7" ht="15" x14ac:dyDescent="0.3">
      <c r="D15120" s="25"/>
      <c r="F15120" s="21"/>
      <c r="G15120" s="16"/>
    </row>
    <row r="15121" spans="4:7" ht="15" x14ac:dyDescent="0.3">
      <c r="D15121" s="25"/>
      <c r="F15121" s="21"/>
      <c r="G15121" s="16"/>
    </row>
    <row r="15122" spans="4:7" ht="15" x14ac:dyDescent="0.3">
      <c r="D15122" s="25"/>
      <c r="F15122" s="21"/>
      <c r="G15122" s="16"/>
    </row>
    <row r="15123" spans="4:7" ht="15" x14ac:dyDescent="0.3">
      <c r="D15123" s="25"/>
      <c r="F15123" s="21"/>
      <c r="G15123" s="16"/>
    </row>
    <row r="15124" spans="4:7" ht="15" x14ac:dyDescent="0.3">
      <c r="D15124" s="25"/>
      <c r="F15124" s="21"/>
      <c r="G15124" s="16"/>
    </row>
    <row r="15125" spans="4:7" ht="15" x14ac:dyDescent="0.3">
      <c r="D15125" s="25"/>
      <c r="F15125" s="21"/>
      <c r="G15125" s="16"/>
    </row>
    <row r="15126" spans="4:7" ht="15" x14ac:dyDescent="0.3">
      <c r="D15126" s="25"/>
      <c r="F15126" s="21"/>
      <c r="G15126" s="16"/>
    </row>
    <row r="15127" spans="4:7" ht="15" x14ac:dyDescent="0.3">
      <c r="D15127" s="25"/>
      <c r="F15127" s="21"/>
      <c r="G15127" s="16"/>
    </row>
    <row r="15128" spans="4:7" ht="15" x14ac:dyDescent="0.3">
      <c r="D15128" s="25"/>
      <c r="F15128" s="21"/>
      <c r="G15128" s="16"/>
    </row>
    <row r="15129" spans="4:7" ht="15" x14ac:dyDescent="0.3">
      <c r="D15129" s="25"/>
      <c r="F15129" s="21"/>
      <c r="G15129" s="16"/>
    </row>
    <row r="15130" spans="4:7" ht="15" x14ac:dyDescent="0.3">
      <c r="D15130" s="25"/>
      <c r="F15130" s="21"/>
      <c r="G15130" s="16"/>
    </row>
    <row r="15131" spans="4:7" ht="15" x14ac:dyDescent="0.3">
      <c r="D15131" s="25"/>
      <c r="F15131" s="21"/>
      <c r="G15131" s="16"/>
    </row>
    <row r="15132" spans="4:7" ht="15" x14ac:dyDescent="0.3">
      <c r="D15132" s="25"/>
      <c r="F15132" s="21"/>
      <c r="G15132" s="16"/>
    </row>
    <row r="15133" spans="4:7" ht="15" x14ac:dyDescent="0.3">
      <c r="D15133" s="25"/>
      <c r="F15133" s="21"/>
      <c r="G15133" s="16"/>
    </row>
    <row r="15134" spans="4:7" ht="15" x14ac:dyDescent="0.3">
      <c r="D15134" s="25"/>
      <c r="F15134" s="21"/>
      <c r="G15134" s="16"/>
    </row>
    <row r="15135" spans="4:7" ht="15" x14ac:dyDescent="0.3">
      <c r="D15135" s="25"/>
      <c r="F15135" s="21"/>
      <c r="G15135" s="16"/>
    </row>
    <row r="15136" spans="4:7" ht="15" x14ac:dyDescent="0.3">
      <c r="D15136" s="25"/>
      <c r="F15136" s="21"/>
      <c r="G15136" s="16"/>
    </row>
    <row r="15137" spans="4:7" ht="15" x14ac:dyDescent="0.3">
      <c r="D15137" s="25"/>
      <c r="F15137" s="21"/>
      <c r="G15137" s="16"/>
    </row>
    <row r="15138" spans="4:7" ht="15" x14ac:dyDescent="0.3">
      <c r="D15138" s="25"/>
      <c r="F15138" s="21"/>
      <c r="G15138" s="16"/>
    </row>
    <row r="15139" spans="4:7" ht="15" x14ac:dyDescent="0.3">
      <c r="D15139" s="25"/>
      <c r="F15139" s="21"/>
      <c r="G15139" s="16"/>
    </row>
    <row r="15140" spans="4:7" ht="15" x14ac:dyDescent="0.3">
      <c r="D15140" s="25"/>
      <c r="F15140" s="21"/>
      <c r="G15140" s="16"/>
    </row>
    <row r="15141" spans="4:7" ht="15" x14ac:dyDescent="0.3">
      <c r="D15141" s="25"/>
      <c r="F15141" s="21"/>
      <c r="G15141" s="16"/>
    </row>
    <row r="15142" spans="4:7" ht="15" x14ac:dyDescent="0.3">
      <c r="D15142" s="25"/>
      <c r="F15142" s="21"/>
      <c r="G15142" s="16"/>
    </row>
    <row r="15143" spans="4:7" ht="15" x14ac:dyDescent="0.3">
      <c r="D15143" s="25"/>
      <c r="F15143" s="21"/>
      <c r="G15143" s="16"/>
    </row>
    <row r="15144" spans="4:7" ht="15" x14ac:dyDescent="0.3">
      <c r="D15144" s="25"/>
      <c r="F15144" s="21"/>
      <c r="G15144" s="16"/>
    </row>
    <row r="15145" spans="4:7" ht="15" x14ac:dyDescent="0.3">
      <c r="D15145" s="25"/>
      <c r="F15145" s="21"/>
      <c r="G15145" s="16"/>
    </row>
    <row r="15146" spans="4:7" ht="15" x14ac:dyDescent="0.3">
      <c r="D15146" s="25"/>
      <c r="F15146" s="21"/>
      <c r="G15146" s="16"/>
    </row>
    <row r="15147" spans="4:7" ht="15" x14ac:dyDescent="0.3">
      <c r="D15147" s="25"/>
      <c r="F15147" s="21"/>
      <c r="G15147" s="16"/>
    </row>
    <row r="15148" spans="4:7" ht="15" x14ac:dyDescent="0.3">
      <c r="D15148" s="25"/>
      <c r="F15148" s="21"/>
      <c r="G15148" s="16"/>
    </row>
    <row r="15149" spans="4:7" ht="15" x14ac:dyDescent="0.3">
      <c r="D15149" s="25"/>
      <c r="F15149" s="21"/>
      <c r="G15149" s="16"/>
    </row>
    <row r="15150" spans="4:7" ht="15" x14ac:dyDescent="0.3">
      <c r="D15150" s="25"/>
      <c r="F15150" s="21"/>
      <c r="G15150" s="16"/>
    </row>
    <row r="15151" spans="4:7" ht="15" x14ac:dyDescent="0.3">
      <c r="D15151" s="25"/>
      <c r="F15151" s="21"/>
      <c r="G15151" s="16"/>
    </row>
    <row r="15152" spans="4:7" ht="15" x14ac:dyDescent="0.3">
      <c r="D15152" s="25"/>
      <c r="F15152" s="21"/>
      <c r="G15152" s="16"/>
    </row>
    <row r="15153" spans="4:7" ht="15" x14ac:dyDescent="0.3">
      <c r="D15153" s="25"/>
      <c r="F15153" s="21"/>
      <c r="G15153" s="16"/>
    </row>
    <row r="15154" spans="4:7" ht="15" x14ac:dyDescent="0.3">
      <c r="D15154" s="25"/>
      <c r="F15154" s="21"/>
      <c r="G15154" s="16"/>
    </row>
    <row r="15155" spans="4:7" ht="15" x14ac:dyDescent="0.3">
      <c r="D15155" s="25"/>
      <c r="F15155" s="21"/>
      <c r="G15155" s="16"/>
    </row>
    <row r="15156" spans="4:7" ht="15" x14ac:dyDescent="0.3">
      <c r="D15156" s="25"/>
      <c r="F15156" s="21"/>
      <c r="G15156" s="16"/>
    </row>
    <row r="15157" spans="4:7" ht="15" x14ac:dyDescent="0.3">
      <c r="D15157" s="25"/>
      <c r="F15157" s="21"/>
      <c r="G15157" s="16"/>
    </row>
    <row r="15158" spans="4:7" ht="15" x14ac:dyDescent="0.3">
      <c r="D15158" s="25"/>
      <c r="F15158" s="21"/>
      <c r="G15158" s="16"/>
    </row>
    <row r="15159" spans="4:7" ht="15" x14ac:dyDescent="0.3">
      <c r="D15159" s="25"/>
      <c r="F15159" s="21"/>
      <c r="G15159" s="16"/>
    </row>
    <row r="15160" spans="4:7" ht="15" x14ac:dyDescent="0.3">
      <c r="D15160" s="25"/>
      <c r="F15160" s="21"/>
      <c r="G15160" s="16"/>
    </row>
    <row r="15161" spans="4:7" ht="15" x14ac:dyDescent="0.3">
      <c r="D15161" s="25"/>
      <c r="F15161" s="21"/>
      <c r="G15161" s="16"/>
    </row>
    <row r="15162" spans="4:7" ht="15" x14ac:dyDescent="0.3">
      <c r="D15162" s="25"/>
      <c r="F15162" s="21"/>
      <c r="G15162" s="16"/>
    </row>
    <row r="15163" spans="4:7" ht="15" x14ac:dyDescent="0.3">
      <c r="D15163" s="25"/>
      <c r="F15163" s="21"/>
      <c r="G15163" s="16"/>
    </row>
    <row r="15164" spans="4:7" ht="15" x14ac:dyDescent="0.3">
      <c r="D15164" s="25"/>
      <c r="F15164" s="21"/>
      <c r="G15164" s="16"/>
    </row>
    <row r="15165" spans="4:7" ht="15" x14ac:dyDescent="0.3">
      <c r="D15165" s="25"/>
      <c r="F15165" s="21"/>
      <c r="G15165" s="16"/>
    </row>
    <row r="15166" spans="4:7" ht="15" x14ac:dyDescent="0.3">
      <c r="D15166" s="25"/>
      <c r="F15166" s="21"/>
      <c r="G15166" s="16"/>
    </row>
    <row r="15167" spans="4:7" ht="15" x14ac:dyDescent="0.3">
      <c r="D15167" s="25"/>
      <c r="F15167" s="21"/>
      <c r="G15167" s="16"/>
    </row>
    <row r="15168" spans="4:7" ht="15" x14ac:dyDescent="0.3">
      <c r="D15168" s="25"/>
      <c r="F15168" s="21"/>
      <c r="G15168" s="16"/>
    </row>
    <row r="15169" spans="4:7" ht="15" x14ac:dyDescent="0.3">
      <c r="D15169" s="25"/>
      <c r="F15169" s="21"/>
      <c r="G15169" s="16"/>
    </row>
    <row r="15170" spans="4:7" ht="15" x14ac:dyDescent="0.3">
      <c r="D15170" s="25"/>
      <c r="F15170" s="21"/>
      <c r="G15170" s="16"/>
    </row>
    <row r="15171" spans="4:7" ht="15" x14ac:dyDescent="0.3">
      <c r="D15171" s="25"/>
      <c r="F15171" s="21"/>
      <c r="G15171" s="16"/>
    </row>
    <row r="15172" spans="4:7" ht="15" x14ac:dyDescent="0.3">
      <c r="D15172" s="25"/>
      <c r="F15172" s="21"/>
      <c r="G15172" s="16"/>
    </row>
    <row r="15173" spans="4:7" ht="15" x14ac:dyDescent="0.3">
      <c r="D15173" s="25"/>
      <c r="F15173" s="21"/>
      <c r="G15173" s="16"/>
    </row>
    <row r="15174" spans="4:7" ht="15" x14ac:dyDescent="0.3">
      <c r="D15174" s="25"/>
      <c r="F15174" s="21"/>
      <c r="G15174" s="16"/>
    </row>
    <row r="15175" spans="4:7" ht="15" x14ac:dyDescent="0.3">
      <c r="D15175" s="25"/>
      <c r="F15175" s="21"/>
      <c r="G15175" s="16"/>
    </row>
    <row r="15176" spans="4:7" ht="15" x14ac:dyDescent="0.3">
      <c r="D15176" s="25"/>
      <c r="F15176" s="21"/>
      <c r="G15176" s="16"/>
    </row>
    <row r="15177" spans="4:7" ht="15" x14ac:dyDescent="0.3">
      <c r="D15177" s="25"/>
      <c r="F15177" s="21"/>
      <c r="G15177" s="16"/>
    </row>
    <row r="15178" spans="4:7" ht="15" x14ac:dyDescent="0.3">
      <c r="D15178" s="25"/>
      <c r="F15178" s="21"/>
      <c r="G15178" s="16"/>
    </row>
    <row r="15179" spans="4:7" ht="15" x14ac:dyDescent="0.3">
      <c r="D15179" s="25"/>
      <c r="F15179" s="21"/>
      <c r="G15179" s="16"/>
    </row>
    <row r="15180" spans="4:7" ht="15" x14ac:dyDescent="0.3">
      <c r="D15180" s="25"/>
      <c r="F15180" s="21"/>
      <c r="G15180" s="16"/>
    </row>
    <row r="15181" spans="4:7" ht="15" x14ac:dyDescent="0.3">
      <c r="D15181" s="25"/>
      <c r="F15181" s="21"/>
      <c r="G15181" s="16"/>
    </row>
    <row r="15182" spans="4:7" ht="15" x14ac:dyDescent="0.3">
      <c r="D15182" s="25"/>
      <c r="F15182" s="21"/>
      <c r="G15182" s="16"/>
    </row>
    <row r="15183" spans="4:7" ht="15" x14ac:dyDescent="0.3">
      <c r="D15183" s="25"/>
      <c r="F15183" s="21"/>
      <c r="G15183" s="16"/>
    </row>
    <row r="15184" spans="4:7" ht="15" x14ac:dyDescent="0.3">
      <c r="D15184" s="25"/>
      <c r="F15184" s="21"/>
      <c r="G15184" s="16"/>
    </row>
    <row r="15185" spans="4:7" ht="15" x14ac:dyDescent="0.3">
      <c r="D15185" s="25"/>
      <c r="F15185" s="21"/>
      <c r="G15185" s="16"/>
    </row>
    <row r="15186" spans="4:7" ht="15" x14ac:dyDescent="0.3">
      <c r="D15186" s="25"/>
      <c r="F15186" s="21"/>
      <c r="G15186" s="16"/>
    </row>
    <row r="15187" spans="4:7" ht="15" x14ac:dyDescent="0.3">
      <c r="D15187" s="25"/>
      <c r="F15187" s="21"/>
      <c r="G15187" s="16"/>
    </row>
    <row r="15188" spans="4:7" ht="15" x14ac:dyDescent="0.3">
      <c r="D15188" s="25"/>
      <c r="F15188" s="21"/>
      <c r="G15188" s="16"/>
    </row>
    <row r="15189" spans="4:7" ht="15" x14ac:dyDescent="0.3">
      <c r="D15189" s="25"/>
      <c r="F15189" s="21"/>
      <c r="G15189" s="16"/>
    </row>
    <row r="15190" spans="4:7" ht="15" x14ac:dyDescent="0.3">
      <c r="D15190" s="25"/>
      <c r="F15190" s="21"/>
      <c r="G15190" s="16"/>
    </row>
    <row r="15191" spans="4:7" ht="15" x14ac:dyDescent="0.3">
      <c r="D15191" s="25"/>
      <c r="F15191" s="21"/>
      <c r="G15191" s="16"/>
    </row>
    <row r="15192" spans="4:7" ht="15" x14ac:dyDescent="0.3">
      <c r="D15192" s="25"/>
      <c r="F15192" s="21"/>
      <c r="G15192" s="16"/>
    </row>
    <row r="15193" spans="4:7" ht="15" x14ac:dyDescent="0.3">
      <c r="D15193" s="25"/>
      <c r="F15193" s="21"/>
      <c r="G15193" s="16"/>
    </row>
    <row r="15194" spans="4:7" ht="15" x14ac:dyDescent="0.3">
      <c r="D15194" s="25"/>
      <c r="F15194" s="21"/>
      <c r="G15194" s="16"/>
    </row>
    <row r="15195" spans="4:7" ht="15" x14ac:dyDescent="0.3">
      <c r="D15195" s="25"/>
      <c r="F15195" s="21"/>
      <c r="G15195" s="16"/>
    </row>
    <row r="15196" spans="4:7" ht="15" x14ac:dyDescent="0.3">
      <c r="D15196" s="25"/>
      <c r="F15196" s="21"/>
      <c r="G15196" s="16"/>
    </row>
    <row r="15197" spans="4:7" ht="15" x14ac:dyDescent="0.3">
      <c r="D15197" s="25"/>
      <c r="F15197" s="21"/>
      <c r="G15197" s="16"/>
    </row>
    <row r="15198" spans="4:7" ht="15" x14ac:dyDescent="0.3">
      <c r="D15198" s="25"/>
      <c r="F15198" s="21"/>
      <c r="G15198" s="16"/>
    </row>
    <row r="15199" spans="4:7" ht="15" x14ac:dyDescent="0.3">
      <c r="D15199" s="25"/>
      <c r="F15199" s="21"/>
      <c r="G15199" s="16"/>
    </row>
    <row r="15200" spans="4:7" ht="15" x14ac:dyDescent="0.3">
      <c r="D15200" s="25"/>
      <c r="F15200" s="21"/>
      <c r="G15200" s="16"/>
    </row>
    <row r="15201" spans="4:7" ht="15" x14ac:dyDescent="0.3">
      <c r="D15201" s="25"/>
      <c r="F15201" s="21"/>
      <c r="G15201" s="16"/>
    </row>
    <row r="15202" spans="4:7" ht="15" x14ac:dyDescent="0.3">
      <c r="D15202" s="25"/>
      <c r="F15202" s="21"/>
      <c r="G15202" s="16"/>
    </row>
    <row r="15203" spans="4:7" ht="15" x14ac:dyDescent="0.3">
      <c r="D15203" s="25"/>
      <c r="F15203" s="21"/>
      <c r="G15203" s="16"/>
    </row>
    <row r="15204" spans="4:7" ht="15" x14ac:dyDescent="0.3">
      <c r="D15204" s="25"/>
      <c r="F15204" s="21"/>
      <c r="G15204" s="16"/>
    </row>
    <row r="15205" spans="4:7" ht="15" x14ac:dyDescent="0.3">
      <c r="D15205" s="25"/>
      <c r="F15205" s="21"/>
      <c r="G15205" s="16"/>
    </row>
    <row r="15206" spans="4:7" ht="15" x14ac:dyDescent="0.3">
      <c r="D15206" s="25"/>
      <c r="F15206" s="21"/>
      <c r="G15206" s="16"/>
    </row>
    <row r="15207" spans="4:7" ht="15" x14ac:dyDescent="0.3">
      <c r="D15207" s="25"/>
      <c r="F15207" s="21"/>
      <c r="G15207" s="16"/>
    </row>
    <row r="15208" spans="4:7" ht="15" x14ac:dyDescent="0.3">
      <c r="D15208" s="25"/>
      <c r="F15208" s="21"/>
      <c r="G15208" s="16"/>
    </row>
    <row r="15209" spans="4:7" ht="15" x14ac:dyDescent="0.3">
      <c r="D15209" s="25"/>
      <c r="F15209" s="21"/>
      <c r="G15209" s="16"/>
    </row>
    <row r="15210" spans="4:7" ht="15" x14ac:dyDescent="0.3">
      <c r="D15210" s="25"/>
      <c r="F15210" s="21"/>
      <c r="G15210" s="16"/>
    </row>
    <row r="15211" spans="4:7" ht="15" x14ac:dyDescent="0.3">
      <c r="D15211" s="25"/>
      <c r="F15211" s="21"/>
      <c r="G15211" s="16"/>
    </row>
    <row r="15212" spans="4:7" ht="15" x14ac:dyDescent="0.3">
      <c r="D15212" s="25"/>
      <c r="F15212" s="21"/>
      <c r="G15212" s="16"/>
    </row>
    <row r="15213" spans="4:7" ht="15" x14ac:dyDescent="0.3">
      <c r="D15213" s="25"/>
      <c r="F15213" s="21"/>
      <c r="G15213" s="16"/>
    </row>
    <row r="15214" spans="4:7" ht="15" x14ac:dyDescent="0.3">
      <c r="D15214" s="25"/>
      <c r="F15214" s="21"/>
      <c r="G15214" s="16"/>
    </row>
    <row r="15215" spans="4:7" ht="15" x14ac:dyDescent="0.3">
      <c r="D15215" s="25"/>
      <c r="F15215" s="21"/>
      <c r="G15215" s="16"/>
    </row>
    <row r="15216" spans="4:7" ht="15" x14ac:dyDescent="0.3">
      <c r="D15216" s="25"/>
      <c r="F15216" s="21"/>
      <c r="G15216" s="16"/>
    </row>
    <row r="15217" spans="4:7" ht="15" x14ac:dyDescent="0.3">
      <c r="D15217" s="25"/>
      <c r="F15217" s="21"/>
      <c r="G15217" s="16"/>
    </row>
    <row r="15218" spans="4:7" ht="15" x14ac:dyDescent="0.3">
      <c r="D15218" s="25"/>
      <c r="F15218" s="21"/>
      <c r="G15218" s="16"/>
    </row>
    <row r="15219" spans="4:7" ht="15" x14ac:dyDescent="0.3">
      <c r="D15219" s="25"/>
      <c r="F15219" s="21"/>
      <c r="G15219" s="16"/>
    </row>
    <row r="15220" spans="4:7" ht="15" x14ac:dyDescent="0.3">
      <c r="D15220" s="25"/>
      <c r="F15220" s="21"/>
      <c r="G15220" s="16"/>
    </row>
    <row r="15221" spans="4:7" ht="15" x14ac:dyDescent="0.3">
      <c r="D15221" s="25"/>
      <c r="F15221" s="21"/>
      <c r="G15221" s="16"/>
    </row>
    <row r="15222" spans="4:7" ht="15" x14ac:dyDescent="0.3">
      <c r="D15222" s="25"/>
      <c r="F15222" s="21"/>
      <c r="G15222" s="16"/>
    </row>
    <row r="15223" spans="4:7" ht="15" x14ac:dyDescent="0.3">
      <c r="D15223" s="25"/>
      <c r="F15223" s="21"/>
      <c r="G15223" s="16"/>
    </row>
    <row r="15224" spans="4:7" ht="15" x14ac:dyDescent="0.3">
      <c r="D15224" s="25"/>
      <c r="F15224" s="21"/>
      <c r="G15224" s="16"/>
    </row>
    <row r="15225" spans="4:7" ht="15" x14ac:dyDescent="0.3">
      <c r="D15225" s="25"/>
      <c r="F15225" s="21"/>
      <c r="G15225" s="16"/>
    </row>
    <row r="15226" spans="4:7" ht="15" x14ac:dyDescent="0.3">
      <c r="D15226" s="25"/>
      <c r="F15226" s="21"/>
      <c r="G15226" s="16"/>
    </row>
    <row r="15227" spans="4:7" ht="15" x14ac:dyDescent="0.3">
      <c r="D15227" s="25"/>
      <c r="F15227" s="21"/>
      <c r="G15227" s="16"/>
    </row>
    <row r="15228" spans="4:7" ht="15" x14ac:dyDescent="0.3">
      <c r="D15228" s="25"/>
      <c r="F15228" s="21"/>
      <c r="G15228" s="16"/>
    </row>
    <row r="15229" spans="4:7" ht="15" x14ac:dyDescent="0.3">
      <c r="D15229" s="25"/>
      <c r="F15229" s="21"/>
      <c r="G15229" s="16"/>
    </row>
    <row r="15230" spans="4:7" ht="15" x14ac:dyDescent="0.3">
      <c r="D15230" s="25"/>
      <c r="F15230" s="21"/>
      <c r="G15230" s="16"/>
    </row>
    <row r="15231" spans="4:7" ht="15" x14ac:dyDescent="0.3">
      <c r="D15231" s="25"/>
      <c r="F15231" s="21"/>
      <c r="G15231" s="16"/>
    </row>
    <row r="15232" spans="4:7" ht="15" x14ac:dyDescent="0.3">
      <c r="D15232" s="25"/>
      <c r="F15232" s="21"/>
      <c r="G15232" s="16"/>
    </row>
    <row r="15233" spans="4:7" ht="15" x14ac:dyDescent="0.3">
      <c r="D15233" s="25"/>
      <c r="F15233" s="21"/>
      <c r="G15233" s="16"/>
    </row>
    <row r="15234" spans="4:7" ht="15" x14ac:dyDescent="0.3">
      <c r="D15234" s="25"/>
      <c r="F15234" s="21"/>
      <c r="G15234" s="16"/>
    </row>
    <row r="15235" spans="4:7" ht="15" x14ac:dyDescent="0.3">
      <c r="D15235" s="25"/>
      <c r="F15235" s="21"/>
      <c r="G15235" s="16"/>
    </row>
    <row r="15236" spans="4:7" ht="15" x14ac:dyDescent="0.3">
      <c r="D15236" s="25"/>
      <c r="F15236" s="21"/>
      <c r="G15236" s="16"/>
    </row>
    <row r="15237" spans="4:7" ht="15" x14ac:dyDescent="0.3">
      <c r="D15237" s="25"/>
      <c r="F15237" s="21"/>
      <c r="G15237" s="16"/>
    </row>
    <row r="15238" spans="4:7" ht="15" x14ac:dyDescent="0.3">
      <c r="D15238" s="25"/>
      <c r="F15238" s="21"/>
      <c r="G15238" s="16"/>
    </row>
    <row r="15239" spans="4:7" ht="15" x14ac:dyDescent="0.3">
      <c r="D15239" s="25"/>
      <c r="F15239" s="21"/>
      <c r="G15239" s="16"/>
    </row>
    <row r="15240" spans="4:7" ht="15" x14ac:dyDescent="0.3">
      <c r="D15240" s="25"/>
      <c r="F15240" s="21"/>
      <c r="G15240" s="16"/>
    </row>
    <row r="15241" spans="4:7" ht="15" x14ac:dyDescent="0.3">
      <c r="D15241" s="25"/>
      <c r="F15241" s="21"/>
      <c r="G15241" s="16"/>
    </row>
    <row r="15242" spans="4:7" ht="15" x14ac:dyDescent="0.3">
      <c r="D15242" s="25"/>
      <c r="F15242" s="21"/>
      <c r="G15242" s="16"/>
    </row>
    <row r="15243" spans="4:7" ht="15" x14ac:dyDescent="0.3">
      <c r="D15243" s="25"/>
      <c r="F15243" s="21"/>
      <c r="G15243" s="16"/>
    </row>
    <row r="15244" spans="4:7" ht="15" x14ac:dyDescent="0.3">
      <c r="D15244" s="25"/>
      <c r="F15244" s="21"/>
      <c r="G15244" s="16"/>
    </row>
    <row r="15245" spans="4:7" ht="15" x14ac:dyDescent="0.3">
      <c r="D15245" s="25"/>
      <c r="F15245" s="21"/>
      <c r="G15245" s="16"/>
    </row>
    <row r="15246" spans="4:7" ht="15" x14ac:dyDescent="0.3">
      <c r="D15246" s="25"/>
      <c r="F15246" s="21"/>
      <c r="G15246" s="16"/>
    </row>
    <row r="15247" spans="4:7" ht="15" x14ac:dyDescent="0.3">
      <c r="D15247" s="25"/>
      <c r="F15247" s="21"/>
      <c r="G15247" s="16"/>
    </row>
    <row r="15248" spans="4:7" ht="15" x14ac:dyDescent="0.3">
      <c r="D15248" s="25"/>
      <c r="F15248" s="21"/>
      <c r="G15248" s="16"/>
    </row>
    <row r="15249" spans="4:7" ht="15" x14ac:dyDescent="0.3">
      <c r="D15249" s="25"/>
      <c r="F15249" s="21"/>
      <c r="G15249" s="16"/>
    </row>
    <row r="15250" spans="4:7" ht="15" x14ac:dyDescent="0.3">
      <c r="D15250" s="25"/>
      <c r="F15250" s="21"/>
      <c r="G15250" s="16"/>
    </row>
    <row r="15251" spans="4:7" ht="15" x14ac:dyDescent="0.3">
      <c r="D15251" s="25"/>
      <c r="F15251" s="21"/>
      <c r="G15251" s="16"/>
    </row>
    <row r="15252" spans="4:7" ht="15" x14ac:dyDescent="0.3">
      <c r="D15252" s="25"/>
      <c r="F15252" s="21"/>
      <c r="G15252" s="16"/>
    </row>
    <row r="15253" spans="4:7" ht="15" x14ac:dyDescent="0.3">
      <c r="D15253" s="25"/>
      <c r="F15253" s="21"/>
      <c r="G15253" s="16"/>
    </row>
    <row r="15254" spans="4:7" ht="15" x14ac:dyDescent="0.3">
      <c r="D15254" s="25"/>
      <c r="F15254" s="21"/>
      <c r="G15254" s="16"/>
    </row>
    <row r="15255" spans="4:7" ht="15" x14ac:dyDescent="0.3">
      <c r="D15255" s="25"/>
      <c r="F15255" s="21"/>
      <c r="G15255" s="16"/>
    </row>
    <row r="15256" spans="4:7" ht="15" x14ac:dyDescent="0.3">
      <c r="D15256" s="25"/>
      <c r="F15256" s="21"/>
      <c r="G15256" s="16"/>
    </row>
    <row r="15257" spans="4:7" ht="15" x14ac:dyDescent="0.3">
      <c r="D15257" s="25"/>
      <c r="F15257" s="21"/>
      <c r="G15257" s="16"/>
    </row>
    <row r="15258" spans="4:7" ht="15" x14ac:dyDescent="0.3">
      <c r="D15258" s="25"/>
      <c r="F15258" s="21"/>
      <c r="G15258" s="16"/>
    </row>
    <row r="15259" spans="4:7" ht="15" x14ac:dyDescent="0.3">
      <c r="D15259" s="25"/>
      <c r="F15259" s="21"/>
      <c r="G15259" s="16"/>
    </row>
    <row r="15260" spans="4:7" ht="15" x14ac:dyDescent="0.3">
      <c r="D15260" s="25"/>
      <c r="F15260" s="21"/>
      <c r="G15260" s="16"/>
    </row>
    <row r="15261" spans="4:7" ht="15" x14ac:dyDescent="0.3">
      <c r="D15261" s="25"/>
      <c r="F15261" s="21"/>
      <c r="G15261" s="16"/>
    </row>
    <row r="15262" spans="4:7" ht="15" x14ac:dyDescent="0.3">
      <c r="D15262" s="25"/>
      <c r="F15262" s="21"/>
      <c r="G15262" s="16"/>
    </row>
    <row r="15263" spans="4:7" ht="15" x14ac:dyDescent="0.3">
      <c r="D15263" s="25"/>
      <c r="F15263" s="21"/>
      <c r="G15263" s="16"/>
    </row>
    <row r="15264" spans="4:7" ht="15" x14ac:dyDescent="0.3">
      <c r="D15264" s="25"/>
      <c r="F15264" s="21"/>
      <c r="G15264" s="16"/>
    </row>
    <row r="15265" spans="4:7" ht="15" x14ac:dyDescent="0.3">
      <c r="D15265" s="25"/>
      <c r="F15265" s="21"/>
      <c r="G15265" s="16"/>
    </row>
    <row r="15266" spans="4:7" ht="15" x14ac:dyDescent="0.3">
      <c r="D15266" s="25"/>
      <c r="F15266" s="21"/>
      <c r="G15266" s="16"/>
    </row>
    <row r="15267" spans="4:7" ht="15" x14ac:dyDescent="0.3">
      <c r="D15267" s="25"/>
      <c r="F15267" s="21"/>
      <c r="G15267" s="16"/>
    </row>
    <row r="15268" spans="4:7" ht="15" x14ac:dyDescent="0.3">
      <c r="D15268" s="25"/>
      <c r="F15268" s="21"/>
      <c r="G15268" s="16"/>
    </row>
    <row r="15269" spans="4:7" ht="15" x14ac:dyDescent="0.3">
      <c r="D15269" s="25"/>
      <c r="F15269" s="21"/>
      <c r="G15269" s="16"/>
    </row>
    <row r="15270" spans="4:7" ht="15" x14ac:dyDescent="0.3">
      <c r="D15270" s="25"/>
      <c r="F15270" s="21"/>
      <c r="G15270" s="16"/>
    </row>
    <row r="15271" spans="4:7" ht="15" x14ac:dyDescent="0.3">
      <c r="D15271" s="25"/>
      <c r="F15271" s="21"/>
      <c r="G15271" s="16"/>
    </row>
    <row r="15272" spans="4:7" ht="15" x14ac:dyDescent="0.3">
      <c r="D15272" s="25"/>
      <c r="F15272" s="21"/>
      <c r="G15272" s="16"/>
    </row>
    <row r="15273" spans="4:7" ht="15" x14ac:dyDescent="0.3">
      <c r="D15273" s="25"/>
      <c r="F15273" s="21"/>
      <c r="G15273" s="16"/>
    </row>
    <row r="15274" spans="4:7" ht="15" x14ac:dyDescent="0.3">
      <c r="D15274" s="25"/>
      <c r="F15274" s="21"/>
      <c r="G15274" s="16"/>
    </row>
    <row r="15275" spans="4:7" ht="15" x14ac:dyDescent="0.3">
      <c r="D15275" s="25"/>
      <c r="F15275" s="21"/>
      <c r="G15275" s="16"/>
    </row>
    <row r="15276" spans="4:7" ht="15" x14ac:dyDescent="0.3">
      <c r="D15276" s="25"/>
      <c r="F15276" s="21"/>
      <c r="G15276" s="16"/>
    </row>
    <row r="15277" spans="4:7" ht="15" x14ac:dyDescent="0.3">
      <c r="D15277" s="25"/>
      <c r="F15277" s="21"/>
      <c r="G15277" s="16"/>
    </row>
    <row r="15278" spans="4:7" ht="15" x14ac:dyDescent="0.3">
      <c r="D15278" s="25"/>
      <c r="F15278" s="21"/>
      <c r="G15278" s="16"/>
    </row>
    <row r="15279" spans="4:7" ht="15" x14ac:dyDescent="0.3">
      <c r="D15279" s="25"/>
      <c r="F15279" s="21"/>
      <c r="G15279" s="16"/>
    </row>
    <row r="15280" spans="4:7" ht="15" x14ac:dyDescent="0.3">
      <c r="D15280" s="25"/>
      <c r="F15280" s="21"/>
      <c r="G15280" s="16"/>
    </row>
    <row r="15281" spans="4:7" ht="15" x14ac:dyDescent="0.3">
      <c r="D15281" s="25"/>
      <c r="F15281" s="21"/>
      <c r="G15281" s="16"/>
    </row>
    <row r="15282" spans="4:7" ht="15" x14ac:dyDescent="0.3">
      <c r="D15282" s="25"/>
      <c r="F15282" s="21"/>
      <c r="G15282" s="16"/>
    </row>
    <row r="15283" spans="4:7" ht="15" x14ac:dyDescent="0.3">
      <c r="D15283" s="25"/>
      <c r="F15283" s="21"/>
      <c r="G15283" s="16"/>
    </row>
    <row r="15284" spans="4:7" ht="15" x14ac:dyDescent="0.3">
      <c r="D15284" s="25"/>
      <c r="F15284" s="21"/>
      <c r="G15284" s="16"/>
    </row>
    <row r="15285" spans="4:7" ht="15" x14ac:dyDescent="0.3">
      <c r="D15285" s="25"/>
      <c r="F15285" s="21"/>
      <c r="G15285" s="16"/>
    </row>
    <row r="15286" spans="4:7" ht="15" x14ac:dyDescent="0.3">
      <c r="D15286" s="25"/>
      <c r="F15286" s="21"/>
      <c r="G15286" s="16"/>
    </row>
    <row r="15287" spans="4:7" ht="15" x14ac:dyDescent="0.3">
      <c r="D15287" s="25"/>
      <c r="F15287" s="21"/>
      <c r="G15287" s="16"/>
    </row>
    <row r="15288" spans="4:7" ht="15" x14ac:dyDescent="0.3">
      <c r="D15288" s="25"/>
      <c r="F15288" s="21"/>
      <c r="G15288" s="16"/>
    </row>
    <row r="15289" spans="4:7" ht="15" x14ac:dyDescent="0.3">
      <c r="D15289" s="25"/>
      <c r="F15289" s="21"/>
      <c r="G15289" s="16"/>
    </row>
    <row r="15290" spans="4:7" ht="15" x14ac:dyDescent="0.3">
      <c r="D15290" s="25"/>
      <c r="F15290" s="21"/>
      <c r="G15290" s="16"/>
    </row>
    <row r="15291" spans="4:7" ht="15" x14ac:dyDescent="0.3">
      <c r="D15291" s="25"/>
      <c r="F15291" s="21"/>
      <c r="G15291" s="16"/>
    </row>
    <row r="15292" spans="4:7" ht="15" x14ac:dyDescent="0.3">
      <c r="D15292" s="25"/>
      <c r="F15292" s="21"/>
      <c r="G15292" s="16"/>
    </row>
    <row r="15293" spans="4:7" ht="15" x14ac:dyDescent="0.3">
      <c r="D15293" s="25"/>
      <c r="F15293" s="21"/>
      <c r="G15293" s="16"/>
    </row>
    <row r="15294" spans="4:7" ht="15" x14ac:dyDescent="0.3">
      <c r="D15294" s="25"/>
      <c r="F15294" s="21"/>
      <c r="G15294" s="16"/>
    </row>
    <row r="15295" spans="4:7" ht="15" x14ac:dyDescent="0.3">
      <c r="D15295" s="25"/>
      <c r="F15295" s="21"/>
      <c r="G15295" s="16"/>
    </row>
    <row r="15296" spans="4:7" ht="15" x14ac:dyDescent="0.3">
      <c r="D15296" s="25"/>
      <c r="F15296" s="21"/>
      <c r="G15296" s="16"/>
    </row>
    <row r="15297" spans="4:7" ht="15" x14ac:dyDescent="0.3">
      <c r="D15297" s="25"/>
      <c r="F15297" s="21"/>
      <c r="G15297" s="16"/>
    </row>
    <row r="15298" spans="4:7" ht="15" x14ac:dyDescent="0.3">
      <c r="D15298" s="25"/>
      <c r="F15298" s="21"/>
      <c r="G15298" s="16"/>
    </row>
    <row r="15299" spans="4:7" ht="15" x14ac:dyDescent="0.3">
      <c r="D15299" s="25"/>
      <c r="F15299" s="21"/>
      <c r="G15299" s="16"/>
    </row>
    <row r="15300" spans="4:7" ht="15" x14ac:dyDescent="0.3">
      <c r="D15300" s="25"/>
      <c r="F15300" s="21"/>
      <c r="G15300" s="16"/>
    </row>
    <row r="15301" spans="4:7" ht="15" x14ac:dyDescent="0.3">
      <c r="D15301" s="25"/>
      <c r="F15301" s="21"/>
      <c r="G15301" s="16"/>
    </row>
    <row r="15302" spans="4:7" ht="15" x14ac:dyDescent="0.3">
      <c r="D15302" s="25"/>
      <c r="F15302" s="21"/>
      <c r="G15302" s="16"/>
    </row>
    <row r="15303" spans="4:7" ht="15" x14ac:dyDescent="0.3">
      <c r="D15303" s="25"/>
      <c r="F15303" s="21"/>
      <c r="G15303" s="16"/>
    </row>
    <row r="15304" spans="4:7" ht="15" x14ac:dyDescent="0.3">
      <c r="D15304" s="25"/>
      <c r="F15304" s="21"/>
      <c r="G15304" s="16"/>
    </row>
    <row r="15305" spans="4:7" ht="15" x14ac:dyDescent="0.3">
      <c r="D15305" s="25"/>
      <c r="F15305" s="21"/>
      <c r="G15305" s="16"/>
    </row>
    <row r="15306" spans="4:7" ht="15" x14ac:dyDescent="0.3">
      <c r="D15306" s="25"/>
      <c r="F15306" s="21"/>
      <c r="G15306" s="16"/>
    </row>
    <row r="15307" spans="4:7" ht="15" x14ac:dyDescent="0.3">
      <c r="D15307" s="25"/>
      <c r="F15307" s="21"/>
      <c r="G15307" s="16"/>
    </row>
    <row r="15308" spans="4:7" ht="15" x14ac:dyDescent="0.3">
      <c r="D15308" s="25"/>
      <c r="F15308" s="21"/>
      <c r="G15308" s="16"/>
    </row>
    <row r="15309" spans="4:7" ht="15" x14ac:dyDescent="0.3">
      <c r="D15309" s="25"/>
      <c r="F15309" s="21"/>
      <c r="G15309" s="16"/>
    </row>
    <row r="15310" spans="4:7" ht="15" x14ac:dyDescent="0.3">
      <c r="D15310" s="25"/>
      <c r="F15310" s="21"/>
      <c r="G15310" s="16"/>
    </row>
    <row r="15311" spans="4:7" ht="15" x14ac:dyDescent="0.3">
      <c r="D15311" s="25"/>
      <c r="F15311" s="21"/>
      <c r="G15311" s="16"/>
    </row>
    <row r="15312" spans="4:7" ht="15" x14ac:dyDescent="0.3">
      <c r="D15312" s="25"/>
      <c r="F15312" s="21"/>
      <c r="G15312" s="16"/>
    </row>
    <row r="15313" spans="4:7" ht="15" x14ac:dyDescent="0.3">
      <c r="D15313" s="25"/>
      <c r="F15313" s="21"/>
      <c r="G15313" s="16"/>
    </row>
    <row r="15314" spans="4:7" ht="15" x14ac:dyDescent="0.3">
      <c r="D15314" s="25"/>
      <c r="F15314" s="21"/>
      <c r="G15314" s="16"/>
    </row>
    <row r="15315" spans="4:7" ht="15" x14ac:dyDescent="0.3">
      <c r="D15315" s="25"/>
      <c r="F15315" s="21"/>
      <c r="G15315" s="16"/>
    </row>
    <row r="15316" spans="4:7" ht="15" x14ac:dyDescent="0.3">
      <c r="D15316" s="25"/>
      <c r="F15316" s="21"/>
      <c r="G15316" s="16"/>
    </row>
    <row r="15317" spans="4:7" ht="15" x14ac:dyDescent="0.3">
      <c r="D15317" s="25"/>
      <c r="F15317" s="21"/>
      <c r="G15317" s="16"/>
    </row>
    <row r="15318" spans="4:7" ht="15" x14ac:dyDescent="0.3">
      <c r="D15318" s="25"/>
      <c r="F15318" s="21"/>
      <c r="G15318" s="16"/>
    </row>
    <row r="15319" spans="4:7" ht="15" x14ac:dyDescent="0.3">
      <c r="D15319" s="25"/>
      <c r="F15319" s="21"/>
      <c r="G15319" s="16"/>
    </row>
    <row r="15320" spans="4:7" ht="15" x14ac:dyDescent="0.3">
      <c r="D15320" s="25"/>
      <c r="F15320" s="21"/>
      <c r="G15320" s="16"/>
    </row>
    <row r="15321" spans="4:7" ht="15" x14ac:dyDescent="0.3">
      <c r="D15321" s="25"/>
      <c r="F15321" s="21"/>
      <c r="G15321" s="16"/>
    </row>
    <row r="15322" spans="4:7" ht="15" x14ac:dyDescent="0.3">
      <c r="D15322" s="25"/>
      <c r="F15322" s="21"/>
      <c r="G15322" s="16"/>
    </row>
    <row r="15323" spans="4:7" ht="15" x14ac:dyDescent="0.3">
      <c r="D15323" s="25"/>
      <c r="F15323" s="21"/>
      <c r="G15323" s="16"/>
    </row>
    <row r="15324" spans="4:7" ht="15" x14ac:dyDescent="0.3">
      <c r="D15324" s="25"/>
      <c r="F15324" s="21"/>
      <c r="G15324" s="16"/>
    </row>
    <row r="15325" spans="4:7" ht="15" x14ac:dyDescent="0.3">
      <c r="D15325" s="25"/>
      <c r="F15325" s="21"/>
      <c r="G15325" s="16"/>
    </row>
    <row r="15326" spans="4:7" ht="15" x14ac:dyDescent="0.3">
      <c r="D15326" s="25"/>
      <c r="F15326" s="21"/>
      <c r="G15326" s="16"/>
    </row>
    <row r="15327" spans="4:7" ht="15" x14ac:dyDescent="0.3">
      <c r="D15327" s="25"/>
      <c r="F15327" s="21"/>
      <c r="G15327" s="16"/>
    </row>
    <row r="15328" spans="4:7" ht="15" x14ac:dyDescent="0.3">
      <c r="D15328" s="25"/>
      <c r="F15328" s="21"/>
      <c r="G15328" s="16"/>
    </row>
    <row r="15329" spans="4:7" ht="15" x14ac:dyDescent="0.3">
      <c r="D15329" s="25"/>
      <c r="F15329" s="21"/>
      <c r="G15329" s="16"/>
    </row>
    <row r="15330" spans="4:7" ht="15" x14ac:dyDescent="0.3">
      <c r="D15330" s="25"/>
      <c r="F15330" s="21"/>
      <c r="G15330" s="16"/>
    </row>
    <row r="15331" spans="4:7" ht="15" x14ac:dyDescent="0.3">
      <c r="D15331" s="25"/>
      <c r="F15331" s="21"/>
      <c r="G15331" s="16"/>
    </row>
    <row r="15332" spans="4:7" ht="15" x14ac:dyDescent="0.3">
      <c r="D15332" s="25"/>
      <c r="F15332" s="21"/>
      <c r="G15332" s="16"/>
    </row>
    <row r="15333" spans="4:7" ht="15" x14ac:dyDescent="0.3">
      <c r="D15333" s="25"/>
      <c r="F15333" s="21"/>
      <c r="G15333" s="16"/>
    </row>
    <row r="15334" spans="4:7" ht="15" x14ac:dyDescent="0.3">
      <c r="D15334" s="25"/>
      <c r="F15334" s="21"/>
      <c r="G15334" s="16"/>
    </row>
    <row r="15335" spans="4:7" ht="15" x14ac:dyDescent="0.3">
      <c r="D15335" s="25"/>
      <c r="F15335" s="21"/>
      <c r="G15335" s="16"/>
    </row>
    <row r="15336" spans="4:7" ht="15" x14ac:dyDescent="0.3">
      <c r="D15336" s="25"/>
      <c r="F15336" s="21"/>
      <c r="G15336" s="16"/>
    </row>
    <row r="15337" spans="4:7" ht="15" x14ac:dyDescent="0.3">
      <c r="D15337" s="25"/>
      <c r="F15337" s="21"/>
      <c r="G15337" s="16"/>
    </row>
    <row r="15338" spans="4:7" ht="15" x14ac:dyDescent="0.3">
      <c r="D15338" s="25"/>
      <c r="F15338" s="21"/>
      <c r="G15338" s="16"/>
    </row>
    <row r="15339" spans="4:7" ht="15" x14ac:dyDescent="0.3">
      <c r="D15339" s="25"/>
      <c r="F15339" s="21"/>
      <c r="G15339" s="16"/>
    </row>
    <row r="15340" spans="4:7" ht="15" x14ac:dyDescent="0.3">
      <c r="D15340" s="25"/>
      <c r="F15340" s="21"/>
      <c r="G15340" s="16"/>
    </row>
    <row r="15341" spans="4:7" ht="15" x14ac:dyDescent="0.3">
      <c r="D15341" s="25"/>
      <c r="F15341" s="21"/>
      <c r="G15341" s="16"/>
    </row>
    <row r="15342" spans="4:7" ht="15" x14ac:dyDescent="0.3">
      <c r="D15342" s="25"/>
      <c r="F15342" s="21"/>
      <c r="G15342" s="16"/>
    </row>
    <row r="15343" spans="4:7" ht="15" x14ac:dyDescent="0.3">
      <c r="D15343" s="25"/>
      <c r="F15343" s="21"/>
      <c r="G15343" s="16"/>
    </row>
    <row r="15344" spans="4:7" ht="15" x14ac:dyDescent="0.3">
      <c r="D15344" s="25"/>
      <c r="F15344" s="21"/>
      <c r="G15344" s="16"/>
    </row>
    <row r="15345" spans="4:7" ht="15" x14ac:dyDescent="0.3">
      <c r="D15345" s="25"/>
      <c r="F15345" s="21"/>
      <c r="G15345" s="16"/>
    </row>
    <row r="15346" spans="4:7" ht="15" x14ac:dyDescent="0.3">
      <c r="D15346" s="25"/>
      <c r="F15346" s="21"/>
      <c r="G15346" s="16"/>
    </row>
    <row r="15347" spans="4:7" ht="15" x14ac:dyDescent="0.3">
      <c r="D15347" s="25"/>
      <c r="F15347" s="21"/>
      <c r="G15347" s="16"/>
    </row>
    <row r="15348" spans="4:7" ht="15" x14ac:dyDescent="0.3">
      <c r="D15348" s="25"/>
      <c r="F15348" s="21"/>
      <c r="G15348" s="16"/>
    </row>
    <row r="15349" spans="4:7" ht="15" x14ac:dyDescent="0.3">
      <c r="D15349" s="25"/>
      <c r="F15349" s="21"/>
      <c r="G15349" s="16"/>
    </row>
    <row r="15350" spans="4:7" ht="15" x14ac:dyDescent="0.3">
      <c r="D15350" s="25"/>
      <c r="F15350" s="21"/>
      <c r="G15350" s="16"/>
    </row>
    <row r="15351" spans="4:7" ht="15" x14ac:dyDescent="0.3">
      <c r="D15351" s="25"/>
      <c r="F15351" s="21"/>
      <c r="G15351" s="16"/>
    </row>
    <row r="15352" spans="4:7" ht="15" x14ac:dyDescent="0.3">
      <c r="D15352" s="25"/>
      <c r="F15352" s="21"/>
      <c r="G15352" s="16"/>
    </row>
    <row r="15353" spans="4:7" ht="15" x14ac:dyDescent="0.3">
      <c r="D15353" s="25"/>
      <c r="F15353" s="21"/>
      <c r="G15353" s="16"/>
    </row>
    <row r="15354" spans="4:7" ht="15" x14ac:dyDescent="0.3">
      <c r="D15354" s="25"/>
      <c r="F15354" s="21"/>
      <c r="G15354" s="16"/>
    </row>
    <row r="15355" spans="4:7" ht="15" x14ac:dyDescent="0.3">
      <c r="D15355" s="25"/>
      <c r="F15355" s="21"/>
      <c r="G15355" s="16"/>
    </row>
    <row r="15356" spans="4:7" ht="15" x14ac:dyDescent="0.3">
      <c r="D15356" s="25"/>
      <c r="F15356" s="21"/>
      <c r="G15356" s="16"/>
    </row>
    <row r="15357" spans="4:7" ht="15" x14ac:dyDescent="0.3">
      <c r="D15357" s="25"/>
      <c r="F15357" s="21"/>
      <c r="G15357" s="16"/>
    </row>
    <row r="15358" spans="4:7" ht="15" x14ac:dyDescent="0.3">
      <c r="D15358" s="25"/>
      <c r="F15358" s="21"/>
      <c r="G15358" s="16"/>
    </row>
    <row r="15359" spans="4:7" ht="15" x14ac:dyDescent="0.3">
      <c r="D15359" s="25"/>
      <c r="F15359" s="21"/>
      <c r="G15359" s="16"/>
    </row>
    <row r="15360" spans="4:7" ht="15" x14ac:dyDescent="0.3">
      <c r="D15360" s="25"/>
      <c r="F15360" s="21"/>
      <c r="G15360" s="16"/>
    </row>
    <row r="15361" spans="4:7" ht="15" x14ac:dyDescent="0.3">
      <c r="D15361" s="25"/>
      <c r="F15361" s="21"/>
      <c r="G15361" s="16"/>
    </row>
    <row r="15362" spans="4:7" ht="15" x14ac:dyDescent="0.3">
      <c r="D15362" s="25"/>
      <c r="F15362" s="21"/>
      <c r="G15362" s="16"/>
    </row>
    <row r="15363" spans="4:7" ht="15" x14ac:dyDescent="0.3">
      <c r="D15363" s="25"/>
      <c r="F15363" s="21"/>
      <c r="G15363" s="16"/>
    </row>
    <row r="15364" spans="4:7" ht="15" x14ac:dyDescent="0.3">
      <c r="D15364" s="25"/>
      <c r="F15364" s="21"/>
      <c r="G15364" s="16"/>
    </row>
    <row r="15365" spans="4:7" ht="15" x14ac:dyDescent="0.3">
      <c r="D15365" s="25"/>
      <c r="F15365" s="21"/>
      <c r="G15365" s="16"/>
    </row>
    <row r="15366" spans="4:7" ht="15" x14ac:dyDescent="0.3">
      <c r="D15366" s="25"/>
      <c r="F15366" s="21"/>
      <c r="G15366" s="16"/>
    </row>
    <row r="15367" spans="4:7" ht="15" x14ac:dyDescent="0.3">
      <c r="D15367" s="25"/>
      <c r="F15367" s="21"/>
      <c r="G15367" s="16"/>
    </row>
    <row r="15368" spans="4:7" ht="15" x14ac:dyDescent="0.3">
      <c r="D15368" s="25"/>
      <c r="F15368" s="21"/>
      <c r="G15368" s="16"/>
    </row>
    <row r="15369" spans="4:7" ht="15" x14ac:dyDescent="0.3">
      <c r="D15369" s="25"/>
      <c r="F15369" s="21"/>
      <c r="G15369" s="16"/>
    </row>
    <row r="15370" spans="4:7" ht="15" x14ac:dyDescent="0.3">
      <c r="D15370" s="25"/>
      <c r="F15370" s="21"/>
      <c r="G15370" s="16"/>
    </row>
    <row r="15371" spans="4:7" ht="15" x14ac:dyDescent="0.3">
      <c r="D15371" s="25"/>
      <c r="F15371" s="21"/>
      <c r="G15371" s="16"/>
    </row>
    <row r="15372" spans="4:7" ht="15" x14ac:dyDescent="0.3">
      <c r="D15372" s="25"/>
      <c r="F15372" s="21"/>
      <c r="G15372" s="16"/>
    </row>
    <row r="15373" spans="4:7" ht="15" x14ac:dyDescent="0.3">
      <c r="D15373" s="25"/>
      <c r="F15373" s="21"/>
      <c r="G15373" s="16"/>
    </row>
    <row r="15374" spans="4:7" ht="15" x14ac:dyDescent="0.3">
      <c r="D15374" s="25"/>
      <c r="F15374" s="21"/>
      <c r="G15374" s="16"/>
    </row>
    <row r="15375" spans="4:7" ht="15" x14ac:dyDescent="0.3">
      <c r="D15375" s="25"/>
      <c r="F15375" s="21"/>
      <c r="G15375" s="16"/>
    </row>
    <row r="15376" spans="4:7" ht="15" x14ac:dyDescent="0.3">
      <c r="D15376" s="25"/>
      <c r="F15376" s="21"/>
      <c r="G15376" s="16"/>
    </row>
    <row r="15377" spans="4:7" ht="15" x14ac:dyDescent="0.3">
      <c r="D15377" s="25"/>
      <c r="F15377" s="21"/>
      <c r="G15377" s="16"/>
    </row>
    <row r="15378" spans="4:7" ht="15" x14ac:dyDescent="0.3">
      <c r="D15378" s="25"/>
      <c r="F15378" s="21"/>
      <c r="G15378" s="16"/>
    </row>
    <row r="15379" spans="4:7" ht="15" x14ac:dyDescent="0.3">
      <c r="D15379" s="25"/>
      <c r="F15379" s="21"/>
      <c r="G15379" s="16"/>
    </row>
    <row r="15380" spans="4:7" ht="15" x14ac:dyDescent="0.3">
      <c r="D15380" s="25"/>
      <c r="F15380" s="21"/>
      <c r="G15380" s="16"/>
    </row>
    <row r="15381" spans="4:7" ht="15" x14ac:dyDescent="0.3">
      <c r="D15381" s="25"/>
      <c r="F15381" s="21"/>
      <c r="G15381" s="16"/>
    </row>
    <row r="15382" spans="4:7" ht="15" x14ac:dyDescent="0.3">
      <c r="D15382" s="25"/>
      <c r="F15382" s="21"/>
      <c r="G15382" s="16"/>
    </row>
    <row r="15383" spans="4:7" ht="15" x14ac:dyDescent="0.3">
      <c r="D15383" s="25"/>
      <c r="F15383" s="21"/>
      <c r="G15383" s="16"/>
    </row>
    <row r="15384" spans="4:7" ht="15" x14ac:dyDescent="0.3">
      <c r="D15384" s="25"/>
      <c r="F15384" s="21"/>
      <c r="G15384" s="16"/>
    </row>
    <row r="15385" spans="4:7" ht="15" x14ac:dyDescent="0.3">
      <c r="D15385" s="25"/>
      <c r="F15385" s="21"/>
      <c r="G15385" s="16"/>
    </row>
    <row r="15386" spans="4:7" ht="15" x14ac:dyDescent="0.3">
      <c r="D15386" s="25"/>
      <c r="F15386" s="21"/>
      <c r="G15386" s="16"/>
    </row>
    <row r="15387" spans="4:7" ht="15" x14ac:dyDescent="0.3">
      <c r="D15387" s="25"/>
      <c r="F15387" s="21"/>
      <c r="G15387" s="16"/>
    </row>
    <row r="15388" spans="4:7" ht="15" x14ac:dyDescent="0.3">
      <c r="D15388" s="25"/>
      <c r="F15388" s="21"/>
      <c r="G15388" s="16"/>
    </row>
    <row r="15389" spans="4:7" ht="15" x14ac:dyDescent="0.3">
      <c r="D15389" s="25"/>
      <c r="F15389" s="21"/>
      <c r="G15389" s="16"/>
    </row>
    <row r="15390" spans="4:7" ht="15" x14ac:dyDescent="0.3">
      <c r="D15390" s="25"/>
      <c r="F15390" s="21"/>
      <c r="G15390" s="16"/>
    </row>
    <row r="15391" spans="4:7" ht="15" x14ac:dyDescent="0.3">
      <c r="D15391" s="25"/>
      <c r="F15391" s="21"/>
      <c r="G15391" s="16"/>
    </row>
    <row r="15392" spans="4:7" ht="15" x14ac:dyDescent="0.3">
      <c r="D15392" s="25"/>
      <c r="F15392" s="21"/>
      <c r="G15392" s="16"/>
    </row>
    <row r="15393" spans="4:7" ht="15" x14ac:dyDescent="0.3">
      <c r="D15393" s="25"/>
      <c r="F15393" s="21"/>
      <c r="G15393" s="16"/>
    </row>
    <row r="15394" spans="4:7" ht="15" x14ac:dyDescent="0.3">
      <c r="D15394" s="25"/>
      <c r="F15394" s="21"/>
      <c r="G15394" s="16"/>
    </row>
    <row r="15395" spans="4:7" ht="15" x14ac:dyDescent="0.3">
      <c r="D15395" s="25"/>
      <c r="F15395" s="21"/>
      <c r="G15395" s="16"/>
    </row>
    <row r="15396" spans="4:7" ht="15" x14ac:dyDescent="0.3">
      <c r="D15396" s="25"/>
      <c r="F15396" s="21"/>
      <c r="G15396" s="16"/>
    </row>
    <row r="15397" spans="4:7" ht="15" x14ac:dyDescent="0.3">
      <c r="D15397" s="25"/>
      <c r="F15397" s="21"/>
      <c r="G15397" s="16"/>
    </row>
    <row r="15398" spans="4:7" ht="15" x14ac:dyDescent="0.3">
      <c r="D15398" s="25"/>
      <c r="F15398" s="21"/>
      <c r="G15398" s="16"/>
    </row>
    <row r="15399" spans="4:7" ht="15" x14ac:dyDescent="0.3">
      <c r="D15399" s="25"/>
      <c r="F15399" s="21"/>
      <c r="G15399" s="16"/>
    </row>
    <row r="15400" spans="4:7" ht="15" x14ac:dyDescent="0.3">
      <c r="D15400" s="25"/>
      <c r="F15400" s="21"/>
      <c r="G15400" s="16"/>
    </row>
    <row r="15401" spans="4:7" ht="15" x14ac:dyDescent="0.3">
      <c r="D15401" s="25"/>
      <c r="F15401" s="21"/>
      <c r="G15401" s="16"/>
    </row>
    <row r="15402" spans="4:7" ht="15" x14ac:dyDescent="0.3">
      <c r="D15402" s="25"/>
      <c r="F15402" s="21"/>
      <c r="G15402" s="16"/>
    </row>
    <row r="15403" spans="4:7" ht="15" x14ac:dyDescent="0.3">
      <c r="D15403" s="25"/>
      <c r="F15403" s="21"/>
      <c r="G15403" s="16"/>
    </row>
    <row r="15404" spans="4:7" ht="15" x14ac:dyDescent="0.3">
      <c r="D15404" s="25"/>
      <c r="F15404" s="21"/>
      <c r="G15404" s="16"/>
    </row>
    <row r="15405" spans="4:7" ht="15" x14ac:dyDescent="0.3">
      <c r="D15405" s="25"/>
      <c r="F15405" s="21"/>
      <c r="G15405" s="16"/>
    </row>
    <row r="15406" spans="4:7" ht="15" x14ac:dyDescent="0.3">
      <c r="D15406" s="25"/>
      <c r="F15406" s="21"/>
      <c r="G15406" s="16"/>
    </row>
    <row r="15407" spans="4:7" ht="15" x14ac:dyDescent="0.3">
      <c r="D15407" s="25"/>
      <c r="F15407" s="21"/>
      <c r="G15407" s="16"/>
    </row>
    <row r="15408" spans="4:7" ht="15" x14ac:dyDescent="0.3">
      <c r="D15408" s="25"/>
      <c r="F15408" s="21"/>
      <c r="G15408" s="16"/>
    </row>
    <row r="15409" spans="4:7" ht="15" x14ac:dyDescent="0.3">
      <c r="D15409" s="25"/>
      <c r="F15409" s="21"/>
      <c r="G15409" s="16"/>
    </row>
    <row r="15410" spans="4:7" ht="15" x14ac:dyDescent="0.3">
      <c r="D15410" s="25"/>
      <c r="F15410" s="21"/>
      <c r="G15410" s="16"/>
    </row>
    <row r="15411" spans="4:7" ht="15" x14ac:dyDescent="0.3">
      <c r="D15411" s="25"/>
      <c r="F15411" s="21"/>
      <c r="G15411" s="16"/>
    </row>
    <row r="15412" spans="4:7" ht="15" x14ac:dyDescent="0.3">
      <c r="D15412" s="25"/>
      <c r="F15412" s="21"/>
      <c r="G15412" s="16"/>
    </row>
    <row r="15413" spans="4:7" ht="15" x14ac:dyDescent="0.3">
      <c r="D15413" s="25"/>
      <c r="F15413" s="21"/>
      <c r="G15413" s="16"/>
    </row>
    <row r="15414" spans="4:7" ht="15" x14ac:dyDescent="0.3">
      <c r="D15414" s="25"/>
      <c r="F15414" s="21"/>
      <c r="G15414" s="16"/>
    </row>
    <row r="15415" spans="4:7" ht="15" x14ac:dyDescent="0.3">
      <c r="D15415" s="25"/>
      <c r="F15415" s="21"/>
      <c r="G15415" s="16"/>
    </row>
    <row r="15416" spans="4:7" ht="15" x14ac:dyDescent="0.3">
      <c r="D15416" s="25"/>
      <c r="F15416" s="21"/>
      <c r="G15416" s="16"/>
    </row>
    <row r="15417" spans="4:7" ht="15" x14ac:dyDescent="0.3">
      <c r="D15417" s="25"/>
      <c r="F15417" s="21"/>
      <c r="G15417" s="16"/>
    </row>
    <row r="15418" spans="4:7" ht="15" x14ac:dyDescent="0.3">
      <c r="D15418" s="25"/>
      <c r="F15418" s="21"/>
      <c r="G15418" s="16"/>
    </row>
    <row r="15419" spans="4:7" ht="15" x14ac:dyDescent="0.3">
      <c r="D15419" s="25"/>
      <c r="F15419" s="21"/>
      <c r="G15419" s="16"/>
    </row>
    <row r="15420" spans="4:7" ht="15" x14ac:dyDescent="0.3">
      <c r="D15420" s="25"/>
      <c r="F15420" s="21"/>
      <c r="G15420" s="16"/>
    </row>
    <row r="15421" spans="4:7" ht="15" x14ac:dyDescent="0.3">
      <c r="D15421" s="25"/>
      <c r="F15421" s="21"/>
      <c r="G15421" s="16"/>
    </row>
    <row r="15422" spans="4:7" ht="15" x14ac:dyDescent="0.3">
      <c r="D15422" s="25"/>
      <c r="F15422" s="21"/>
      <c r="G15422" s="16"/>
    </row>
    <row r="15423" spans="4:7" ht="15" x14ac:dyDescent="0.3">
      <c r="D15423" s="25"/>
      <c r="F15423" s="21"/>
      <c r="G15423" s="16"/>
    </row>
    <row r="15424" spans="4:7" ht="15" x14ac:dyDescent="0.3">
      <c r="D15424" s="25"/>
      <c r="F15424" s="21"/>
      <c r="G15424" s="16"/>
    </row>
    <row r="15425" spans="4:7" ht="15" x14ac:dyDescent="0.3">
      <c r="D15425" s="25"/>
      <c r="F15425" s="21"/>
      <c r="G15425" s="16"/>
    </row>
    <row r="15426" spans="4:7" ht="15" x14ac:dyDescent="0.3">
      <c r="D15426" s="25"/>
      <c r="F15426" s="21"/>
      <c r="G15426" s="16"/>
    </row>
    <row r="15427" spans="4:7" ht="15" x14ac:dyDescent="0.3">
      <c r="D15427" s="25"/>
      <c r="F15427" s="21"/>
      <c r="G15427" s="16"/>
    </row>
    <row r="15428" spans="4:7" ht="15" x14ac:dyDescent="0.3">
      <c r="D15428" s="25"/>
      <c r="F15428" s="21"/>
      <c r="G15428" s="16"/>
    </row>
    <row r="15429" spans="4:7" ht="15" x14ac:dyDescent="0.3">
      <c r="D15429" s="25"/>
      <c r="F15429" s="21"/>
      <c r="G15429" s="16"/>
    </row>
    <row r="15430" spans="4:7" ht="15" x14ac:dyDescent="0.3">
      <c r="D15430" s="25"/>
      <c r="F15430" s="21"/>
      <c r="G15430" s="16"/>
    </row>
    <row r="15431" spans="4:7" ht="15" x14ac:dyDescent="0.3">
      <c r="D15431" s="25"/>
      <c r="F15431" s="21"/>
      <c r="G15431" s="16"/>
    </row>
    <row r="15432" spans="4:7" ht="15" x14ac:dyDescent="0.3">
      <c r="D15432" s="25"/>
      <c r="F15432" s="21"/>
      <c r="G15432" s="16"/>
    </row>
    <row r="15433" spans="4:7" ht="15" x14ac:dyDescent="0.3">
      <c r="D15433" s="25"/>
      <c r="F15433" s="21"/>
      <c r="G15433" s="16"/>
    </row>
    <row r="15434" spans="4:7" ht="15" x14ac:dyDescent="0.3">
      <c r="D15434" s="25"/>
      <c r="F15434" s="21"/>
      <c r="G15434" s="16"/>
    </row>
    <row r="15435" spans="4:7" ht="15" x14ac:dyDescent="0.3">
      <c r="D15435" s="25"/>
      <c r="F15435" s="21"/>
      <c r="G15435" s="16"/>
    </row>
    <row r="15436" spans="4:7" ht="15" x14ac:dyDescent="0.3">
      <c r="D15436" s="25"/>
      <c r="F15436" s="21"/>
      <c r="G15436" s="16"/>
    </row>
    <row r="15437" spans="4:7" ht="15" x14ac:dyDescent="0.3">
      <c r="D15437" s="25"/>
      <c r="F15437" s="21"/>
      <c r="G15437" s="16"/>
    </row>
    <row r="15438" spans="4:7" ht="15" x14ac:dyDescent="0.3">
      <c r="D15438" s="25"/>
      <c r="F15438" s="21"/>
      <c r="G15438" s="16"/>
    </row>
    <row r="15439" spans="4:7" ht="15" x14ac:dyDescent="0.3">
      <c r="D15439" s="25"/>
      <c r="F15439" s="21"/>
      <c r="G15439" s="16"/>
    </row>
    <row r="15440" spans="4:7" ht="15" x14ac:dyDescent="0.3">
      <c r="D15440" s="25"/>
      <c r="F15440" s="21"/>
      <c r="G15440" s="16"/>
    </row>
    <row r="15441" spans="4:7" ht="15" x14ac:dyDescent="0.3">
      <c r="D15441" s="25"/>
      <c r="F15441" s="21"/>
      <c r="G15441" s="16"/>
    </row>
    <row r="15442" spans="4:7" ht="15" x14ac:dyDescent="0.3">
      <c r="D15442" s="25"/>
      <c r="F15442" s="21"/>
      <c r="G15442" s="16"/>
    </row>
    <row r="15443" spans="4:7" ht="15" x14ac:dyDescent="0.3">
      <c r="D15443" s="25"/>
      <c r="F15443" s="21"/>
      <c r="G15443" s="16"/>
    </row>
    <row r="15444" spans="4:7" ht="15" x14ac:dyDescent="0.3">
      <c r="D15444" s="25"/>
      <c r="F15444" s="21"/>
      <c r="G15444" s="16"/>
    </row>
    <row r="15445" spans="4:7" ht="15" x14ac:dyDescent="0.3">
      <c r="D15445" s="25"/>
      <c r="F15445" s="21"/>
      <c r="G15445" s="16"/>
    </row>
    <row r="15446" spans="4:7" ht="15" x14ac:dyDescent="0.3">
      <c r="D15446" s="25"/>
      <c r="F15446" s="21"/>
      <c r="G15446" s="16"/>
    </row>
    <row r="15447" spans="4:7" ht="15" x14ac:dyDescent="0.3">
      <c r="D15447" s="25"/>
      <c r="F15447" s="21"/>
      <c r="G15447" s="16"/>
    </row>
    <row r="15448" spans="4:7" ht="15" x14ac:dyDescent="0.3">
      <c r="D15448" s="25"/>
      <c r="F15448" s="21"/>
      <c r="G15448" s="16"/>
    </row>
    <row r="15449" spans="4:7" ht="15" x14ac:dyDescent="0.3">
      <c r="D15449" s="25"/>
      <c r="F15449" s="21"/>
      <c r="G15449" s="16"/>
    </row>
    <row r="15450" spans="4:7" ht="15" x14ac:dyDescent="0.3">
      <c r="D15450" s="25"/>
      <c r="F15450" s="21"/>
      <c r="G15450" s="16"/>
    </row>
    <row r="15451" spans="4:7" ht="15" x14ac:dyDescent="0.3">
      <c r="D15451" s="25"/>
      <c r="F15451" s="21"/>
      <c r="G15451" s="16"/>
    </row>
    <row r="15452" spans="4:7" ht="15" x14ac:dyDescent="0.3">
      <c r="D15452" s="25"/>
      <c r="F15452" s="21"/>
      <c r="G15452" s="16"/>
    </row>
    <row r="15453" spans="4:7" ht="15" x14ac:dyDescent="0.3">
      <c r="D15453" s="25"/>
      <c r="F15453" s="21"/>
      <c r="G15453" s="16"/>
    </row>
    <row r="15454" spans="4:7" ht="15" x14ac:dyDescent="0.3">
      <c r="D15454" s="25"/>
      <c r="F15454" s="21"/>
      <c r="G15454" s="16"/>
    </row>
    <row r="15455" spans="4:7" ht="15" x14ac:dyDescent="0.3">
      <c r="D15455" s="25"/>
      <c r="F15455" s="21"/>
      <c r="G15455" s="16"/>
    </row>
    <row r="15456" spans="4:7" ht="15" x14ac:dyDescent="0.3">
      <c r="D15456" s="25"/>
      <c r="F15456" s="21"/>
      <c r="G15456" s="16"/>
    </row>
    <row r="15457" spans="4:7" ht="15" x14ac:dyDescent="0.3">
      <c r="D15457" s="25"/>
      <c r="F15457" s="21"/>
      <c r="G15457" s="16"/>
    </row>
    <row r="15458" spans="4:7" ht="15" x14ac:dyDescent="0.3">
      <c r="D15458" s="25"/>
      <c r="F15458" s="21"/>
      <c r="G15458" s="16"/>
    </row>
    <row r="15459" spans="4:7" ht="15" x14ac:dyDescent="0.3">
      <c r="D15459" s="25"/>
      <c r="F15459" s="21"/>
      <c r="G15459" s="16"/>
    </row>
    <row r="15460" spans="4:7" ht="15" x14ac:dyDescent="0.3">
      <c r="D15460" s="25"/>
      <c r="F15460" s="21"/>
      <c r="G15460" s="16"/>
    </row>
    <row r="15461" spans="4:7" ht="15" x14ac:dyDescent="0.3">
      <c r="D15461" s="25"/>
      <c r="F15461" s="21"/>
      <c r="G15461" s="16"/>
    </row>
    <row r="15462" spans="4:7" ht="15" x14ac:dyDescent="0.3">
      <c r="D15462" s="25"/>
      <c r="F15462" s="21"/>
      <c r="G15462" s="16"/>
    </row>
    <row r="15463" spans="4:7" ht="15" x14ac:dyDescent="0.3">
      <c r="D15463" s="25"/>
      <c r="F15463" s="21"/>
      <c r="G15463" s="16"/>
    </row>
    <row r="15464" spans="4:7" ht="15" x14ac:dyDescent="0.3">
      <c r="D15464" s="25"/>
      <c r="F15464" s="21"/>
      <c r="G15464" s="16"/>
    </row>
    <row r="15465" spans="4:7" ht="15" x14ac:dyDescent="0.3">
      <c r="D15465" s="25"/>
      <c r="F15465" s="21"/>
      <c r="G15465" s="16"/>
    </row>
    <row r="15466" spans="4:7" ht="15" x14ac:dyDescent="0.3">
      <c r="D15466" s="25"/>
      <c r="F15466" s="21"/>
      <c r="G15466" s="16"/>
    </row>
    <row r="15467" spans="4:7" ht="15" x14ac:dyDescent="0.3">
      <c r="D15467" s="25"/>
      <c r="F15467" s="21"/>
      <c r="G15467" s="16"/>
    </row>
    <row r="15468" spans="4:7" ht="15" x14ac:dyDescent="0.3">
      <c r="D15468" s="25"/>
      <c r="F15468" s="21"/>
      <c r="G15468" s="16"/>
    </row>
    <row r="15469" spans="4:7" ht="15" x14ac:dyDescent="0.3">
      <c r="D15469" s="25"/>
      <c r="F15469" s="21"/>
      <c r="G15469" s="16"/>
    </row>
    <row r="15470" spans="4:7" ht="15" x14ac:dyDescent="0.3">
      <c r="D15470" s="25"/>
      <c r="F15470" s="21"/>
      <c r="G15470" s="16"/>
    </row>
    <row r="15471" spans="4:7" ht="15" x14ac:dyDescent="0.3">
      <c r="D15471" s="25"/>
      <c r="F15471" s="21"/>
      <c r="G15471" s="16"/>
    </row>
    <row r="15472" spans="4:7" ht="15" x14ac:dyDescent="0.3">
      <c r="D15472" s="25"/>
      <c r="F15472" s="21"/>
      <c r="G15472" s="16"/>
    </row>
    <row r="15473" spans="4:7" ht="15" x14ac:dyDescent="0.3">
      <c r="D15473" s="25"/>
      <c r="F15473" s="21"/>
      <c r="G15473" s="16"/>
    </row>
    <row r="15474" spans="4:7" ht="15" x14ac:dyDescent="0.3">
      <c r="D15474" s="25"/>
      <c r="F15474" s="21"/>
      <c r="G15474" s="16"/>
    </row>
    <row r="15475" spans="4:7" ht="15" x14ac:dyDescent="0.3">
      <c r="D15475" s="25"/>
      <c r="F15475" s="21"/>
      <c r="G15475" s="16"/>
    </row>
    <row r="15476" spans="4:7" ht="15" x14ac:dyDescent="0.3">
      <c r="D15476" s="25"/>
      <c r="F15476" s="21"/>
      <c r="G15476" s="16"/>
    </row>
    <row r="15477" spans="4:7" ht="15" x14ac:dyDescent="0.3">
      <c r="D15477" s="25"/>
      <c r="F15477" s="21"/>
      <c r="G15477" s="16"/>
    </row>
    <row r="15478" spans="4:7" ht="15" x14ac:dyDescent="0.3">
      <c r="D15478" s="25"/>
      <c r="F15478" s="21"/>
      <c r="G15478" s="16"/>
    </row>
    <row r="15479" spans="4:7" ht="15" x14ac:dyDescent="0.3">
      <c r="D15479" s="25"/>
      <c r="F15479" s="21"/>
      <c r="G15479" s="16"/>
    </row>
    <row r="15480" spans="4:7" ht="15" x14ac:dyDescent="0.3">
      <c r="D15480" s="25"/>
      <c r="F15480" s="21"/>
      <c r="G15480" s="16"/>
    </row>
    <row r="15481" spans="4:7" ht="15" x14ac:dyDescent="0.3">
      <c r="D15481" s="25"/>
      <c r="F15481" s="21"/>
      <c r="G15481" s="16"/>
    </row>
    <row r="15482" spans="4:7" ht="15" x14ac:dyDescent="0.3">
      <c r="D15482" s="25"/>
      <c r="F15482" s="21"/>
      <c r="G15482" s="16"/>
    </row>
    <row r="15483" spans="4:7" ht="15" x14ac:dyDescent="0.3">
      <c r="D15483" s="25"/>
      <c r="F15483" s="21"/>
      <c r="G15483" s="16"/>
    </row>
    <row r="15484" spans="4:7" ht="15" x14ac:dyDescent="0.3">
      <c r="D15484" s="25"/>
      <c r="F15484" s="21"/>
      <c r="G15484" s="16"/>
    </row>
    <row r="15485" spans="4:7" ht="15" x14ac:dyDescent="0.3">
      <c r="D15485" s="25"/>
      <c r="F15485" s="21"/>
      <c r="G15485" s="16"/>
    </row>
    <row r="15486" spans="4:7" ht="15" x14ac:dyDescent="0.3">
      <c r="D15486" s="25"/>
      <c r="F15486" s="21"/>
      <c r="G15486" s="16"/>
    </row>
    <row r="15487" spans="4:7" ht="15" x14ac:dyDescent="0.3">
      <c r="D15487" s="25"/>
      <c r="F15487" s="21"/>
      <c r="G15487" s="16"/>
    </row>
    <row r="15488" spans="4:7" ht="15" x14ac:dyDescent="0.3">
      <c r="D15488" s="25"/>
      <c r="F15488" s="21"/>
      <c r="G15488" s="16"/>
    </row>
    <row r="15489" spans="4:7" ht="15" x14ac:dyDescent="0.3">
      <c r="D15489" s="25"/>
      <c r="F15489" s="21"/>
      <c r="G15489" s="16"/>
    </row>
    <row r="15490" spans="4:7" ht="15" x14ac:dyDescent="0.3">
      <c r="D15490" s="25"/>
      <c r="F15490" s="21"/>
      <c r="G15490" s="16"/>
    </row>
    <row r="15491" spans="4:7" ht="15" x14ac:dyDescent="0.3">
      <c r="D15491" s="25"/>
      <c r="F15491" s="21"/>
      <c r="G15491" s="16"/>
    </row>
    <row r="15492" spans="4:7" ht="15" x14ac:dyDescent="0.3">
      <c r="D15492" s="25"/>
      <c r="F15492" s="21"/>
      <c r="G15492" s="16"/>
    </row>
    <row r="15493" spans="4:7" ht="15" x14ac:dyDescent="0.3">
      <c r="D15493" s="25"/>
      <c r="F15493" s="21"/>
      <c r="G15493" s="16"/>
    </row>
    <row r="15494" spans="4:7" ht="15" x14ac:dyDescent="0.3">
      <c r="D15494" s="25"/>
      <c r="F15494" s="21"/>
      <c r="G15494" s="16"/>
    </row>
    <row r="15495" spans="4:7" ht="15" x14ac:dyDescent="0.3">
      <c r="D15495" s="25"/>
      <c r="F15495" s="21"/>
      <c r="G15495" s="16"/>
    </row>
    <row r="15496" spans="4:7" ht="15" x14ac:dyDescent="0.3">
      <c r="D15496" s="25"/>
      <c r="F15496" s="21"/>
      <c r="G15496" s="16"/>
    </row>
    <row r="15497" spans="4:7" ht="15" x14ac:dyDescent="0.3">
      <c r="D15497" s="25"/>
      <c r="F15497" s="21"/>
      <c r="G15497" s="16"/>
    </row>
    <row r="15498" spans="4:7" ht="15" x14ac:dyDescent="0.3">
      <c r="D15498" s="25"/>
      <c r="F15498" s="21"/>
      <c r="G15498" s="16"/>
    </row>
    <row r="15499" spans="4:7" ht="15" x14ac:dyDescent="0.3">
      <c r="D15499" s="25"/>
      <c r="F15499" s="21"/>
      <c r="G15499" s="16"/>
    </row>
    <row r="15500" spans="4:7" ht="15" x14ac:dyDescent="0.3">
      <c r="D15500" s="25"/>
      <c r="F15500" s="21"/>
      <c r="G15500" s="16"/>
    </row>
    <row r="15501" spans="4:7" ht="15" x14ac:dyDescent="0.3">
      <c r="D15501" s="25"/>
      <c r="F15501" s="21"/>
      <c r="G15501" s="16"/>
    </row>
    <row r="15502" spans="4:7" ht="15" x14ac:dyDescent="0.3">
      <c r="D15502" s="25"/>
      <c r="F15502" s="21"/>
      <c r="G15502" s="16"/>
    </row>
    <row r="15503" spans="4:7" ht="15" x14ac:dyDescent="0.3">
      <c r="D15503" s="25"/>
      <c r="F15503" s="21"/>
      <c r="G15503" s="16"/>
    </row>
    <row r="15504" spans="4:7" ht="15" x14ac:dyDescent="0.3">
      <c r="D15504" s="25"/>
      <c r="F15504" s="21"/>
      <c r="G15504" s="16"/>
    </row>
    <row r="15505" spans="4:7" ht="15" x14ac:dyDescent="0.3">
      <c r="D15505" s="25"/>
      <c r="F15505" s="21"/>
      <c r="G15505" s="16"/>
    </row>
    <row r="15506" spans="4:7" ht="15" x14ac:dyDescent="0.3">
      <c r="D15506" s="25"/>
      <c r="F15506" s="21"/>
      <c r="G15506" s="16"/>
    </row>
    <row r="15507" spans="4:7" ht="15" x14ac:dyDescent="0.3">
      <c r="D15507" s="25"/>
      <c r="F15507" s="21"/>
      <c r="G15507" s="16"/>
    </row>
    <row r="15508" spans="4:7" ht="15" x14ac:dyDescent="0.3">
      <c r="D15508" s="25"/>
      <c r="F15508" s="21"/>
      <c r="G15508" s="16"/>
    </row>
    <row r="15509" spans="4:7" ht="15" x14ac:dyDescent="0.3">
      <c r="D15509" s="25"/>
      <c r="F15509" s="21"/>
      <c r="G15509" s="16"/>
    </row>
    <row r="15510" spans="4:7" ht="15" x14ac:dyDescent="0.3">
      <c r="D15510" s="25"/>
      <c r="F15510" s="21"/>
      <c r="G15510" s="16"/>
    </row>
    <row r="15511" spans="4:7" ht="15" x14ac:dyDescent="0.3">
      <c r="D15511" s="25"/>
      <c r="F15511" s="21"/>
      <c r="G15511" s="16"/>
    </row>
    <row r="15512" spans="4:7" ht="15" x14ac:dyDescent="0.3">
      <c r="D15512" s="25"/>
      <c r="F15512" s="21"/>
      <c r="G15512" s="16"/>
    </row>
    <row r="15513" spans="4:7" ht="15" x14ac:dyDescent="0.3">
      <c r="D15513" s="25"/>
      <c r="F15513" s="21"/>
      <c r="G15513" s="16"/>
    </row>
    <row r="15514" spans="4:7" ht="15" x14ac:dyDescent="0.3">
      <c r="D15514" s="25"/>
      <c r="F15514" s="21"/>
      <c r="G15514" s="16"/>
    </row>
    <row r="15515" spans="4:7" ht="15" x14ac:dyDescent="0.3">
      <c r="D15515" s="25"/>
      <c r="F15515" s="21"/>
      <c r="G15515" s="16"/>
    </row>
    <row r="15516" spans="4:7" ht="15" x14ac:dyDescent="0.3">
      <c r="D15516" s="25"/>
      <c r="F15516" s="21"/>
      <c r="G15516" s="16"/>
    </row>
    <row r="15517" spans="4:7" ht="15" x14ac:dyDescent="0.3">
      <c r="D15517" s="25"/>
      <c r="F15517" s="21"/>
      <c r="G15517" s="16"/>
    </row>
    <row r="15518" spans="4:7" ht="15" x14ac:dyDescent="0.3">
      <c r="D15518" s="25"/>
      <c r="F15518" s="21"/>
      <c r="G15518" s="16"/>
    </row>
    <row r="15519" spans="4:7" ht="15" x14ac:dyDescent="0.3">
      <c r="D15519" s="25"/>
      <c r="F15519" s="21"/>
      <c r="G15519" s="16"/>
    </row>
    <row r="15520" spans="4:7" ht="15" x14ac:dyDescent="0.3">
      <c r="D15520" s="25"/>
      <c r="F15520" s="21"/>
      <c r="G15520" s="16"/>
    </row>
    <row r="15521" spans="4:7" ht="15" x14ac:dyDescent="0.3">
      <c r="D15521" s="25"/>
      <c r="F15521" s="21"/>
      <c r="G15521" s="16"/>
    </row>
    <row r="15522" spans="4:7" ht="15" x14ac:dyDescent="0.3">
      <c r="D15522" s="25"/>
      <c r="F15522" s="21"/>
      <c r="G15522" s="16"/>
    </row>
    <row r="15523" spans="4:7" ht="15" x14ac:dyDescent="0.3">
      <c r="D15523" s="25"/>
      <c r="F15523" s="21"/>
      <c r="G15523" s="16"/>
    </row>
    <row r="15524" spans="4:7" ht="15" x14ac:dyDescent="0.3">
      <c r="D15524" s="25"/>
      <c r="F15524" s="21"/>
      <c r="G15524" s="16"/>
    </row>
    <row r="15525" spans="4:7" ht="15" x14ac:dyDescent="0.3">
      <c r="D15525" s="25"/>
      <c r="F15525" s="21"/>
      <c r="G15525" s="16"/>
    </row>
    <row r="15526" spans="4:7" ht="15" x14ac:dyDescent="0.3">
      <c r="D15526" s="25"/>
      <c r="F15526" s="21"/>
      <c r="G15526" s="16"/>
    </row>
    <row r="15527" spans="4:7" ht="15" x14ac:dyDescent="0.3">
      <c r="D15527" s="25"/>
      <c r="F15527" s="21"/>
      <c r="G15527" s="16"/>
    </row>
    <row r="15528" spans="4:7" ht="15" x14ac:dyDescent="0.3">
      <c r="D15528" s="25"/>
      <c r="F15528" s="21"/>
      <c r="G15528" s="16"/>
    </row>
    <row r="15529" spans="4:7" ht="15" x14ac:dyDescent="0.3">
      <c r="D15529" s="25"/>
      <c r="F15529" s="21"/>
      <c r="G15529" s="16"/>
    </row>
    <row r="15530" spans="4:7" ht="15" x14ac:dyDescent="0.3">
      <c r="D15530" s="25"/>
      <c r="F15530" s="21"/>
      <c r="G15530" s="16"/>
    </row>
    <row r="15531" spans="4:7" ht="15" x14ac:dyDescent="0.3">
      <c r="D15531" s="25"/>
      <c r="F15531" s="21"/>
      <c r="G15531" s="16"/>
    </row>
    <row r="15532" spans="4:7" ht="15" x14ac:dyDescent="0.3">
      <c r="D15532" s="25"/>
      <c r="F15532" s="21"/>
      <c r="G15532" s="16"/>
    </row>
    <row r="15533" spans="4:7" ht="15" x14ac:dyDescent="0.3">
      <c r="D15533" s="25"/>
      <c r="F15533" s="21"/>
      <c r="G15533" s="16"/>
    </row>
    <row r="15534" spans="4:7" ht="15" x14ac:dyDescent="0.3">
      <c r="D15534" s="25"/>
      <c r="F15534" s="21"/>
      <c r="G15534" s="16"/>
    </row>
    <row r="15535" spans="4:7" ht="15" x14ac:dyDescent="0.3">
      <c r="D15535" s="25"/>
      <c r="F15535" s="21"/>
      <c r="G15535" s="16"/>
    </row>
    <row r="15536" spans="4:7" ht="15" x14ac:dyDescent="0.3">
      <c r="D15536" s="25"/>
      <c r="F15536" s="21"/>
      <c r="G15536" s="16"/>
    </row>
    <row r="15537" spans="4:7" ht="15" x14ac:dyDescent="0.3">
      <c r="D15537" s="25"/>
      <c r="F15537" s="21"/>
      <c r="G15537" s="16"/>
    </row>
    <row r="15538" spans="4:7" ht="15" x14ac:dyDescent="0.3">
      <c r="D15538" s="25"/>
      <c r="F15538" s="21"/>
      <c r="G15538" s="16"/>
    </row>
    <row r="15539" spans="4:7" ht="15" x14ac:dyDescent="0.3">
      <c r="D15539" s="25"/>
      <c r="F15539" s="21"/>
      <c r="G15539" s="16"/>
    </row>
    <row r="15540" spans="4:7" ht="15" x14ac:dyDescent="0.3">
      <c r="D15540" s="25"/>
      <c r="F15540" s="21"/>
      <c r="G15540" s="16"/>
    </row>
    <row r="15541" spans="4:7" ht="15" x14ac:dyDescent="0.3">
      <c r="D15541" s="25"/>
      <c r="F15541" s="21"/>
      <c r="G15541" s="16"/>
    </row>
    <row r="15542" spans="4:7" ht="15" x14ac:dyDescent="0.3">
      <c r="D15542" s="25"/>
      <c r="F15542" s="21"/>
      <c r="G15542" s="16"/>
    </row>
    <row r="15543" spans="4:7" ht="15" x14ac:dyDescent="0.3">
      <c r="D15543" s="25"/>
      <c r="F15543" s="21"/>
      <c r="G15543" s="16"/>
    </row>
    <row r="15544" spans="4:7" ht="15" x14ac:dyDescent="0.3">
      <c r="D15544" s="25"/>
      <c r="F15544" s="21"/>
      <c r="G15544" s="16"/>
    </row>
    <row r="15545" spans="4:7" ht="15" x14ac:dyDescent="0.3">
      <c r="D15545" s="25"/>
      <c r="F15545" s="21"/>
      <c r="G15545" s="16"/>
    </row>
    <row r="15546" spans="4:7" ht="15" x14ac:dyDescent="0.3">
      <c r="D15546" s="25"/>
      <c r="F15546" s="21"/>
      <c r="G15546" s="16"/>
    </row>
    <row r="15547" spans="4:7" ht="15" x14ac:dyDescent="0.3">
      <c r="D15547" s="25"/>
      <c r="F15547" s="21"/>
      <c r="G15547" s="16"/>
    </row>
    <row r="15548" spans="4:7" ht="15" x14ac:dyDescent="0.3">
      <c r="D15548" s="25"/>
      <c r="F15548" s="21"/>
      <c r="G15548" s="16"/>
    </row>
    <row r="15549" spans="4:7" ht="15" x14ac:dyDescent="0.3">
      <c r="D15549" s="25"/>
      <c r="F15549" s="21"/>
      <c r="G15549" s="16"/>
    </row>
    <row r="15550" spans="4:7" ht="15" x14ac:dyDescent="0.3">
      <c r="D15550" s="25"/>
      <c r="F15550" s="21"/>
      <c r="G15550" s="16"/>
    </row>
    <row r="15551" spans="4:7" ht="15" x14ac:dyDescent="0.3">
      <c r="D15551" s="25"/>
      <c r="F15551" s="21"/>
      <c r="G15551" s="16"/>
    </row>
    <row r="15552" spans="4:7" ht="15" x14ac:dyDescent="0.3">
      <c r="D15552" s="25"/>
      <c r="F15552" s="21"/>
      <c r="G15552" s="16"/>
    </row>
    <row r="15553" spans="4:7" ht="15" x14ac:dyDescent="0.3">
      <c r="D15553" s="25"/>
      <c r="F15553" s="21"/>
      <c r="G15553" s="16"/>
    </row>
    <row r="15554" spans="4:7" ht="15" x14ac:dyDescent="0.3">
      <c r="D15554" s="25"/>
      <c r="F15554" s="21"/>
      <c r="G15554" s="16"/>
    </row>
    <row r="15555" spans="4:7" ht="15" x14ac:dyDescent="0.3">
      <c r="D15555" s="25"/>
      <c r="F15555" s="21"/>
      <c r="G15555" s="16"/>
    </row>
    <row r="15556" spans="4:7" ht="15" x14ac:dyDescent="0.3">
      <c r="D15556" s="25"/>
      <c r="F15556" s="21"/>
      <c r="G15556" s="16"/>
    </row>
    <row r="15557" spans="4:7" ht="15" x14ac:dyDescent="0.3">
      <c r="D15557" s="25"/>
      <c r="F15557" s="21"/>
      <c r="G15557" s="16"/>
    </row>
    <row r="15558" spans="4:7" ht="15" x14ac:dyDescent="0.3">
      <c r="D15558" s="25"/>
      <c r="F15558" s="21"/>
      <c r="G15558" s="16"/>
    </row>
    <row r="15559" spans="4:7" ht="15" x14ac:dyDescent="0.3">
      <c r="D15559" s="25"/>
      <c r="F15559" s="21"/>
      <c r="G15559" s="16"/>
    </row>
    <row r="15560" spans="4:7" ht="15" x14ac:dyDescent="0.3">
      <c r="D15560" s="25"/>
      <c r="F15560" s="21"/>
      <c r="G15560" s="16"/>
    </row>
    <row r="15561" spans="4:7" ht="15" x14ac:dyDescent="0.3">
      <c r="D15561" s="25"/>
      <c r="F15561" s="21"/>
      <c r="G15561" s="16"/>
    </row>
    <row r="15562" spans="4:7" ht="15" x14ac:dyDescent="0.3">
      <c r="D15562" s="25"/>
      <c r="F15562" s="21"/>
      <c r="G15562" s="16"/>
    </row>
    <row r="15563" spans="4:7" ht="15" x14ac:dyDescent="0.3">
      <c r="D15563" s="25"/>
      <c r="F15563" s="21"/>
      <c r="G15563" s="16"/>
    </row>
    <row r="15564" spans="4:7" ht="15" x14ac:dyDescent="0.3">
      <c r="D15564" s="25"/>
      <c r="F15564" s="21"/>
      <c r="G15564" s="16"/>
    </row>
    <row r="15565" spans="4:7" ht="15" x14ac:dyDescent="0.3">
      <c r="D15565" s="25"/>
      <c r="F15565" s="21"/>
      <c r="G15565" s="16"/>
    </row>
    <row r="15566" spans="4:7" ht="15" x14ac:dyDescent="0.3">
      <c r="D15566" s="25"/>
      <c r="F15566" s="21"/>
      <c r="G15566" s="16"/>
    </row>
    <row r="15567" spans="4:7" ht="15" x14ac:dyDescent="0.3">
      <c r="D15567" s="25"/>
      <c r="F15567" s="21"/>
      <c r="G15567" s="16"/>
    </row>
    <row r="15568" spans="4:7" ht="15" x14ac:dyDescent="0.3">
      <c r="D15568" s="25"/>
      <c r="F15568" s="21"/>
      <c r="G15568" s="16"/>
    </row>
    <row r="15569" spans="4:7" ht="15" x14ac:dyDescent="0.3">
      <c r="D15569" s="25"/>
      <c r="F15569" s="21"/>
      <c r="G15569" s="16"/>
    </row>
    <row r="15570" spans="4:7" ht="15" x14ac:dyDescent="0.3">
      <c r="D15570" s="25"/>
      <c r="F15570" s="21"/>
      <c r="G15570" s="16"/>
    </row>
    <row r="15571" spans="4:7" ht="15" x14ac:dyDescent="0.3">
      <c r="D15571" s="25"/>
      <c r="F15571" s="21"/>
      <c r="G15571" s="16"/>
    </row>
    <row r="15572" spans="4:7" ht="15" x14ac:dyDescent="0.3">
      <c r="D15572" s="25"/>
      <c r="F15572" s="21"/>
      <c r="G15572" s="16"/>
    </row>
    <row r="15573" spans="4:7" ht="15" x14ac:dyDescent="0.3">
      <c r="D15573" s="25"/>
      <c r="F15573" s="21"/>
      <c r="G15573" s="16"/>
    </row>
    <row r="15574" spans="4:7" ht="15" x14ac:dyDescent="0.3">
      <c r="D15574" s="25"/>
      <c r="F15574" s="21"/>
      <c r="G15574" s="16"/>
    </row>
    <row r="15575" spans="4:7" ht="15" x14ac:dyDescent="0.3">
      <c r="D15575" s="25"/>
      <c r="F15575" s="21"/>
      <c r="G15575" s="16"/>
    </row>
    <row r="15576" spans="4:7" ht="15" x14ac:dyDescent="0.3">
      <c r="D15576" s="25"/>
      <c r="F15576" s="21"/>
      <c r="G15576" s="16"/>
    </row>
    <row r="15577" spans="4:7" ht="15" x14ac:dyDescent="0.3">
      <c r="D15577" s="25"/>
      <c r="F15577" s="21"/>
      <c r="G15577" s="16"/>
    </row>
    <row r="15578" spans="4:7" ht="15" x14ac:dyDescent="0.3">
      <c r="D15578" s="25"/>
      <c r="F15578" s="21"/>
      <c r="G15578" s="16"/>
    </row>
    <row r="15579" spans="4:7" ht="15" x14ac:dyDescent="0.3">
      <c r="D15579" s="25"/>
      <c r="F15579" s="21"/>
      <c r="G15579" s="16"/>
    </row>
    <row r="15580" spans="4:7" ht="15" x14ac:dyDescent="0.3">
      <c r="D15580" s="25"/>
      <c r="F15580" s="21"/>
      <c r="G15580" s="16"/>
    </row>
    <row r="15581" spans="4:7" ht="15" x14ac:dyDescent="0.3">
      <c r="D15581" s="25"/>
      <c r="F15581" s="21"/>
      <c r="G15581" s="16"/>
    </row>
    <row r="15582" spans="4:7" ht="15" x14ac:dyDescent="0.3">
      <c r="D15582" s="25"/>
      <c r="F15582" s="21"/>
      <c r="G15582" s="16"/>
    </row>
    <row r="15583" spans="4:7" ht="15" x14ac:dyDescent="0.3">
      <c r="D15583" s="25"/>
      <c r="F15583" s="21"/>
      <c r="G15583" s="16"/>
    </row>
    <row r="15584" spans="4:7" ht="15" x14ac:dyDescent="0.3">
      <c r="D15584" s="25"/>
      <c r="F15584" s="21"/>
      <c r="G15584" s="16"/>
    </row>
    <row r="15585" spans="4:7" ht="15" x14ac:dyDescent="0.3">
      <c r="D15585" s="25"/>
      <c r="F15585" s="21"/>
      <c r="G15585" s="16"/>
    </row>
    <row r="15586" spans="4:7" ht="15" x14ac:dyDescent="0.3">
      <c r="D15586" s="25"/>
      <c r="F15586" s="21"/>
      <c r="G15586" s="16"/>
    </row>
    <row r="15587" spans="4:7" ht="15" x14ac:dyDescent="0.3">
      <c r="D15587" s="25"/>
      <c r="F15587" s="21"/>
      <c r="G15587" s="16"/>
    </row>
    <row r="15588" spans="4:7" ht="15" x14ac:dyDescent="0.3">
      <c r="D15588" s="25"/>
      <c r="F15588" s="21"/>
      <c r="G15588" s="16"/>
    </row>
    <row r="15589" spans="4:7" ht="15" x14ac:dyDescent="0.3">
      <c r="D15589" s="25"/>
      <c r="F15589" s="21"/>
      <c r="G15589" s="16"/>
    </row>
    <row r="15590" spans="4:7" ht="15" x14ac:dyDescent="0.3">
      <c r="D15590" s="25"/>
      <c r="F15590" s="21"/>
      <c r="G15590" s="16"/>
    </row>
    <row r="15591" spans="4:7" ht="15" x14ac:dyDescent="0.3">
      <c r="D15591" s="25"/>
      <c r="F15591" s="21"/>
      <c r="G15591" s="16"/>
    </row>
    <row r="15592" spans="4:7" ht="15" x14ac:dyDescent="0.3">
      <c r="D15592" s="25"/>
      <c r="F15592" s="21"/>
      <c r="G15592" s="16"/>
    </row>
    <row r="15593" spans="4:7" ht="15" x14ac:dyDescent="0.3">
      <c r="D15593" s="25"/>
      <c r="F15593" s="21"/>
      <c r="G15593" s="16"/>
    </row>
    <row r="15594" spans="4:7" ht="15" x14ac:dyDescent="0.3">
      <c r="D15594" s="25"/>
      <c r="F15594" s="21"/>
      <c r="G15594" s="16"/>
    </row>
    <row r="15595" spans="4:7" ht="15" x14ac:dyDescent="0.3">
      <c r="D15595" s="25"/>
      <c r="F15595" s="21"/>
      <c r="G15595" s="16"/>
    </row>
    <row r="15596" spans="4:7" ht="15" x14ac:dyDescent="0.3">
      <c r="D15596" s="25"/>
      <c r="F15596" s="21"/>
      <c r="G15596" s="16"/>
    </row>
    <row r="15597" spans="4:7" ht="15" x14ac:dyDescent="0.3">
      <c r="D15597" s="25"/>
      <c r="F15597" s="21"/>
      <c r="G15597" s="16"/>
    </row>
    <row r="15598" spans="4:7" ht="15" x14ac:dyDescent="0.3">
      <c r="D15598" s="25"/>
      <c r="F15598" s="21"/>
      <c r="G15598" s="16"/>
    </row>
    <row r="15599" spans="4:7" ht="15" x14ac:dyDescent="0.3">
      <c r="D15599" s="25"/>
      <c r="F15599" s="21"/>
      <c r="G15599" s="16"/>
    </row>
    <row r="15600" spans="4:7" ht="15" x14ac:dyDescent="0.3">
      <c r="D15600" s="25"/>
      <c r="F15600" s="21"/>
      <c r="G15600" s="16"/>
    </row>
    <row r="15601" spans="4:7" ht="15" x14ac:dyDescent="0.3">
      <c r="D15601" s="25"/>
      <c r="F15601" s="21"/>
      <c r="G15601" s="16"/>
    </row>
    <row r="15602" spans="4:7" ht="15" x14ac:dyDescent="0.3">
      <c r="D15602" s="25"/>
      <c r="F15602" s="21"/>
      <c r="G15602" s="16"/>
    </row>
    <row r="15603" spans="4:7" ht="15" x14ac:dyDescent="0.3">
      <c r="D15603" s="25"/>
      <c r="F15603" s="21"/>
      <c r="G15603" s="16"/>
    </row>
    <row r="15604" spans="4:7" ht="15" x14ac:dyDescent="0.3">
      <c r="D15604" s="25"/>
      <c r="F15604" s="21"/>
      <c r="G15604" s="16"/>
    </row>
    <row r="15605" spans="4:7" ht="15" x14ac:dyDescent="0.3">
      <c r="D15605" s="25"/>
      <c r="F15605" s="21"/>
      <c r="G15605" s="16"/>
    </row>
    <row r="15606" spans="4:7" ht="15" x14ac:dyDescent="0.3">
      <c r="D15606" s="25"/>
      <c r="F15606" s="21"/>
      <c r="G15606" s="16"/>
    </row>
    <row r="15607" spans="4:7" ht="15" x14ac:dyDescent="0.3">
      <c r="D15607" s="25"/>
      <c r="F15607" s="21"/>
      <c r="G15607" s="16"/>
    </row>
    <row r="15608" spans="4:7" ht="15" x14ac:dyDescent="0.3">
      <c r="D15608" s="25"/>
      <c r="F15608" s="21"/>
      <c r="G15608" s="16"/>
    </row>
    <row r="15609" spans="4:7" ht="15" x14ac:dyDescent="0.3">
      <c r="D15609" s="25"/>
      <c r="F15609" s="21"/>
      <c r="G15609" s="16"/>
    </row>
    <row r="15610" spans="4:7" ht="15" x14ac:dyDescent="0.3">
      <c r="D15610" s="25"/>
      <c r="F15610" s="21"/>
      <c r="G15610" s="16"/>
    </row>
    <row r="15611" spans="4:7" ht="15" x14ac:dyDescent="0.3">
      <c r="D15611" s="25"/>
      <c r="F15611" s="21"/>
      <c r="G15611" s="16"/>
    </row>
    <row r="15612" spans="4:7" ht="15" x14ac:dyDescent="0.3">
      <c r="D15612" s="25"/>
      <c r="F15612" s="21"/>
      <c r="G15612" s="16"/>
    </row>
    <row r="15613" spans="4:7" ht="15" x14ac:dyDescent="0.3">
      <c r="D15613" s="25"/>
      <c r="F15613" s="21"/>
      <c r="G15613" s="16"/>
    </row>
    <row r="15614" spans="4:7" ht="15" x14ac:dyDescent="0.3">
      <c r="D15614" s="25"/>
      <c r="F15614" s="21"/>
      <c r="G15614" s="16"/>
    </row>
    <row r="15615" spans="4:7" ht="15" x14ac:dyDescent="0.3">
      <c r="D15615" s="25"/>
      <c r="F15615" s="21"/>
      <c r="G15615" s="16"/>
    </row>
    <row r="15616" spans="4:7" ht="15" x14ac:dyDescent="0.3">
      <c r="D15616" s="25"/>
      <c r="F15616" s="21"/>
      <c r="G15616" s="16"/>
    </row>
    <row r="15617" spans="4:7" ht="15" x14ac:dyDescent="0.3">
      <c r="D15617" s="25"/>
      <c r="F15617" s="21"/>
      <c r="G15617" s="16"/>
    </row>
    <row r="15618" spans="4:7" ht="15" x14ac:dyDescent="0.3">
      <c r="D15618" s="25"/>
      <c r="F15618" s="21"/>
      <c r="G15618" s="16"/>
    </row>
    <row r="15619" spans="4:7" ht="15" x14ac:dyDescent="0.3">
      <c r="D15619" s="25"/>
      <c r="F15619" s="21"/>
      <c r="G15619" s="16"/>
    </row>
    <row r="15620" spans="4:7" ht="15" x14ac:dyDescent="0.3">
      <c r="D15620" s="25"/>
      <c r="F15620" s="21"/>
      <c r="G15620" s="16"/>
    </row>
    <row r="15621" spans="4:7" ht="15" x14ac:dyDescent="0.3">
      <c r="D15621" s="25"/>
      <c r="F15621" s="21"/>
      <c r="G15621" s="16"/>
    </row>
    <row r="15622" spans="4:7" ht="15" x14ac:dyDescent="0.3">
      <c r="D15622" s="25"/>
      <c r="F15622" s="21"/>
      <c r="G15622" s="16"/>
    </row>
    <row r="15623" spans="4:7" ht="15" x14ac:dyDescent="0.3">
      <c r="D15623" s="25"/>
      <c r="F15623" s="21"/>
      <c r="G15623" s="16"/>
    </row>
    <row r="15624" spans="4:7" ht="15" x14ac:dyDescent="0.3">
      <c r="D15624" s="25"/>
      <c r="F15624" s="21"/>
      <c r="G15624" s="16"/>
    </row>
    <row r="15625" spans="4:7" ht="15" x14ac:dyDescent="0.3">
      <c r="D15625" s="25"/>
      <c r="F15625" s="21"/>
      <c r="G15625" s="16"/>
    </row>
    <row r="15626" spans="4:7" ht="15" x14ac:dyDescent="0.3">
      <c r="D15626" s="25"/>
      <c r="F15626" s="21"/>
      <c r="G15626" s="16"/>
    </row>
    <row r="15627" spans="4:7" ht="15" x14ac:dyDescent="0.3">
      <c r="D15627" s="25"/>
      <c r="F15627" s="21"/>
      <c r="G15627" s="16"/>
    </row>
    <row r="15628" spans="4:7" ht="15" x14ac:dyDescent="0.3">
      <c r="D15628" s="25"/>
      <c r="F15628" s="21"/>
      <c r="G15628" s="16"/>
    </row>
    <row r="15629" spans="4:7" ht="15" x14ac:dyDescent="0.3">
      <c r="D15629" s="25"/>
      <c r="F15629" s="21"/>
      <c r="G15629" s="16"/>
    </row>
    <row r="15630" spans="4:7" ht="15" x14ac:dyDescent="0.3">
      <c r="D15630" s="25"/>
      <c r="F15630" s="21"/>
      <c r="G15630" s="16"/>
    </row>
    <row r="15631" spans="4:7" ht="15" x14ac:dyDescent="0.3">
      <c r="D15631" s="25"/>
      <c r="F15631" s="21"/>
      <c r="G15631" s="16"/>
    </row>
    <row r="15632" spans="4:7" ht="15" x14ac:dyDescent="0.3">
      <c r="D15632" s="25"/>
      <c r="F15632" s="21"/>
      <c r="G15632" s="16"/>
    </row>
    <row r="15633" spans="4:7" ht="15" x14ac:dyDescent="0.3">
      <c r="D15633" s="25"/>
      <c r="F15633" s="21"/>
      <c r="G15633" s="16"/>
    </row>
    <row r="15634" spans="4:7" ht="15" x14ac:dyDescent="0.3">
      <c r="D15634" s="25"/>
      <c r="F15634" s="21"/>
      <c r="G15634" s="16"/>
    </row>
    <row r="15635" spans="4:7" ht="15" x14ac:dyDescent="0.3">
      <c r="D15635" s="25"/>
      <c r="F15635" s="21"/>
      <c r="G15635" s="16"/>
    </row>
    <row r="15636" spans="4:7" ht="15" x14ac:dyDescent="0.3">
      <c r="D15636" s="25"/>
      <c r="F15636" s="21"/>
      <c r="G15636" s="16"/>
    </row>
    <row r="15637" spans="4:7" ht="15" x14ac:dyDescent="0.3">
      <c r="D15637" s="25"/>
      <c r="F15637" s="21"/>
      <c r="G15637" s="16"/>
    </row>
    <row r="15638" spans="4:7" ht="15" x14ac:dyDescent="0.3">
      <c r="D15638" s="25"/>
      <c r="F15638" s="21"/>
      <c r="G15638" s="16"/>
    </row>
    <row r="15639" spans="4:7" ht="15" x14ac:dyDescent="0.3">
      <c r="D15639" s="25"/>
      <c r="F15639" s="21"/>
      <c r="G15639" s="16"/>
    </row>
    <row r="15640" spans="4:7" ht="15" x14ac:dyDescent="0.3">
      <c r="D15640" s="25"/>
      <c r="F15640" s="21"/>
      <c r="G15640" s="16"/>
    </row>
    <row r="15641" spans="4:7" ht="15" x14ac:dyDescent="0.3">
      <c r="D15641" s="25"/>
      <c r="F15641" s="21"/>
      <c r="G15641" s="16"/>
    </row>
    <row r="15642" spans="4:7" ht="15" x14ac:dyDescent="0.3">
      <c r="D15642" s="25"/>
      <c r="F15642" s="21"/>
      <c r="G15642" s="16"/>
    </row>
    <row r="15643" spans="4:7" ht="15" x14ac:dyDescent="0.3">
      <c r="D15643" s="25"/>
      <c r="F15643" s="21"/>
      <c r="G15643" s="16"/>
    </row>
    <row r="15644" spans="4:7" ht="15" x14ac:dyDescent="0.3">
      <c r="D15644" s="25"/>
      <c r="F15644" s="21"/>
      <c r="G15644" s="16"/>
    </row>
    <row r="15645" spans="4:7" ht="15" x14ac:dyDescent="0.3">
      <c r="D15645" s="25"/>
      <c r="F15645" s="21"/>
      <c r="G15645" s="16"/>
    </row>
    <row r="15646" spans="4:7" ht="15" x14ac:dyDescent="0.3">
      <c r="D15646" s="25"/>
      <c r="F15646" s="21"/>
      <c r="G15646" s="16"/>
    </row>
    <row r="15647" spans="4:7" ht="15" x14ac:dyDescent="0.3">
      <c r="D15647" s="25"/>
      <c r="F15647" s="21"/>
      <c r="G15647" s="16"/>
    </row>
    <row r="15648" spans="4:7" ht="15" x14ac:dyDescent="0.3">
      <c r="D15648" s="25"/>
      <c r="F15648" s="21"/>
      <c r="G15648" s="16"/>
    </row>
    <row r="15649" spans="4:7" ht="15" x14ac:dyDescent="0.3">
      <c r="D15649" s="25"/>
      <c r="F15649" s="21"/>
      <c r="G15649" s="16"/>
    </row>
    <row r="15650" spans="4:7" ht="15" x14ac:dyDescent="0.3">
      <c r="D15650" s="25"/>
      <c r="F15650" s="21"/>
      <c r="G15650" s="16"/>
    </row>
    <row r="15651" spans="4:7" ht="15" x14ac:dyDescent="0.3">
      <c r="D15651" s="25"/>
      <c r="F15651" s="21"/>
      <c r="G15651" s="16"/>
    </row>
    <row r="15652" spans="4:7" ht="15" x14ac:dyDescent="0.3">
      <c r="D15652" s="25"/>
      <c r="F15652" s="21"/>
      <c r="G15652" s="16"/>
    </row>
    <row r="15653" spans="4:7" x14ac:dyDescent="0.2">
      <c r="D15653" s="25"/>
      <c r="F15653" s="21"/>
    </row>
    <row r="15654" spans="4:7" ht="15" x14ac:dyDescent="0.3">
      <c r="D15654" s="25"/>
      <c r="F15654" s="21"/>
      <c r="G15654" s="16"/>
    </row>
    <row r="15655" spans="4:7" ht="15" x14ac:dyDescent="0.3">
      <c r="D15655" s="25"/>
      <c r="F15655" s="21"/>
      <c r="G15655" s="16"/>
    </row>
    <row r="15656" spans="4:7" ht="15" x14ac:dyDescent="0.3">
      <c r="D15656" s="25"/>
      <c r="F15656" s="21"/>
      <c r="G15656" s="16"/>
    </row>
    <row r="15657" spans="4:7" ht="15" x14ac:dyDescent="0.3">
      <c r="D15657" s="25"/>
      <c r="F15657" s="21"/>
      <c r="G15657" s="16"/>
    </row>
    <row r="15658" spans="4:7" ht="15" x14ac:dyDescent="0.3">
      <c r="D15658" s="25"/>
      <c r="F15658" s="21"/>
      <c r="G15658" s="16"/>
    </row>
    <row r="15659" spans="4:7" ht="15" x14ac:dyDescent="0.3">
      <c r="D15659" s="25"/>
      <c r="F15659" s="21"/>
      <c r="G15659" s="16"/>
    </row>
    <row r="15660" spans="4:7" ht="15" x14ac:dyDescent="0.3">
      <c r="D15660" s="25"/>
      <c r="F15660" s="21"/>
      <c r="G15660" s="16"/>
    </row>
    <row r="15661" spans="4:7" ht="15" x14ac:dyDescent="0.3">
      <c r="D15661" s="25"/>
      <c r="F15661" s="21"/>
      <c r="G15661" s="16"/>
    </row>
    <row r="15662" spans="4:7" ht="15" x14ac:dyDescent="0.3">
      <c r="D15662" s="25"/>
      <c r="F15662" s="21"/>
      <c r="G15662" s="16"/>
    </row>
    <row r="15663" spans="4:7" ht="15" x14ac:dyDescent="0.3">
      <c r="D15663" s="25"/>
      <c r="F15663" s="21"/>
      <c r="G15663" s="16"/>
    </row>
    <row r="15664" spans="4:7" ht="15" x14ac:dyDescent="0.3">
      <c r="D15664" s="25"/>
      <c r="F15664" s="21"/>
      <c r="G15664" s="16"/>
    </row>
    <row r="15665" spans="4:7" ht="15" x14ac:dyDescent="0.3">
      <c r="D15665" s="25"/>
      <c r="F15665" s="21"/>
      <c r="G15665" s="16"/>
    </row>
    <row r="15666" spans="4:7" ht="15" x14ac:dyDescent="0.3">
      <c r="D15666" s="25"/>
      <c r="F15666" s="21"/>
      <c r="G15666" s="16"/>
    </row>
    <row r="15667" spans="4:7" ht="15" x14ac:dyDescent="0.3">
      <c r="D15667" s="25"/>
      <c r="F15667" s="21"/>
      <c r="G15667" s="16"/>
    </row>
    <row r="15668" spans="4:7" ht="15" x14ac:dyDescent="0.3">
      <c r="D15668" s="25"/>
      <c r="F15668" s="21"/>
      <c r="G15668" s="16"/>
    </row>
    <row r="15669" spans="4:7" ht="15" x14ac:dyDescent="0.3">
      <c r="D15669" s="25"/>
      <c r="F15669" s="21"/>
      <c r="G15669" s="16"/>
    </row>
    <row r="15670" spans="4:7" ht="15" x14ac:dyDescent="0.3">
      <c r="D15670" s="25"/>
      <c r="F15670" s="21"/>
      <c r="G15670" s="16"/>
    </row>
    <row r="15671" spans="4:7" ht="15" x14ac:dyDescent="0.3">
      <c r="D15671" s="25"/>
      <c r="F15671" s="21"/>
      <c r="G15671" s="16"/>
    </row>
    <row r="15672" spans="4:7" ht="15" x14ac:dyDescent="0.3">
      <c r="D15672" s="25"/>
      <c r="F15672" s="21"/>
      <c r="G15672" s="16"/>
    </row>
    <row r="15673" spans="4:7" ht="15" x14ac:dyDescent="0.3">
      <c r="D15673" s="25"/>
      <c r="F15673" s="21"/>
      <c r="G15673" s="16"/>
    </row>
    <row r="15674" spans="4:7" ht="15" x14ac:dyDescent="0.3">
      <c r="D15674" s="25"/>
      <c r="F15674" s="21"/>
      <c r="G15674" s="16"/>
    </row>
    <row r="15675" spans="4:7" ht="15" x14ac:dyDescent="0.3">
      <c r="D15675" s="25"/>
      <c r="F15675" s="21"/>
      <c r="G15675" s="16"/>
    </row>
    <row r="15676" spans="4:7" ht="15" x14ac:dyDescent="0.3">
      <c r="D15676" s="25"/>
      <c r="F15676" s="21"/>
      <c r="G15676" s="16"/>
    </row>
    <row r="15677" spans="4:7" ht="15" x14ac:dyDescent="0.3">
      <c r="D15677" s="25"/>
      <c r="F15677" s="21"/>
      <c r="G15677" s="16"/>
    </row>
    <row r="15678" spans="4:7" ht="15" x14ac:dyDescent="0.3">
      <c r="D15678" s="25"/>
      <c r="F15678" s="21"/>
      <c r="G15678" s="16"/>
    </row>
    <row r="15679" spans="4:7" ht="15" x14ac:dyDescent="0.3">
      <c r="D15679" s="25"/>
      <c r="F15679" s="21"/>
      <c r="G15679" s="16"/>
    </row>
    <row r="15680" spans="4:7" ht="15" x14ac:dyDescent="0.3">
      <c r="D15680" s="25"/>
      <c r="F15680" s="21"/>
      <c r="G15680" s="16"/>
    </row>
    <row r="15681" spans="4:7" ht="15" x14ac:dyDescent="0.3">
      <c r="D15681" s="25"/>
      <c r="F15681" s="21"/>
      <c r="G15681" s="16"/>
    </row>
    <row r="15682" spans="4:7" ht="15" x14ac:dyDescent="0.3">
      <c r="D15682" s="25"/>
      <c r="F15682" s="21"/>
      <c r="G15682" s="16"/>
    </row>
    <row r="15683" spans="4:7" ht="15" x14ac:dyDescent="0.3">
      <c r="D15683" s="25"/>
      <c r="F15683" s="21"/>
      <c r="G15683" s="16"/>
    </row>
    <row r="15684" spans="4:7" ht="15" x14ac:dyDescent="0.3">
      <c r="D15684" s="25"/>
      <c r="F15684" s="21"/>
      <c r="G15684" s="16"/>
    </row>
    <row r="15685" spans="4:7" ht="15" x14ac:dyDescent="0.3">
      <c r="D15685" s="25"/>
      <c r="F15685" s="21"/>
      <c r="G15685" s="16"/>
    </row>
    <row r="15686" spans="4:7" ht="15" x14ac:dyDescent="0.3">
      <c r="D15686" s="25"/>
      <c r="F15686" s="21"/>
      <c r="G15686" s="16"/>
    </row>
    <row r="15687" spans="4:7" ht="15" x14ac:dyDescent="0.3">
      <c r="D15687" s="25"/>
      <c r="F15687" s="21"/>
      <c r="G15687" s="16"/>
    </row>
    <row r="15688" spans="4:7" ht="15" x14ac:dyDescent="0.3">
      <c r="D15688" s="25"/>
      <c r="F15688" s="21"/>
      <c r="G15688" s="16"/>
    </row>
    <row r="15689" spans="4:7" ht="15" x14ac:dyDescent="0.3">
      <c r="D15689" s="25"/>
      <c r="F15689" s="21"/>
      <c r="G15689" s="16"/>
    </row>
    <row r="15690" spans="4:7" ht="15" x14ac:dyDescent="0.3">
      <c r="D15690" s="25"/>
      <c r="F15690" s="21"/>
      <c r="G15690" s="16"/>
    </row>
    <row r="15691" spans="4:7" ht="15" x14ac:dyDescent="0.3">
      <c r="D15691" s="25"/>
      <c r="F15691" s="21"/>
      <c r="G15691" s="16"/>
    </row>
    <row r="15692" spans="4:7" ht="15" x14ac:dyDescent="0.3">
      <c r="D15692" s="25"/>
      <c r="F15692" s="21"/>
      <c r="G15692" s="16"/>
    </row>
    <row r="15693" spans="4:7" ht="15" x14ac:dyDescent="0.3">
      <c r="D15693" s="25"/>
      <c r="F15693" s="21"/>
      <c r="G15693" s="16"/>
    </row>
    <row r="15694" spans="4:7" ht="15" x14ac:dyDescent="0.3">
      <c r="D15694" s="25"/>
      <c r="F15694" s="21"/>
      <c r="G15694" s="16"/>
    </row>
    <row r="15695" spans="4:7" ht="15" x14ac:dyDescent="0.3">
      <c r="D15695" s="25"/>
      <c r="F15695" s="21"/>
      <c r="G15695" s="16"/>
    </row>
    <row r="15696" spans="4:7" ht="15" x14ac:dyDescent="0.3">
      <c r="D15696" s="25"/>
      <c r="F15696" s="21"/>
      <c r="G15696" s="16"/>
    </row>
    <row r="15697" spans="4:7" ht="15" x14ac:dyDescent="0.3">
      <c r="D15697" s="25"/>
      <c r="F15697" s="21"/>
      <c r="G15697" s="16"/>
    </row>
    <row r="15698" spans="4:7" ht="15" x14ac:dyDescent="0.3">
      <c r="D15698" s="25"/>
      <c r="F15698" s="21"/>
      <c r="G15698" s="16"/>
    </row>
    <row r="15699" spans="4:7" ht="15" x14ac:dyDescent="0.3">
      <c r="D15699" s="25"/>
      <c r="F15699" s="21"/>
      <c r="G15699" s="16"/>
    </row>
    <row r="15700" spans="4:7" ht="15" x14ac:dyDescent="0.3">
      <c r="D15700" s="25"/>
      <c r="F15700" s="21"/>
      <c r="G15700" s="16"/>
    </row>
    <row r="15701" spans="4:7" ht="15" x14ac:dyDescent="0.3">
      <c r="D15701" s="25"/>
      <c r="F15701" s="21"/>
      <c r="G15701" s="16"/>
    </row>
    <row r="15702" spans="4:7" ht="15" x14ac:dyDescent="0.3">
      <c r="D15702" s="25"/>
      <c r="F15702" s="21"/>
      <c r="G15702" s="16"/>
    </row>
    <row r="15703" spans="4:7" ht="15" x14ac:dyDescent="0.3">
      <c r="D15703" s="25"/>
      <c r="F15703" s="21"/>
      <c r="G15703" s="16"/>
    </row>
    <row r="15704" spans="4:7" ht="15" x14ac:dyDescent="0.3">
      <c r="D15704" s="25"/>
      <c r="F15704" s="21"/>
      <c r="G15704" s="16"/>
    </row>
    <row r="15705" spans="4:7" ht="15" x14ac:dyDescent="0.3">
      <c r="D15705" s="25"/>
      <c r="F15705" s="21"/>
      <c r="G15705" s="16"/>
    </row>
    <row r="15706" spans="4:7" ht="15" x14ac:dyDescent="0.3">
      <c r="D15706" s="25"/>
      <c r="F15706" s="21"/>
      <c r="G15706" s="16"/>
    </row>
    <row r="15707" spans="4:7" ht="15" x14ac:dyDescent="0.3">
      <c r="D15707" s="25"/>
      <c r="F15707" s="21"/>
      <c r="G15707" s="16"/>
    </row>
    <row r="15708" spans="4:7" ht="15" x14ac:dyDescent="0.3">
      <c r="D15708" s="25"/>
      <c r="F15708" s="21"/>
      <c r="G15708" s="16"/>
    </row>
    <row r="15709" spans="4:7" ht="15" x14ac:dyDescent="0.3">
      <c r="D15709" s="25"/>
      <c r="F15709" s="21"/>
      <c r="G15709" s="16"/>
    </row>
    <row r="15710" spans="4:7" ht="15" x14ac:dyDescent="0.3">
      <c r="D15710" s="25"/>
      <c r="F15710" s="21"/>
      <c r="G15710" s="16"/>
    </row>
    <row r="15711" spans="4:7" ht="15" x14ac:dyDescent="0.3">
      <c r="D15711" s="25"/>
      <c r="F15711" s="21"/>
      <c r="G15711" s="16"/>
    </row>
    <row r="15712" spans="4:7" ht="15" x14ac:dyDescent="0.3">
      <c r="D15712" s="25"/>
      <c r="F15712" s="21"/>
      <c r="G15712" s="16"/>
    </row>
    <row r="15713" spans="4:7" ht="15" x14ac:dyDescent="0.3">
      <c r="D15713" s="25"/>
      <c r="F15713" s="21"/>
      <c r="G15713" s="16"/>
    </row>
    <row r="15714" spans="4:7" ht="15" x14ac:dyDescent="0.3">
      <c r="D15714" s="25"/>
      <c r="F15714" s="21"/>
      <c r="G15714" s="16"/>
    </row>
    <row r="15715" spans="4:7" ht="15" x14ac:dyDescent="0.3">
      <c r="D15715" s="25"/>
      <c r="F15715" s="21"/>
      <c r="G15715" s="16"/>
    </row>
    <row r="15716" spans="4:7" ht="15" x14ac:dyDescent="0.3">
      <c r="D15716" s="25"/>
      <c r="F15716" s="21"/>
      <c r="G15716" s="16"/>
    </row>
    <row r="15717" spans="4:7" ht="15" x14ac:dyDescent="0.3">
      <c r="D15717" s="25"/>
      <c r="F15717" s="21"/>
      <c r="G15717" s="16"/>
    </row>
    <row r="15718" spans="4:7" ht="15" x14ac:dyDescent="0.3">
      <c r="D15718" s="25"/>
      <c r="F15718" s="21"/>
      <c r="G15718" s="16"/>
    </row>
    <row r="15719" spans="4:7" ht="15" x14ac:dyDescent="0.3">
      <c r="D15719" s="25"/>
      <c r="F15719" s="21"/>
      <c r="G15719" s="16"/>
    </row>
    <row r="15720" spans="4:7" ht="15" x14ac:dyDescent="0.3">
      <c r="D15720" s="25"/>
      <c r="F15720" s="21"/>
      <c r="G15720" s="16"/>
    </row>
    <row r="15721" spans="4:7" ht="15" x14ac:dyDescent="0.3">
      <c r="D15721" s="25"/>
      <c r="F15721" s="21"/>
      <c r="G15721" s="16"/>
    </row>
    <row r="15722" spans="4:7" ht="15" x14ac:dyDescent="0.3">
      <c r="D15722" s="25"/>
      <c r="F15722" s="21"/>
      <c r="G15722" s="16"/>
    </row>
    <row r="15723" spans="4:7" ht="15" x14ac:dyDescent="0.3">
      <c r="D15723" s="25"/>
      <c r="F15723" s="21"/>
      <c r="G15723" s="16"/>
    </row>
    <row r="15724" spans="4:7" ht="15" x14ac:dyDescent="0.3">
      <c r="D15724" s="25"/>
      <c r="F15724" s="21"/>
      <c r="G15724" s="16"/>
    </row>
    <row r="15725" spans="4:7" ht="15" x14ac:dyDescent="0.3">
      <c r="D15725" s="25"/>
      <c r="F15725" s="21"/>
      <c r="G15725" s="16"/>
    </row>
    <row r="15726" spans="4:7" ht="15" x14ac:dyDescent="0.3">
      <c r="D15726" s="25"/>
      <c r="F15726" s="21"/>
      <c r="G15726" s="16"/>
    </row>
    <row r="15727" spans="4:7" ht="15" x14ac:dyDescent="0.3">
      <c r="D15727" s="25"/>
      <c r="F15727" s="21"/>
      <c r="G15727" s="16"/>
    </row>
    <row r="15728" spans="4:7" ht="15" x14ac:dyDescent="0.3">
      <c r="D15728" s="25"/>
      <c r="F15728" s="21"/>
      <c r="G15728" s="16"/>
    </row>
    <row r="15729" spans="4:7" ht="15" x14ac:dyDescent="0.3">
      <c r="D15729" s="25"/>
      <c r="F15729" s="21"/>
      <c r="G15729" s="16"/>
    </row>
    <row r="15730" spans="4:7" ht="15" x14ac:dyDescent="0.3">
      <c r="D15730" s="25"/>
      <c r="F15730" s="21"/>
      <c r="G15730" s="16"/>
    </row>
    <row r="15731" spans="4:7" ht="15" x14ac:dyDescent="0.3">
      <c r="D15731" s="25"/>
      <c r="F15731" s="21"/>
      <c r="G15731" s="16"/>
    </row>
    <row r="15732" spans="4:7" ht="15" x14ac:dyDescent="0.3">
      <c r="D15732" s="25"/>
      <c r="F15732" s="21"/>
      <c r="G15732" s="16"/>
    </row>
    <row r="15733" spans="4:7" ht="15" x14ac:dyDescent="0.3">
      <c r="D15733" s="25"/>
      <c r="F15733" s="21"/>
      <c r="G15733" s="16"/>
    </row>
    <row r="15734" spans="4:7" ht="15" x14ac:dyDescent="0.3">
      <c r="D15734" s="25"/>
      <c r="F15734" s="21"/>
      <c r="G15734" s="16"/>
    </row>
    <row r="15735" spans="4:7" ht="15" x14ac:dyDescent="0.3">
      <c r="D15735" s="25"/>
      <c r="F15735" s="21"/>
      <c r="G15735" s="16"/>
    </row>
    <row r="15736" spans="4:7" ht="15" x14ac:dyDescent="0.3">
      <c r="D15736" s="25"/>
      <c r="F15736" s="21"/>
      <c r="G15736" s="16"/>
    </row>
    <row r="15737" spans="4:7" ht="15" x14ac:dyDescent="0.3">
      <c r="D15737" s="25"/>
      <c r="F15737" s="21"/>
      <c r="G15737" s="16"/>
    </row>
    <row r="15738" spans="4:7" ht="15" x14ac:dyDescent="0.3">
      <c r="D15738" s="25"/>
      <c r="F15738" s="21"/>
      <c r="G15738" s="16"/>
    </row>
    <row r="15739" spans="4:7" ht="15" x14ac:dyDescent="0.3">
      <c r="D15739" s="25"/>
      <c r="F15739" s="21"/>
      <c r="G15739" s="16"/>
    </row>
    <row r="15740" spans="4:7" ht="15" x14ac:dyDescent="0.3">
      <c r="D15740" s="25"/>
      <c r="F15740" s="21"/>
      <c r="G15740" s="16"/>
    </row>
    <row r="15741" spans="4:7" ht="15" x14ac:dyDescent="0.3">
      <c r="D15741" s="25"/>
      <c r="F15741" s="21"/>
      <c r="G15741" s="16"/>
    </row>
    <row r="15742" spans="4:7" ht="15" x14ac:dyDescent="0.3">
      <c r="D15742" s="25"/>
      <c r="F15742" s="21"/>
      <c r="G15742" s="16"/>
    </row>
    <row r="15743" spans="4:7" ht="15" x14ac:dyDescent="0.3">
      <c r="D15743" s="25"/>
      <c r="F15743" s="21"/>
      <c r="G15743" s="16"/>
    </row>
    <row r="15744" spans="4:7" ht="15" x14ac:dyDescent="0.3">
      <c r="D15744" s="25"/>
      <c r="F15744" s="21"/>
      <c r="G15744" s="16"/>
    </row>
    <row r="15745" spans="4:7" ht="15" x14ac:dyDescent="0.3">
      <c r="D15745" s="25"/>
      <c r="F15745" s="21"/>
      <c r="G15745" s="16"/>
    </row>
    <row r="15746" spans="4:7" ht="15" x14ac:dyDescent="0.3">
      <c r="D15746" s="25"/>
      <c r="F15746" s="21"/>
      <c r="G15746" s="16"/>
    </row>
    <row r="15747" spans="4:7" ht="15" x14ac:dyDescent="0.3">
      <c r="D15747" s="25"/>
      <c r="F15747" s="21"/>
      <c r="G15747" s="16"/>
    </row>
    <row r="15748" spans="4:7" ht="15" x14ac:dyDescent="0.3">
      <c r="D15748" s="25"/>
      <c r="F15748" s="21"/>
      <c r="G15748" s="16"/>
    </row>
    <row r="15749" spans="4:7" ht="15" x14ac:dyDescent="0.3">
      <c r="D15749" s="25"/>
      <c r="F15749" s="21"/>
      <c r="G15749" s="16"/>
    </row>
    <row r="15750" spans="4:7" ht="15" x14ac:dyDescent="0.3">
      <c r="D15750" s="25"/>
      <c r="F15750" s="21"/>
      <c r="G15750" s="16"/>
    </row>
    <row r="15751" spans="4:7" ht="15" x14ac:dyDescent="0.3">
      <c r="D15751" s="25"/>
      <c r="F15751" s="21"/>
      <c r="G15751" s="16"/>
    </row>
    <row r="15752" spans="4:7" ht="15" x14ac:dyDescent="0.3">
      <c r="D15752" s="25"/>
      <c r="F15752" s="21"/>
      <c r="G15752" s="16"/>
    </row>
    <row r="15753" spans="4:7" ht="15" x14ac:dyDescent="0.3">
      <c r="D15753" s="25"/>
      <c r="F15753" s="21"/>
      <c r="G15753" s="16"/>
    </row>
    <row r="15754" spans="4:7" ht="15" x14ac:dyDescent="0.3">
      <c r="D15754" s="25"/>
      <c r="F15754" s="21"/>
      <c r="G15754" s="16"/>
    </row>
    <row r="15755" spans="4:7" ht="15" x14ac:dyDescent="0.3">
      <c r="D15755" s="25"/>
      <c r="F15755" s="21"/>
      <c r="G15755" s="16"/>
    </row>
    <row r="15756" spans="4:7" ht="15" x14ac:dyDescent="0.3">
      <c r="D15756" s="25"/>
      <c r="F15756" s="21"/>
      <c r="G15756" s="16"/>
    </row>
    <row r="15757" spans="4:7" ht="15" x14ac:dyDescent="0.3">
      <c r="D15757" s="25"/>
      <c r="F15757" s="21"/>
      <c r="G15757" s="16"/>
    </row>
    <row r="15758" spans="4:7" ht="15" x14ac:dyDescent="0.3">
      <c r="D15758" s="25"/>
      <c r="F15758" s="21"/>
      <c r="G15758" s="16"/>
    </row>
    <row r="15759" spans="4:7" ht="15" x14ac:dyDescent="0.3">
      <c r="D15759" s="25"/>
      <c r="F15759" s="21"/>
      <c r="G15759" s="16"/>
    </row>
    <row r="15760" spans="4:7" ht="15" x14ac:dyDescent="0.3">
      <c r="D15760" s="25"/>
      <c r="F15760" s="21"/>
      <c r="G15760" s="16"/>
    </row>
    <row r="15761" spans="4:7" ht="15" x14ac:dyDescent="0.3">
      <c r="D15761" s="25"/>
      <c r="F15761" s="21"/>
      <c r="G15761" s="16"/>
    </row>
    <row r="15762" spans="4:7" ht="15" x14ac:dyDescent="0.3">
      <c r="D15762" s="25"/>
      <c r="F15762" s="21"/>
      <c r="G15762" s="16"/>
    </row>
    <row r="15763" spans="4:7" ht="15" x14ac:dyDescent="0.3">
      <c r="D15763" s="25"/>
      <c r="F15763" s="21"/>
      <c r="G15763" s="16"/>
    </row>
    <row r="15764" spans="4:7" ht="15" x14ac:dyDescent="0.3">
      <c r="D15764" s="25"/>
      <c r="F15764" s="21"/>
      <c r="G15764" s="16"/>
    </row>
    <row r="15765" spans="4:7" ht="15" x14ac:dyDescent="0.3">
      <c r="D15765" s="25"/>
      <c r="F15765" s="21"/>
      <c r="G15765" s="16"/>
    </row>
    <row r="15766" spans="4:7" ht="15" x14ac:dyDescent="0.3">
      <c r="D15766" s="25"/>
      <c r="F15766" s="21"/>
      <c r="G15766" s="16"/>
    </row>
    <row r="15767" spans="4:7" ht="15" x14ac:dyDescent="0.3">
      <c r="D15767" s="25"/>
      <c r="F15767" s="21"/>
      <c r="G15767" s="16"/>
    </row>
    <row r="15768" spans="4:7" ht="15" x14ac:dyDescent="0.3">
      <c r="D15768" s="25"/>
      <c r="F15768" s="21"/>
      <c r="G15768" s="16"/>
    </row>
    <row r="15769" spans="4:7" ht="15" x14ac:dyDescent="0.3">
      <c r="D15769" s="25"/>
      <c r="F15769" s="21"/>
      <c r="G15769" s="16"/>
    </row>
    <row r="15770" spans="4:7" ht="15" x14ac:dyDescent="0.3">
      <c r="D15770" s="25"/>
      <c r="F15770" s="21"/>
      <c r="G15770" s="16"/>
    </row>
    <row r="15771" spans="4:7" ht="15" x14ac:dyDescent="0.3">
      <c r="D15771" s="25"/>
      <c r="F15771" s="21"/>
      <c r="G15771" s="16"/>
    </row>
    <row r="15772" spans="4:7" ht="15" x14ac:dyDescent="0.3">
      <c r="D15772" s="25"/>
      <c r="F15772" s="21"/>
      <c r="G15772" s="16"/>
    </row>
    <row r="15773" spans="4:7" ht="15" x14ac:dyDescent="0.3">
      <c r="D15773" s="25"/>
      <c r="F15773" s="21"/>
      <c r="G15773" s="16"/>
    </row>
    <row r="15774" spans="4:7" ht="15" x14ac:dyDescent="0.3">
      <c r="D15774" s="25"/>
      <c r="F15774" s="21"/>
      <c r="G15774" s="16"/>
    </row>
    <row r="15775" spans="4:7" ht="15" x14ac:dyDescent="0.3">
      <c r="D15775" s="25"/>
      <c r="F15775" s="21"/>
      <c r="G15775" s="16"/>
    </row>
    <row r="15776" spans="4:7" ht="15" x14ac:dyDescent="0.3">
      <c r="D15776" s="25"/>
      <c r="F15776" s="21"/>
      <c r="G15776" s="16"/>
    </row>
    <row r="15777" spans="4:7" ht="15" x14ac:dyDescent="0.3">
      <c r="D15777" s="25"/>
      <c r="F15777" s="21"/>
      <c r="G15777" s="16"/>
    </row>
    <row r="15778" spans="4:7" ht="15" x14ac:dyDescent="0.3">
      <c r="D15778" s="25"/>
      <c r="F15778" s="21"/>
      <c r="G15778" s="16"/>
    </row>
    <row r="15779" spans="4:7" ht="15" x14ac:dyDescent="0.3">
      <c r="D15779" s="25"/>
      <c r="F15779" s="21"/>
      <c r="G15779" s="16"/>
    </row>
    <row r="15780" spans="4:7" ht="15" x14ac:dyDescent="0.3">
      <c r="D15780" s="25"/>
      <c r="F15780" s="21"/>
      <c r="G15780" s="16"/>
    </row>
    <row r="15781" spans="4:7" ht="15" x14ac:dyDescent="0.3">
      <c r="D15781" s="25"/>
      <c r="F15781" s="21"/>
      <c r="G15781" s="16"/>
    </row>
    <row r="15782" spans="4:7" ht="15" x14ac:dyDescent="0.3">
      <c r="D15782" s="25"/>
      <c r="F15782" s="21"/>
      <c r="G15782" s="16"/>
    </row>
    <row r="15783" spans="4:7" ht="15" x14ac:dyDescent="0.3">
      <c r="D15783" s="25"/>
      <c r="F15783" s="21"/>
      <c r="G15783" s="16"/>
    </row>
    <row r="15784" spans="4:7" ht="15" x14ac:dyDescent="0.3">
      <c r="D15784" s="25"/>
      <c r="F15784" s="21"/>
      <c r="G15784" s="16"/>
    </row>
    <row r="15785" spans="4:7" ht="15" x14ac:dyDescent="0.3">
      <c r="D15785" s="25"/>
      <c r="F15785" s="21"/>
      <c r="G15785" s="16"/>
    </row>
    <row r="15786" spans="4:7" ht="15" x14ac:dyDescent="0.3">
      <c r="D15786" s="25"/>
      <c r="F15786" s="21"/>
      <c r="G15786" s="16"/>
    </row>
    <row r="15787" spans="4:7" ht="15" x14ac:dyDescent="0.3">
      <c r="D15787" s="25"/>
      <c r="F15787" s="21"/>
      <c r="G15787" s="16"/>
    </row>
    <row r="15788" spans="4:7" ht="15" x14ac:dyDescent="0.3">
      <c r="D15788" s="25"/>
      <c r="F15788" s="21"/>
      <c r="G15788" s="16"/>
    </row>
    <row r="15789" spans="4:7" ht="15" x14ac:dyDescent="0.3">
      <c r="D15789" s="25"/>
      <c r="F15789" s="21"/>
      <c r="G15789" s="16"/>
    </row>
    <row r="15790" spans="4:7" ht="15" x14ac:dyDescent="0.3">
      <c r="D15790" s="25"/>
      <c r="F15790" s="21"/>
      <c r="G15790" s="16"/>
    </row>
    <row r="15791" spans="4:7" ht="15" x14ac:dyDescent="0.3">
      <c r="D15791" s="25"/>
      <c r="F15791" s="21"/>
      <c r="G15791" s="16"/>
    </row>
    <row r="15792" spans="4:7" ht="15" x14ac:dyDescent="0.3">
      <c r="D15792" s="25"/>
      <c r="F15792" s="21"/>
      <c r="G15792" s="16"/>
    </row>
    <row r="15793" spans="4:7" ht="15" x14ac:dyDescent="0.3">
      <c r="D15793" s="25"/>
      <c r="F15793" s="21"/>
      <c r="G15793" s="16"/>
    </row>
    <row r="15794" spans="4:7" ht="15" x14ac:dyDescent="0.3">
      <c r="D15794" s="25"/>
      <c r="F15794" s="21"/>
      <c r="G15794" s="16"/>
    </row>
    <row r="15795" spans="4:7" ht="15" x14ac:dyDescent="0.3">
      <c r="D15795" s="25"/>
      <c r="F15795" s="21"/>
      <c r="G15795" s="16"/>
    </row>
    <row r="15796" spans="4:7" ht="15" x14ac:dyDescent="0.3">
      <c r="D15796" s="25"/>
      <c r="F15796" s="21"/>
      <c r="G15796" s="16"/>
    </row>
    <row r="15797" spans="4:7" ht="15" x14ac:dyDescent="0.3">
      <c r="D15797" s="25"/>
      <c r="F15797" s="21"/>
      <c r="G15797" s="16"/>
    </row>
    <row r="15798" spans="4:7" ht="15" x14ac:dyDescent="0.3">
      <c r="D15798" s="25"/>
      <c r="F15798" s="21"/>
      <c r="G15798" s="16"/>
    </row>
    <row r="15799" spans="4:7" ht="15" x14ac:dyDescent="0.3">
      <c r="D15799" s="25"/>
      <c r="F15799" s="21"/>
      <c r="G15799" s="16"/>
    </row>
    <row r="15800" spans="4:7" ht="15" x14ac:dyDescent="0.3">
      <c r="D15800" s="25"/>
      <c r="F15800" s="21"/>
      <c r="G15800" s="16"/>
    </row>
    <row r="15801" spans="4:7" ht="15" x14ac:dyDescent="0.3">
      <c r="D15801" s="25"/>
      <c r="F15801" s="21"/>
      <c r="G15801" s="16"/>
    </row>
    <row r="15802" spans="4:7" ht="15" x14ac:dyDescent="0.3">
      <c r="D15802" s="25"/>
      <c r="F15802" s="21"/>
      <c r="G15802" s="16"/>
    </row>
    <row r="15803" spans="4:7" ht="15" x14ac:dyDescent="0.3">
      <c r="D15803" s="25"/>
      <c r="F15803" s="21"/>
      <c r="G15803" s="16"/>
    </row>
    <row r="15804" spans="4:7" ht="15" x14ac:dyDescent="0.3">
      <c r="D15804" s="25"/>
      <c r="F15804" s="21"/>
      <c r="G15804" s="16"/>
    </row>
    <row r="15805" spans="4:7" ht="15" x14ac:dyDescent="0.3">
      <c r="D15805" s="25"/>
      <c r="F15805" s="21"/>
      <c r="G15805" s="16"/>
    </row>
    <row r="15806" spans="4:7" ht="15" x14ac:dyDescent="0.3">
      <c r="D15806" s="25"/>
      <c r="F15806" s="21"/>
      <c r="G15806" s="16"/>
    </row>
    <row r="15807" spans="4:7" ht="15" x14ac:dyDescent="0.3">
      <c r="D15807" s="25"/>
      <c r="F15807" s="21"/>
      <c r="G15807" s="16"/>
    </row>
    <row r="15808" spans="4:7" ht="15" x14ac:dyDescent="0.3">
      <c r="D15808" s="25"/>
      <c r="F15808" s="21"/>
      <c r="G15808" s="16"/>
    </row>
    <row r="15809" spans="4:7" ht="15" x14ac:dyDescent="0.3">
      <c r="D15809" s="25"/>
      <c r="F15809" s="21"/>
      <c r="G15809" s="16"/>
    </row>
    <row r="15810" spans="4:7" ht="15" x14ac:dyDescent="0.3">
      <c r="D15810" s="25"/>
      <c r="F15810" s="21"/>
      <c r="G15810" s="16"/>
    </row>
    <row r="15811" spans="4:7" ht="15" x14ac:dyDescent="0.3">
      <c r="D15811" s="25"/>
      <c r="F15811" s="21"/>
      <c r="G15811" s="16"/>
    </row>
    <row r="15812" spans="4:7" ht="15" x14ac:dyDescent="0.3">
      <c r="D15812" s="25"/>
      <c r="F15812" s="21"/>
      <c r="G15812" s="16"/>
    </row>
    <row r="15813" spans="4:7" ht="15" x14ac:dyDescent="0.3">
      <c r="D15813" s="25"/>
      <c r="F15813" s="21"/>
      <c r="G15813" s="16"/>
    </row>
    <row r="15814" spans="4:7" ht="15" x14ac:dyDescent="0.3">
      <c r="D15814" s="25"/>
      <c r="F15814" s="21"/>
      <c r="G15814" s="16"/>
    </row>
    <row r="15815" spans="4:7" ht="15" x14ac:dyDescent="0.3">
      <c r="D15815" s="25"/>
      <c r="F15815" s="21"/>
      <c r="G15815" s="16"/>
    </row>
    <row r="15816" spans="4:7" ht="15" x14ac:dyDescent="0.3">
      <c r="D15816" s="25"/>
      <c r="F15816" s="21"/>
      <c r="G15816" s="16"/>
    </row>
    <row r="15817" spans="4:7" ht="15" x14ac:dyDescent="0.3">
      <c r="D15817" s="25"/>
      <c r="F15817" s="21"/>
      <c r="G15817" s="16"/>
    </row>
    <row r="15818" spans="4:7" ht="15" x14ac:dyDescent="0.3">
      <c r="D15818" s="25"/>
      <c r="F15818" s="21"/>
      <c r="G15818" s="16"/>
    </row>
    <row r="15819" spans="4:7" ht="15" x14ac:dyDescent="0.3">
      <c r="D15819" s="25"/>
      <c r="F15819" s="21"/>
      <c r="G15819" s="16"/>
    </row>
    <row r="15820" spans="4:7" ht="15" x14ac:dyDescent="0.3">
      <c r="D15820" s="25"/>
      <c r="F15820" s="21"/>
      <c r="G15820" s="16"/>
    </row>
    <row r="15821" spans="4:7" ht="15" x14ac:dyDescent="0.3">
      <c r="D15821" s="25"/>
      <c r="F15821" s="21"/>
      <c r="G15821" s="16"/>
    </row>
    <row r="15822" spans="4:7" ht="15" x14ac:dyDescent="0.3">
      <c r="D15822" s="25"/>
      <c r="F15822" s="21"/>
      <c r="G15822" s="16"/>
    </row>
    <row r="15823" spans="4:7" ht="15" x14ac:dyDescent="0.3">
      <c r="D15823" s="25"/>
      <c r="F15823" s="21"/>
      <c r="G15823" s="16"/>
    </row>
    <row r="15824" spans="4:7" ht="15" x14ac:dyDescent="0.3">
      <c r="D15824" s="25"/>
      <c r="F15824" s="21"/>
      <c r="G15824" s="16"/>
    </row>
    <row r="15825" spans="4:7" ht="15" x14ac:dyDescent="0.3">
      <c r="D15825" s="25"/>
      <c r="F15825" s="21"/>
      <c r="G15825" s="16"/>
    </row>
    <row r="15826" spans="4:7" ht="15" x14ac:dyDescent="0.3">
      <c r="D15826" s="25"/>
      <c r="F15826" s="21"/>
      <c r="G15826" s="16"/>
    </row>
    <row r="15827" spans="4:7" ht="15" x14ac:dyDescent="0.3">
      <c r="D15827" s="25"/>
      <c r="F15827" s="21"/>
      <c r="G15827" s="16"/>
    </row>
    <row r="15828" spans="4:7" ht="15" x14ac:dyDescent="0.3">
      <c r="D15828" s="25"/>
      <c r="F15828" s="21"/>
      <c r="G15828" s="16"/>
    </row>
    <row r="15829" spans="4:7" ht="15" x14ac:dyDescent="0.3">
      <c r="D15829" s="25"/>
      <c r="F15829" s="21"/>
      <c r="G15829" s="16"/>
    </row>
    <row r="15830" spans="4:7" ht="15" x14ac:dyDescent="0.3">
      <c r="D15830" s="25"/>
      <c r="F15830" s="21"/>
      <c r="G15830" s="16"/>
    </row>
    <row r="15831" spans="4:7" ht="15" x14ac:dyDescent="0.3">
      <c r="D15831" s="25"/>
      <c r="F15831" s="21"/>
      <c r="G15831" s="16"/>
    </row>
    <row r="15832" spans="4:7" ht="15" x14ac:dyDescent="0.3">
      <c r="D15832" s="25"/>
      <c r="F15832" s="21"/>
      <c r="G15832" s="16"/>
    </row>
    <row r="15833" spans="4:7" ht="15" x14ac:dyDescent="0.3">
      <c r="D15833" s="25"/>
      <c r="F15833" s="21"/>
      <c r="G15833" s="16"/>
    </row>
    <row r="15834" spans="4:7" ht="15" x14ac:dyDescent="0.3">
      <c r="D15834" s="25"/>
      <c r="F15834" s="21"/>
      <c r="G15834" s="16"/>
    </row>
    <row r="15835" spans="4:7" ht="15" x14ac:dyDescent="0.3">
      <c r="D15835" s="25"/>
      <c r="F15835" s="21"/>
      <c r="G15835" s="16"/>
    </row>
    <row r="15836" spans="4:7" ht="15" x14ac:dyDescent="0.3">
      <c r="D15836" s="25"/>
      <c r="F15836" s="21"/>
      <c r="G15836" s="16"/>
    </row>
    <row r="15837" spans="4:7" ht="15" x14ac:dyDescent="0.3">
      <c r="D15837" s="25"/>
      <c r="F15837" s="21"/>
      <c r="G15837" s="16"/>
    </row>
    <row r="15838" spans="4:7" ht="15" x14ac:dyDescent="0.3">
      <c r="D15838" s="25"/>
      <c r="F15838" s="21"/>
      <c r="G15838" s="16"/>
    </row>
    <row r="15839" spans="4:7" ht="15" x14ac:dyDescent="0.3">
      <c r="D15839" s="25"/>
      <c r="F15839" s="21"/>
      <c r="G15839" s="16"/>
    </row>
    <row r="15840" spans="4:7" ht="15" x14ac:dyDescent="0.3">
      <c r="D15840" s="25"/>
      <c r="F15840" s="21"/>
      <c r="G15840" s="16"/>
    </row>
    <row r="15841" spans="4:7" ht="15" x14ac:dyDescent="0.3">
      <c r="D15841" s="25"/>
      <c r="F15841" s="21"/>
      <c r="G15841" s="16"/>
    </row>
    <row r="15842" spans="4:7" ht="15" x14ac:dyDescent="0.3">
      <c r="D15842" s="25"/>
      <c r="F15842" s="21"/>
      <c r="G15842" s="16"/>
    </row>
    <row r="15843" spans="4:7" ht="15" x14ac:dyDescent="0.3">
      <c r="D15843" s="25"/>
      <c r="F15843" s="21"/>
      <c r="G15843" s="16"/>
    </row>
    <row r="15844" spans="4:7" ht="15" x14ac:dyDescent="0.3">
      <c r="D15844" s="25"/>
      <c r="F15844" s="21"/>
      <c r="G15844" s="16"/>
    </row>
    <row r="15845" spans="4:7" ht="15" x14ac:dyDescent="0.3">
      <c r="D15845" s="25"/>
      <c r="F15845" s="21"/>
      <c r="G15845" s="16"/>
    </row>
    <row r="15846" spans="4:7" ht="15" x14ac:dyDescent="0.3">
      <c r="D15846" s="25"/>
      <c r="F15846" s="21"/>
      <c r="G15846" s="16"/>
    </row>
    <row r="15847" spans="4:7" ht="15" x14ac:dyDescent="0.3">
      <c r="D15847" s="25"/>
      <c r="F15847" s="21"/>
      <c r="G15847" s="16"/>
    </row>
    <row r="15848" spans="4:7" ht="15" x14ac:dyDescent="0.3">
      <c r="D15848" s="25"/>
      <c r="F15848" s="21"/>
      <c r="G15848" s="16"/>
    </row>
    <row r="15849" spans="4:7" ht="15" x14ac:dyDescent="0.3">
      <c r="D15849" s="25"/>
      <c r="F15849" s="21"/>
      <c r="G15849" s="16"/>
    </row>
    <row r="15850" spans="4:7" ht="15" x14ac:dyDescent="0.3">
      <c r="D15850" s="25"/>
      <c r="F15850" s="21"/>
      <c r="G15850" s="16"/>
    </row>
    <row r="15851" spans="4:7" ht="15" x14ac:dyDescent="0.3">
      <c r="D15851" s="25"/>
      <c r="F15851" s="21"/>
      <c r="G15851" s="16"/>
    </row>
    <row r="15852" spans="4:7" ht="15" x14ac:dyDescent="0.3">
      <c r="D15852" s="25"/>
      <c r="F15852" s="21"/>
      <c r="G15852" s="16"/>
    </row>
    <row r="15853" spans="4:7" ht="15" x14ac:dyDescent="0.3">
      <c r="D15853" s="25"/>
      <c r="F15853" s="21"/>
      <c r="G15853" s="16"/>
    </row>
    <row r="15854" spans="4:7" ht="15" x14ac:dyDescent="0.3">
      <c r="D15854" s="25"/>
      <c r="F15854" s="21"/>
      <c r="G15854" s="16"/>
    </row>
    <row r="15855" spans="4:7" ht="15" x14ac:dyDescent="0.3">
      <c r="D15855" s="25"/>
      <c r="F15855" s="21"/>
      <c r="G15855" s="16"/>
    </row>
    <row r="15856" spans="4:7" ht="15" x14ac:dyDescent="0.3">
      <c r="D15856" s="25"/>
      <c r="F15856" s="21"/>
      <c r="G15856" s="16"/>
    </row>
    <row r="15857" spans="4:7" ht="15" x14ac:dyDescent="0.3">
      <c r="D15857" s="25"/>
      <c r="F15857" s="21"/>
      <c r="G15857" s="16"/>
    </row>
    <row r="15858" spans="4:7" ht="15" x14ac:dyDescent="0.3">
      <c r="D15858" s="25"/>
      <c r="F15858" s="21"/>
      <c r="G15858" s="16"/>
    </row>
    <row r="15859" spans="4:7" ht="15" x14ac:dyDescent="0.3">
      <c r="D15859" s="25"/>
      <c r="F15859" s="21"/>
      <c r="G15859" s="16"/>
    </row>
    <row r="15860" spans="4:7" ht="15" x14ac:dyDescent="0.3">
      <c r="D15860" s="25"/>
      <c r="F15860" s="21"/>
      <c r="G15860" s="16"/>
    </row>
    <row r="15861" spans="4:7" ht="15" x14ac:dyDescent="0.3">
      <c r="D15861" s="25"/>
      <c r="F15861" s="21"/>
      <c r="G15861" s="16"/>
    </row>
    <row r="15862" spans="4:7" ht="15" x14ac:dyDescent="0.3">
      <c r="D15862" s="25"/>
      <c r="F15862" s="21"/>
      <c r="G15862" s="16"/>
    </row>
    <row r="15863" spans="4:7" ht="15" x14ac:dyDescent="0.3">
      <c r="D15863" s="25"/>
      <c r="F15863" s="21"/>
      <c r="G15863" s="16"/>
    </row>
    <row r="15864" spans="4:7" ht="15" x14ac:dyDescent="0.3">
      <c r="D15864" s="25"/>
      <c r="F15864" s="21"/>
      <c r="G15864" s="16"/>
    </row>
    <row r="15865" spans="4:7" ht="15" x14ac:dyDescent="0.3">
      <c r="D15865" s="25"/>
      <c r="F15865" s="21"/>
      <c r="G15865" s="16"/>
    </row>
    <row r="15866" spans="4:7" ht="15" x14ac:dyDescent="0.3">
      <c r="D15866" s="25"/>
      <c r="F15866" s="21"/>
      <c r="G15866" s="16"/>
    </row>
    <row r="15867" spans="4:7" ht="15" x14ac:dyDescent="0.3">
      <c r="D15867" s="25"/>
      <c r="F15867" s="21"/>
      <c r="G15867" s="16"/>
    </row>
    <row r="15868" spans="4:7" ht="15" x14ac:dyDescent="0.3">
      <c r="D15868" s="25"/>
      <c r="F15868" s="21"/>
      <c r="G15868" s="16"/>
    </row>
    <row r="15869" spans="4:7" ht="15" x14ac:dyDescent="0.3">
      <c r="D15869" s="25"/>
      <c r="F15869" s="21"/>
      <c r="G15869" s="16"/>
    </row>
    <row r="15870" spans="4:7" ht="15" x14ac:dyDescent="0.3">
      <c r="D15870" s="25"/>
      <c r="F15870" s="21"/>
      <c r="G15870" s="16"/>
    </row>
    <row r="15871" spans="4:7" ht="15" x14ac:dyDescent="0.3">
      <c r="D15871" s="25"/>
      <c r="F15871" s="21"/>
      <c r="G15871" s="16"/>
    </row>
    <row r="15872" spans="4:7" ht="15" x14ac:dyDescent="0.3">
      <c r="D15872" s="25"/>
      <c r="F15872" s="21"/>
      <c r="G15872" s="16"/>
    </row>
    <row r="15873" spans="4:7" ht="15" x14ac:dyDescent="0.3">
      <c r="D15873" s="25"/>
      <c r="F15873" s="21"/>
      <c r="G15873" s="16"/>
    </row>
    <row r="15874" spans="4:7" ht="15" x14ac:dyDescent="0.3">
      <c r="D15874" s="25"/>
      <c r="F15874" s="21"/>
      <c r="G15874" s="16"/>
    </row>
    <row r="15875" spans="4:7" ht="15" x14ac:dyDescent="0.3">
      <c r="D15875" s="25"/>
      <c r="F15875" s="21"/>
      <c r="G15875" s="16"/>
    </row>
    <row r="15876" spans="4:7" ht="15" x14ac:dyDescent="0.3">
      <c r="D15876" s="25"/>
      <c r="F15876" s="21"/>
      <c r="G15876" s="16"/>
    </row>
    <row r="15877" spans="4:7" ht="15" x14ac:dyDescent="0.3">
      <c r="D15877" s="25"/>
      <c r="F15877" s="21"/>
      <c r="G15877" s="16"/>
    </row>
    <row r="15878" spans="4:7" ht="15" x14ac:dyDescent="0.3">
      <c r="D15878" s="25"/>
      <c r="F15878" s="21"/>
      <c r="G15878" s="16"/>
    </row>
    <row r="15879" spans="4:7" ht="15" x14ac:dyDescent="0.3">
      <c r="D15879" s="25"/>
      <c r="F15879" s="21"/>
      <c r="G15879" s="16"/>
    </row>
    <row r="15880" spans="4:7" ht="15" x14ac:dyDescent="0.3">
      <c r="D15880" s="25"/>
      <c r="F15880" s="21"/>
      <c r="G15880" s="16"/>
    </row>
    <row r="15881" spans="4:7" ht="15" x14ac:dyDescent="0.3">
      <c r="D15881" s="25"/>
      <c r="F15881" s="21"/>
      <c r="G15881" s="16"/>
    </row>
    <row r="15882" spans="4:7" ht="15" x14ac:dyDescent="0.3">
      <c r="D15882" s="25"/>
      <c r="F15882" s="21"/>
      <c r="G15882" s="16"/>
    </row>
    <row r="15883" spans="4:7" ht="15" x14ac:dyDescent="0.3">
      <c r="D15883" s="25"/>
      <c r="F15883" s="21"/>
      <c r="G15883" s="16"/>
    </row>
    <row r="15884" spans="4:7" ht="15" x14ac:dyDescent="0.3">
      <c r="D15884" s="25"/>
      <c r="F15884" s="21"/>
      <c r="G15884" s="16"/>
    </row>
    <row r="15885" spans="4:7" ht="15" x14ac:dyDescent="0.3">
      <c r="D15885" s="25"/>
      <c r="F15885" s="21"/>
      <c r="G15885" s="16"/>
    </row>
    <row r="15886" spans="4:7" ht="15" x14ac:dyDescent="0.3">
      <c r="D15886" s="25"/>
      <c r="F15886" s="21"/>
      <c r="G15886" s="16"/>
    </row>
    <row r="15887" spans="4:7" ht="15" x14ac:dyDescent="0.3">
      <c r="D15887" s="25"/>
      <c r="F15887" s="21"/>
      <c r="G15887" s="16"/>
    </row>
    <row r="15888" spans="4:7" ht="15" x14ac:dyDescent="0.3">
      <c r="D15888" s="25"/>
      <c r="F15888" s="21"/>
      <c r="G15888" s="16"/>
    </row>
    <row r="15889" spans="4:7" ht="15" x14ac:dyDescent="0.3">
      <c r="D15889" s="25"/>
      <c r="F15889" s="21"/>
      <c r="G15889" s="16"/>
    </row>
    <row r="15890" spans="4:7" ht="15" x14ac:dyDescent="0.3">
      <c r="D15890" s="25"/>
      <c r="F15890" s="21"/>
      <c r="G15890" s="16"/>
    </row>
    <row r="15891" spans="4:7" ht="15" x14ac:dyDescent="0.3">
      <c r="D15891" s="25"/>
      <c r="F15891" s="21"/>
      <c r="G15891" s="16"/>
    </row>
    <row r="15892" spans="4:7" ht="15" x14ac:dyDescent="0.3">
      <c r="D15892" s="25"/>
      <c r="F15892" s="21"/>
      <c r="G15892" s="16"/>
    </row>
    <row r="15893" spans="4:7" ht="15" x14ac:dyDescent="0.3">
      <c r="D15893" s="25"/>
      <c r="F15893" s="21"/>
      <c r="G15893" s="16"/>
    </row>
    <row r="15894" spans="4:7" ht="15" x14ac:dyDescent="0.3">
      <c r="D15894" s="25"/>
      <c r="F15894" s="21"/>
      <c r="G15894" s="16"/>
    </row>
    <row r="15895" spans="4:7" ht="15" x14ac:dyDescent="0.3">
      <c r="D15895" s="25"/>
      <c r="F15895" s="21"/>
      <c r="G15895" s="16"/>
    </row>
    <row r="15896" spans="4:7" ht="15" x14ac:dyDescent="0.3">
      <c r="D15896" s="25"/>
      <c r="F15896" s="21"/>
      <c r="G15896" s="16"/>
    </row>
    <row r="15897" spans="4:7" ht="15" x14ac:dyDescent="0.3">
      <c r="D15897" s="25"/>
      <c r="F15897" s="21"/>
      <c r="G15897" s="16"/>
    </row>
    <row r="15898" spans="4:7" ht="15" x14ac:dyDescent="0.3">
      <c r="D15898" s="25"/>
      <c r="F15898" s="21"/>
      <c r="G15898" s="16"/>
    </row>
    <row r="15899" spans="4:7" ht="15" x14ac:dyDescent="0.3">
      <c r="D15899" s="25"/>
      <c r="F15899" s="21"/>
      <c r="G15899" s="16"/>
    </row>
    <row r="15900" spans="4:7" ht="15" x14ac:dyDescent="0.3">
      <c r="D15900" s="25"/>
      <c r="F15900" s="21"/>
      <c r="G15900" s="16"/>
    </row>
    <row r="15901" spans="4:7" ht="15" x14ac:dyDescent="0.3">
      <c r="D15901" s="25"/>
      <c r="F15901" s="21"/>
      <c r="G15901" s="16"/>
    </row>
    <row r="15902" spans="4:7" ht="15" x14ac:dyDescent="0.3">
      <c r="D15902" s="25"/>
      <c r="F15902" s="21"/>
      <c r="G15902" s="16"/>
    </row>
    <row r="15903" spans="4:7" ht="15" x14ac:dyDescent="0.3">
      <c r="D15903" s="25"/>
      <c r="F15903" s="21"/>
      <c r="G15903" s="16"/>
    </row>
    <row r="15904" spans="4:7" ht="15" x14ac:dyDescent="0.3">
      <c r="D15904" s="25"/>
      <c r="F15904" s="21"/>
      <c r="G15904" s="16"/>
    </row>
    <row r="15905" spans="4:7" ht="15" x14ac:dyDescent="0.3">
      <c r="D15905" s="25"/>
      <c r="F15905" s="21"/>
      <c r="G15905" s="16"/>
    </row>
    <row r="15906" spans="4:7" ht="15" x14ac:dyDescent="0.3">
      <c r="D15906" s="25"/>
      <c r="F15906" s="21"/>
      <c r="G15906" s="16"/>
    </row>
    <row r="15907" spans="4:7" ht="15" x14ac:dyDescent="0.3">
      <c r="D15907" s="25"/>
      <c r="F15907" s="21"/>
      <c r="G15907" s="16"/>
    </row>
    <row r="15908" spans="4:7" ht="15" x14ac:dyDescent="0.3">
      <c r="D15908" s="25"/>
      <c r="F15908" s="21"/>
      <c r="G15908" s="16"/>
    </row>
    <row r="15909" spans="4:7" ht="15" x14ac:dyDescent="0.3">
      <c r="D15909" s="25"/>
      <c r="F15909" s="21"/>
      <c r="G15909" s="16"/>
    </row>
    <row r="15910" spans="4:7" ht="15" x14ac:dyDescent="0.3">
      <c r="D15910" s="25"/>
      <c r="F15910" s="21"/>
      <c r="G15910" s="16"/>
    </row>
    <row r="15911" spans="4:7" ht="15" x14ac:dyDescent="0.3">
      <c r="D15911" s="25"/>
      <c r="F15911" s="21"/>
      <c r="G15911" s="16"/>
    </row>
    <row r="15912" spans="4:7" ht="15" x14ac:dyDescent="0.3">
      <c r="D15912" s="25"/>
      <c r="F15912" s="21"/>
      <c r="G15912" s="16"/>
    </row>
    <row r="15913" spans="4:7" ht="15" x14ac:dyDescent="0.3">
      <c r="D15913" s="25"/>
      <c r="F15913" s="21"/>
      <c r="G15913" s="16"/>
    </row>
    <row r="15914" spans="4:7" ht="15" x14ac:dyDescent="0.3">
      <c r="D15914" s="25"/>
      <c r="F15914" s="21"/>
      <c r="G15914" s="16"/>
    </row>
    <row r="15915" spans="4:7" ht="15" x14ac:dyDescent="0.3">
      <c r="D15915" s="25"/>
      <c r="F15915" s="21"/>
      <c r="G15915" s="16"/>
    </row>
    <row r="15916" spans="4:7" ht="15" x14ac:dyDescent="0.3">
      <c r="D15916" s="25"/>
      <c r="F15916" s="21"/>
      <c r="G15916" s="16"/>
    </row>
    <row r="15917" spans="4:7" ht="15" x14ac:dyDescent="0.3">
      <c r="D15917" s="25"/>
      <c r="F15917" s="21"/>
      <c r="G15917" s="16"/>
    </row>
    <row r="15918" spans="4:7" ht="15" x14ac:dyDescent="0.3">
      <c r="D15918" s="25"/>
      <c r="F15918" s="21"/>
      <c r="G15918" s="16"/>
    </row>
    <row r="15919" spans="4:7" ht="15" x14ac:dyDescent="0.3">
      <c r="D15919" s="25"/>
      <c r="F15919" s="21"/>
      <c r="G15919" s="16"/>
    </row>
    <row r="15920" spans="4:7" ht="15" x14ac:dyDescent="0.3">
      <c r="D15920" s="25"/>
      <c r="F15920" s="21"/>
      <c r="G15920" s="16"/>
    </row>
    <row r="15921" spans="4:7" ht="15" x14ac:dyDescent="0.3">
      <c r="D15921" s="25"/>
      <c r="F15921" s="21"/>
      <c r="G15921" s="16"/>
    </row>
    <row r="15922" spans="4:7" ht="15" x14ac:dyDescent="0.3">
      <c r="D15922" s="25"/>
      <c r="F15922" s="21"/>
      <c r="G15922" s="16"/>
    </row>
    <row r="15923" spans="4:7" ht="15" x14ac:dyDescent="0.3">
      <c r="D15923" s="25"/>
      <c r="F15923" s="21"/>
      <c r="G15923" s="16"/>
    </row>
    <row r="15924" spans="4:7" ht="15" x14ac:dyDescent="0.3">
      <c r="D15924" s="25"/>
      <c r="F15924" s="21"/>
      <c r="G15924" s="16"/>
    </row>
    <row r="15925" spans="4:7" ht="15" x14ac:dyDescent="0.3">
      <c r="D15925" s="25"/>
      <c r="F15925" s="21"/>
      <c r="G15925" s="16"/>
    </row>
    <row r="15926" spans="4:7" ht="15" x14ac:dyDescent="0.3">
      <c r="D15926" s="25"/>
      <c r="F15926" s="21"/>
      <c r="G15926" s="16"/>
    </row>
    <row r="15927" spans="4:7" ht="15" x14ac:dyDescent="0.3">
      <c r="D15927" s="25"/>
      <c r="F15927" s="21"/>
      <c r="G15927" s="16"/>
    </row>
    <row r="15928" spans="4:7" ht="15" x14ac:dyDescent="0.3">
      <c r="D15928" s="25"/>
      <c r="F15928" s="21"/>
      <c r="G15928" s="16"/>
    </row>
    <row r="15929" spans="4:7" ht="15" x14ac:dyDescent="0.3">
      <c r="D15929" s="25"/>
      <c r="F15929" s="21"/>
      <c r="G15929" s="16"/>
    </row>
    <row r="15930" spans="4:7" ht="15" x14ac:dyDescent="0.3">
      <c r="D15930" s="25"/>
      <c r="F15930" s="21"/>
      <c r="G15930" s="16"/>
    </row>
    <row r="15931" spans="4:7" ht="15" x14ac:dyDescent="0.3">
      <c r="D15931" s="25"/>
      <c r="F15931" s="21"/>
      <c r="G15931" s="16"/>
    </row>
    <row r="15932" spans="4:7" ht="15" x14ac:dyDescent="0.3">
      <c r="D15932" s="25"/>
      <c r="F15932" s="21"/>
      <c r="G15932" s="16"/>
    </row>
    <row r="15933" spans="4:7" ht="15" x14ac:dyDescent="0.3">
      <c r="D15933" s="25"/>
      <c r="F15933" s="21"/>
      <c r="G15933" s="16"/>
    </row>
    <row r="15934" spans="4:7" ht="15" x14ac:dyDescent="0.3">
      <c r="D15934" s="25"/>
      <c r="F15934" s="21"/>
      <c r="G15934" s="16"/>
    </row>
    <row r="15935" spans="4:7" ht="15" x14ac:dyDescent="0.3">
      <c r="D15935" s="25"/>
      <c r="F15935" s="21"/>
      <c r="G15935" s="16"/>
    </row>
    <row r="15936" spans="4:7" ht="15" x14ac:dyDescent="0.3">
      <c r="D15936" s="25"/>
      <c r="F15936" s="21"/>
      <c r="G15936" s="16"/>
    </row>
    <row r="15937" spans="4:7" ht="15" x14ac:dyDescent="0.3">
      <c r="D15937" s="25"/>
      <c r="F15937" s="21"/>
      <c r="G15937" s="16"/>
    </row>
    <row r="15938" spans="4:7" ht="15" x14ac:dyDescent="0.3">
      <c r="D15938" s="25"/>
      <c r="F15938" s="21"/>
      <c r="G15938" s="16"/>
    </row>
    <row r="15939" spans="4:7" ht="15" x14ac:dyDescent="0.3">
      <c r="D15939" s="25"/>
      <c r="F15939" s="21"/>
      <c r="G15939" s="16"/>
    </row>
    <row r="15940" spans="4:7" ht="15" x14ac:dyDescent="0.3">
      <c r="D15940" s="25"/>
      <c r="F15940" s="21"/>
      <c r="G15940" s="16"/>
    </row>
    <row r="15941" spans="4:7" ht="15" x14ac:dyDescent="0.3">
      <c r="D15941" s="25"/>
      <c r="F15941" s="21"/>
      <c r="G15941" s="16"/>
    </row>
    <row r="15942" spans="4:7" ht="15" x14ac:dyDescent="0.3">
      <c r="D15942" s="25"/>
      <c r="F15942" s="21"/>
      <c r="G15942" s="16"/>
    </row>
    <row r="15943" spans="4:7" ht="15" x14ac:dyDescent="0.3">
      <c r="D15943" s="25"/>
      <c r="F15943" s="21"/>
      <c r="G15943" s="16"/>
    </row>
    <row r="15944" spans="4:7" ht="15" x14ac:dyDescent="0.3">
      <c r="D15944" s="25"/>
      <c r="F15944" s="21"/>
      <c r="G15944" s="16"/>
    </row>
    <row r="15945" spans="4:7" ht="15" x14ac:dyDescent="0.3">
      <c r="D15945" s="25"/>
      <c r="F15945" s="21"/>
      <c r="G15945" s="16"/>
    </row>
    <row r="15946" spans="4:7" ht="15" x14ac:dyDescent="0.3">
      <c r="D15946" s="25"/>
      <c r="F15946" s="21"/>
      <c r="G15946" s="16"/>
    </row>
    <row r="15947" spans="4:7" ht="15" x14ac:dyDescent="0.3">
      <c r="D15947" s="25"/>
      <c r="F15947" s="21"/>
      <c r="G15947" s="16"/>
    </row>
    <row r="15948" spans="4:7" ht="15" x14ac:dyDescent="0.3">
      <c r="D15948" s="25"/>
      <c r="F15948" s="21"/>
      <c r="G15948" s="16"/>
    </row>
    <row r="15949" spans="4:7" ht="15" x14ac:dyDescent="0.3">
      <c r="D15949" s="25"/>
      <c r="F15949" s="21"/>
      <c r="G15949" s="16"/>
    </row>
    <row r="15950" spans="4:7" ht="15" x14ac:dyDescent="0.3">
      <c r="D15950" s="25"/>
      <c r="F15950" s="21"/>
      <c r="G15950" s="16"/>
    </row>
    <row r="15951" spans="4:7" ht="15" x14ac:dyDescent="0.3">
      <c r="D15951" s="25"/>
      <c r="F15951" s="21"/>
      <c r="G15951" s="16"/>
    </row>
    <row r="15952" spans="4:7" ht="15" x14ac:dyDescent="0.3">
      <c r="D15952" s="25"/>
      <c r="F15952" s="21"/>
      <c r="G15952" s="16"/>
    </row>
    <row r="15953" spans="4:7" ht="15" x14ac:dyDescent="0.3">
      <c r="D15953" s="25"/>
      <c r="F15953" s="21"/>
      <c r="G15953" s="16"/>
    </row>
    <row r="15954" spans="4:7" ht="15" x14ac:dyDescent="0.3">
      <c r="D15954" s="25"/>
      <c r="F15954" s="21"/>
      <c r="G15954" s="16"/>
    </row>
    <row r="15955" spans="4:7" ht="15" x14ac:dyDescent="0.3">
      <c r="D15955" s="25"/>
      <c r="F15955" s="21"/>
      <c r="G15955" s="16"/>
    </row>
    <row r="15956" spans="4:7" ht="15" x14ac:dyDescent="0.3">
      <c r="D15956" s="25"/>
      <c r="F15956" s="21"/>
      <c r="G15956" s="16"/>
    </row>
    <row r="15957" spans="4:7" ht="15" x14ac:dyDescent="0.3">
      <c r="D15957" s="25"/>
      <c r="F15957" s="21"/>
      <c r="G15957" s="16"/>
    </row>
    <row r="15958" spans="4:7" ht="15" x14ac:dyDescent="0.3">
      <c r="D15958" s="25"/>
      <c r="F15958" s="21"/>
      <c r="G15958" s="16"/>
    </row>
    <row r="15959" spans="4:7" ht="15" x14ac:dyDescent="0.3">
      <c r="D15959" s="25"/>
      <c r="F15959" s="21"/>
      <c r="G15959" s="16"/>
    </row>
    <row r="15960" spans="4:7" ht="15" x14ac:dyDescent="0.3">
      <c r="D15960" s="25"/>
      <c r="F15960" s="21"/>
      <c r="G15960" s="16"/>
    </row>
    <row r="15961" spans="4:7" ht="15" x14ac:dyDescent="0.3">
      <c r="D15961" s="25"/>
      <c r="F15961" s="21"/>
      <c r="G15961" s="16"/>
    </row>
    <row r="15962" spans="4:7" ht="15" x14ac:dyDescent="0.3">
      <c r="D15962" s="25"/>
      <c r="F15962" s="21"/>
      <c r="G15962" s="16"/>
    </row>
    <row r="15963" spans="4:7" ht="15" x14ac:dyDescent="0.3">
      <c r="D15963" s="25"/>
      <c r="F15963" s="21"/>
      <c r="G15963" s="16"/>
    </row>
    <row r="15964" spans="4:7" ht="15" x14ac:dyDescent="0.3">
      <c r="D15964" s="25"/>
      <c r="F15964" s="21"/>
      <c r="G15964" s="16"/>
    </row>
    <row r="15965" spans="4:7" ht="15" x14ac:dyDescent="0.3">
      <c r="D15965" s="25"/>
      <c r="F15965" s="21"/>
      <c r="G15965" s="16"/>
    </row>
    <row r="15966" spans="4:7" ht="15" x14ac:dyDescent="0.3">
      <c r="D15966" s="25"/>
      <c r="F15966" s="21"/>
      <c r="G15966" s="16"/>
    </row>
    <row r="15967" spans="4:7" ht="15" x14ac:dyDescent="0.3">
      <c r="D15967" s="25"/>
      <c r="F15967" s="21"/>
      <c r="G15967" s="16"/>
    </row>
    <row r="15968" spans="4:7" ht="15" x14ac:dyDescent="0.3">
      <c r="D15968" s="25"/>
      <c r="F15968" s="21"/>
      <c r="G15968" s="16"/>
    </row>
    <row r="15969" spans="4:7" ht="15" x14ac:dyDescent="0.3">
      <c r="D15969" s="25"/>
      <c r="F15969" s="21"/>
      <c r="G15969" s="16"/>
    </row>
    <row r="15970" spans="4:7" ht="15" x14ac:dyDescent="0.3">
      <c r="D15970" s="25"/>
      <c r="F15970" s="21"/>
      <c r="G15970" s="16"/>
    </row>
    <row r="15971" spans="4:7" ht="15" x14ac:dyDescent="0.3">
      <c r="D15971" s="25"/>
      <c r="F15971" s="21"/>
      <c r="G15971" s="16"/>
    </row>
    <row r="15972" spans="4:7" ht="15" x14ac:dyDescent="0.3">
      <c r="D15972" s="25"/>
      <c r="F15972" s="21"/>
      <c r="G15972" s="16"/>
    </row>
    <row r="15973" spans="4:7" ht="15" x14ac:dyDescent="0.3">
      <c r="D15973" s="25"/>
      <c r="F15973" s="21"/>
      <c r="G15973" s="16"/>
    </row>
    <row r="15974" spans="4:7" ht="15" x14ac:dyDescent="0.3">
      <c r="D15974" s="25"/>
      <c r="F15974" s="21"/>
      <c r="G15974" s="16"/>
    </row>
    <row r="15975" spans="4:7" ht="15" x14ac:dyDescent="0.3">
      <c r="D15975" s="25"/>
      <c r="F15975" s="21"/>
      <c r="G15975" s="16"/>
    </row>
    <row r="15976" spans="4:7" ht="15" x14ac:dyDescent="0.3">
      <c r="D15976" s="25"/>
      <c r="F15976" s="21"/>
      <c r="G15976" s="16"/>
    </row>
    <row r="15977" spans="4:7" ht="15" x14ac:dyDescent="0.3">
      <c r="D15977" s="25"/>
      <c r="F15977" s="21"/>
      <c r="G15977" s="16"/>
    </row>
    <row r="15978" spans="4:7" ht="15" x14ac:dyDescent="0.3">
      <c r="D15978" s="25"/>
      <c r="F15978" s="21"/>
      <c r="G15978" s="16"/>
    </row>
    <row r="15979" spans="4:7" ht="15" x14ac:dyDescent="0.3">
      <c r="D15979" s="25"/>
      <c r="F15979" s="21"/>
      <c r="G15979" s="16"/>
    </row>
    <row r="15980" spans="4:7" ht="15" x14ac:dyDescent="0.3">
      <c r="D15980" s="25"/>
      <c r="F15980" s="21"/>
      <c r="G15980" s="16"/>
    </row>
    <row r="15981" spans="4:7" ht="15" x14ac:dyDescent="0.3">
      <c r="D15981" s="25"/>
      <c r="F15981" s="21"/>
      <c r="G15981" s="16"/>
    </row>
    <row r="15982" spans="4:7" ht="15" x14ac:dyDescent="0.3">
      <c r="D15982" s="25"/>
      <c r="F15982" s="21"/>
      <c r="G15982" s="16"/>
    </row>
    <row r="15983" spans="4:7" ht="15" x14ac:dyDescent="0.3">
      <c r="D15983" s="25"/>
      <c r="F15983" s="21"/>
      <c r="G15983" s="16"/>
    </row>
    <row r="15984" spans="4:7" ht="15" x14ac:dyDescent="0.3">
      <c r="D15984" s="25"/>
      <c r="F15984" s="21"/>
      <c r="G15984" s="16"/>
    </row>
    <row r="15985" spans="4:7" ht="15" x14ac:dyDescent="0.3">
      <c r="D15985" s="25"/>
      <c r="F15985" s="21"/>
      <c r="G15985" s="16"/>
    </row>
    <row r="15986" spans="4:7" ht="15" x14ac:dyDescent="0.3">
      <c r="D15986" s="25"/>
      <c r="F15986" s="21"/>
      <c r="G15986" s="16"/>
    </row>
    <row r="15987" spans="4:7" ht="15" x14ac:dyDescent="0.3">
      <c r="D15987" s="25"/>
      <c r="F15987" s="21"/>
      <c r="G15987" s="16"/>
    </row>
    <row r="15988" spans="4:7" ht="15" x14ac:dyDescent="0.3">
      <c r="D15988" s="25"/>
      <c r="F15988" s="21"/>
      <c r="G15988" s="16"/>
    </row>
    <row r="15989" spans="4:7" ht="15" x14ac:dyDescent="0.3">
      <c r="D15989" s="25"/>
      <c r="F15989" s="21"/>
      <c r="G15989" s="16"/>
    </row>
    <row r="15990" spans="4:7" ht="15" x14ac:dyDescent="0.3">
      <c r="D15990" s="25"/>
      <c r="F15990" s="21"/>
      <c r="G15990" s="16"/>
    </row>
    <row r="15991" spans="4:7" ht="15" x14ac:dyDescent="0.3">
      <c r="D15991" s="25"/>
      <c r="F15991" s="21"/>
      <c r="G15991" s="16"/>
    </row>
    <row r="15992" spans="4:7" ht="15" x14ac:dyDescent="0.3">
      <c r="D15992" s="25"/>
      <c r="F15992" s="21"/>
      <c r="G15992" s="16"/>
    </row>
    <row r="15993" spans="4:7" ht="15" x14ac:dyDescent="0.3">
      <c r="D15993" s="25"/>
      <c r="F15993" s="21"/>
      <c r="G15993" s="16"/>
    </row>
    <row r="15994" spans="4:7" ht="15" x14ac:dyDescent="0.3">
      <c r="D15994" s="25"/>
      <c r="F15994" s="21"/>
      <c r="G15994" s="16"/>
    </row>
    <row r="15995" spans="4:7" ht="15" x14ac:dyDescent="0.3">
      <c r="D15995" s="25"/>
      <c r="F15995" s="21"/>
      <c r="G15995" s="16"/>
    </row>
    <row r="15996" spans="4:7" ht="15" x14ac:dyDescent="0.3">
      <c r="D15996" s="25"/>
      <c r="F15996" s="21"/>
      <c r="G15996" s="16"/>
    </row>
    <row r="15997" spans="4:7" ht="15" x14ac:dyDescent="0.3">
      <c r="D15997" s="25"/>
      <c r="F15997" s="21"/>
      <c r="G15997" s="16"/>
    </row>
    <row r="15998" spans="4:7" ht="15" x14ac:dyDescent="0.3">
      <c r="D15998" s="25"/>
      <c r="F15998" s="21"/>
      <c r="G15998" s="16"/>
    </row>
    <row r="15999" spans="4:7" ht="15" x14ac:dyDescent="0.3">
      <c r="D15999" s="25"/>
      <c r="F15999" s="21"/>
      <c r="G15999" s="16"/>
    </row>
    <row r="16000" spans="4:7" ht="15" x14ac:dyDescent="0.3">
      <c r="D16000" s="25"/>
      <c r="F16000" s="21"/>
      <c r="G16000" s="16"/>
    </row>
    <row r="16001" spans="4:7" ht="15" x14ac:dyDescent="0.3">
      <c r="D16001" s="25"/>
      <c r="F16001" s="21"/>
      <c r="G16001" s="16"/>
    </row>
    <row r="16002" spans="4:7" ht="15" x14ac:dyDescent="0.3">
      <c r="D16002" s="25"/>
      <c r="F16002" s="21"/>
      <c r="G16002" s="16"/>
    </row>
    <row r="16003" spans="4:7" ht="15" x14ac:dyDescent="0.3">
      <c r="D16003" s="25"/>
      <c r="F16003" s="21"/>
      <c r="G16003" s="16"/>
    </row>
    <row r="16004" spans="4:7" ht="15" x14ac:dyDescent="0.3">
      <c r="D16004" s="25"/>
      <c r="F16004" s="21"/>
      <c r="G16004" s="16"/>
    </row>
    <row r="16005" spans="4:7" ht="15" x14ac:dyDescent="0.3">
      <c r="D16005" s="25"/>
      <c r="F16005" s="21"/>
      <c r="G16005" s="16"/>
    </row>
    <row r="16006" spans="4:7" ht="15" x14ac:dyDescent="0.3">
      <c r="D16006" s="25"/>
      <c r="F16006" s="21"/>
      <c r="G16006" s="16"/>
    </row>
    <row r="16007" spans="4:7" ht="15" x14ac:dyDescent="0.3">
      <c r="D16007" s="25"/>
      <c r="F16007" s="21"/>
      <c r="G16007" s="16"/>
    </row>
    <row r="16008" spans="4:7" ht="15" x14ac:dyDescent="0.3">
      <c r="D16008" s="25"/>
      <c r="F16008" s="21"/>
      <c r="G16008" s="16"/>
    </row>
    <row r="16009" spans="4:7" ht="15" x14ac:dyDescent="0.3">
      <c r="D16009" s="25"/>
      <c r="F16009" s="21"/>
      <c r="G16009" s="16"/>
    </row>
    <row r="16010" spans="4:7" ht="15" x14ac:dyDescent="0.3">
      <c r="D16010" s="25"/>
      <c r="F16010" s="21"/>
      <c r="G16010" s="16"/>
    </row>
    <row r="16011" spans="4:7" ht="15" x14ac:dyDescent="0.3">
      <c r="D16011" s="25"/>
      <c r="F16011" s="21"/>
      <c r="G16011" s="16"/>
    </row>
    <row r="16012" spans="4:7" ht="15" x14ac:dyDescent="0.3">
      <c r="D16012" s="25"/>
      <c r="F16012" s="21"/>
      <c r="G16012" s="16"/>
    </row>
    <row r="16013" spans="4:7" ht="15" x14ac:dyDescent="0.3">
      <c r="D16013" s="25"/>
      <c r="F16013" s="21"/>
      <c r="G16013" s="16"/>
    </row>
    <row r="16014" spans="4:7" ht="15" x14ac:dyDescent="0.3">
      <c r="D16014" s="25"/>
      <c r="F16014" s="21"/>
      <c r="G16014" s="16"/>
    </row>
    <row r="16015" spans="4:7" ht="15" x14ac:dyDescent="0.3">
      <c r="D16015" s="25"/>
      <c r="F16015" s="21"/>
      <c r="G16015" s="16"/>
    </row>
    <row r="16016" spans="4:7" ht="15" x14ac:dyDescent="0.3">
      <c r="D16016" s="25"/>
      <c r="F16016" s="21"/>
      <c r="G16016" s="16"/>
    </row>
    <row r="16017" spans="4:7" ht="15" x14ac:dyDescent="0.3">
      <c r="D16017" s="25"/>
      <c r="F16017" s="21"/>
      <c r="G16017" s="16"/>
    </row>
    <row r="16018" spans="4:7" ht="15" x14ac:dyDescent="0.3">
      <c r="D16018" s="25"/>
      <c r="F16018" s="21"/>
      <c r="G16018" s="16"/>
    </row>
    <row r="16019" spans="4:7" ht="15" x14ac:dyDescent="0.3">
      <c r="D16019" s="25"/>
      <c r="F16019" s="21"/>
      <c r="G16019" s="16"/>
    </row>
    <row r="16020" spans="4:7" ht="15" x14ac:dyDescent="0.3">
      <c r="D16020" s="25"/>
      <c r="F16020" s="21"/>
      <c r="G16020" s="16"/>
    </row>
    <row r="16021" spans="4:7" ht="15" x14ac:dyDescent="0.3">
      <c r="D16021" s="25"/>
      <c r="F16021" s="21"/>
      <c r="G16021" s="16"/>
    </row>
    <row r="16022" spans="4:7" ht="15" x14ac:dyDescent="0.3">
      <c r="D16022" s="25"/>
      <c r="F16022" s="21"/>
      <c r="G16022" s="16"/>
    </row>
    <row r="16023" spans="4:7" ht="15" x14ac:dyDescent="0.3">
      <c r="D16023" s="25"/>
      <c r="F16023" s="21"/>
      <c r="G16023" s="16"/>
    </row>
    <row r="16024" spans="4:7" ht="15" x14ac:dyDescent="0.3">
      <c r="D16024" s="25"/>
      <c r="F16024" s="21"/>
      <c r="G16024" s="16"/>
    </row>
    <row r="16025" spans="4:7" ht="15" x14ac:dyDescent="0.3">
      <c r="D16025" s="25"/>
      <c r="F16025" s="21"/>
      <c r="G16025" s="16"/>
    </row>
    <row r="16026" spans="4:7" ht="15" x14ac:dyDescent="0.3">
      <c r="D16026" s="25"/>
      <c r="F16026" s="21"/>
      <c r="G16026" s="16"/>
    </row>
    <row r="16027" spans="4:7" ht="15" x14ac:dyDescent="0.3">
      <c r="D16027" s="25"/>
      <c r="F16027" s="21"/>
      <c r="G16027" s="16"/>
    </row>
    <row r="16028" spans="4:7" ht="15" x14ac:dyDescent="0.3">
      <c r="D16028" s="25"/>
      <c r="F16028" s="21"/>
      <c r="G16028" s="16"/>
    </row>
    <row r="16029" spans="4:7" ht="15" x14ac:dyDescent="0.3">
      <c r="D16029" s="25"/>
      <c r="F16029" s="21"/>
      <c r="G16029" s="16"/>
    </row>
    <row r="16030" spans="4:7" ht="15" x14ac:dyDescent="0.3">
      <c r="D16030" s="25"/>
      <c r="F16030" s="21"/>
      <c r="G16030" s="16"/>
    </row>
    <row r="16031" spans="4:7" ht="15" x14ac:dyDescent="0.3">
      <c r="D16031" s="25"/>
      <c r="F16031" s="21"/>
      <c r="G16031" s="16"/>
    </row>
    <row r="16032" spans="4:7" ht="15" x14ac:dyDescent="0.3">
      <c r="D16032" s="25"/>
      <c r="F16032" s="21"/>
      <c r="G16032" s="16"/>
    </row>
    <row r="16033" spans="4:7" ht="15" x14ac:dyDescent="0.3">
      <c r="D16033" s="25"/>
      <c r="F16033" s="21"/>
      <c r="G16033" s="16"/>
    </row>
    <row r="16034" spans="4:7" ht="15" x14ac:dyDescent="0.3">
      <c r="D16034" s="25"/>
      <c r="F16034" s="21"/>
      <c r="G16034" s="16"/>
    </row>
    <row r="16035" spans="4:7" ht="15" x14ac:dyDescent="0.3">
      <c r="D16035" s="25"/>
      <c r="F16035" s="21"/>
      <c r="G16035" s="16"/>
    </row>
    <row r="16036" spans="4:7" ht="15" x14ac:dyDescent="0.3">
      <c r="D16036" s="25"/>
      <c r="F16036" s="21"/>
      <c r="G16036" s="16"/>
    </row>
    <row r="16037" spans="4:7" ht="15" x14ac:dyDescent="0.3">
      <c r="D16037" s="25"/>
      <c r="F16037" s="21"/>
      <c r="G16037" s="16"/>
    </row>
    <row r="16038" spans="4:7" ht="15" x14ac:dyDescent="0.3">
      <c r="D16038" s="25"/>
      <c r="F16038" s="21"/>
      <c r="G16038" s="16"/>
    </row>
    <row r="16039" spans="4:7" ht="15" x14ac:dyDescent="0.3">
      <c r="D16039" s="25"/>
      <c r="F16039" s="21"/>
      <c r="G16039" s="16"/>
    </row>
    <row r="16040" spans="4:7" ht="15" x14ac:dyDescent="0.3">
      <c r="D16040" s="25"/>
      <c r="F16040" s="21"/>
      <c r="G16040" s="16"/>
    </row>
    <row r="16041" spans="4:7" ht="15" x14ac:dyDescent="0.3">
      <c r="D16041" s="25"/>
      <c r="F16041" s="21"/>
      <c r="G16041" s="16"/>
    </row>
    <row r="16042" spans="4:7" ht="15" x14ac:dyDescent="0.3">
      <c r="D16042" s="25"/>
      <c r="F16042" s="21"/>
      <c r="G16042" s="16"/>
    </row>
    <row r="16043" spans="4:7" ht="15" x14ac:dyDescent="0.3">
      <c r="D16043" s="25"/>
      <c r="F16043" s="21"/>
      <c r="G16043" s="16"/>
    </row>
    <row r="16044" spans="4:7" ht="15" x14ac:dyDescent="0.3">
      <c r="D16044" s="25"/>
      <c r="F16044" s="21"/>
      <c r="G16044" s="16"/>
    </row>
    <row r="16045" spans="4:7" ht="15" x14ac:dyDescent="0.3">
      <c r="D16045" s="25"/>
      <c r="F16045" s="21"/>
      <c r="G16045" s="16"/>
    </row>
    <row r="16046" spans="4:7" ht="15" x14ac:dyDescent="0.3">
      <c r="D16046" s="25"/>
      <c r="F16046" s="21"/>
      <c r="G16046" s="16"/>
    </row>
    <row r="16047" spans="4:7" ht="15" x14ac:dyDescent="0.3">
      <c r="D16047" s="25"/>
      <c r="F16047" s="21"/>
      <c r="G16047" s="16"/>
    </row>
    <row r="16048" spans="4:7" ht="15" x14ac:dyDescent="0.3">
      <c r="D16048" s="25"/>
      <c r="F16048" s="21"/>
      <c r="G16048" s="16"/>
    </row>
    <row r="16049" spans="4:7" ht="15" x14ac:dyDescent="0.3">
      <c r="D16049" s="25"/>
      <c r="F16049" s="21"/>
      <c r="G16049" s="16"/>
    </row>
    <row r="16050" spans="4:7" ht="15" x14ac:dyDescent="0.3">
      <c r="D16050" s="25"/>
      <c r="F16050" s="21"/>
      <c r="G16050" s="16"/>
    </row>
    <row r="16051" spans="4:7" ht="15" x14ac:dyDescent="0.3">
      <c r="D16051" s="25"/>
      <c r="F16051" s="21"/>
      <c r="G16051" s="16"/>
    </row>
    <row r="16052" spans="4:7" ht="15" x14ac:dyDescent="0.3">
      <c r="D16052" s="25"/>
      <c r="F16052" s="21"/>
      <c r="G16052" s="16"/>
    </row>
    <row r="16053" spans="4:7" ht="15" x14ac:dyDescent="0.3">
      <c r="D16053" s="25"/>
      <c r="F16053" s="21"/>
      <c r="G16053" s="16"/>
    </row>
    <row r="16054" spans="4:7" ht="15" x14ac:dyDescent="0.3">
      <c r="D16054" s="25"/>
      <c r="F16054" s="21"/>
      <c r="G16054" s="16"/>
    </row>
    <row r="16055" spans="4:7" ht="15" x14ac:dyDescent="0.3">
      <c r="D16055" s="25"/>
      <c r="F16055" s="21"/>
      <c r="G16055" s="16"/>
    </row>
    <row r="16056" spans="4:7" ht="15" x14ac:dyDescent="0.3">
      <c r="D16056" s="25"/>
      <c r="F16056" s="21"/>
      <c r="G16056" s="16"/>
    </row>
    <row r="16057" spans="4:7" ht="15" x14ac:dyDescent="0.3">
      <c r="D16057" s="25"/>
      <c r="F16057" s="21"/>
      <c r="G16057" s="16"/>
    </row>
    <row r="16058" spans="4:7" ht="15" x14ac:dyDescent="0.3">
      <c r="D16058" s="25"/>
      <c r="F16058" s="21"/>
      <c r="G16058" s="16"/>
    </row>
    <row r="16059" spans="4:7" ht="15" x14ac:dyDescent="0.3">
      <c r="D16059" s="25"/>
      <c r="F16059" s="21"/>
      <c r="G16059" s="16"/>
    </row>
    <row r="16060" spans="4:7" ht="15" x14ac:dyDescent="0.3">
      <c r="D16060" s="25"/>
      <c r="F16060" s="21"/>
      <c r="G16060" s="16"/>
    </row>
    <row r="16061" spans="4:7" ht="15" x14ac:dyDescent="0.3">
      <c r="D16061" s="25"/>
      <c r="F16061" s="21"/>
      <c r="G16061" s="16"/>
    </row>
    <row r="16062" spans="4:7" ht="15" x14ac:dyDescent="0.3">
      <c r="D16062" s="25"/>
      <c r="F16062" s="21"/>
      <c r="G16062" s="16"/>
    </row>
    <row r="16063" spans="4:7" ht="15" x14ac:dyDescent="0.3">
      <c r="D16063" s="25"/>
      <c r="F16063" s="21"/>
      <c r="G16063" s="16"/>
    </row>
    <row r="16064" spans="4:7" ht="15" x14ac:dyDescent="0.3">
      <c r="D16064" s="25"/>
      <c r="F16064" s="21"/>
      <c r="G16064" s="16"/>
    </row>
    <row r="16065" spans="4:7" ht="15" x14ac:dyDescent="0.3">
      <c r="D16065" s="25"/>
      <c r="F16065" s="21"/>
      <c r="G16065" s="16"/>
    </row>
    <row r="16066" spans="4:7" ht="15" x14ac:dyDescent="0.3">
      <c r="D16066" s="25"/>
      <c r="F16066" s="21"/>
      <c r="G16066" s="16"/>
    </row>
    <row r="16067" spans="4:7" ht="15" x14ac:dyDescent="0.3">
      <c r="D16067" s="25"/>
      <c r="F16067" s="21"/>
      <c r="G16067" s="16"/>
    </row>
    <row r="16068" spans="4:7" ht="15" x14ac:dyDescent="0.3">
      <c r="D16068" s="25"/>
      <c r="F16068" s="21"/>
      <c r="G16068" s="16"/>
    </row>
    <row r="16069" spans="4:7" ht="15" x14ac:dyDescent="0.3">
      <c r="D16069" s="25"/>
      <c r="F16069" s="21"/>
      <c r="G16069" s="16"/>
    </row>
    <row r="16070" spans="4:7" ht="15" x14ac:dyDescent="0.3">
      <c r="D16070" s="25"/>
      <c r="F16070" s="21"/>
      <c r="G16070" s="16"/>
    </row>
    <row r="16071" spans="4:7" ht="15" x14ac:dyDescent="0.3">
      <c r="D16071" s="25"/>
      <c r="F16071" s="21"/>
      <c r="G16071" s="16"/>
    </row>
    <row r="16072" spans="4:7" ht="15" x14ac:dyDescent="0.3">
      <c r="D16072" s="25"/>
      <c r="F16072" s="21"/>
      <c r="G16072" s="16"/>
    </row>
    <row r="16073" spans="4:7" ht="15" x14ac:dyDescent="0.3">
      <c r="D16073" s="25"/>
      <c r="F16073" s="21"/>
      <c r="G16073" s="16"/>
    </row>
    <row r="16074" spans="4:7" ht="15" x14ac:dyDescent="0.3">
      <c r="D16074" s="25"/>
      <c r="F16074" s="21"/>
      <c r="G16074" s="16"/>
    </row>
    <row r="16075" spans="4:7" ht="15" x14ac:dyDescent="0.3">
      <c r="D16075" s="25"/>
      <c r="F16075" s="21"/>
      <c r="G16075" s="16"/>
    </row>
    <row r="16076" spans="4:7" ht="15" x14ac:dyDescent="0.3">
      <c r="D16076" s="25"/>
      <c r="F16076" s="21"/>
      <c r="G16076" s="16"/>
    </row>
    <row r="16077" spans="4:7" ht="15" x14ac:dyDescent="0.3">
      <c r="D16077" s="25"/>
      <c r="F16077" s="21"/>
      <c r="G16077" s="16"/>
    </row>
    <row r="16078" spans="4:7" ht="15" x14ac:dyDescent="0.3">
      <c r="D16078" s="25"/>
      <c r="F16078" s="21"/>
      <c r="G16078" s="16"/>
    </row>
    <row r="16079" spans="4:7" ht="15" x14ac:dyDescent="0.3">
      <c r="D16079" s="25"/>
      <c r="F16079" s="21"/>
      <c r="G16079" s="16"/>
    </row>
    <row r="16080" spans="4:7" ht="15" x14ac:dyDescent="0.3">
      <c r="D16080" s="25"/>
      <c r="F16080" s="21"/>
      <c r="G16080" s="16"/>
    </row>
    <row r="16081" spans="4:7" ht="15" x14ac:dyDescent="0.3">
      <c r="D16081" s="25"/>
      <c r="F16081" s="21"/>
      <c r="G16081" s="16"/>
    </row>
    <row r="16082" spans="4:7" ht="15" x14ac:dyDescent="0.3">
      <c r="D16082" s="25"/>
      <c r="F16082" s="21"/>
      <c r="G16082" s="16"/>
    </row>
    <row r="16083" spans="4:7" ht="15" x14ac:dyDescent="0.3">
      <c r="D16083" s="25"/>
      <c r="F16083" s="21"/>
      <c r="G16083" s="16"/>
    </row>
    <row r="16084" spans="4:7" ht="15" x14ac:dyDescent="0.3">
      <c r="D16084" s="25"/>
      <c r="F16084" s="21"/>
      <c r="G16084" s="16"/>
    </row>
    <row r="16085" spans="4:7" ht="15" x14ac:dyDescent="0.3">
      <c r="D16085" s="25"/>
      <c r="F16085" s="21"/>
      <c r="G16085" s="16"/>
    </row>
    <row r="16086" spans="4:7" ht="15" x14ac:dyDescent="0.3">
      <c r="D16086" s="25"/>
      <c r="F16086" s="21"/>
      <c r="G16086" s="16"/>
    </row>
    <row r="16087" spans="4:7" ht="15" x14ac:dyDescent="0.3">
      <c r="D16087" s="25"/>
      <c r="F16087" s="21"/>
      <c r="G16087" s="16"/>
    </row>
    <row r="16088" spans="4:7" ht="15" x14ac:dyDescent="0.3">
      <c r="D16088" s="25"/>
      <c r="F16088" s="21"/>
      <c r="G16088" s="16"/>
    </row>
    <row r="16089" spans="4:7" ht="15" x14ac:dyDescent="0.3">
      <c r="D16089" s="25"/>
      <c r="F16089" s="21"/>
      <c r="G16089" s="16"/>
    </row>
    <row r="16090" spans="4:7" ht="15" x14ac:dyDescent="0.3">
      <c r="D16090" s="25"/>
      <c r="F16090" s="21"/>
      <c r="G16090" s="16"/>
    </row>
    <row r="16091" spans="4:7" ht="15" x14ac:dyDescent="0.3">
      <c r="D16091" s="25"/>
      <c r="F16091" s="21"/>
      <c r="G16091" s="16"/>
    </row>
    <row r="16092" spans="4:7" ht="15" x14ac:dyDescent="0.3">
      <c r="D16092" s="25"/>
      <c r="F16092" s="21"/>
      <c r="G16092" s="16"/>
    </row>
    <row r="16093" spans="4:7" ht="15" x14ac:dyDescent="0.3">
      <c r="D16093" s="25"/>
      <c r="F16093" s="21"/>
      <c r="G16093" s="16"/>
    </row>
    <row r="16094" spans="4:7" ht="15" x14ac:dyDescent="0.3">
      <c r="D16094" s="25"/>
      <c r="F16094" s="21"/>
      <c r="G16094" s="16"/>
    </row>
    <row r="16095" spans="4:7" ht="15" x14ac:dyDescent="0.3">
      <c r="D16095" s="25"/>
      <c r="F16095" s="21"/>
      <c r="G16095" s="16"/>
    </row>
    <row r="16096" spans="4:7" ht="15" x14ac:dyDescent="0.3">
      <c r="D16096" s="25"/>
      <c r="F16096" s="21"/>
      <c r="G16096" s="16"/>
    </row>
    <row r="16097" spans="4:7" ht="15" x14ac:dyDescent="0.3">
      <c r="D16097" s="25"/>
      <c r="F16097" s="21"/>
      <c r="G16097" s="16"/>
    </row>
    <row r="16098" spans="4:7" ht="15" x14ac:dyDescent="0.3">
      <c r="D16098" s="25"/>
      <c r="F16098" s="21"/>
      <c r="G16098" s="16"/>
    </row>
    <row r="16099" spans="4:7" ht="15" x14ac:dyDescent="0.3">
      <c r="D16099" s="25"/>
      <c r="F16099" s="21"/>
      <c r="G16099" s="16"/>
    </row>
    <row r="16100" spans="4:7" ht="15" x14ac:dyDescent="0.3">
      <c r="D16100" s="25"/>
      <c r="F16100" s="21"/>
      <c r="G16100" s="16"/>
    </row>
    <row r="16101" spans="4:7" ht="15" x14ac:dyDescent="0.3">
      <c r="D16101" s="25"/>
      <c r="F16101" s="21"/>
      <c r="G16101" s="16"/>
    </row>
    <row r="16102" spans="4:7" ht="15" x14ac:dyDescent="0.3">
      <c r="D16102" s="25"/>
      <c r="F16102" s="21"/>
      <c r="G16102" s="16"/>
    </row>
    <row r="16103" spans="4:7" ht="15" x14ac:dyDescent="0.3">
      <c r="D16103" s="25"/>
      <c r="F16103" s="21"/>
      <c r="G16103" s="16"/>
    </row>
    <row r="16104" spans="4:7" ht="15" x14ac:dyDescent="0.3">
      <c r="D16104" s="25"/>
      <c r="F16104" s="21"/>
      <c r="G16104" s="16"/>
    </row>
    <row r="16105" spans="4:7" ht="15" x14ac:dyDescent="0.3">
      <c r="D16105" s="25"/>
      <c r="F16105" s="21"/>
      <c r="G16105" s="16"/>
    </row>
    <row r="16106" spans="4:7" ht="15" x14ac:dyDescent="0.3">
      <c r="D16106" s="25"/>
      <c r="F16106" s="21"/>
      <c r="G16106" s="16"/>
    </row>
    <row r="16107" spans="4:7" ht="15" x14ac:dyDescent="0.3">
      <c r="D16107" s="25"/>
      <c r="F16107" s="21"/>
      <c r="G16107" s="16"/>
    </row>
    <row r="16108" spans="4:7" ht="15" x14ac:dyDescent="0.3">
      <c r="D16108" s="25"/>
      <c r="F16108" s="21"/>
      <c r="G16108" s="16"/>
    </row>
    <row r="16109" spans="4:7" ht="15" x14ac:dyDescent="0.3">
      <c r="D16109" s="25"/>
      <c r="F16109" s="21"/>
      <c r="G16109" s="16"/>
    </row>
    <row r="16110" spans="4:7" ht="15" x14ac:dyDescent="0.3">
      <c r="D16110" s="25"/>
      <c r="F16110" s="21"/>
      <c r="G16110" s="16"/>
    </row>
    <row r="16111" spans="4:7" ht="15" x14ac:dyDescent="0.3">
      <c r="D16111" s="25"/>
      <c r="F16111" s="21"/>
      <c r="G16111" s="16"/>
    </row>
    <row r="16112" spans="4:7" ht="15" x14ac:dyDescent="0.3">
      <c r="D16112" s="25"/>
      <c r="F16112" s="21"/>
      <c r="G16112" s="16"/>
    </row>
    <row r="16113" spans="4:7" ht="15" x14ac:dyDescent="0.3">
      <c r="D16113" s="25"/>
      <c r="F16113" s="21"/>
      <c r="G16113" s="16"/>
    </row>
    <row r="16114" spans="4:7" ht="15" x14ac:dyDescent="0.3">
      <c r="D16114" s="25"/>
      <c r="F16114" s="21"/>
      <c r="G16114" s="16"/>
    </row>
    <row r="16115" spans="4:7" ht="15" x14ac:dyDescent="0.3">
      <c r="D16115" s="25"/>
      <c r="F16115" s="21"/>
      <c r="G16115" s="16"/>
    </row>
    <row r="16116" spans="4:7" ht="15" x14ac:dyDescent="0.3">
      <c r="D16116" s="25"/>
      <c r="F16116" s="21"/>
      <c r="G16116" s="16"/>
    </row>
    <row r="16117" spans="4:7" ht="15" x14ac:dyDescent="0.3">
      <c r="D16117" s="25"/>
      <c r="F16117" s="21"/>
      <c r="G16117" s="16"/>
    </row>
    <row r="16118" spans="4:7" ht="15" x14ac:dyDescent="0.3">
      <c r="D16118" s="25"/>
      <c r="F16118" s="21"/>
      <c r="G16118" s="16"/>
    </row>
    <row r="16119" spans="4:7" ht="15" x14ac:dyDescent="0.3">
      <c r="D16119" s="25"/>
      <c r="F16119" s="21"/>
      <c r="G16119" s="16"/>
    </row>
    <row r="16120" spans="4:7" ht="15" x14ac:dyDescent="0.3">
      <c r="D16120" s="25"/>
      <c r="F16120" s="21"/>
      <c r="G16120" s="16"/>
    </row>
    <row r="16121" spans="4:7" ht="15" x14ac:dyDescent="0.3">
      <c r="D16121" s="25"/>
      <c r="F16121" s="21"/>
      <c r="G16121" s="16"/>
    </row>
    <row r="16122" spans="4:7" ht="15" x14ac:dyDescent="0.3">
      <c r="D16122" s="25"/>
      <c r="F16122" s="21"/>
      <c r="G16122" s="16"/>
    </row>
    <row r="16123" spans="4:7" ht="15" x14ac:dyDescent="0.3">
      <c r="D16123" s="25"/>
      <c r="F16123" s="21"/>
      <c r="G16123" s="16"/>
    </row>
    <row r="16124" spans="4:7" ht="15" x14ac:dyDescent="0.3">
      <c r="D16124" s="25"/>
      <c r="F16124" s="21"/>
      <c r="G16124" s="16"/>
    </row>
    <row r="16125" spans="4:7" ht="15" x14ac:dyDescent="0.3">
      <c r="D16125" s="25"/>
      <c r="F16125" s="21"/>
      <c r="G16125" s="16"/>
    </row>
    <row r="16126" spans="4:7" ht="15" x14ac:dyDescent="0.3">
      <c r="D16126" s="25"/>
      <c r="F16126" s="21"/>
      <c r="G16126" s="16"/>
    </row>
    <row r="16127" spans="4:7" ht="15" x14ac:dyDescent="0.3">
      <c r="D16127" s="25"/>
      <c r="F16127" s="21"/>
      <c r="G16127" s="16"/>
    </row>
    <row r="16128" spans="4:7" ht="15" x14ac:dyDescent="0.3">
      <c r="D16128" s="25"/>
      <c r="F16128" s="21"/>
      <c r="G16128" s="16"/>
    </row>
    <row r="16129" spans="4:7" ht="15" x14ac:dyDescent="0.3">
      <c r="D16129" s="25"/>
      <c r="F16129" s="21"/>
      <c r="G16129" s="16"/>
    </row>
    <row r="16130" spans="4:7" ht="15" x14ac:dyDescent="0.3">
      <c r="D16130" s="25"/>
      <c r="F16130" s="21"/>
      <c r="G16130" s="16"/>
    </row>
    <row r="16131" spans="4:7" ht="15" x14ac:dyDescent="0.3">
      <c r="D16131" s="25"/>
      <c r="F16131" s="21"/>
      <c r="G16131" s="16"/>
    </row>
    <row r="16132" spans="4:7" ht="15" x14ac:dyDescent="0.3">
      <c r="D16132" s="25"/>
      <c r="F16132" s="21"/>
      <c r="G16132" s="16"/>
    </row>
    <row r="16133" spans="4:7" ht="15" x14ac:dyDescent="0.3">
      <c r="D16133" s="25"/>
      <c r="F16133" s="21"/>
      <c r="G16133" s="16"/>
    </row>
    <row r="16134" spans="4:7" ht="15" x14ac:dyDescent="0.3">
      <c r="D16134" s="25"/>
      <c r="F16134" s="21"/>
      <c r="G16134" s="16"/>
    </row>
    <row r="16135" spans="4:7" ht="15" x14ac:dyDescent="0.3">
      <c r="D16135" s="25"/>
      <c r="F16135" s="21"/>
      <c r="G16135" s="16"/>
    </row>
    <row r="16136" spans="4:7" ht="15" x14ac:dyDescent="0.3">
      <c r="D16136" s="25"/>
      <c r="F16136" s="21"/>
      <c r="G16136" s="16"/>
    </row>
    <row r="16137" spans="4:7" ht="15" x14ac:dyDescent="0.3">
      <c r="D16137" s="25"/>
      <c r="F16137" s="21"/>
      <c r="G16137" s="16"/>
    </row>
    <row r="16138" spans="4:7" ht="15" x14ac:dyDescent="0.3">
      <c r="D16138" s="25"/>
      <c r="F16138" s="21"/>
      <c r="G16138" s="16"/>
    </row>
    <row r="16139" spans="4:7" ht="15" x14ac:dyDescent="0.3">
      <c r="D16139" s="25"/>
      <c r="F16139" s="21"/>
      <c r="G16139" s="16"/>
    </row>
    <row r="16140" spans="4:7" ht="15" x14ac:dyDescent="0.3">
      <c r="D16140" s="25"/>
      <c r="F16140" s="21"/>
      <c r="G16140" s="16"/>
    </row>
    <row r="16141" spans="4:7" ht="15" x14ac:dyDescent="0.3">
      <c r="D16141" s="25"/>
      <c r="F16141" s="21"/>
      <c r="G16141" s="16"/>
    </row>
    <row r="16142" spans="4:7" ht="15" x14ac:dyDescent="0.3">
      <c r="D16142" s="25"/>
      <c r="F16142" s="21"/>
      <c r="G16142" s="16"/>
    </row>
    <row r="16143" spans="4:7" ht="15" x14ac:dyDescent="0.3">
      <c r="D16143" s="25"/>
      <c r="F16143" s="21"/>
      <c r="G16143" s="16"/>
    </row>
    <row r="16144" spans="4:7" ht="15" x14ac:dyDescent="0.3">
      <c r="D16144" s="25"/>
      <c r="F16144" s="21"/>
      <c r="G16144" s="16"/>
    </row>
    <row r="16145" spans="4:7" ht="15" x14ac:dyDescent="0.3">
      <c r="D16145" s="25"/>
      <c r="F16145" s="21"/>
      <c r="G16145" s="16"/>
    </row>
    <row r="16146" spans="4:7" ht="15" x14ac:dyDescent="0.3">
      <c r="D16146" s="25"/>
      <c r="F16146" s="21"/>
      <c r="G16146" s="16"/>
    </row>
    <row r="16147" spans="4:7" ht="15" x14ac:dyDescent="0.3">
      <c r="D16147" s="25"/>
      <c r="F16147" s="21"/>
      <c r="G16147" s="16"/>
    </row>
    <row r="16148" spans="4:7" ht="15" x14ac:dyDescent="0.3">
      <c r="D16148" s="25"/>
      <c r="F16148" s="21"/>
      <c r="G16148" s="16"/>
    </row>
    <row r="16149" spans="4:7" ht="15" x14ac:dyDescent="0.3">
      <c r="D16149" s="25"/>
      <c r="F16149" s="21"/>
      <c r="G16149" s="16"/>
    </row>
    <row r="16150" spans="4:7" ht="15" x14ac:dyDescent="0.3">
      <c r="D16150" s="25"/>
      <c r="F16150" s="21"/>
      <c r="G16150" s="16"/>
    </row>
    <row r="16151" spans="4:7" ht="15" x14ac:dyDescent="0.3">
      <c r="D16151" s="25"/>
      <c r="F16151" s="21"/>
      <c r="G16151" s="16"/>
    </row>
    <row r="16152" spans="4:7" ht="15" x14ac:dyDescent="0.3">
      <c r="D16152" s="25"/>
      <c r="F16152" s="21"/>
      <c r="G16152" s="16"/>
    </row>
    <row r="16153" spans="4:7" ht="15" x14ac:dyDescent="0.3">
      <c r="D16153" s="25"/>
      <c r="F16153" s="21"/>
      <c r="G16153" s="16"/>
    </row>
    <row r="16154" spans="4:7" ht="15" x14ac:dyDescent="0.3">
      <c r="D16154" s="25"/>
      <c r="F16154" s="21"/>
      <c r="G16154" s="16"/>
    </row>
    <row r="16155" spans="4:7" ht="15" x14ac:dyDescent="0.3">
      <c r="D16155" s="25"/>
      <c r="F16155" s="21"/>
      <c r="G16155" s="16"/>
    </row>
    <row r="16156" spans="4:7" ht="15" x14ac:dyDescent="0.3">
      <c r="D16156" s="25"/>
      <c r="F16156" s="21"/>
      <c r="G16156" s="16"/>
    </row>
    <row r="16157" spans="4:7" ht="15" x14ac:dyDescent="0.3">
      <c r="D16157" s="25"/>
      <c r="F16157" s="21"/>
      <c r="G16157" s="16"/>
    </row>
    <row r="16158" spans="4:7" ht="15" x14ac:dyDescent="0.3">
      <c r="D16158" s="25"/>
      <c r="F16158" s="21"/>
      <c r="G16158" s="16"/>
    </row>
    <row r="16159" spans="4:7" ht="15" x14ac:dyDescent="0.3">
      <c r="D16159" s="25"/>
      <c r="F16159" s="21"/>
      <c r="G16159" s="16"/>
    </row>
    <row r="16160" spans="4:7" ht="15" x14ac:dyDescent="0.3">
      <c r="D16160" s="25"/>
      <c r="F16160" s="21"/>
      <c r="G16160" s="16"/>
    </row>
    <row r="16161" spans="4:7" ht="15" x14ac:dyDescent="0.3">
      <c r="D16161" s="25"/>
      <c r="F16161" s="21"/>
      <c r="G16161" s="16"/>
    </row>
    <row r="16162" spans="4:7" ht="15" x14ac:dyDescent="0.3">
      <c r="D16162" s="25"/>
      <c r="F16162" s="21"/>
      <c r="G16162" s="16"/>
    </row>
    <row r="16163" spans="4:7" ht="15" x14ac:dyDescent="0.3">
      <c r="D16163" s="25"/>
      <c r="F16163" s="21"/>
      <c r="G16163" s="16"/>
    </row>
    <row r="16164" spans="4:7" ht="15" x14ac:dyDescent="0.3">
      <c r="D16164" s="25"/>
      <c r="F16164" s="21"/>
      <c r="G16164" s="16"/>
    </row>
    <row r="16165" spans="4:7" ht="15" x14ac:dyDescent="0.3">
      <c r="D16165" s="25"/>
      <c r="F16165" s="21"/>
      <c r="G16165" s="16"/>
    </row>
    <row r="16166" spans="4:7" ht="15" x14ac:dyDescent="0.3">
      <c r="D16166" s="25"/>
      <c r="F16166" s="21"/>
      <c r="G16166" s="16"/>
    </row>
    <row r="16167" spans="4:7" ht="15" x14ac:dyDescent="0.3">
      <c r="D16167" s="25"/>
      <c r="F16167" s="21"/>
      <c r="G16167" s="16"/>
    </row>
    <row r="16168" spans="4:7" ht="15" x14ac:dyDescent="0.3">
      <c r="D16168" s="25"/>
      <c r="F16168" s="21"/>
      <c r="G16168" s="16"/>
    </row>
    <row r="16169" spans="4:7" ht="15" x14ac:dyDescent="0.3">
      <c r="D16169" s="25"/>
      <c r="F16169" s="21"/>
      <c r="G16169" s="16"/>
    </row>
    <row r="16170" spans="4:7" ht="15" x14ac:dyDescent="0.3">
      <c r="D16170" s="25"/>
      <c r="F16170" s="21"/>
      <c r="G16170" s="16"/>
    </row>
    <row r="16171" spans="4:7" ht="15" x14ac:dyDescent="0.3">
      <c r="D16171" s="25"/>
      <c r="F16171" s="21"/>
      <c r="G16171" s="16"/>
    </row>
    <row r="16172" spans="4:7" ht="15" x14ac:dyDescent="0.3">
      <c r="D16172" s="25"/>
      <c r="F16172" s="21"/>
      <c r="G16172" s="16"/>
    </row>
    <row r="16173" spans="4:7" ht="15" x14ac:dyDescent="0.3">
      <c r="D16173" s="25"/>
      <c r="F16173" s="21"/>
      <c r="G16173" s="16"/>
    </row>
    <row r="16174" spans="4:7" ht="15" x14ac:dyDescent="0.3">
      <c r="D16174" s="25"/>
      <c r="F16174" s="21"/>
      <c r="G16174" s="16"/>
    </row>
    <row r="16175" spans="4:7" ht="15" x14ac:dyDescent="0.3">
      <c r="D16175" s="25"/>
      <c r="F16175" s="21"/>
      <c r="G16175" s="16"/>
    </row>
    <row r="16176" spans="4:7" ht="15" x14ac:dyDescent="0.3">
      <c r="D16176" s="25"/>
      <c r="F16176" s="21"/>
      <c r="G16176" s="16"/>
    </row>
    <row r="16177" spans="4:7" ht="15" x14ac:dyDescent="0.3">
      <c r="D16177" s="25"/>
      <c r="F16177" s="21"/>
      <c r="G16177" s="16"/>
    </row>
    <row r="16178" spans="4:7" ht="15" x14ac:dyDescent="0.3">
      <c r="D16178" s="25"/>
      <c r="F16178" s="21"/>
      <c r="G16178" s="16"/>
    </row>
    <row r="16179" spans="4:7" ht="15" x14ac:dyDescent="0.3">
      <c r="D16179" s="25"/>
      <c r="F16179" s="21"/>
      <c r="G16179" s="16"/>
    </row>
    <row r="16180" spans="4:7" ht="15" x14ac:dyDescent="0.3">
      <c r="D16180" s="25"/>
      <c r="F16180" s="21"/>
      <c r="G16180" s="16"/>
    </row>
    <row r="16181" spans="4:7" ht="15" x14ac:dyDescent="0.3">
      <c r="D16181" s="25"/>
      <c r="F16181" s="21"/>
      <c r="G16181" s="16"/>
    </row>
    <row r="16182" spans="4:7" ht="15" x14ac:dyDescent="0.3">
      <c r="D16182" s="25"/>
      <c r="F16182" s="21"/>
      <c r="G16182" s="16"/>
    </row>
    <row r="16183" spans="4:7" ht="15" x14ac:dyDescent="0.3">
      <c r="D16183" s="25"/>
      <c r="F16183" s="21"/>
      <c r="G16183" s="16"/>
    </row>
    <row r="16184" spans="4:7" ht="15" x14ac:dyDescent="0.3">
      <c r="D16184" s="25"/>
      <c r="F16184" s="21"/>
      <c r="G16184" s="16"/>
    </row>
    <row r="16185" spans="4:7" ht="15" x14ac:dyDescent="0.3">
      <c r="D16185" s="25"/>
      <c r="F16185" s="21"/>
      <c r="G16185" s="16"/>
    </row>
    <row r="16186" spans="4:7" ht="15" x14ac:dyDescent="0.3">
      <c r="D16186" s="25"/>
      <c r="F16186" s="21"/>
      <c r="G16186" s="16"/>
    </row>
    <row r="16187" spans="4:7" ht="15" x14ac:dyDescent="0.3">
      <c r="D16187" s="25"/>
      <c r="F16187" s="21"/>
      <c r="G16187" s="16"/>
    </row>
    <row r="16188" spans="4:7" ht="15" x14ac:dyDescent="0.3">
      <c r="D16188" s="25"/>
      <c r="F16188" s="21"/>
      <c r="G16188" s="16"/>
    </row>
    <row r="16189" spans="4:7" ht="15" x14ac:dyDescent="0.3">
      <c r="D16189" s="25"/>
      <c r="F16189" s="21"/>
      <c r="G16189" s="16"/>
    </row>
    <row r="16190" spans="4:7" ht="15" x14ac:dyDescent="0.3">
      <c r="D16190" s="25"/>
      <c r="F16190" s="21"/>
      <c r="G16190" s="16"/>
    </row>
    <row r="16191" spans="4:7" ht="15" x14ac:dyDescent="0.3">
      <c r="D16191" s="25"/>
      <c r="F16191" s="21"/>
      <c r="G16191" s="16"/>
    </row>
    <row r="16192" spans="4:7" x14ac:dyDescent="0.2">
      <c r="D16192" s="25"/>
      <c r="F16192" s="21"/>
    </row>
    <row r="16193" spans="4:7" x14ac:dyDescent="0.2">
      <c r="D16193" s="25"/>
      <c r="F16193" s="21"/>
    </row>
    <row r="16194" spans="4:7" x14ac:dyDescent="0.2">
      <c r="D16194" s="25"/>
      <c r="F16194" s="21"/>
    </row>
    <row r="16195" spans="4:7" ht="15" x14ac:dyDescent="0.3">
      <c r="D16195" s="25"/>
      <c r="F16195" s="21"/>
      <c r="G16195" s="16"/>
    </row>
    <row r="16196" spans="4:7" ht="15" x14ac:dyDescent="0.3">
      <c r="D16196" s="25"/>
      <c r="F16196" s="21"/>
      <c r="G16196" s="16"/>
    </row>
    <row r="16197" spans="4:7" ht="15" x14ac:dyDescent="0.3">
      <c r="D16197" s="25"/>
      <c r="F16197" s="21"/>
      <c r="G16197" s="16"/>
    </row>
    <row r="16198" spans="4:7" ht="15" x14ac:dyDescent="0.3">
      <c r="D16198" s="25"/>
      <c r="F16198" s="21"/>
      <c r="G16198" s="16"/>
    </row>
    <row r="16199" spans="4:7" ht="15" x14ac:dyDescent="0.3">
      <c r="D16199" s="25"/>
      <c r="F16199" s="21"/>
      <c r="G16199" s="16"/>
    </row>
    <row r="16200" spans="4:7" ht="15" x14ac:dyDescent="0.3">
      <c r="D16200" s="25"/>
      <c r="F16200" s="21"/>
      <c r="G16200" s="16"/>
    </row>
    <row r="16201" spans="4:7" ht="15" x14ac:dyDescent="0.3">
      <c r="D16201" s="25"/>
      <c r="F16201" s="21"/>
      <c r="G16201" s="16"/>
    </row>
    <row r="16202" spans="4:7" ht="15" x14ac:dyDescent="0.3">
      <c r="D16202" s="25"/>
      <c r="F16202" s="21"/>
      <c r="G16202" s="16"/>
    </row>
    <row r="16203" spans="4:7" ht="15" x14ac:dyDescent="0.3">
      <c r="D16203" s="25"/>
      <c r="F16203" s="21"/>
      <c r="G16203" s="16"/>
    </row>
    <row r="16204" spans="4:7" ht="15" x14ac:dyDescent="0.3">
      <c r="D16204" s="25"/>
      <c r="F16204" s="21"/>
      <c r="G16204" s="16"/>
    </row>
    <row r="16205" spans="4:7" ht="15" x14ac:dyDescent="0.3">
      <c r="D16205" s="25"/>
      <c r="F16205" s="21"/>
      <c r="G16205" s="16"/>
    </row>
    <row r="16206" spans="4:7" ht="15" x14ac:dyDescent="0.3">
      <c r="D16206" s="25"/>
      <c r="F16206" s="21"/>
      <c r="G16206" s="16"/>
    </row>
    <row r="16207" spans="4:7" ht="15" x14ac:dyDescent="0.3">
      <c r="D16207" s="25"/>
      <c r="F16207" s="21"/>
      <c r="G16207" s="16"/>
    </row>
    <row r="16208" spans="4:7" ht="15" x14ac:dyDescent="0.3">
      <c r="D16208" s="25"/>
      <c r="F16208" s="21"/>
      <c r="G16208" s="16"/>
    </row>
    <row r="16209" spans="4:7" ht="15" x14ac:dyDescent="0.3">
      <c r="D16209" s="25"/>
      <c r="F16209" s="21"/>
      <c r="G16209" s="16"/>
    </row>
    <row r="16210" spans="4:7" ht="15" x14ac:dyDescent="0.3">
      <c r="D16210" s="25"/>
      <c r="F16210" s="21"/>
      <c r="G16210" s="16"/>
    </row>
    <row r="16211" spans="4:7" ht="15" x14ac:dyDescent="0.3">
      <c r="D16211" s="25"/>
      <c r="F16211" s="21"/>
      <c r="G16211" s="16"/>
    </row>
    <row r="16212" spans="4:7" ht="15" x14ac:dyDescent="0.3">
      <c r="D16212" s="25"/>
      <c r="F16212" s="21"/>
      <c r="G16212" s="16"/>
    </row>
    <row r="16213" spans="4:7" ht="15" x14ac:dyDescent="0.3">
      <c r="D16213" s="25"/>
      <c r="F16213" s="21"/>
      <c r="G16213" s="16"/>
    </row>
    <row r="16214" spans="4:7" ht="15" x14ac:dyDescent="0.3">
      <c r="D16214" s="25"/>
      <c r="F16214" s="21"/>
      <c r="G16214" s="16"/>
    </row>
    <row r="16215" spans="4:7" ht="15" x14ac:dyDescent="0.3">
      <c r="D16215" s="25"/>
      <c r="F16215" s="21"/>
      <c r="G16215" s="16"/>
    </row>
    <row r="16216" spans="4:7" ht="15" x14ac:dyDescent="0.3">
      <c r="D16216" s="25"/>
      <c r="F16216" s="21"/>
      <c r="G16216" s="16"/>
    </row>
    <row r="16217" spans="4:7" ht="15" x14ac:dyDescent="0.3">
      <c r="D16217" s="25"/>
      <c r="F16217" s="21"/>
      <c r="G16217" s="16"/>
    </row>
    <row r="16218" spans="4:7" ht="15" x14ac:dyDescent="0.3">
      <c r="D16218" s="25"/>
      <c r="F16218" s="21"/>
      <c r="G16218" s="16"/>
    </row>
    <row r="16219" spans="4:7" ht="15" x14ac:dyDescent="0.3">
      <c r="D16219" s="25"/>
      <c r="F16219" s="21"/>
      <c r="G16219" s="16"/>
    </row>
    <row r="16220" spans="4:7" ht="15" x14ac:dyDescent="0.3">
      <c r="D16220" s="25"/>
      <c r="F16220" s="21"/>
      <c r="G16220" s="16"/>
    </row>
    <row r="16221" spans="4:7" ht="15" x14ac:dyDescent="0.3">
      <c r="D16221" s="25"/>
      <c r="F16221" s="21"/>
      <c r="G16221" s="16"/>
    </row>
    <row r="16222" spans="4:7" ht="15" x14ac:dyDescent="0.3">
      <c r="D16222" s="25"/>
      <c r="F16222" s="21"/>
      <c r="G16222" s="16"/>
    </row>
    <row r="16223" spans="4:7" ht="15" x14ac:dyDescent="0.3">
      <c r="D16223" s="25"/>
      <c r="F16223" s="21"/>
      <c r="G16223" s="16"/>
    </row>
    <row r="16224" spans="4:7" ht="15" x14ac:dyDescent="0.3">
      <c r="D16224" s="25"/>
      <c r="F16224" s="21"/>
      <c r="G16224" s="16"/>
    </row>
    <row r="16225" spans="4:7" ht="15" x14ac:dyDescent="0.3">
      <c r="D16225" s="25"/>
      <c r="F16225" s="21"/>
      <c r="G16225" s="16"/>
    </row>
    <row r="16226" spans="4:7" ht="15" x14ac:dyDescent="0.3">
      <c r="D16226" s="25"/>
      <c r="F16226" s="21"/>
      <c r="G16226" s="16"/>
    </row>
    <row r="16227" spans="4:7" ht="15" x14ac:dyDescent="0.3">
      <c r="D16227" s="25"/>
      <c r="F16227" s="21"/>
      <c r="G16227" s="16"/>
    </row>
    <row r="16228" spans="4:7" ht="15" x14ac:dyDescent="0.3">
      <c r="D16228" s="25"/>
      <c r="F16228" s="21"/>
      <c r="G16228" s="16"/>
    </row>
    <row r="16229" spans="4:7" ht="15" x14ac:dyDescent="0.3">
      <c r="D16229" s="25"/>
      <c r="F16229" s="21"/>
      <c r="G16229" s="16"/>
    </row>
    <row r="16230" spans="4:7" ht="15" x14ac:dyDescent="0.3">
      <c r="D16230" s="25"/>
      <c r="F16230" s="21"/>
      <c r="G16230" s="16"/>
    </row>
    <row r="16231" spans="4:7" ht="15" x14ac:dyDescent="0.3">
      <c r="D16231" s="25"/>
      <c r="F16231" s="21"/>
      <c r="G16231" s="16"/>
    </row>
    <row r="16232" spans="4:7" ht="15" x14ac:dyDescent="0.3">
      <c r="D16232" s="25"/>
      <c r="F16232" s="21"/>
      <c r="G16232" s="16"/>
    </row>
    <row r="16233" spans="4:7" ht="15" x14ac:dyDescent="0.3">
      <c r="D16233" s="25"/>
      <c r="F16233" s="21"/>
      <c r="G16233" s="16"/>
    </row>
    <row r="16234" spans="4:7" ht="15" x14ac:dyDescent="0.3">
      <c r="D16234" s="25"/>
      <c r="F16234" s="21"/>
      <c r="G16234" s="16"/>
    </row>
    <row r="16235" spans="4:7" ht="15" x14ac:dyDescent="0.3">
      <c r="D16235" s="25"/>
      <c r="F16235" s="21"/>
      <c r="G16235" s="16"/>
    </row>
    <row r="16236" spans="4:7" ht="15" x14ac:dyDescent="0.3">
      <c r="D16236" s="25"/>
      <c r="F16236" s="21"/>
      <c r="G16236" s="16"/>
    </row>
    <row r="16237" spans="4:7" ht="15" x14ac:dyDescent="0.3">
      <c r="D16237" s="25"/>
      <c r="F16237" s="21"/>
      <c r="G16237" s="16"/>
    </row>
    <row r="16238" spans="4:7" ht="15" x14ac:dyDescent="0.3">
      <c r="D16238" s="25"/>
      <c r="F16238" s="21"/>
      <c r="G16238" s="16"/>
    </row>
    <row r="16239" spans="4:7" ht="15" x14ac:dyDescent="0.3">
      <c r="D16239" s="25"/>
      <c r="F16239" s="21"/>
      <c r="G16239" s="16"/>
    </row>
    <row r="16240" spans="4:7" ht="15" x14ac:dyDescent="0.3">
      <c r="D16240" s="25"/>
      <c r="F16240" s="21"/>
      <c r="G16240" s="16"/>
    </row>
    <row r="16241" spans="4:7" ht="15" x14ac:dyDescent="0.3">
      <c r="D16241" s="25"/>
      <c r="F16241" s="21"/>
      <c r="G16241" s="16"/>
    </row>
    <row r="16242" spans="4:7" ht="15" x14ac:dyDescent="0.3">
      <c r="D16242" s="25"/>
      <c r="F16242" s="21"/>
      <c r="G16242" s="16"/>
    </row>
    <row r="16243" spans="4:7" ht="15" x14ac:dyDescent="0.3">
      <c r="D16243" s="25"/>
      <c r="F16243" s="21"/>
      <c r="G16243" s="16"/>
    </row>
    <row r="16244" spans="4:7" ht="15" x14ac:dyDescent="0.3">
      <c r="D16244" s="25"/>
      <c r="F16244" s="21"/>
      <c r="G16244" s="16"/>
    </row>
    <row r="16245" spans="4:7" ht="15" x14ac:dyDescent="0.3">
      <c r="D16245" s="25"/>
      <c r="F16245" s="21"/>
      <c r="G16245" s="16"/>
    </row>
    <row r="16246" spans="4:7" ht="15" x14ac:dyDescent="0.3">
      <c r="D16246" s="25"/>
      <c r="F16246" s="21"/>
      <c r="G16246" s="16"/>
    </row>
    <row r="16247" spans="4:7" ht="15" x14ac:dyDescent="0.3">
      <c r="D16247" s="25"/>
      <c r="F16247" s="21"/>
      <c r="G16247" s="16"/>
    </row>
    <row r="16248" spans="4:7" ht="15" x14ac:dyDescent="0.3">
      <c r="D16248" s="25"/>
      <c r="F16248" s="21"/>
      <c r="G16248" s="16"/>
    </row>
    <row r="16249" spans="4:7" ht="15" x14ac:dyDescent="0.3">
      <c r="D16249" s="25"/>
      <c r="F16249" s="21"/>
      <c r="G16249" s="16"/>
    </row>
    <row r="16250" spans="4:7" ht="15" x14ac:dyDescent="0.3">
      <c r="D16250" s="25"/>
      <c r="F16250" s="21"/>
      <c r="G16250" s="16"/>
    </row>
    <row r="16251" spans="4:7" ht="15" x14ac:dyDescent="0.3">
      <c r="D16251" s="25"/>
      <c r="F16251" s="21"/>
      <c r="G16251" s="16"/>
    </row>
    <row r="16252" spans="4:7" ht="15" x14ac:dyDescent="0.3">
      <c r="D16252" s="25"/>
      <c r="F16252" s="21"/>
      <c r="G16252" s="16"/>
    </row>
    <row r="16253" spans="4:7" ht="15" x14ac:dyDescent="0.3">
      <c r="D16253" s="25"/>
      <c r="F16253" s="21"/>
      <c r="G16253" s="16"/>
    </row>
    <row r="16254" spans="4:7" ht="15" x14ac:dyDescent="0.3">
      <c r="D16254" s="25"/>
      <c r="F16254" s="21"/>
      <c r="G16254" s="16"/>
    </row>
    <row r="16255" spans="4:7" ht="15" x14ac:dyDescent="0.3">
      <c r="D16255" s="25"/>
      <c r="F16255" s="21"/>
      <c r="G16255" s="16"/>
    </row>
    <row r="16256" spans="4:7" ht="15" x14ac:dyDescent="0.3">
      <c r="D16256" s="25"/>
      <c r="F16256" s="21"/>
      <c r="G16256" s="16"/>
    </row>
    <row r="16257" spans="4:7" ht="15" x14ac:dyDescent="0.3">
      <c r="D16257" s="25"/>
      <c r="F16257" s="21"/>
      <c r="G16257" s="16"/>
    </row>
    <row r="16258" spans="4:7" ht="15" x14ac:dyDescent="0.3">
      <c r="D16258" s="25"/>
      <c r="F16258" s="21"/>
      <c r="G16258" s="16"/>
    </row>
    <row r="16259" spans="4:7" ht="15" x14ac:dyDescent="0.3">
      <c r="D16259" s="25"/>
      <c r="F16259" s="21"/>
      <c r="G16259" s="16"/>
    </row>
    <row r="16260" spans="4:7" ht="15" x14ac:dyDescent="0.3">
      <c r="D16260" s="25"/>
      <c r="F16260" s="21"/>
      <c r="G16260" s="16"/>
    </row>
    <row r="16261" spans="4:7" ht="15" x14ac:dyDescent="0.3">
      <c r="D16261" s="25"/>
      <c r="F16261" s="21"/>
      <c r="G16261" s="16"/>
    </row>
    <row r="16262" spans="4:7" ht="15" x14ac:dyDescent="0.3">
      <c r="D16262" s="25"/>
      <c r="F16262" s="21"/>
      <c r="G16262" s="16"/>
    </row>
    <row r="16263" spans="4:7" ht="15" x14ac:dyDescent="0.3">
      <c r="D16263" s="25"/>
      <c r="F16263" s="21"/>
      <c r="G16263" s="16"/>
    </row>
    <row r="16264" spans="4:7" ht="15" x14ac:dyDescent="0.3">
      <c r="D16264" s="25"/>
      <c r="F16264" s="21"/>
      <c r="G16264" s="16"/>
    </row>
    <row r="16265" spans="4:7" ht="15" x14ac:dyDescent="0.3">
      <c r="D16265" s="25"/>
      <c r="F16265" s="21"/>
      <c r="G16265" s="16"/>
    </row>
    <row r="16266" spans="4:7" ht="15" x14ac:dyDescent="0.3">
      <c r="D16266" s="25"/>
      <c r="F16266" s="21"/>
      <c r="G16266" s="16"/>
    </row>
    <row r="16267" spans="4:7" ht="15" x14ac:dyDescent="0.3">
      <c r="D16267" s="25"/>
      <c r="F16267" s="21"/>
      <c r="G16267" s="16"/>
    </row>
    <row r="16268" spans="4:7" ht="15" x14ac:dyDescent="0.3">
      <c r="D16268" s="25"/>
      <c r="F16268" s="21"/>
      <c r="G16268" s="16"/>
    </row>
    <row r="16269" spans="4:7" ht="15" x14ac:dyDescent="0.3">
      <c r="D16269" s="25"/>
      <c r="F16269" s="21"/>
      <c r="G16269" s="16"/>
    </row>
    <row r="16270" spans="4:7" ht="15" x14ac:dyDescent="0.3">
      <c r="D16270" s="25"/>
      <c r="F16270" s="21"/>
      <c r="G16270" s="16"/>
    </row>
    <row r="16271" spans="4:7" ht="15" x14ac:dyDescent="0.3">
      <c r="D16271" s="25"/>
      <c r="F16271" s="21"/>
      <c r="G16271" s="16"/>
    </row>
    <row r="16272" spans="4:7" ht="15" x14ac:dyDescent="0.3">
      <c r="D16272" s="25"/>
      <c r="F16272" s="21"/>
      <c r="G16272" s="16"/>
    </row>
    <row r="16273" spans="4:7" ht="15" x14ac:dyDescent="0.3">
      <c r="D16273" s="25"/>
      <c r="F16273" s="21"/>
      <c r="G16273" s="16"/>
    </row>
    <row r="16274" spans="4:7" ht="15" x14ac:dyDescent="0.3">
      <c r="D16274" s="25"/>
      <c r="F16274" s="21"/>
      <c r="G16274" s="16"/>
    </row>
    <row r="16275" spans="4:7" ht="15" x14ac:dyDescent="0.3">
      <c r="D16275" s="25"/>
      <c r="F16275" s="21"/>
      <c r="G16275" s="16"/>
    </row>
    <row r="16276" spans="4:7" ht="15" x14ac:dyDescent="0.3">
      <c r="D16276" s="25"/>
      <c r="F16276" s="21"/>
      <c r="G16276" s="16"/>
    </row>
    <row r="16277" spans="4:7" ht="15" x14ac:dyDescent="0.3">
      <c r="D16277" s="25"/>
      <c r="F16277" s="21"/>
      <c r="G16277" s="16"/>
    </row>
    <row r="16278" spans="4:7" ht="15" x14ac:dyDescent="0.3">
      <c r="D16278" s="25"/>
      <c r="F16278" s="21"/>
      <c r="G16278" s="16"/>
    </row>
    <row r="16279" spans="4:7" ht="15" x14ac:dyDescent="0.3">
      <c r="D16279" s="25"/>
      <c r="F16279" s="21"/>
      <c r="G16279" s="16"/>
    </row>
    <row r="16280" spans="4:7" ht="15" x14ac:dyDescent="0.3">
      <c r="D16280" s="25"/>
      <c r="F16280" s="21"/>
      <c r="G16280" s="16"/>
    </row>
    <row r="16281" spans="4:7" ht="15" x14ac:dyDescent="0.3">
      <c r="D16281" s="25"/>
      <c r="F16281" s="21"/>
      <c r="G16281" s="16"/>
    </row>
    <row r="16282" spans="4:7" ht="15" x14ac:dyDescent="0.3">
      <c r="D16282" s="25"/>
      <c r="F16282" s="21"/>
      <c r="G16282" s="16"/>
    </row>
    <row r="16283" spans="4:7" ht="15" x14ac:dyDescent="0.3">
      <c r="D16283" s="25"/>
      <c r="F16283" s="21"/>
      <c r="G16283" s="16"/>
    </row>
    <row r="16284" spans="4:7" ht="15" x14ac:dyDescent="0.3">
      <c r="D16284" s="25"/>
      <c r="F16284" s="21"/>
      <c r="G16284" s="16"/>
    </row>
    <row r="16285" spans="4:7" ht="15" x14ac:dyDescent="0.3">
      <c r="D16285" s="25"/>
      <c r="F16285" s="21"/>
      <c r="G16285" s="16"/>
    </row>
    <row r="16286" spans="4:7" ht="15" x14ac:dyDescent="0.3">
      <c r="D16286" s="25"/>
      <c r="F16286" s="21"/>
      <c r="G16286" s="16"/>
    </row>
    <row r="16287" spans="4:7" ht="15" x14ac:dyDescent="0.3">
      <c r="D16287" s="25"/>
      <c r="F16287" s="21"/>
      <c r="G16287" s="16"/>
    </row>
    <row r="16288" spans="4:7" ht="15" x14ac:dyDescent="0.3">
      <c r="D16288" s="25"/>
      <c r="F16288" s="21"/>
      <c r="G16288" s="16"/>
    </row>
    <row r="16289" spans="4:7" ht="15" x14ac:dyDescent="0.3">
      <c r="D16289" s="25"/>
      <c r="F16289" s="21"/>
      <c r="G16289" s="16"/>
    </row>
    <row r="16290" spans="4:7" ht="15" x14ac:dyDescent="0.3">
      <c r="D16290" s="25"/>
      <c r="F16290" s="21"/>
      <c r="G16290" s="16"/>
    </row>
    <row r="16291" spans="4:7" ht="15" x14ac:dyDescent="0.3">
      <c r="D16291" s="25"/>
      <c r="F16291" s="21"/>
      <c r="G16291" s="16"/>
    </row>
    <row r="16292" spans="4:7" ht="15" x14ac:dyDescent="0.3">
      <c r="D16292" s="25"/>
      <c r="F16292" s="21"/>
      <c r="G16292" s="16"/>
    </row>
    <row r="16293" spans="4:7" ht="15" x14ac:dyDescent="0.3">
      <c r="D16293" s="25"/>
      <c r="F16293" s="21"/>
      <c r="G16293" s="16"/>
    </row>
    <row r="16294" spans="4:7" ht="15" x14ac:dyDescent="0.3">
      <c r="D16294" s="25"/>
      <c r="F16294" s="21"/>
      <c r="G16294" s="16"/>
    </row>
    <row r="16295" spans="4:7" ht="15" x14ac:dyDescent="0.3">
      <c r="D16295" s="25"/>
      <c r="F16295" s="21"/>
      <c r="G16295" s="16"/>
    </row>
    <row r="16296" spans="4:7" ht="15" x14ac:dyDescent="0.3">
      <c r="D16296" s="25"/>
      <c r="F16296" s="21"/>
      <c r="G16296" s="16"/>
    </row>
    <row r="16297" spans="4:7" ht="15" x14ac:dyDescent="0.3">
      <c r="D16297" s="25"/>
      <c r="F16297" s="21"/>
      <c r="G16297" s="16"/>
    </row>
    <row r="16298" spans="4:7" ht="15" x14ac:dyDescent="0.3">
      <c r="D16298" s="25"/>
      <c r="F16298" s="21"/>
      <c r="G16298" s="16"/>
    </row>
    <row r="16299" spans="4:7" ht="15" x14ac:dyDescent="0.3">
      <c r="D16299" s="25"/>
      <c r="F16299" s="21"/>
      <c r="G16299" s="16"/>
    </row>
    <row r="16300" spans="4:7" ht="15" x14ac:dyDescent="0.3">
      <c r="D16300" s="25"/>
      <c r="F16300" s="21"/>
      <c r="G16300" s="16"/>
    </row>
    <row r="16301" spans="4:7" ht="15" x14ac:dyDescent="0.3">
      <c r="D16301" s="25"/>
      <c r="F16301" s="21"/>
      <c r="G16301" s="16"/>
    </row>
    <row r="16302" spans="4:7" ht="15" x14ac:dyDescent="0.3">
      <c r="D16302" s="25"/>
      <c r="F16302" s="21"/>
      <c r="G16302" s="16"/>
    </row>
    <row r="16303" spans="4:7" ht="15" x14ac:dyDescent="0.3">
      <c r="D16303" s="25"/>
      <c r="F16303" s="21"/>
      <c r="G16303" s="16"/>
    </row>
    <row r="16304" spans="4:7" ht="15" x14ac:dyDescent="0.3">
      <c r="D16304" s="25"/>
      <c r="F16304" s="21"/>
      <c r="G16304" s="16"/>
    </row>
    <row r="16305" spans="4:7" ht="15" x14ac:dyDescent="0.3">
      <c r="D16305" s="25"/>
      <c r="F16305" s="21"/>
      <c r="G16305" s="16"/>
    </row>
    <row r="16306" spans="4:7" ht="15" x14ac:dyDescent="0.3">
      <c r="D16306" s="25"/>
      <c r="F16306" s="21"/>
      <c r="G16306" s="16"/>
    </row>
    <row r="16307" spans="4:7" ht="15" x14ac:dyDescent="0.3">
      <c r="D16307" s="25"/>
      <c r="F16307" s="21"/>
      <c r="G16307" s="16"/>
    </row>
    <row r="16308" spans="4:7" ht="15" x14ac:dyDescent="0.3">
      <c r="D16308" s="25"/>
      <c r="F16308" s="21"/>
      <c r="G16308" s="16"/>
    </row>
    <row r="16309" spans="4:7" ht="15" x14ac:dyDescent="0.3">
      <c r="D16309" s="25"/>
      <c r="F16309" s="21"/>
      <c r="G16309" s="16"/>
    </row>
    <row r="16310" spans="4:7" ht="15" x14ac:dyDescent="0.3">
      <c r="D16310" s="25"/>
      <c r="F16310" s="21"/>
      <c r="G16310" s="16"/>
    </row>
    <row r="16311" spans="4:7" ht="15" x14ac:dyDescent="0.3">
      <c r="D16311" s="25"/>
      <c r="F16311" s="21"/>
      <c r="G16311" s="16"/>
    </row>
    <row r="16312" spans="4:7" ht="15" x14ac:dyDescent="0.3">
      <c r="D16312" s="25"/>
      <c r="F16312" s="21"/>
      <c r="G16312" s="16"/>
    </row>
    <row r="16313" spans="4:7" ht="15" x14ac:dyDescent="0.3">
      <c r="D16313" s="25"/>
      <c r="F16313" s="21"/>
      <c r="G16313" s="16"/>
    </row>
    <row r="16314" spans="4:7" ht="15" x14ac:dyDescent="0.3">
      <c r="D16314" s="25"/>
      <c r="F16314" s="21"/>
      <c r="G16314" s="16"/>
    </row>
    <row r="16315" spans="4:7" ht="15" x14ac:dyDescent="0.3">
      <c r="D16315" s="25"/>
      <c r="F16315" s="21"/>
      <c r="G16315" s="16"/>
    </row>
    <row r="16316" spans="4:7" ht="15" x14ac:dyDescent="0.3">
      <c r="D16316" s="25"/>
      <c r="F16316" s="21"/>
      <c r="G16316" s="16"/>
    </row>
    <row r="16317" spans="4:7" ht="15" x14ac:dyDescent="0.3">
      <c r="D16317" s="25"/>
      <c r="F16317" s="21"/>
      <c r="G16317" s="16"/>
    </row>
    <row r="16318" spans="4:7" ht="15" x14ac:dyDescent="0.3">
      <c r="D16318" s="25"/>
      <c r="F16318" s="21"/>
      <c r="G16318" s="16"/>
    </row>
    <row r="16319" spans="4:7" ht="15" x14ac:dyDescent="0.3">
      <c r="D16319" s="25"/>
      <c r="F16319" s="21"/>
      <c r="G16319" s="16"/>
    </row>
    <row r="16320" spans="4:7" ht="15" x14ac:dyDescent="0.3">
      <c r="D16320" s="25"/>
      <c r="F16320" s="21"/>
      <c r="G16320" s="16"/>
    </row>
    <row r="16321" spans="4:7" ht="15" x14ac:dyDescent="0.3">
      <c r="D16321" s="25"/>
      <c r="F16321" s="21"/>
      <c r="G16321" s="16"/>
    </row>
    <row r="16322" spans="4:7" ht="15" x14ac:dyDescent="0.3">
      <c r="D16322" s="25"/>
      <c r="F16322" s="21"/>
      <c r="G16322" s="16"/>
    </row>
    <row r="16323" spans="4:7" ht="15" x14ac:dyDescent="0.3">
      <c r="D16323" s="25"/>
      <c r="F16323" s="21"/>
      <c r="G16323" s="16"/>
    </row>
    <row r="16324" spans="4:7" ht="15" x14ac:dyDescent="0.3">
      <c r="D16324" s="25"/>
      <c r="F16324" s="21"/>
      <c r="G16324" s="16"/>
    </row>
    <row r="16325" spans="4:7" ht="15" x14ac:dyDescent="0.3">
      <c r="D16325" s="25"/>
      <c r="F16325" s="21"/>
      <c r="G16325" s="16"/>
    </row>
    <row r="16326" spans="4:7" ht="15" x14ac:dyDescent="0.3">
      <c r="D16326" s="25"/>
      <c r="F16326" s="21"/>
      <c r="G16326" s="16"/>
    </row>
    <row r="16327" spans="4:7" ht="15" x14ac:dyDescent="0.3">
      <c r="D16327" s="25"/>
      <c r="F16327" s="21"/>
      <c r="G16327" s="16"/>
    </row>
    <row r="16328" spans="4:7" ht="15" x14ac:dyDescent="0.3">
      <c r="D16328" s="25"/>
      <c r="F16328" s="21"/>
      <c r="G16328" s="16"/>
    </row>
    <row r="16329" spans="4:7" ht="15" x14ac:dyDescent="0.3">
      <c r="D16329" s="25"/>
      <c r="F16329" s="21"/>
      <c r="G16329" s="16"/>
    </row>
    <row r="16330" spans="4:7" ht="15" x14ac:dyDescent="0.3">
      <c r="D16330" s="25"/>
      <c r="F16330" s="21"/>
      <c r="G16330" s="16"/>
    </row>
    <row r="16331" spans="4:7" ht="15" x14ac:dyDescent="0.3">
      <c r="D16331" s="25"/>
      <c r="F16331" s="21"/>
      <c r="G16331" s="16"/>
    </row>
    <row r="16332" spans="4:7" ht="15" x14ac:dyDescent="0.3">
      <c r="D16332" s="25"/>
      <c r="F16332" s="21"/>
      <c r="G16332" s="16"/>
    </row>
    <row r="16333" spans="4:7" ht="15" x14ac:dyDescent="0.3">
      <c r="D16333" s="25"/>
      <c r="F16333" s="21"/>
      <c r="G16333" s="16"/>
    </row>
    <row r="16334" spans="4:7" ht="15" x14ac:dyDescent="0.3">
      <c r="D16334" s="25"/>
      <c r="F16334" s="21"/>
      <c r="G16334" s="16"/>
    </row>
    <row r="16335" spans="4:7" ht="15" x14ac:dyDescent="0.3">
      <c r="D16335" s="25"/>
      <c r="F16335" s="21"/>
      <c r="G16335" s="16"/>
    </row>
    <row r="16336" spans="4:7" ht="15" x14ac:dyDescent="0.3">
      <c r="D16336" s="25"/>
      <c r="F16336" s="21"/>
      <c r="G16336" s="16"/>
    </row>
    <row r="16337" spans="4:7" ht="15" x14ac:dyDescent="0.3">
      <c r="D16337" s="25"/>
      <c r="F16337" s="21"/>
      <c r="G16337" s="16"/>
    </row>
    <row r="16338" spans="4:7" ht="15" x14ac:dyDescent="0.3">
      <c r="D16338" s="25"/>
      <c r="F16338" s="21"/>
      <c r="G16338" s="16"/>
    </row>
    <row r="16339" spans="4:7" ht="15" x14ac:dyDescent="0.3">
      <c r="D16339" s="25"/>
      <c r="F16339" s="21"/>
      <c r="G16339" s="16"/>
    </row>
    <row r="16340" spans="4:7" ht="15" x14ac:dyDescent="0.3">
      <c r="D16340" s="25"/>
      <c r="F16340" s="21"/>
      <c r="G16340" s="16"/>
    </row>
    <row r="16341" spans="4:7" ht="15" x14ac:dyDescent="0.3">
      <c r="D16341" s="25"/>
      <c r="F16341" s="21"/>
      <c r="G16341" s="16"/>
    </row>
    <row r="16342" spans="4:7" ht="15" x14ac:dyDescent="0.3">
      <c r="D16342" s="25"/>
      <c r="F16342" s="21"/>
      <c r="G16342" s="16"/>
    </row>
    <row r="16343" spans="4:7" ht="15" x14ac:dyDescent="0.3">
      <c r="D16343" s="25"/>
      <c r="F16343" s="21"/>
      <c r="G16343" s="16"/>
    </row>
    <row r="16344" spans="4:7" ht="15" x14ac:dyDescent="0.3">
      <c r="D16344" s="25"/>
      <c r="F16344" s="21"/>
      <c r="G16344" s="16"/>
    </row>
    <row r="16345" spans="4:7" ht="15" x14ac:dyDescent="0.3">
      <c r="D16345" s="25"/>
      <c r="F16345" s="21"/>
      <c r="G16345" s="16"/>
    </row>
    <row r="16346" spans="4:7" ht="15" x14ac:dyDescent="0.3">
      <c r="D16346" s="25"/>
      <c r="F16346" s="21"/>
      <c r="G16346" s="16"/>
    </row>
    <row r="16347" spans="4:7" ht="15" x14ac:dyDescent="0.3">
      <c r="D16347" s="25"/>
      <c r="F16347" s="21"/>
      <c r="G16347" s="16"/>
    </row>
    <row r="16348" spans="4:7" ht="15" x14ac:dyDescent="0.3">
      <c r="D16348" s="25"/>
      <c r="F16348" s="21"/>
      <c r="G16348" s="16"/>
    </row>
    <row r="16349" spans="4:7" ht="15" x14ac:dyDescent="0.3">
      <c r="D16349" s="25"/>
      <c r="F16349" s="21"/>
      <c r="G16349" s="16"/>
    </row>
    <row r="16350" spans="4:7" ht="15" x14ac:dyDescent="0.3">
      <c r="D16350" s="25"/>
      <c r="F16350" s="21"/>
      <c r="G16350" s="16"/>
    </row>
    <row r="16351" spans="4:7" ht="15" x14ac:dyDescent="0.3">
      <c r="D16351" s="25"/>
      <c r="F16351" s="21"/>
      <c r="G16351" s="16"/>
    </row>
    <row r="16352" spans="4:7" ht="15" x14ac:dyDescent="0.3">
      <c r="D16352" s="25"/>
      <c r="F16352" s="21"/>
      <c r="G16352" s="16"/>
    </row>
    <row r="16353" spans="4:7" ht="15" x14ac:dyDescent="0.3">
      <c r="D16353" s="25"/>
      <c r="F16353" s="21"/>
      <c r="G16353" s="16"/>
    </row>
    <row r="16354" spans="4:7" ht="15" x14ac:dyDescent="0.3">
      <c r="D16354" s="25"/>
      <c r="F16354" s="21"/>
      <c r="G16354" s="16"/>
    </row>
    <row r="16355" spans="4:7" ht="15" x14ac:dyDescent="0.3">
      <c r="D16355" s="25"/>
      <c r="F16355" s="21"/>
      <c r="G16355" s="16"/>
    </row>
    <row r="16356" spans="4:7" ht="15" x14ac:dyDescent="0.3">
      <c r="D16356" s="25"/>
      <c r="F16356" s="21"/>
      <c r="G16356" s="16"/>
    </row>
    <row r="16357" spans="4:7" ht="15" x14ac:dyDescent="0.3">
      <c r="D16357" s="25"/>
      <c r="F16357" s="21"/>
      <c r="G16357" s="16"/>
    </row>
    <row r="16358" spans="4:7" ht="15" x14ac:dyDescent="0.3">
      <c r="D16358" s="25"/>
      <c r="F16358" s="21"/>
      <c r="G16358" s="16"/>
    </row>
    <row r="16359" spans="4:7" ht="15" x14ac:dyDescent="0.3">
      <c r="D16359" s="25"/>
      <c r="F16359" s="21"/>
      <c r="G16359" s="16"/>
    </row>
    <row r="16360" spans="4:7" ht="15" x14ac:dyDescent="0.3">
      <c r="D16360" s="25"/>
      <c r="F16360" s="21"/>
      <c r="G16360" s="16"/>
    </row>
    <row r="16361" spans="4:7" ht="15" x14ac:dyDescent="0.3">
      <c r="D16361" s="25"/>
      <c r="F16361" s="21"/>
      <c r="G16361" s="16"/>
    </row>
    <row r="16362" spans="4:7" ht="15" x14ac:dyDescent="0.3">
      <c r="D16362" s="25"/>
      <c r="F16362" s="21"/>
      <c r="G16362" s="16"/>
    </row>
    <row r="16363" spans="4:7" ht="15" x14ac:dyDescent="0.3">
      <c r="D16363" s="25"/>
      <c r="F16363" s="21"/>
      <c r="G16363" s="16"/>
    </row>
    <row r="16364" spans="4:7" ht="15" x14ac:dyDescent="0.3">
      <c r="D16364" s="25"/>
      <c r="F16364" s="21"/>
      <c r="G16364" s="16"/>
    </row>
    <row r="16365" spans="4:7" ht="15" x14ac:dyDescent="0.3">
      <c r="D16365" s="25"/>
      <c r="F16365" s="21"/>
      <c r="G16365" s="16"/>
    </row>
    <row r="16366" spans="4:7" ht="15" x14ac:dyDescent="0.3">
      <c r="D16366" s="25"/>
      <c r="F16366" s="21"/>
      <c r="G16366" s="16"/>
    </row>
    <row r="16367" spans="4:7" ht="15" x14ac:dyDescent="0.3">
      <c r="D16367" s="25"/>
      <c r="F16367" s="21"/>
      <c r="G16367" s="16"/>
    </row>
    <row r="16368" spans="4:7" ht="15" x14ac:dyDescent="0.3">
      <c r="D16368" s="25"/>
      <c r="F16368" s="21"/>
      <c r="G16368" s="16"/>
    </row>
    <row r="16369" spans="4:7" ht="15" x14ac:dyDescent="0.3">
      <c r="D16369" s="25"/>
      <c r="F16369" s="21"/>
      <c r="G16369" s="16"/>
    </row>
    <row r="16370" spans="4:7" ht="15" x14ac:dyDescent="0.3">
      <c r="D16370" s="25"/>
      <c r="F16370" s="21"/>
      <c r="G16370" s="16"/>
    </row>
    <row r="16371" spans="4:7" ht="15" x14ac:dyDescent="0.3">
      <c r="D16371" s="25"/>
      <c r="F16371" s="21"/>
      <c r="G16371" s="16"/>
    </row>
    <row r="16372" spans="4:7" ht="15" x14ac:dyDescent="0.3">
      <c r="D16372" s="25"/>
      <c r="F16372" s="21"/>
      <c r="G16372" s="16"/>
    </row>
    <row r="16373" spans="4:7" ht="15" x14ac:dyDescent="0.3">
      <c r="D16373" s="25"/>
      <c r="F16373" s="21"/>
      <c r="G16373" s="16"/>
    </row>
    <row r="16374" spans="4:7" ht="15" x14ac:dyDescent="0.3">
      <c r="D16374" s="25"/>
      <c r="F16374" s="21"/>
      <c r="G16374" s="16"/>
    </row>
    <row r="16375" spans="4:7" ht="15" x14ac:dyDescent="0.3">
      <c r="D16375" s="25"/>
      <c r="F16375" s="21"/>
      <c r="G16375" s="16"/>
    </row>
    <row r="16376" spans="4:7" ht="15" x14ac:dyDescent="0.3">
      <c r="D16376" s="25"/>
      <c r="F16376" s="21"/>
      <c r="G16376" s="16"/>
    </row>
    <row r="16377" spans="4:7" ht="15" x14ac:dyDescent="0.3">
      <c r="D16377" s="25"/>
      <c r="F16377" s="21"/>
      <c r="G16377" s="16"/>
    </row>
    <row r="16378" spans="4:7" ht="15" x14ac:dyDescent="0.3">
      <c r="D16378" s="25"/>
      <c r="F16378" s="21"/>
      <c r="G16378" s="16"/>
    </row>
    <row r="16379" spans="4:7" ht="15" x14ac:dyDescent="0.3">
      <c r="D16379" s="25"/>
      <c r="F16379" s="21"/>
      <c r="G16379" s="16"/>
    </row>
    <row r="16380" spans="4:7" ht="15" x14ac:dyDescent="0.3">
      <c r="D16380" s="25"/>
      <c r="F16380" s="21"/>
      <c r="G16380" s="16"/>
    </row>
    <row r="16381" spans="4:7" ht="15" x14ac:dyDescent="0.3">
      <c r="D16381" s="25"/>
      <c r="F16381" s="21"/>
      <c r="G16381" s="16"/>
    </row>
    <row r="16382" spans="4:7" ht="15" x14ac:dyDescent="0.3">
      <c r="D16382" s="25"/>
      <c r="F16382" s="21"/>
      <c r="G16382" s="16"/>
    </row>
    <row r="16383" spans="4:7" ht="15" x14ac:dyDescent="0.3">
      <c r="D16383" s="25"/>
      <c r="F16383" s="21"/>
      <c r="G16383" s="16"/>
    </row>
    <row r="16384" spans="4:7" ht="15" x14ac:dyDescent="0.3">
      <c r="D16384" s="25"/>
      <c r="F16384" s="21"/>
      <c r="G16384" s="16"/>
    </row>
    <row r="16385" spans="4:7" ht="15" x14ac:dyDescent="0.3">
      <c r="D16385" s="25"/>
      <c r="F16385" s="21"/>
      <c r="G16385" s="16"/>
    </row>
    <row r="16386" spans="4:7" ht="15" x14ac:dyDescent="0.3">
      <c r="D16386" s="25"/>
      <c r="F16386" s="21"/>
      <c r="G16386" s="16"/>
    </row>
    <row r="16387" spans="4:7" ht="15" x14ac:dyDescent="0.3">
      <c r="D16387" s="25"/>
      <c r="F16387" s="21"/>
      <c r="G16387" s="16"/>
    </row>
    <row r="16388" spans="4:7" ht="15" x14ac:dyDescent="0.3">
      <c r="D16388" s="25"/>
      <c r="F16388" s="21"/>
      <c r="G16388" s="16"/>
    </row>
    <row r="16389" spans="4:7" ht="15" x14ac:dyDescent="0.3">
      <c r="D16389" s="25"/>
      <c r="F16389" s="21"/>
      <c r="G16389" s="16"/>
    </row>
    <row r="16390" spans="4:7" ht="15" x14ac:dyDescent="0.3">
      <c r="D16390" s="25"/>
      <c r="F16390" s="21"/>
      <c r="G16390" s="16"/>
    </row>
    <row r="16391" spans="4:7" ht="15" x14ac:dyDescent="0.3">
      <c r="D16391" s="25"/>
      <c r="F16391" s="21"/>
      <c r="G16391" s="16"/>
    </row>
    <row r="16392" spans="4:7" ht="15" x14ac:dyDescent="0.3">
      <c r="D16392" s="25"/>
      <c r="F16392" s="21"/>
      <c r="G16392" s="16"/>
    </row>
    <row r="16393" spans="4:7" ht="15" x14ac:dyDescent="0.3">
      <c r="D16393" s="25"/>
      <c r="F16393" s="21"/>
      <c r="G16393" s="16"/>
    </row>
    <row r="16394" spans="4:7" ht="15" x14ac:dyDescent="0.3">
      <c r="D16394" s="25"/>
      <c r="F16394" s="21"/>
      <c r="G16394" s="16"/>
    </row>
    <row r="16395" spans="4:7" ht="15" x14ac:dyDescent="0.3">
      <c r="D16395" s="25"/>
      <c r="F16395" s="21"/>
      <c r="G16395" s="16"/>
    </row>
    <row r="16396" spans="4:7" ht="15" x14ac:dyDescent="0.3">
      <c r="D16396" s="25"/>
      <c r="F16396" s="21"/>
      <c r="G16396" s="16"/>
    </row>
    <row r="16397" spans="4:7" ht="15" x14ac:dyDescent="0.3">
      <c r="D16397" s="25"/>
      <c r="F16397" s="21"/>
      <c r="G16397" s="16"/>
    </row>
    <row r="16398" spans="4:7" ht="15" x14ac:dyDescent="0.3">
      <c r="D16398" s="25"/>
      <c r="F16398" s="21"/>
      <c r="G16398" s="16"/>
    </row>
    <row r="16399" spans="4:7" ht="15" x14ac:dyDescent="0.3">
      <c r="D16399" s="25"/>
      <c r="F16399" s="21"/>
      <c r="G16399" s="16"/>
    </row>
    <row r="16400" spans="4:7" ht="15" x14ac:dyDescent="0.3">
      <c r="D16400" s="25"/>
      <c r="F16400" s="21"/>
      <c r="G16400" s="16"/>
    </row>
    <row r="16401" spans="4:7" ht="15" x14ac:dyDescent="0.3">
      <c r="D16401" s="25"/>
      <c r="F16401" s="21"/>
      <c r="G16401" s="16"/>
    </row>
    <row r="16402" spans="4:7" ht="15" x14ac:dyDescent="0.3">
      <c r="D16402" s="25"/>
      <c r="F16402" s="21"/>
      <c r="G16402" s="16"/>
    </row>
    <row r="16403" spans="4:7" x14ac:dyDescent="0.2">
      <c r="D16403" s="25"/>
      <c r="F16403" s="21"/>
    </row>
    <row r="16404" spans="4:7" ht="15" x14ac:dyDescent="0.3">
      <c r="D16404" s="25"/>
      <c r="F16404" s="21"/>
      <c r="G16404" s="16"/>
    </row>
    <row r="16405" spans="4:7" ht="15" x14ac:dyDescent="0.3">
      <c r="D16405" s="25"/>
      <c r="F16405" s="21"/>
      <c r="G16405" s="16"/>
    </row>
    <row r="16406" spans="4:7" ht="15" x14ac:dyDescent="0.3">
      <c r="D16406" s="25"/>
      <c r="F16406" s="21"/>
      <c r="G16406" s="16"/>
    </row>
    <row r="16407" spans="4:7" ht="15" x14ac:dyDescent="0.3">
      <c r="D16407" s="25"/>
      <c r="F16407" s="21"/>
      <c r="G16407" s="16"/>
    </row>
    <row r="16408" spans="4:7" ht="15" x14ac:dyDescent="0.3">
      <c r="D16408" s="25"/>
      <c r="F16408" s="21"/>
      <c r="G16408" s="16"/>
    </row>
    <row r="16409" spans="4:7" ht="15" x14ac:dyDescent="0.3">
      <c r="D16409" s="25"/>
      <c r="F16409" s="21"/>
      <c r="G16409" s="16"/>
    </row>
    <row r="16410" spans="4:7" ht="15" x14ac:dyDescent="0.3">
      <c r="D16410" s="25"/>
      <c r="F16410" s="21"/>
      <c r="G16410" s="16"/>
    </row>
    <row r="16411" spans="4:7" ht="15" x14ac:dyDescent="0.3">
      <c r="D16411" s="25"/>
      <c r="F16411" s="21"/>
      <c r="G16411" s="16"/>
    </row>
    <row r="16412" spans="4:7" ht="15" x14ac:dyDescent="0.3">
      <c r="D16412" s="25"/>
      <c r="F16412" s="21"/>
      <c r="G16412" s="16"/>
    </row>
    <row r="16413" spans="4:7" ht="15" x14ac:dyDescent="0.3">
      <c r="D16413" s="25"/>
      <c r="F16413" s="21"/>
      <c r="G16413" s="16"/>
    </row>
    <row r="16414" spans="4:7" ht="15" x14ac:dyDescent="0.3">
      <c r="D16414" s="25"/>
      <c r="F16414" s="21"/>
      <c r="G16414" s="16"/>
    </row>
    <row r="16415" spans="4:7" ht="15" x14ac:dyDescent="0.3">
      <c r="D16415" s="25"/>
      <c r="F16415" s="21"/>
      <c r="G16415" s="16"/>
    </row>
    <row r="16416" spans="4:7" ht="15" x14ac:dyDescent="0.3">
      <c r="D16416" s="25"/>
      <c r="F16416" s="21"/>
      <c r="G16416" s="16"/>
    </row>
    <row r="16417" spans="4:7" ht="15" x14ac:dyDescent="0.3">
      <c r="D16417" s="25"/>
      <c r="F16417" s="21"/>
      <c r="G16417" s="16"/>
    </row>
    <row r="16418" spans="4:7" ht="15" x14ac:dyDescent="0.3">
      <c r="D16418" s="25"/>
      <c r="F16418" s="21"/>
      <c r="G16418" s="16"/>
    </row>
    <row r="16419" spans="4:7" ht="15" x14ac:dyDescent="0.3">
      <c r="D16419" s="25"/>
      <c r="F16419" s="21"/>
      <c r="G16419" s="16"/>
    </row>
    <row r="16420" spans="4:7" ht="15" x14ac:dyDescent="0.3">
      <c r="D16420" s="25"/>
      <c r="F16420" s="21"/>
      <c r="G16420" s="16"/>
    </row>
    <row r="16421" spans="4:7" ht="15" x14ac:dyDescent="0.3">
      <c r="D16421" s="25"/>
      <c r="F16421" s="21"/>
      <c r="G16421" s="16"/>
    </row>
    <row r="16422" spans="4:7" ht="15" x14ac:dyDescent="0.3">
      <c r="D16422" s="25"/>
      <c r="F16422" s="21"/>
      <c r="G16422" s="16"/>
    </row>
    <row r="16423" spans="4:7" ht="15" x14ac:dyDescent="0.3">
      <c r="D16423" s="25"/>
      <c r="F16423" s="21"/>
      <c r="G16423" s="16"/>
    </row>
    <row r="16424" spans="4:7" ht="15" x14ac:dyDescent="0.3">
      <c r="D16424" s="25"/>
      <c r="F16424" s="21"/>
      <c r="G16424" s="16"/>
    </row>
    <row r="16425" spans="4:7" ht="15" x14ac:dyDescent="0.3">
      <c r="D16425" s="25"/>
      <c r="F16425" s="21"/>
      <c r="G16425" s="16"/>
    </row>
    <row r="16426" spans="4:7" ht="15" x14ac:dyDescent="0.3">
      <c r="D16426" s="25"/>
      <c r="F16426" s="21"/>
      <c r="G16426" s="16"/>
    </row>
    <row r="16427" spans="4:7" ht="15" x14ac:dyDescent="0.3">
      <c r="D16427" s="25"/>
      <c r="F16427" s="21"/>
      <c r="G16427" s="16"/>
    </row>
    <row r="16428" spans="4:7" ht="15" x14ac:dyDescent="0.3">
      <c r="D16428" s="25"/>
      <c r="F16428" s="21"/>
      <c r="G16428" s="16"/>
    </row>
    <row r="16429" spans="4:7" ht="15" x14ac:dyDescent="0.3">
      <c r="D16429" s="25"/>
      <c r="F16429" s="21"/>
      <c r="G16429" s="16"/>
    </row>
    <row r="16430" spans="4:7" ht="15" x14ac:dyDescent="0.3">
      <c r="D16430" s="25"/>
      <c r="F16430" s="21"/>
      <c r="G16430" s="16"/>
    </row>
    <row r="16431" spans="4:7" ht="15" x14ac:dyDescent="0.3">
      <c r="D16431" s="25"/>
      <c r="F16431" s="21"/>
      <c r="G16431" s="16"/>
    </row>
    <row r="16432" spans="4:7" ht="15" x14ac:dyDescent="0.3">
      <c r="D16432" s="25"/>
      <c r="F16432" s="21"/>
      <c r="G16432" s="16"/>
    </row>
    <row r="16433" spans="4:7" ht="15" x14ac:dyDescent="0.3">
      <c r="D16433" s="25"/>
      <c r="F16433" s="21"/>
      <c r="G16433" s="16"/>
    </row>
    <row r="16434" spans="4:7" ht="15" x14ac:dyDescent="0.3">
      <c r="D16434" s="25"/>
      <c r="F16434" s="21"/>
      <c r="G16434" s="16"/>
    </row>
    <row r="16435" spans="4:7" ht="15" x14ac:dyDescent="0.3">
      <c r="D16435" s="25"/>
      <c r="F16435" s="21"/>
      <c r="G16435" s="16"/>
    </row>
    <row r="16436" spans="4:7" ht="15" x14ac:dyDescent="0.3">
      <c r="D16436" s="25"/>
      <c r="F16436" s="21"/>
      <c r="G16436" s="16"/>
    </row>
    <row r="16437" spans="4:7" ht="15" x14ac:dyDescent="0.3">
      <c r="D16437" s="25"/>
      <c r="F16437" s="21"/>
      <c r="G16437" s="16"/>
    </row>
    <row r="16438" spans="4:7" ht="15" x14ac:dyDescent="0.3">
      <c r="D16438" s="25"/>
      <c r="F16438" s="21"/>
      <c r="G16438" s="16"/>
    </row>
    <row r="16439" spans="4:7" ht="15" x14ac:dyDescent="0.3">
      <c r="D16439" s="25"/>
      <c r="F16439" s="21"/>
      <c r="G16439" s="16"/>
    </row>
    <row r="16440" spans="4:7" ht="15" x14ac:dyDescent="0.3">
      <c r="D16440" s="25"/>
      <c r="F16440" s="21"/>
      <c r="G16440" s="16"/>
    </row>
    <row r="16441" spans="4:7" ht="15" x14ac:dyDescent="0.3">
      <c r="D16441" s="25"/>
      <c r="F16441" s="21"/>
      <c r="G16441" s="16"/>
    </row>
    <row r="16442" spans="4:7" ht="15" x14ac:dyDescent="0.3">
      <c r="D16442" s="25"/>
      <c r="F16442" s="21"/>
      <c r="G16442" s="16"/>
    </row>
    <row r="16443" spans="4:7" ht="15" x14ac:dyDescent="0.3">
      <c r="D16443" s="25"/>
      <c r="F16443" s="21"/>
      <c r="G16443" s="16"/>
    </row>
    <row r="16444" spans="4:7" ht="15" x14ac:dyDescent="0.3">
      <c r="D16444" s="25"/>
      <c r="F16444" s="21"/>
      <c r="G16444" s="16"/>
    </row>
    <row r="16445" spans="4:7" ht="15" x14ac:dyDescent="0.3">
      <c r="D16445" s="25"/>
      <c r="F16445" s="21"/>
      <c r="G16445" s="16"/>
    </row>
    <row r="16446" spans="4:7" ht="15" x14ac:dyDescent="0.3">
      <c r="D16446" s="25"/>
      <c r="F16446" s="21"/>
      <c r="G16446" s="16"/>
    </row>
    <row r="16447" spans="4:7" ht="15" x14ac:dyDescent="0.3">
      <c r="D16447" s="25"/>
      <c r="F16447" s="21"/>
      <c r="G16447" s="16"/>
    </row>
    <row r="16448" spans="4:7" ht="15" x14ac:dyDescent="0.3">
      <c r="D16448" s="25"/>
      <c r="F16448" s="21"/>
      <c r="G16448" s="16"/>
    </row>
    <row r="16449" spans="4:7" ht="15" x14ac:dyDescent="0.3">
      <c r="D16449" s="25"/>
      <c r="F16449" s="21"/>
      <c r="G16449" s="16"/>
    </row>
    <row r="16450" spans="4:7" ht="15" x14ac:dyDescent="0.3">
      <c r="D16450" s="25"/>
      <c r="F16450" s="21"/>
      <c r="G16450" s="16"/>
    </row>
    <row r="16451" spans="4:7" ht="15" x14ac:dyDescent="0.3">
      <c r="D16451" s="25"/>
      <c r="F16451" s="21"/>
      <c r="G16451" s="16"/>
    </row>
    <row r="16452" spans="4:7" ht="15" x14ac:dyDescent="0.3">
      <c r="D16452" s="25"/>
      <c r="F16452" s="21"/>
      <c r="G16452" s="16"/>
    </row>
    <row r="16453" spans="4:7" ht="15" x14ac:dyDescent="0.3">
      <c r="D16453" s="25"/>
      <c r="F16453" s="21"/>
      <c r="G16453" s="16"/>
    </row>
    <row r="16454" spans="4:7" ht="15" x14ac:dyDescent="0.3">
      <c r="D16454" s="25"/>
      <c r="F16454" s="21"/>
      <c r="G16454" s="16"/>
    </row>
    <row r="16455" spans="4:7" ht="15" x14ac:dyDescent="0.3">
      <c r="D16455" s="25"/>
      <c r="F16455" s="21"/>
      <c r="G16455" s="16"/>
    </row>
    <row r="16456" spans="4:7" ht="15" x14ac:dyDescent="0.3">
      <c r="D16456" s="25"/>
      <c r="F16456" s="21"/>
      <c r="G16456" s="16"/>
    </row>
    <row r="16457" spans="4:7" ht="15" x14ac:dyDescent="0.3">
      <c r="D16457" s="25"/>
      <c r="F16457" s="21"/>
      <c r="G16457" s="16"/>
    </row>
    <row r="16458" spans="4:7" ht="15" x14ac:dyDescent="0.3">
      <c r="D16458" s="25"/>
      <c r="F16458" s="21"/>
      <c r="G16458" s="16"/>
    </row>
    <row r="16459" spans="4:7" ht="15" x14ac:dyDescent="0.3">
      <c r="D16459" s="25"/>
      <c r="F16459" s="21"/>
      <c r="G16459" s="16"/>
    </row>
    <row r="16460" spans="4:7" ht="15" x14ac:dyDescent="0.3">
      <c r="D16460" s="25"/>
      <c r="F16460" s="21"/>
      <c r="G16460" s="16"/>
    </row>
    <row r="16461" spans="4:7" ht="15" x14ac:dyDescent="0.3">
      <c r="D16461" s="25"/>
      <c r="F16461" s="21"/>
      <c r="G16461" s="16"/>
    </row>
    <row r="16462" spans="4:7" ht="15" x14ac:dyDescent="0.3">
      <c r="D16462" s="25"/>
      <c r="F16462" s="21"/>
      <c r="G16462" s="16"/>
    </row>
    <row r="16463" spans="4:7" ht="15" x14ac:dyDescent="0.3">
      <c r="D16463" s="25"/>
      <c r="F16463" s="21"/>
      <c r="G16463" s="16"/>
    </row>
    <row r="16464" spans="4:7" ht="15" x14ac:dyDescent="0.3">
      <c r="D16464" s="25"/>
      <c r="F16464" s="21"/>
      <c r="G16464" s="16"/>
    </row>
    <row r="16465" spans="4:7" ht="15" x14ac:dyDescent="0.3">
      <c r="D16465" s="25"/>
      <c r="F16465" s="21"/>
      <c r="G16465" s="16"/>
    </row>
    <row r="16466" spans="4:7" ht="15" x14ac:dyDescent="0.3">
      <c r="D16466" s="25"/>
      <c r="F16466" s="21"/>
      <c r="G16466" s="16"/>
    </row>
    <row r="16467" spans="4:7" ht="15" x14ac:dyDescent="0.3">
      <c r="D16467" s="25"/>
      <c r="F16467" s="21"/>
      <c r="G16467" s="16"/>
    </row>
    <row r="16468" spans="4:7" ht="15" x14ac:dyDescent="0.3">
      <c r="D16468" s="25"/>
      <c r="F16468" s="21"/>
      <c r="G16468" s="16"/>
    </row>
    <row r="16469" spans="4:7" ht="15" x14ac:dyDescent="0.3">
      <c r="D16469" s="25"/>
      <c r="F16469" s="21"/>
      <c r="G16469" s="16"/>
    </row>
    <row r="16470" spans="4:7" ht="15" x14ac:dyDescent="0.3">
      <c r="D16470" s="25"/>
      <c r="F16470" s="21"/>
      <c r="G16470" s="16"/>
    </row>
    <row r="16471" spans="4:7" ht="15" x14ac:dyDescent="0.3">
      <c r="D16471" s="25"/>
      <c r="F16471" s="21"/>
      <c r="G16471" s="16"/>
    </row>
    <row r="16472" spans="4:7" ht="15" x14ac:dyDescent="0.3">
      <c r="D16472" s="25"/>
      <c r="F16472" s="21"/>
      <c r="G16472" s="16"/>
    </row>
    <row r="16473" spans="4:7" ht="15" x14ac:dyDescent="0.3">
      <c r="D16473" s="25"/>
      <c r="F16473" s="21"/>
      <c r="G16473" s="16"/>
    </row>
    <row r="16474" spans="4:7" ht="15" x14ac:dyDescent="0.3">
      <c r="D16474" s="25"/>
      <c r="F16474" s="21"/>
      <c r="G16474" s="16"/>
    </row>
    <row r="16475" spans="4:7" ht="15" x14ac:dyDescent="0.3">
      <c r="D16475" s="25"/>
      <c r="F16475" s="21"/>
      <c r="G16475" s="16"/>
    </row>
    <row r="16476" spans="4:7" ht="15" x14ac:dyDescent="0.3">
      <c r="D16476" s="25"/>
      <c r="F16476" s="21"/>
      <c r="G16476" s="16"/>
    </row>
    <row r="16477" spans="4:7" ht="15" x14ac:dyDescent="0.3">
      <c r="D16477" s="25"/>
      <c r="F16477" s="21"/>
      <c r="G16477" s="16"/>
    </row>
    <row r="16478" spans="4:7" ht="15" x14ac:dyDescent="0.3">
      <c r="D16478" s="25"/>
      <c r="F16478" s="21"/>
      <c r="G16478" s="16"/>
    </row>
    <row r="16479" spans="4:7" ht="15" x14ac:dyDescent="0.3">
      <c r="D16479" s="25"/>
      <c r="F16479" s="21"/>
      <c r="G16479" s="16"/>
    </row>
    <row r="16480" spans="4:7" ht="15" x14ac:dyDescent="0.3">
      <c r="D16480" s="25"/>
      <c r="F16480" s="21"/>
      <c r="G16480" s="16"/>
    </row>
    <row r="16481" spans="4:7" ht="15" x14ac:dyDescent="0.3">
      <c r="D16481" s="25"/>
      <c r="F16481" s="21"/>
      <c r="G16481" s="16"/>
    </row>
    <row r="16482" spans="4:7" ht="15" x14ac:dyDescent="0.3">
      <c r="D16482" s="25"/>
      <c r="F16482" s="21"/>
      <c r="G16482" s="16"/>
    </row>
    <row r="16483" spans="4:7" ht="15" x14ac:dyDescent="0.3">
      <c r="D16483" s="25"/>
      <c r="F16483" s="21"/>
      <c r="G16483" s="16"/>
    </row>
    <row r="16484" spans="4:7" ht="15" x14ac:dyDescent="0.3">
      <c r="D16484" s="25"/>
      <c r="F16484" s="21"/>
      <c r="G16484" s="16"/>
    </row>
    <row r="16485" spans="4:7" ht="15" x14ac:dyDescent="0.3">
      <c r="D16485" s="25"/>
      <c r="F16485" s="21"/>
      <c r="G16485" s="16"/>
    </row>
    <row r="16486" spans="4:7" ht="15" x14ac:dyDescent="0.3">
      <c r="D16486" s="25"/>
      <c r="F16486" s="21"/>
      <c r="G16486" s="16"/>
    </row>
    <row r="16487" spans="4:7" ht="15" x14ac:dyDescent="0.3">
      <c r="D16487" s="25"/>
      <c r="F16487" s="21"/>
      <c r="G16487" s="16"/>
    </row>
    <row r="16488" spans="4:7" ht="15" x14ac:dyDescent="0.3">
      <c r="D16488" s="25"/>
      <c r="F16488" s="21"/>
      <c r="G16488" s="16"/>
    </row>
    <row r="16489" spans="4:7" ht="15" x14ac:dyDescent="0.3">
      <c r="D16489" s="25"/>
      <c r="F16489" s="21"/>
      <c r="G16489" s="16"/>
    </row>
    <row r="16490" spans="4:7" ht="15" x14ac:dyDescent="0.3">
      <c r="D16490" s="25"/>
      <c r="F16490" s="21"/>
      <c r="G16490" s="16"/>
    </row>
    <row r="16491" spans="4:7" ht="15" x14ac:dyDescent="0.3">
      <c r="D16491" s="25"/>
      <c r="F16491" s="21"/>
      <c r="G16491" s="16"/>
    </row>
    <row r="16492" spans="4:7" ht="15" x14ac:dyDescent="0.3">
      <c r="D16492" s="25"/>
      <c r="F16492" s="21"/>
      <c r="G16492" s="16"/>
    </row>
    <row r="16493" spans="4:7" ht="15" x14ac:dyDescent="0.3">
      <c r="D16493" s="25"/>
      <c r="F16493" s="21"/>
      <c r="G16493" s="16"/>
    </row>
    <row r="16494" spans="4:7" ht="15" x14ac:dyDescent="0.3">
      <c r="D16494" s="25"/>
      <c r="F16494" s="21"/>
      <c r="G16494" s="16"/>
    </row>
    <row r="16495" spans="4:7" ht="15" x14ac:dyDescent="0.3">
      <c r="D16495" s="25"/>
      <c r="F16495" s="21"/>
      <c r="G16495" s="16"/>
    </row>
    <row r="16496" spans="4:7" ht="15" x14ac:dyDescent="0.3">
      <c r="D16496" s="25"/>
      <c r="F16496" s="21"/>
      <c r="G16496" s="16"/>
    </row>
    <row r="16497" spans="4:7" ht="15" x14ac:dyDescent="0.3">
      <c r="D16497" s="25"/>
      <c r="F16497" s="21"/>
      <c r="G16497" s="16"/>
    </row>
    <row r="16498" spans="4:7" ht="15" x14ac:dyDescent="0.3">
      <c r="D16498" s="25"/>
      <c r="F16498" s="21"/>
      <c r="G16498" s="16"/>
    </row>
    <row r="16499" spans="4:7" ht="15" x14ac:dyDescent="0.3">
      <c r="D16499" s="25"/>
      <c r="F16499" s="21"/>
      <c r="G16499" s="16"/>
    </row>
    <row r="16500" spans="4:7" ht="15" x14ac:dyDescent="0.3">
      <c r="D16500" s="25"/>
      <c r="F16500" s="21"/>
      <c r="G16500" s="16"/>
    </row>
    <row r="16501" spans="4:7" ht="15" x14ac:dyDescent="0.3">
      <c r="D16501" s="25"/>
      <c r="F16501" s="21"/>
      <c r="G16501" s="16"/>
    </row>
    <row r="16502" spans="4:7" ht="15" x14ac:dyDescent="0.3">
      <c r="D16502" s="25"/>
      <c r="F16502" s="21"/>
      <c r="G16502" s="16"/>
    </row>
    <row r="16503" spans="4:7" ht="15" x14ac:dyDescent="0.3">
      <c r="D16503" s="25"/>
      <c r="F16503" s="21"/>
      <c r="G16503" s="16"/>
    </row>
    <row r="16504" spans="4:7" ht="15" x14ac:dyDescent="0.3">
      <c r="D16504" s="25"/>
      <c r="F16504" s="21"/>
      <c r="G16504" s="16"/>
    </row>
    <row r="16505" spans="4:7" ht="15" x14ac:dyDescent="0.3">
      <c r="D16505" s="25"/>
      <c r="F16505" s="21"/>
      <c r="G16505" s="16"/>
    </row>
    <row r="16506" spans="4:7" ht="15" x14ac:dyDescent="0.3">
      <c r="D16506" s="25"/>
      <c r="F16506" s="21"/>
      <c r="G16506" s="16"/>
    </row>
    <row r="16507" spans="4:7" ht="15" x14ac:dyDescent="0.3">
      <c r="D16507" s="25"/>
      <c r="F16507" s="21"/>
      <c r="G16507" s="16"/>
    </row>
    <row r="16508" spans="4:7" ht="15" x14ac:dyDescent="0.3">
      <c r="D16508" s="25"/>
      <c r="F16508" s="21"/>
      <c r="G16508" s="16"/>
    </row>
    <row r="16509" spans="4:7" ht="15" x14ac:dyDescent="0.3">
      <c r="D16509" s="25"/>
      <c r="F16509" s="21"/>
      <c r="G16509" s="16"/>
    </row>
    <row r="16510" spans="4:7" ht="15" x14ac:dyDescent="0.3">
      <c r="D16510" s="25"/>
      <c r="F16510" s="21"/>
      <c r="G16510" s="16"/>
    </row>
    <row r="16511" spans="4:7" ht="15" x14ac:dyDescent="0.3">
      <c r="D16511" s="25"/>
      <c r="F16511" s="21"/>
      <c r="G16511" s="16"/>
    </row>
    <row r="16512" spans="4:7" ht="15" x14ac:dyDescent="0.3">
      <c r="D16512" s="25"/>
      <c r="F16512" s="21"/>
      <c r="G16512" s="16"/>
    </row>
    <row r="16513" spans="4:7" ht="15" x14ac:dyDescent="0.3">
      <c r="D16513" s="25"/>
      <c r="F16513" s="21"/>
      <c r="G16513" s="16"/>
    </row>
    <row r="16514" spans="4:7" ht="15" x14ac:dyDescent="0.3">
      <c r="D16514" s="25"/>
      <c r="F16514" s="21"/>
      <c r="G16514" s="16"/>
    </row>
    <row r="16515" spans="4:7" ht="15" x14ac:dyDescent="0.3">
      <c r="D16515" s="25"/>
      <c r="F16515" s="21"/>
      <c r="G16515" s="16"/>
    </row>
    <row r="16516" spans="4:7" ht="15" x14ac:dyDescent="0.3">
      <c r="D16516" s="25"/>
      <c r="F16516" s="21"/>
      <c r="G16516" s="16"/>
    </row>
    <row r="16517" spans="4:7" ht="15" x14ac:dyDescent="0.3">
      <c r="D16517" s="25"/>
      <c r="F16517" s="21"/>
      <c r="G16517" s="16"/>
    </row>
    <row r="16518" spans="4:7" ht="15" x14ac:dyDescent="0.3">
      <c r="D16518" s="25"/>
      <c r="F16518" s="21"/>
      <c r="G16518" s="16"/>
    </row>
    <row r="16519" spans="4:7" ht="15" x14ac:dyDescent="0.3">
      <c r="D16519" s="25"/>
      <c r="F16519" s="21"/>
      <c r="G16519" s="16"/>
    </row>
    <row r="16520" spans="4:7" ht="15" x14ac:dyDescent="0.3">
      <c r="D16520" s="25"/>
      <c r="F16520" s="21"/>
      <c r="G16520" s="16"/>
    </row>
    <row r="16521" spans="4:7" ht="15" x14ac:dyDescent="0.3">
      <c r="D16521" s="25"/>
      <c r="F16521" s="21"/>
      <c r="G16521" s="16"/>
    </row>
    <row r="16522" spans="4:7" ht="15" x14ac:dyDescent="0.3">
      <c r="D16522" s="25"/>
      <c r="F16522" s="21"/>
      <c r="G16522" s="16"/>
    </row>
    <row r="16523" spans="4:7" ht="15" x14ac:dyDescent="0.3">
      <c r="D16523" s="25"/>
      <c r="F16523" s="21"/>
      <c r="G16523" s="16"/>
    </row>
    <row r="16524" spans="4:7" ht="15" x14ac:dyDescent="0.3">
      <c r="D16524" s="25"/>
      <c r="F16524" s="21"/>
      <c r="G16524" s="16"/>
    </row>
    <row r="16525" spans="4:7" ht="15" x14ac:dyDescent="0.3">
      <c r="D16525" s="25"/>
      <c r="F16525" s="21"/>
      <c r="G16525" s="16"/>
    </row>
    <row r="16526" spans="4:7" ht="15" x14ac:dyDescent="0.3">
      <c r="D16526" s="25"/>
      <c r="F16526" s="21"/>
      <c r="G16526" s="16"/>
    </row>
    <row r="16527" spans="4:7" ht="15" x14ac:dyDescent="0.3">
      <c r="D16527" s="25"/>
      <c r="F16527" s="21"/>
      <c r="G16527" s="16"/>
    </row>
    <row r="16528" spans="4:7" ht="15" x14ac:dyDescent="0.3">
      <c r="D16528" s="25"/>
      <c r="F16528" s="21"/>
      <c r="G16528" s="16"/>
    </row>
    <row r="16529" spans="4:7" ht="15" x14ac:dyDescent="0.3">
      <c r="D16529" s="25"/>
      <c r="F16529" s="21"/>
      <c r="G16529" s="16"/>
    </row>
    <row r="16530" spans="4:7" ht="15" x14ac:dyDescent="0.3">
      <c r="D16530" s="25"/>
      <c r="F16530" s="21"/>
      <c r="G16530" s="16"/>
    </row>
    <row r="16531" spans="4:7" ht="15" x14ac:dyDescent="0.3">
      <c r="D16531" s="25"/>
      <c r="F16531" s="21"/>
      <c r="G16531" s="16"/>
    </row>
    <row r="16532" spans="4:7" ht="15" x14ac:dyDescent="0.3">
      <c r="D16532" s="25"/>
      <c r="F16532" s="21"/>
      <c r="G16532" s="16"/>
    </row>
    <row r="16533" spans="4:7" ht="15" x14ac:dyDescent="0.3">
      <c r="D16533" s="25"/>
      <c r="F16533" s="21"/>
      <c r="G16533" s="16"/>
    </row>
    <row r="16534" spans="4:7" ht="15" x14ac:dyDescent="0.3">
      <c r="D16534" s="25"/>
      <c r="F16534" s="21"/>
      <c r="G16534" s="16"/>
    </row>
    <row r="16535" spans="4:7" ht="15" x14ac:dyDescent="0.3">
      <c r="D16535" s="25"/>
      <c r="F16535" s="21"/>
      <c r="G16535" s="16"/>
    </row>
    <row r="16536" spans="4:7" ht="15" x14ac:dyDescent="0.3">
      <c r="D16536" s="25"/>
      <c r="F16536" s="21"/>
      <c r="G16536" s="16"/>
    </row>
    <row r="16537" spans="4:7" ht="15" x14ac:dyDescent="0.3">
      <c r="D16537" s="25"/>
      <c r="F16537" s="21"/>
      <c r="G16537" s="16"/>
    </row>
    <row r="16538" spans="4:7" ht="15" x14ac:dyDescent="0.3">
      <c r="D16538" s="25"/>
      <c r="F16538" s="21"/>
      <c r="G16538" s="16"/>
    </row>
    <row r="16539" spans="4:7" ht="15" x14ac:dyDescent="0.3">
      <c r="D16539" s="25"/>
      <c r="F16539" s="21"/>
      <c r="G16539" s="16"/>
    </row>
    <row r="16540" spans="4:7" ht="15" x14ac:dyDescent="0.3">
      <c r="D16540" s="25"/>
      <c r="F16540" s="21"/>
      <c r="G16540" s="16"/>
    </row>
    <row r="16541" spans="4:7" ht="15" x14ac:dyDescent="0.3">
      <c r="D16541" s="25"/>
      <c r="F16541" s="21"/>
      <c r="G16541" s="16"/>
    </row>
    <row r="16542" spans="4:7" ht="15" x14ac:dyDescent="0.3">
      <c r="D16542" s="25"/>
      <c r="F16542" s="21"/>
      <c r="G16542" s="16"/>
    </row>
    <row r="16543" spans="4:7" ht="15" x14ac:dyDescent="0.3">
      <c r="D16543" s="25"/>
      <c r="F16543" s="21"/>
      <c r="G16543" s="16"/>
    </row>
    <row r="16544" spans="4:7" ht="15" x14ac:dyDescent="0.3">
      <c r="D16544" s="25"/>
      <c r="F16544" s="21"/>
      <c r="G16544" s="16"/>
    </row>
    <row r="16545" spans="4:7" ht="15" x14ac:dyDescent="0.3">
      <c r="D16545" s="25"/>
      <c r="F16545" s="21"/>
      <c r="G16545" s="16"/>
    </row>
    <row r="16546" spans="4:7" ht="15" x14ac:dyDescent="0.3">
      <c r="D16546" s="25"/>
      <c r="F16546" s="21"/>
      <c r="G16546" s="16"/>
    </row>
    <row r="16547" spans="4:7" ht="15" x14ac:dyDescent="0.3">
      <c r="D16547" s="25"/>
      <c r="F16547" s="21"/>
      <c r="G16547" s="16"/>
    </row>
    <row r="16548" spans="4:7" ht="15" x14ac:dyDescent="0.3">
      <c r="D16548" s="25"/>
      <c r="F16548" s="21"/>
      <c r="G16548" s="16"/>
    </row>
    <row r="16549" spans="4:7" ht="15" x14ac:dyDescent="0.3">
      <c r="D16549" s="25"/>
      <c r="F16549" s="21"/>
      <c r="G16549" s="16"/>
    </row>
    <row r="16550" spans="4:7" ht="15" x14ac:dyDescent="0.3">
      <c r="D16550" s="25"/>
      <c r="F16550" s="21"/>
      <c r="G16550" s="16"/>
    </row>
    <row r="16551" spans="4:7" ht="15" x14ac:dyDescent="0.3">
      <c r="D16551" s="25"/>
      <c r="F16551" s="21"/>
      <c r="G16551" s="16"/>
    </row>
    <row r="16552" spans="4:7" ht="15" x14ac:dyDescent="0.3">
      <c r="D16552" s="25"/>
      <c r="F16552" s="21"/>
      <c r="G16552" s="16"/>
    </row>
    <row r="16553" spans="4:7" ht="15" x14ac:dyDescent="0.3">
      <c r="D16553" s="25"/>
      <c r="F16553" s="21"/>
      <c r="G16553" s="16"/>
    </row>
    <row r="16554" spans="4:7" ht="15" x14ac:dyDescent="0.3">
      <c r="D16554" s="25"/>
      <c r="F16554" s="21"/>
      <c r="G16554" s="16"/>
    </row>
    <row r="16555" spans="4:7" ht="15" x14ac:dyDescent="0.3">
      <c r="D16555" s="25"/>
      <c r="F16555" s="21"/>
      <c r="G16555" s="16"/>
    </row>
    <row r="16556" spans="4:7" ht="15" x14ac:dyDescent="0.3">
      <c r="D16556" s="25"/>
      <c r="F16556" s="21"/>
      <c r="G16556" s="16"/>
    </row>
    <row r="16557" spans="4:7" ht="15" x14ac:dyDescent="0.3">
      <c r="D16557" s="25"/>
      <c r="F16557" s="21"/>
      <c r="G16557" s="16"/>
    </row>
    <row r="16558" spans="4:7" ht="15" x14ac:dyDescent="0.3">
      <c r="D16558" s="25"/>
      <c r="F16558" s="21"/>
      <c r="G16558" s="16"/>
    </row>
    <row r="16559" spans="4:7" ht="15" x14ac:dyDescent="0.3">
      <c r="D16559" s="25"/>
      <c r="F16559" s="21"/>
      <c r="G16559" s="16"/>
    </row>
    <row r="16560" spans="4:7" ht="15" x14ac:dyDescent="0.3">
      <c r="D16560" s="25"/>
      <c r="F16560" s="21"/>
      <c r="G16560" s="16"/>
    </row>
    <row r="16561" spans="4:7" ht="15" x14ac:dyDescent="0.3">
      <c r="D16561" s="25"/>
      <c r="F16561" s="21"/>
      <c r="G16561" s="16"/>
    </row>
    <row r="16562" spans="4:7" ht="15" x14ac:dyDescent="0.3">
      <c r="D16562" s="25"/>
      <c r="F16562" s="21"/>
      <c r="G16562" s="16"/>
    </row>
    <row r="16563" spans="4:7" ht="15" x14ac:dyDescent="0.3">
      <c r="D16563" s="25"/>
      <c r="F16563" s="21"/>
      <c r="G16563" s="16"/>
    </row>
    <row r="16564" spans="4:7" ht="15" x14ac:dyDescent="0.3">
      <c r="D16564" s="25"/>
      <c r="F16564" s="21"/>
      <c r="G16564" s="16"/>
    </row>
    <row r="16565" spans="4:7" ht="15" x14ac:dyDescent="0.3">
      <c r="D16565" s="25"/>
      <c r="F16565" s="21"/>
      <c r="G16565" s="16"/>
    </row>
    <row r="16566" spans="4:7" ht="15" x14ac:dyDescent="0.3">
      <c r="D16566" s="25"/>
      <c r="F16566" s="21"/>
      <c r="G16566" s="16"/>
    </row>
    <row r="16567" spans="4:7" ht="15" x14ac:dyDescent="0.3">
      <c r="D16567" s="25"/>
      <c r="F16567" s="21"/>
      <c r="G16567" s="16"/>
    </row>
    <row r="16568" spans="4:7" ht="15" x14ac:dyDescent="0.3">
      <c r="D16568" s="25"/>
      <c r="F16568" s="21"/>
      <c r="G16568" s="16"/>
    </row>
    <row r="16569" spans="4:7" ht="15" x14ac:dyDescent="0.3">
      <c r="D16569" s="25"/>
      <c r="F16569" s="21"/>
      <c r="G16569" s="16"/>
    </row>
    <row r="16570" spans="4:7" ht="15" x14ac:dyDescent="0.3">
      <c r="D16570" s="25"/>
      <c r="F16570" s="21"/>
      <c r="G16570" s="16"/>
    </row>
    <row r="16571" spans="4:7" ht="15" x14ac:dyDescent="0.3">
      <c r="D16571" s="25"/>
      <c r="F16571" s="21"/>
      <c r="G16571" s="16"/>
    </row>
    <row r="16572" spans="4:7" ht="15" x14ac:dyDescent="0.3">
      <c r="D16572" s="25"/>
      <c r="F16572" s="21"/>
      <c r="G16572" s="16"/>
    </row>
    <row r="16573" spans="4:7" ht="15" x14ac:dyDescent="0.3">
      <c r="D16573" s="25"/>
      <c r="F16573" s="21"/>
      <c r="G16573" s="16"/>
    </row>
    <row r="16574" spans="4:7" ht="15" x14ac:dyDescent="0.3">
      <c r="D16574" s="25"/>
      <c r="F16574" s="21"/>
      <c r="G16574" s="16"/>
    </row>
    <row r="16575" spans="4:7" ht="15" x14ac:dyDescent="0.3">
      <c r="D16575" s="25"/>
      <c r="F16575" s="21"/>
      <c r="G16575" s="16"/>
    </row>
    <row r="16576" spans="4:7" ht="15" x14ac:dyDescent="0.3">
      <c r="D16576" s="25"/>
      <c r="F16576" s="21"/>
      <c r="G16576" s="16"/>
    </row>
    <row r="16577" spans="4:7" ht="15" x14ac:dyDescent="0.3">
      <c r="D16577" s="25"/>
      <c r="F16577" s="21"/>
      <c r="G16577" s="16"/>
    </row>
    <row r="16578" spans="4:7" ht="15" x14ac:dyDescent="0.3">
      <c r="D16578" s="25"/>
      <c r="F16578" s="21"/>
      <c r="G16578" s="16"/>
    </row>
    <row r="16579" spans="4:7" ht="15" x14ac:dyDescent="0.3">
      <c r="D16579" s="25"/>
      <c r="F16579" s="21"/>
      <c r="G16579" s="16"/>
    </row>
    <row r="16580" spans="4:7" ht="15" x14ac:dyDescent="0.3">
      <c r="D16580" s="25"/>
      <c r="F16580" s="21"/>
      <c r="G16580" s="16"/>
    </row>
    <row r="16581" spans="4:7" ht="15" x14ac:dyDescent="0.3">
      <c r="D16581" s="25"/>
      <c r="F16581" s="21"/>
      <c r="G16581" s="16"/>
    </row>
    <row r="16582" spans="4:7" ht="15" x14ac:dyDescent="0.3">
      <c r="D16582" s="25"/>
      <c r="F16582" s="21"/>
      <c r="G16582" s="16"/>
    </row>
    <row r="16583" spans="4:7" ht="15" x14ac:dyDescent="0.3">
      <c r="D16583" s="25"/>
      <c r="F16583" s="21"/>
      <c r="G16583" s="16"/>
    </row>
    <row r="16584" spans="4:7" ht="15" x14ac:dyDescent="0.3">
      <c r="D16584" s="25"/>
      <c r="F16584" s="21"/>
      <c r="G16584" s="16"/>
    </row>
    <row r="16585" spans="4:7" ht="15" x14ac:dyDescent="0.3">
      <c r="D16585" s="25"/>
      <c r="F16585" s="21"/>
      <c r="G16585" s="16"/>
    </row>
    <row r="16586" spans="4:7" ht="15" x14ac:dyDescent="0.3">
      <c r="D16586" s="25"/>
      <c r="F16586" s="21"/>
      <c r="G16586" s="16"/>
    </row>
    <row r="16587" spans="4:7" ht="15" x14ac:dyDescent="0.3">
      <c r="D16587" s="25"/>
      <c r="F16587" s="21"/>
      <c r="G16587" s="16"/>
    </row>
    <row r="16588" spans="4:7" ht="15" x14ac:dyDescent="0.3">
      <c r="D16588" s="25"/>
      <c r="F16588" s="21"/>
      <c r="G16588" s="16"/>
    </row>
    <row r="16589" spans="4:7" ht="15" x14ac:dyDescent="0.3">
      <c r="D16589" s="25"/>
      <c r="F16589" s="21"/>
      <c r="G16589" s="16"/>
    </row>
    <row r="16590" spans="4:7" ht="15" x14ac:dyDescent="0.3">
      <c r="D16590" s="25"/>
      <c r="F16590" s="21"/>
      <c r="G16590" s="16"/>
    </row>
    <row r="16591" spans="4:7" ht="15" x14ac:dyDescent="0.3">
      <c r="D16591" s="25"/>
      <c r="F16591" s="21"/>
      <c r="G16591" s="16"/>
    </row>
    <row r="16592" spans="4:7" ht="15" x14ac:dyDescent="0.3">
      <c r="D16592" s="25"/>
      <c r="F16592" s="21"/>
      <c r="G16592" s="16"/>
    </row>
    <row r="16593" spans="4:7" ht="15" x14ac:dyDescent="0.3">
      <c r="D16593" s="25"/>
      <c r="F16593" s="21"/>
      <c r="G16593" s="16"/>
    </row>
    <row r="16594" spans="4:7" ht="15" x14ac:dyDescent="0.3">
      <c r="D16594" s="25"/>
      <c r="F16594" s="21"/>
      <c r="G16594" s="16"/>
    </row>
    <row r="16595" spans="4:7" ht="15" x14ac:dyDescent="0.3">
      <c r="D16595" s="25"/>
      <c r="F16595" s="21"/>
      <c r="G16595" s="16"/>
    </row>
    <row r="16596" spans="4:7" ht="15" x14ac:dyDescent="0.3">
      <c r="D16596" s="25"/>
      <c r="F16596" s="21"/>
      <c r="G16596" s="16"/>
    </row>
    <row r="16597" spans="4:7" ht="15" x14ac:dyDescent="0.3">
      <c r="D16597" s="25"/>
      <c r="F16597" s="21"/>
      <c r="G16597" s="16"/>
    </row>
    <row r="16598" spans="4:7" ht="15" x14ac:dyDescent="0.3">
      <c r="D16598" s="25"/>
      <c r="F16598" s="21"/>
      <c r="G16598" s="16"/>
    </row>
    <row r="16599" spans="4:7" ht="15" x14ac:dyDescent="0.3">
      <c r="D16599" s="25"/>
      <c r="F16599" s="21"/>
      <c r="G16599" s="16"/>
    </row>
    <row r="16600" spans="4:7" ht="15" x14ac:dyDescent="0.3">
      <c r="D16600" s="25"/>
      <c r="F16600" s="21"/>
      <c r="G16600" s="16"/>
    </row>
    <row r="16601" spans="4:7" ht="15" x14ac:dyDescent="0.3">
      <c r="D16601" s="25"/>
      <c r="F16601" s="21"/>
      <c r="G16601" s="16"/>
    </row>
    <row r="16602" spans="4:7" ht="15" x14ac:dyDescent="0.3">
      <c r="D16602" s="25"/>
      <c r="F16602" s="21"/>
      <c r="G16602" s="16"/>
    </row>
    <row r="16603" spans="4:7" ht="15" x14ac:dyDescent="0.3">
      <c r="D16603" s="25"/>
      <c r="F16603" s="21"/>
      <c r="G16603" s="16"/>
    </row>
    <row r="16604" spans="4:7" ht="15" x14ac:dyDescent="0.3">
      <c r="D16604" s="25"/>
      <c r="F16604" s="21"/>
      <c r="G16604" s="16"/>
    </row>
    <row r="16605" spans="4:7" ht="15" x14ac:dyDescent="0.3">
      <c r="D16605" s="25"/>
      <c r="F16605" s="21"/>
      <c r="G16605" s="16"/>
    </row>
    <row r="16606" spans="4:7" ht="15" x14ac:dyDescent="0.3">
      <c r="D16606" s="25"/>
      <c r="F16606" s="21"/>
      <c r="G16606" s="16"/>
    </row>
    <row r="16607" spans="4:7" ht="15" x14ac:dyDescent="0.3">
      <c r="D16607" s="25"/>
      <c r="F16607" s="21"/>
      <c r="G16607" s="16"/>
    </row>
    <row r="16608" spans="4:7" ht="15" x14ac:dyDescent="0.3">
      <c r="D16608" s="25"/>
      <c r="F16608" s="21"/>
      <c r="G16608" s="16"/>
    </row>
    <row r="16609" spans="4:7" ht="15" x14ac:dyDescent="0.3">
      <c r="D16609" s="25"/>
      <c r="F16609" s="21"/>
      <c r="G16609" s="16"/>
    </row>
    <row r="16610" spans="4:7" ht="15" x14ac:dyDescent="0.3">
      <c r="D16610" s="25"/>
      <c r="F16610" s="21"/>
      <c r="G16610" s="16"/>
    </row>
    <row r="16611" spans="4:7" ht="15" x14ac:dyDescent="0.3">
      <c r="D16611" s="25"/>
      <c r="F16611" s="21"/>
      <c r="G16611" s="16"/>
    </row>
    <row r="16612" spans="4:7" ht="15" x14ac:dyDescent="0.3">
      <c r="D16612" s="25"/>
      <c r="F16612" s="21"/>
      <c r="G16612" s="16"/>
    </row>
    <row r="16613" spans="4:7" ht="15" x14ac:dyDescent="0.3">
      <c r="D16613" s="25"/>
      <c r="F16613" s="21"/>
      <c r="G16613" s="16"/>
    </row>
    <row r="16614" spans="4:7" ht="15" x14ac:dyDescent="0.3">
      <c r="D16614" s="25"/>
      <c r="F16614" s="21"/>
      <c r="G16614" s="16"/>
    </row>
    <row r="16615" spans="4:7" ht="15" x14ac:dyDescent="0.3">
      <c r="D16615" s="25"/>
      <c r="F16615" s="21"/>
      <c r="G16615" s="16"/>
    </row>
    <row r="16616" spans="4:7" ht="15" x14ac:dyDescent="0.3">
      <c r="D16616" s="25"/>
      <c r="F16616" s="21"/>
      <c r="G16616" s="16"/>
    </row>
    <row r="16617" spans="4:7" ht="15" x14ac:dyDescent="0.3">
      <c r="D16617" s="25"/>
      <c r="F16617" s="21"/>
      <c r="G16617" s="16"/>
    </row>
    <row r="16618" spans="4:7" ht="15" x14ac:dyDescent="0.3">
      <c r="D16618" s="25"/>
      <c r="F16618" s="21"/>
      <c r="G16618" s="16"/>
    </row>
    <row r="16619" spans="4:7" ht="15" x14ac:dyDescent="0.3">
      <c r="D16619" s="25"/>
      <c r="F16619" s="21"/>
      <c r="G16619" s="16"/>
    </row>
    <row r="16620" spans="4:7" ht="15" x14ac:dyDescent="0.3">
      <c r="D16620" s="25"/>
      <c r="F16620" s="21"/>
      <c r="G16620" s="16"/>
    </row>
    <row r="16621" spans="4:7" ht="15" x14ac:dyDescent="0.3">
      <c r="D16621" s="25"/>
      <c r="F16621" s="21"/>
      <c r="G16621" s="16"/>
    </row>
    <row r="16622" spans="4:7" ht="15" x14ac:dyDescent="0.3">
      <c r="D16622" s="25"/>
      <c r="F16622" s="21"/>
      <c r="G16622" s="16"/>
    </row>
    <row r="16623" spans="4:7" ht="15" x14ac:dyDescent="0.3">
      <c r="D16623" s="25"/>
      <c r="F16623" s="21"/>
      <c r="G16623" s="16"/>
    </row>
    <row r="16624" spans="4:7" ht="15" x14ac:dyDescent="0.3">
      <c r="D16624" s="25"/>
      <c r="F16624" s="21"/>
      <c r="G16624" s="16"/>
    </row>
    <row r="16625" spans="4:7" ht="15" x14ac:dyDescent="0.3">
      <c r="D16625" s="25"/>
      <c r="F16625" s="21"/>
      <c r="G16625" s="16"/>
    </row>
    <row r="16626" spans="4:7" ht="15" x14ac:dyDescent="0.3">
      <c r="D16626" s="25"/>
      <c r="F16626" s="21"/>
      <c r="G16626" s="16"/>
    </row>
    <row r="16627" spans="4:7" ht="15" x14ac:dyDescent="0.3">
      <c r="D16627" s="25"/>
      <c r="F16627" s="21"/>
      <c r="G16627" s="16"/>
    </row>
    <row r="16628" spans="4:7" ht="15" x14ac:dyDescent="0.3">
      <c r="D16628" s="25"/>
      <c r="F16628" s="21"/>
      <c r="G16628" s="16"/>
    </row>
    <row r="16629" spans="4:7" ht="15" x14ac:dyDescent="0.3">
      <c r="D16629" s="25"/>
      <c r="F16629" s="21"/>
      <c r="G16629" s="16"/>
    </row>
    <row r="16630" spans="4:7" ht="15" x14ac:dyDescent="0.3">
      <c r="D16630" s="25"/>
      <c r="F16630" s="21"/>
      <c r="G16630" s="16"/>
    </row>
    <row r="16631" spans="4:7" ht="15" x14ac:dyDescent="0.3">
      <c r="D16631" s="25"/>
      <c r="F16631" s="21"/>
      <c r="G16631" s="16"/>
    </row>
    <row r="16632" spans="4:7" ht="15" x14ac:dyDescent="0.3">
      <c r="D16632" s="25"/>
      <c r="F16632" s="21"/>
      <c r="G16632" s="16"/>
    </row>
    <row r="16633" spans="4:7" ht="15" x14ac:dyDescent="0.3">
      <c r="D16633" s="25"/>
      <c r="F16633" s="21"/>
      <c r="G16633" s="16"/>
    </row>
    <row r="16634" spans="4:7" ht="15" x14ac:dyDescent="0.3">
      <c r="D16634" s="25"/>
      <c r="F16634" s="21"/>
      <c r="G16634" s="16"/>
    </row>
    <row r="16635" spans="4:7" ht="15" x14ac:dyDescent="0.3">
      <c r="D16635" s="25"/>
      <c r="F16635" s="21"/>
      <c r="G16635" s="16"/>
    </row>
    <row r="16636" spans="4:7" ht="15" x14ac:dyDescent="0.3">
      <c r="D16636" s="25"/>
      <c r="F16636" s="21"/>
      <c r="G16636" s="16"/>
    </row>
    <row r="16637" spans="4:7" ht="15" x14ac:dyDescent="0.3">
      <c r="D16637" s="25"/>
      <c r="F16637" s="21"/>
      <c r="G16637" s="16"/>
    </row>
    <row r="16638" spans="4:7" ht="15" x14ac:dyDescent="0.3">
      <c r="D16638" s="25"/>
      <c r="F16638" s="21"/>
      <c r="G16638" s="16"/>
    </row>
    <row r="16639" spans="4:7" ht="15" x14ac:dyDescent="0.3">
      <c r="D16639" s="25"/>
      <c r="F16639" s="21"/>
      <c r="G16639" s="16"/>
    </row>
    <row r="16640" spans="4:7" ht="15" x14ac:dyDescent="0.3">
      <c r="D16640" s="25"/>
      <c r="F16640" s="21"/>
      <c r="G16640" s="16"/>
    </row>
    <row r="16641" spans="4:7" ht="15" x14ac:dyDescent="0.3">
      <c r="D16641" s="25"/>
      <c r="F16641" s="21"/>
      <c r="G16641" s="16"/>
    </row>
    <row r="16642" spans="4:7" ht="15" x14ac:dyDescent="0.3">
      <c r="D16642" s="25"/>
      <c r="F16642" s="21"/>
      <c r="G16642" s="16"/>
    </row>
    <row r="16643" spans="4:7" ht="15" x14ac:dyDescent="0.3">
      <c r="D16643" s="25"/>
      <c r="F16643" s="21"/>
      <c r="G16643" s="16"/>
    </row>
    <row r="16644" spans="4:7" ht="15" x14ac:dyDescent="0.3">
      <c r="D16644" s="25"/>
      <c r="F16644" s="21"/>
      <c r="G16644" s="16"/>
    </row>
    <row r="16645" spans="4:7" ht="15" x14ac:dyDescent="0.3">
      <c r="D16645" s="25"/>
      <c r="F16645" s="21"/>
      <c r="G16645" s="16"/>
    </row>
    <row r="16646" spans="4:7" ht="15" x14ac:dyDescent="0.3">
      <c r="D16646" s="25"/>
      <c r="F16646" s="21"/>
      <c r="G16646" s="16"/>
    </row>
    <row r="16647" spans="4:7" ht="15" x14ac:dyDescent="0.3">
      <c r="D16647" s="25"/>
      <c r="F16647" s="21"/>
      <c r="G16647" s="16"/>
    </row>
    <row r="16648" spans="4:7" ht="15" x14ac:dyDescent="0.3">
      <c r="D16648" s="25"/>
      <c r="F16648" s="21"/>
      <c r="G16648" s="16"/>
    </row>
    <row r="16649" spans="4:7" ht="15" x14ac:dyDescent="0.3">
      <c r="D16649" s="25"/>
      <c r="F16649" s="21"/>
      <c r="G16649" s="16"/>
    </row>
    <row r="16650" spans="4:7" ht="15" x14ac:dyDescent="0.3">
      <c r="D16650" s="25"/>
      <c r="F16650" s="21"/>
      <c r="G16650" s="16"/>
    </row>
    <row r="16651" spans="4:7" ht="15" x14ac:dyDescent="0.3">
      <c r="D16651" s="25"/>
      <c r="F16651" s="21"/>
      <c r="G16651" s="16"/>
    </row>
    <row r="16652" spans="4:7" ht="15" x14ac:dyDescent="0.3">
      <c r="D16652" s="25"/>
      <c r="F16652" s="21"/>
      <c r="G16652" s="16"/>
    </row>
    <row r="16653" spans="4:7" ht="15" x14ac:dyDescent="0.3">
      <c r="D16653" s="25"/>
      <c r="F16653" s="21"/>
      <c r="G16653" s="16"/>
    </row>
    <row r="16654" spans="4:7" ht="15" x14ac:dyDescent="0.3">
      <c r="D16654" s="25"/>
      <c r="F16654" s="21"/>
      <c r="G16654" s="16"/>
    </row>
    <row r="16655" spans="4:7" ht="15" x14ac:dyDescent="0.3">
      <c r="D16655" s="25"/>
      <c r="F16655" s="21"/>
      <c r="G16655" s="16"/>
    </row>
    <row r="16656" spans="4:7" ht="15" x14ac:dyDescent="0.3">
      <c r="D16656" s="25"/>
      <c r="F16656" s="21"/>
      <c r="G16656" s="16"/>
    </row>
    <row r="16657" spans="4:7" ht="15" x14ac:dyDescent="0.3">
      <c r="D16657" s="25"/>
      <c r="F16657" s="21"/>
      <c r="G16657" s="16"/>
    </row>
    <row r="16658" spans="4:7" ht="15" x14ac:dyDescent="0.3">
      <c r="D16658" s="25"/>
      <c r="F16658" s="21"/>
      <c r="G16658" s="16"/>
    </row>
    <row r="16659" spans="4:7" ht="15" x14ac:dyDescent="0.3">
      <c r="D16659" s="25"/>
      <c r="F16659" s="21"/>
      <c r="G16659" s="16"/>
    </row>
    <row r="16660" spans="4:7" ht="15" x14ac:dyDescent="0.3">
      <c r="D16660" s="25"/>
      <c r="F16660" s="21"/>
      <c r="G16660" s="16"/>
    </row>
    <row r="16661" spans="4:7" ht="15" x14ac:dyDescent="0.3">
      <c r="D16661" s="25"/>
      <c r="F16661" s="21"/>
      <c r="G16661" s="16"/>
    </row>
    <row r="16662" spans="4:7" ht="15" x14ac:dyDescent="0.3">
      <c r="D16662" s="25"/>
      <c r="F16662" s="21"/>
      <c r="G16662" s="16"/>
    </row>
    <row r="16663" spans="4:7" ht="15" x14ac:dyDescent="0.3">
      <c r="D16663" s="25"/>
      <c r="F16663" s="21"/>
      <c r="G16663" s="16"/>
    </row>
    <row r="16664" spans="4:7" ht="15" x14ac:dyDescent="0.3">
      <c r="D16664" s="25"/>
      <c r="F16664" s="21"/>
      <c r="G16664" s="16"/>
    </row>
    <row r="16665" spans="4:7" ht="15" x14ac:dyDescent="0.3">
      <c r="D16665" s="25"/>
      <c r="F16665" s="21"/>
      <c r="G16665" s="16"/>
    </row>
    <row r="16666" spans="4:7" ht="15" x14ac:dyDescent="0.3">
      <c r="D16666" s="25"/>
      <c r="F16666" s="21"/>
      <c r="G16666" s="16"/>
    </row>
    <row r="16667" spans="4:7" ht="15" x14ac:dyDescent="0.3">
      <c r="D16667" s="25"/>
      <c r="F16667" s="21"/>
      <c r="G16667" s="16"/>
    </row>
    <row r="16668" spans="4:7" ht="15" x14ac:dyDescent="0.3">
      <c r="D16668" s="25"/>
      <c r="F16668" s="21"/>
      <c r="G16668" s="16"/>
    </row>
    <row r="16669" spans="4:7" ht="15" x14ac:dyDescent="0.3">
      <c r="D16669" s="25"/>
      <c r="F16669" s="21"/>
      <c r="G16669" s="16"/>
    </row>
    <row r="16670" spans="4:7" ht="15" x14ac:dyDescent="0.3">
      <c r="D16670" s="25"/>
      <c r="F16670" s="21"/>
      <c r="G16670" s="16"/>
    </row>
    <row r="16671" spans="4:7" ht="15" x14ac:dyDescent="0.3">
      <c r="D16671" s="25"/>
      <c r="F16671" s="21"/>
      <c r="G16671" s="16"/>
    </row>
    <row r="16672" spans="4:7" ht="15" x14ac:dyDescent="0.3">
      <c r="D16672" s="25"/>
      <c r="F16672" s="21"/>
      <c r="G16672" s="16"/>
    </row>
    <row r="16673" spans="4:7" ht="15" x14ac:dyDescent="0.3">
      <c r="D16673" s="25"/>
      <c r="F16673" s="21"/>
      <c r="G16673" s="16"/>
    </row>
    <row r="16674" spans="4:7" ht="15" x14ac:dyDescent="0.3">
      <c r="D16674" s="25"/>
      <c r="F16674" s="21"/>
      <c r="G16674" s="16"/>
    </row>
    <row r="16675" spans="4:7" ht="15" x14ac:dyDescent="0.3">
      <c r="D16675" s="25"/>
      <c r="F16675" s="21"/>
      <c r="G16675" s="16"/>
    </row>
    <row r="16676" spans="4:7" ht="15" x14ac:dyDescent="0.3">
      <c r="D16676" s="25"/>
      <c r="F16676" s="21"/>
      <c r="G16676" s="16"/>
    </row>
    <row r="16677" spans="4:7" ht="15" x14ac:dyDescent="0.3">
      <c r="D16677" s="25"/>
      <c r="F16677" s="21"/>
      <c r="G16677" s="16"/>
    </row>
    <row r="16678" spans="4:7" ht="15" x14ac:dyDescent="0.3">
      <c r="D16678" s="25"/>
      <c r="F16678" s="21"/>
      <c r="G16678" s="16"/>
    </row>
    <row r="16679" spans="4:7" ht="15" x14ac:dyDescent="0.3">
      <c r="D16679" s="25"/>
      <c r="F16679" s="21"/>
      <c r="G16679" s="16"/>
    </row>
    <row r="16680" spans="4:7" ht="15" x14ac:dyDescent="0.3">
      <c r="D16680" s="25"/>
      <c r="F16680" s="21"/>
      <c r="G16680" s="16"/>
    </row>
    <row r="16681" spans="4:7" ht="15" x14ac:dyDescent="0.3">
      <c r="D16681" s="25"/>
      <c r="F16681" s="21"/>
      <c r="G16681" s="16"/>
    </row>
    <row r="16682" spans="4:7" ht="15" x14ac:dyDescent="0.3">
      <c r="D16682" s="25"/>
      <c r="F16682" s="21"/>
      <c r="G16682" s="16"/>
    </row>
    <row r="16683" spans="4:7" ht="15" x14ac:dyDescent="0.3">
      <c r="D16683" s="25"/>
      <c r="F16683" s="21"/>
      <c r="G16683" s="16"/>
    </row>
    <row r="16684" spans="4:7" ht="15" x14ac:dyDescent="0.3">
      <c r="D16684" s="25"/>
      <c r="F16684" s="21"/>
      <c r="G16684" s="16"/>
    </row>
    <row r="16685" spans="4:7" ht="15" x14ac:dyDescent="0.3">
      <c r="D16685" s="25"/>
      <c r="F16685" s="21"/>
      <c r="G16685" s="16"/>
    </row>
    <row r="16686" spans="4:7" ht="15" x14ac:dyDescent="0.3">
      <c r="D16686" s="25"/>
      <c r="F16686" s="21"/>
      <c r="G16686" s="16"/>
    </row>
    <row r="16687" spans="4:7" ht="15" x14ac:dyDescent="0.3">
      <c r="D16687" s="25"/>
      <c r="F16687" s="21"/>
      <c r="G16687" s="16"/>
    </row>
    <row r="16688" spans="4:7" ht="15" x14ac:dyDescent="0.3">
      <c r="D16688" s="25"/>
      <c r="F16688" s="21"/>
      <c r="G16688" s="16"/>
    </row>
    <row r="16689" spans="4:7" ht="15" x14ac:dyDescent="0.3">
      <c r="D16689" s="25"/>
      <c r="F16689" s="21"/>
      <c r="G16689" s="16"/>
    </row>
    <row r="16690" spans="4:7" ht="15" x14ac:dyDescent="0.3">
      <c r="D16690" s="25"/>
      <c r="F16690" s="21"/>
      <c r="G16690" s="16"/>
    </row>
    <row r="16691" spans="4:7" ht="15" x14ac:dyDescent="0.3">
      <c r="D16691" s="25"/>
      <c r="F16691" s="21"/>
      <c r="G16691" s="16"/>
    </row>
    <row r="16692" spans="4:7" ht="15" x14ac:dyDescent="0.3">
      <c r="D16692" s="25"/>
      <c r="F16692" s="21"/>
      <c r="G16692" s="16"/>
    </row>
    <row r="16693" spans="4:7" ht="15" x14ac:dyDescent="0.3">
      <c r="D16693" s="25"/>
      <c r="F16693" s="21"/>
      <c r="G16693" s="16"/>
    </row>
    <row r="16694" spans="4:7" ht="15" x14ac:dyDescent="0.3">
      <c r="D16694" s="25"/>
      <c r="F16694" s="21"/>
      <c r="G16694" s="16"/>
    </row>
    <row r="16695" spans="4:7" ht="15" x14ac:dyDescent="0.3">
      <c r="D16695" s="25"/>
      <c r="F16695" s="21"/>
      <c r="G16695" s="16"/>
    </row>
    <row r="16696" spans="4:7" ht="15" x14ac:dyDescent="0.3">
      <c r="D16696" s="25"/>
      <c r="F16696" s="21"/>
      <c r="G16696" s="16"/>
    </row>
    <row r="16697" spans="4:7" ht="15" x14ac:dyDescent="0.3">
      <c r="D16697" s="25"/>
      <c r="F16697" s="21"/>
      <c r="G16697" s="16"/>
    </row>
    <row r="16698" spans="4:7" ht="15" x14ac:dyDescent="0.3">
      <c r="D16698" s="25"/>
      <c r="F16698" s="21"/>
      <c r="G16698" s="16"/>
    </row>
    <row r="16699" spans="4:7" ht="15" x14ac:dyDescent="0.3">
      <c r="D16699" s="25"/>
      <c r="F16699" s="21"/>
      <c r="G16699" s="16"/>
    </row>
    <row r="16700" spans="4:7" ht="15" x14ac:dyDescent="0.3">
      <c r="D16700" s="25"/>
      <c r="F16700" s="21"/>
      <c r="G16700" s="16"/>
    </row>
    <row r="16701" spans="4:7" ht="15" x14ac:dyDescent="0.3">
      <c r="D16701" s="25"/>
      <c r="F16701" s="21"/>
      <c r="G16701" s="16"/>
    </row>
    <row r="16702" spans="4:7" ht="15" x14ac:dyDescent="0.3">
      <c r="D16702" s="25"/>
      <c r="F16702" s="21"/>
      <c r="G16702" s="16"/>
    </row>
    <row r="16703" spans="4:7" ht="15" x14ac:dyDescent="0.3">
      <c r="D16703" s="25"/>
      <c r="F16703" s="21"/>
      <c r="G16703" s="16"/>
    </row>
    <row r="16704" spans="4:7" ht="15" x14ac:dyDescent="0.3">
      <c r="D16704" s="25"/>
      <c r="F16704" s="21"/>
      <c r="G16704" s="16"/>
    </row>
    <row r="16705" spans="4:7" ht="15" x14ac:dyDescent="0.3">
      <c r="D16705" s="25"/>
      <c r="F16705" s="21"/>
      <c r="G16705" s="16"/>
    </row>
    <row r="16706" spans="4:7" ht="15" x14ac:dyDescent="0.3">
      <c r="D16706" s="25"/>
      <c r="F16706" s="21"/>
      <c r="G16706" s="16"/>
    </row>
    <row r="16707" spans="4:7" ht="15" x14ac:dyDescent="0.3">
      <c r="D16707" s="25"/>
      <c r="F16707" s="21"/>
      <c r="G16707" s="16"/>
    </row>
    <row r="16708" spans="4:7" ht="15" x14ac:dyDescent="0.3">
      <c r="D16708" s="25"/>
      <c r="F16708" s="21"/>
      <c r="G16708" s="16"/>
    </row>
    <row r="16709" spans="4:7" ht="15" x14ac:dyDescent="0.3">
      <c r="D16709" s="25"/>
      <c r="F16709" s="21"/>
      <c r="G16709" s="16"/>
    </row>
    <row r="16710" spans="4:7" ht="15" x14ac:dyDescent="0.3">
      <c r="D16710" s="25"/>
      <c r="F16710" s="21"/>
      <c r="G16710" s="16"/>
    </row>
    <row r="16711" spans="4:7" ht="15" x14ac:dyDescent="0.3">
      <c r="D16711" s="25"/>
      <c r="F16711" s="21"/>
      <c r="G16711" s="16"/>
    </row>
    <row r="16712" spans="4:7" ht="15" x14ac:dyDescent="0.3">
      <c r="D16712" s="25"/>
      <c r="F16712" s="21"/>
      <c r="G16712" s="16"/>
    </row>
    <row r="16713" spans="4:7" ht="15" x14ac:dyDescent="0.3">
      <c r="D16713" s="25"/>
      <c r="F16713" s="21"/>
      <c r="G16713" s="16"/>
    </row>
    <row r="16714" spans="4:7" ht="15" x14ac:dyDescent="0.3">
      <c r="D16714" s="25"/>
      <c r="F16714" s="21"/>
      <c r="G16714" s="16"/>
    </row>
    <row r="16715" spans="4:7" ht="15" x14ac:dyDescent="0.3">
      <c r="D16715" s="25"/>
      <c r="F16715" s="21"/>
      <c r="G16715" s="16"/>
    </row>
    <row r="16716" spans="4:7" ht="15" x14ac:dyDescent="0.3">
      <c r="D16716" s="25"/>
      <c r="F16716" s="21"/>
      <c r="G16716" s="16"/>
    </row>
    <row r="16717" spans="4:7" ht="15" x14ac:dyDescent="0.3">
      <c r="D16717" s="25"/>
      <c r="F16717" s="21"/>
      <c r="G16717" s="16"/>
    </row>
    <row r="16718" spans="4:7" ht="15" x14ac:dyDescent="0.3">
      <c r="D16718" s="25"/>
      <c r="F16718" s="21"/>
      <c r="G16718" s="16"/>
    </row>
    <row r="16719" spans="4:7" ht="15" x14ac:dyDescent="0.3">
      <c r="D16719" s="25"/>
      <c r="F16719" s="21"/>
      <c r="G16719" s="16"/>
    </row>
    <row r="16720" spans="4:7" ht="15" x14ac:dyDescent="0.3">
      <c r="D16720" s="25"/>
      <c r="F16720" s="21"/>
      <c r="G16720" s="16"/>
    </row>
    <row r="16721" spans="4:7" ht="15" x14ac:dyDescent="0.3">
      <c r="D16721" s="25"/>
      <c r="F16721" s="21"/>
      <c r="G16721" s="16"/>
    </row>
    <row r="16722" spans="4:7" ht="15" x14ac:dyDescent="0.3">
      <c r="D16722" s="25"/>
      <c r="F16722" s="21"/>
      <c r="G16722" s="16"/>
    </row>
    <row r="16723" spans="4:7" ht="15" x14ac:dyDescent="0.3">
      <c r="D16723" s="25"/>
      <c r="F16723" s="21"/>
      <c r="G16723" s="16"/>
    </row>
    <row r="16724" spans="4:7" ht="15" x14ac:dyDescent="0.3">
      <c r="D16724" s="25"/>
      <c r="F16724" s="21"/>
      <c r="G16724" s="16"/>
    </row>
    <row r="16725" spans="4:7" ht="15" x14ac:dyDescent="0.3">
      <c r="D16725" s="25"/>
      <c r="F16725" s="21"/>
      <c r="G16725" s="16"/>
    </row>
    <row r="16726" spans="4:7" ht="15" x14ac:dyDescent="0.3">
      <c r="D16726" s="25"/>
      <c r="F16726" s="21"/>
      <c r="G16726" s="16"/>
    </row>
    <row r="16727" spans="4:7" ht="15" x14ac:dyDescent="0.3">
      <c r="D16727" s="25"/>
      <c r="F16727" s="21"/>
      <c r="G16727" s="16"/>
    </row>
    <row r="16728" spans="4:7" ht="15" x14ac:dyDescent="0.3">
      <c r="D16728" s="25"/>
      <c r="F16728" s="21"/>
      <c r="G16728" s="16"/>
    </row>
    <row r="16729" spans="4:7" ht="15" x14ac:dyDescent="0.3">
      <c r="D16729" s="25"/>
      <c r="F16729" s="21"/>
      <c r="G16729" s="16"/>
    </row>
    <row r="16730" spans="4:7" ht="15" x14ac:dyDescent="0.3">
      <c r="D16730" s="25"/>
      <c r="F16730" s="21"/>
      <c r="G16730" s="16"/>
    </row>
    <row r="16731" spans="4:7" ht="15" x14ac:dyDescent="0.3">
      <c r="D16731" s="25"/>
      <c r="F16731" s="21"/>
      <c r="G16731" s="16"/>
    </row>
    <row r="16732" spans="4:7" ht="15" x14ac:dyDescent="0.3">
      <c r="D16732" s="25"/>
      <c r="F16732" s="21"/>
      <c r="G16732" s="16"/>
    </row>
    <row r="16733" spans="4:7" ht="15" x14ac:dyDescent="0.3">
      <c r="D16733" s="25"/>
      <c r="F16733" s="21"/>
      <c r="G16733" s="16"/>
    </row>
    <row r="16734" spans="4:7" ht="15" x14ac:dyDescent="0.3">
      <c r="D16734" s="25"/>
      <c r="F16734" s="21"/>
      <c r="G16734" s="16"/>
    </row>
    <row r="16735" spans="4:7" ht="15" x14ac:dyDescent="0.3">
      <c r="D16735" s="25"/>
      <c r="F16735" s="21"/>
      <c r="G16735" s="16"/>
    </row>
    <row r="16736" spans="4:7" ht="15" x14ac:dyDescent="0.3">
      <c r="D16736" s="25"/>
      <c r="F16736" s="21"/>
      <c r="G16736" s="16"/>
    </row>
    <row r="16737" spans="4:7" ht="15" x14ac:dyDescent="0.3">
      <c r="D16737" s="25"/>
      <c r="F16737" s="21"/>
      <c r="G16737" s="16"/>
    </row>
    <row r="16738" spans="4:7" ht="15" x14ac:dyDescent="0.3">
      <c r="D16738" s="25"/>
      <c r="F16738" s="21"/>
      <c r="G16738" s="16"/>
    </row>
    <row r="16739" spans="4:7" ht="15" x14ac:dyDescent="0.3">
      <c r="D16739" s="25"/>
      <c r="F16739" s="21"/>
      <c r="G16739" s="16"/>
    </row>
    <row r="16740" spans="4:7" ht="15" x14ac:dyDescent="0.3">
      <c r="D16740" s="25"/>
      <c r="F16740" s="21"/>
      <c r="G16740" s="16"/>
    </row>
    <row r="16741" spans="4:7" ht="15" x14ac:dyDescent="0.3">
      <c r="D16741" s="25"/>
      <c r="F16741" s="21"/>
      <c r="G16741" s="16"/>
    </row>
    <row r="16742" spans="4:7" ht="15" x14ac:dyDescent="0.3">
      <c r="D16742" s="25"/>
      <c r="F16742" s="21"/>
      <c r="G16742" s="16"/>
    </row>
    <row r="16743" spans="4:7" ht="15" x14ac:dyDescent="0.3">
      <c r="D16743" s="25"/>
      <c r="F16743" s="21"/>
      <c r="G16743" s="16"/>
    </row>
    <row r="16744" spans="4:7" ht="15" x14ac:dyDescent="0.3">
      <c r="D16744" s="25"/>
      <c r="F16744" s="21"/>
      <c r="G16744" s="16"/>
    </row>
    <row r="16745" spans="4:7" ht="15" x14ac:dyDescent="0.3">
      <c r="D16745" s="25"/>
      <c r="F16745" s="21"/>
      <c r="G16745" s="16"/>
    </row>
    <row r="16746" spans="4:7" ht="15" x14ac:dyDescent="0.3">
      <c r="D16746" s="25"/>
      <c r="F16746" s="21"/>
      <c r="G16746" s="16"/>
    </row>
    <row r="16747" spans="4:7" ht="15" x14ac:dyDescent="0.3">
      <c r="D16747" s="25"/>
      <c r="F16747" s="21"/>
      <c r="G16747" s="16"/>
    </row>
    <row r="16748" spans="4:7" ht="15" x14ac:dyDescent="0.3">
      <c r="D16748" s="25"/>
      <c r="F16748" s="21"/>
      <c r="G16748" s="16"/>
    </row>
    <row r="16749" spans="4:7" ht="15" x14ac:dyDescent="0.3">
      <c r="D16749" s="25"/>
      <c r="F16749" s="21"/>
      <c r="G16749" s="16"/>
    </row>
    <row r="16750" spans="4:7" ht="15" x14ac:dyDescent="0.3">
      <c r="D16750" s="25"/>
      <c r="F16750" s="21"/>
      <c r="G16750" s="16"/>
    </row>
    <row r="16751" spans="4:7" ht="15" x14ac:dyDescent="0.3">
      <c r="D16751" s="25"/>
      <c r="F16751" s="21"/>
      <c r="G16751" s="16"/>
    </row>
    <row r="16752" spans="4:7" ht="15" x14ac:dyDescent="0.3">
      <c r="D16752" s="25"/>
      <c r="F16752" s="21"/>
      <c r="G16752" s="16"/>
    </row>
    <row r="16753" spans="4:7" ht="15" x14ac:dyDescent="0.3">
      <c r="D16753" s="25"/>
      <c r="F16753" s="21"/>
      <c r="G16753" s="16"/>
    </row>
    <row r="16754" spans="4:7" ht="15" x14ac:dyDescent="0.3">
      <c r="D16754" s="25"/>
      <c r="F16754" s="21"/>
      <c r="G16754" s="16"/>
    </row>
    <row r="16755" spans="4:7" ht="15" x14ac:dyDescent="0.3">
      <c r="D16755" s="25"/>
      <c r="F16755" s="21"/>
      <c r="G16755" s="16"/>
    </row>
    <row r="16756" spans="4:7" ht="15" x14ac:dyDescent="0.3">
      <c r="D16756" s="25"/>
      <c r="F16756" s="21"/>
      <c r="G16756" s="16"/>
    </row>
    <row r="16757" spans="4:7" ht="15" x14ac:dyDescent="0.3">
      <c r="D16757" s="25"/>
      <c r="F16757" s="21"/>
      <c r="G16757" s="16"/>
    </row>
    <row r="16758" spans="4:7" ht="15" x14ac:dyDescent="0.3">
      <c r="D16758" s="25"/>
      <c r="F16758" s="21"/>
      <c r="G16758" s="16"/>
    </row>
    <row r="16759" spans="4:7" ht="15" x14ac:dyDescent="0.3">
      <c r="D16759" s="25"/>
      <c r="F16759" s="21"/>
      <c r="G16759" s="16"/>
    </row>
    <row r="16760" spans="4:7" ht="15" x14ac:dyDescent="0.3">
      <c r="D16760" s="25"/>
      <c r="F16760" s="21"/>
      <c r="G16760" s="16"/>
    </row>
    <row r="16761" spans="4:7" ht="15" x14ac:dyDescent="0.3">
      <c r="D16761" s="25"/>
      <c r="F16761" s="21"/>
      <c r="G16761" s="16"/>
    </row>
    <row r="16762" spans="4:7" ht="15" x14ac:dyDescent="0.3">
      <c r="D16762" s="25"/>
      <c r="F16762" s="21"/>
      <c r="G16762" s="16"/>
    </row>
    <row r="16763" spans="4:7" ht="15" x14ac:dyDescent="0.3">
      <c r="D16763" s="25"/>
      <c r="F16763" s="21"/>
      <c r="G16763" s="16"/>
    </row>
    <row r="16764" spans="4:7" ht="15" x14ac:dyDescent="0.3">
      <c r="D16764" s="25"/>
      <c r="F16764" s="21"/>
      <c r="G16764" s="16"/>
    </row>
    <row r="16765" spans="4:7" ht="15" x14ac:dyDescent="0.3">
      <c r="D16765" s="25"/>
      <c r="F16765" s="21"/>
      <c r="G16765" s="16"/>
    </row>
    <row r="16766" spans="4:7" ht="15" x14ac:dyDescent="0.3">
      <c r="D16766" s="25"/>
      <c r="F16766" s="21"/>
      <c r="G16766" s="16"/>
    </row>
    <row r="16767" spans="4:7" ht="15" x14ac:dyDescent="0.3">
      <c r="D16767" s="25"/>
      <c r="F16767" s="21"/>
      <c r="G16767" s="16"/>
    </row>
    <row r="16768" spans="4:7" ht="15" x14ac:dyDescent="0.3">
      <c r="D16768" s="25"/>
      <c r="F16768" s="21"/>
      <c r="G16768" s="16"/>
    </row>
    <row r="16769" spans="4:7" ht="15" x14ac:dyDescent="0.3">
      <c r="D16769" s="25"/>
      <c r="F16769" s="21"/>
      <c r="G16769" s="16"/>
    </row>
    <row r="16770" spans="4:7" ht="15" x14ac:dyDescent="0.3">
      <c r="D16770" s="25"/>
      <c r="F16770" s="21"/>
      <c r="G16770" s="16"/>
    </row>
    <row r="16771" spans="4:7" ht="15" x14ac:dyDescent="0.3">
      <c r="D16771" s="25"/>
      <c r="F16771" s="21"/>
      <c r="G16771" s="16"/>
    </row>
    <row r="16772" spans="4:7" ht="15" x14ac:dyDescent="0.3">
      <c r="D16772" s="25"/>
      <c r="F16772" s="21"/>
      <c r="G16772" s="16"/>
    </row>
    <row r="16773" spans="4:7" ht="15" x14ac:dyDescent="0.3">
      <c r="D16773" s="25"/>
      <c r="F16773" s="21"/>
      <c r="G16773" s="16"/>
    </row>
    <row r="16774" spans="4:7" ht="15" x14ac:dyDescent="0.3">
      <c r="D16774" s="25"/>
      <c r="F16774" s="21"/>
      <c r="G16774" s="16"/>
    </row>
    <row r="16775" spans="4:7" ht="15" x14ac:dyDescent="0.3">
      <c r="D16775" s="25"/>
      <c r="F16775" s="21"/>
      <c r="G16775" s="16"/>
    </row>
    <row r="16776" spans="4:7" ht="15" x14ac:dyDescent="0.3">
      <c r="D16776" s="25"/>
      <c r="F16776" s="21"/>
      <c r="G16776" s="16"/>
    </row>
    <row r="16777" spans="4:7" ht="15" x14ac:dyDescent="0.3">
      <c r="D16777" s="25"/>
      <c r="F16777" s="21"/>
      <c r="G16777" s="16"/>
    </row>
    <row r="16778" spans="4:7" ht="15" x14ac:dyDescent="0.3">
      <c r="D16778" s="25"/>
      <c r="F16778" s="21"/>
      <c r="G16778" s="16"/>
    </row>
    <row r="16779" spans="4:7" ht="15" x14ac:dyDescent="0.3">
      <c r="D16779" s="25"/>
      <c r="F16779" s="21"/>
      <c r="G16779" s="16"/>
    </row>
    <row r="16780" spans="4:7" ht="15" x14ac:dyDescent="0.3">
      <c r="D16780" s="25"/>
      <c r="F16780" s="21"/>
      <c r="G16780" s="16"/>
    </row>
    <row r="16781" spans="4:7" ht="15" x14ac:dyDescent="0.3">
      <c r="D16781" s="25"/>
      <c r="F16781" s="21"/>
      <c r="G16781" s="16"/>
    </row>
    <row r="16782" spans="4:7" ht="15" x14ac:dyDescent="0.3">
      <c r="D16782" s="25"/>
      <c r="F16782" s="21"/>
      <c r="G16782" s="16"/>
    </row>
    <row r="16783" spans="4:7" ht="15" x14ac:dyDescent="0.3">
      <c r="D16783" s="25"/>
      <c r="F16783" s="21"/>
      <c r="G16783" s="16"/>
    </row>
    <row r="16784" spans="4:7" ht="15" x14ac:dyDescent="0.3">
      <c r="D16784" s="25"/>
      <c r="F16784" s="21"/>
      <c r="G16784" s="16"/>
    </row>
    <row r="16785" spans="4:7" ht="15" x14ac:dyDescent="0.3">
      <c r="D16785" s="25"/>
      <c r="F16785" s="21"/>
      <c r="G16785" s="16"/>
    </row>
    <row r="16786" spans="4:7" ht="15" x14ac:dyDescent="0.3">
      <c r="D16786" s="25"/>
      <c r="F16786" s="21"/>
      <c r="G16786" s="16"/>
    </row>
    <row r="16787" spans="4:7" ht="15" x14ac:dyDescent="0.3">
      <c r="D16787" s="25"/>
      <c r="F16787" s="21"/>
      <c r="G16787" s="16"/>
    </row>
    <row r="16788" spans="4:7" ht="15" x14ac:dyDescent="0.3">
      <c r="D16788" s="25"/>
      <c r="F16788" s="21"/>
      <c r="G16788" s="16"/>
    </row>
    <row r="16789" spans="4:7" ht="15" x14ac:dyDescent="0.3">
      <c r="D16789" s="25"/>
      <c r="F16789" s="21"/>
      <c r="G16789" s="16"/>
    </row>
    <row r="16790" spans="4:7" ht="15" x14ac:dyDescent="0.3">
      <c r="D16790" s="25"/>
      <c r="F16790" s="21"/>
      <c r="G16790" s="16"/>
    </row>
    <row r="16791" spans="4:7" ht="15" x14ac:dyDescent="0.3">
      <c r="D16791" s="25"/>
      <c r="F16791" s="21"/>
      <c r="G16791" s="16"/>
    </row>
    <row r="16792" spans="4:7" ht="15" x14ac:dyDescent="0.3">
      <c r="D16792" s="25"/>
      <c r="F16792" s="21"/>
      <c r="G16792" s="16"/>
    </row>
    <row r="16793" spans="4:7" ht="15" x14ac:dyDescent="0.3">
      <c r="D16793" s="25"/>
      <c r="F16793" s="21"/>
      <c r="G16793" s="16"/>
    </row>
    <row r="16794" spans="4:7" ht="15" x14ac:dyDescent="0.3">
      <c r="D16794" s="25"/>
      <c r="F16794" s="21"/>
      <c r="G16794" s="16"/>
    </row>
    <row r="16795" spans="4:7" ht="15" x14ac:dyDescent="0.3">
      <c r="D16795" s="25"/>
      <c r="F16795" s="21"/>
      <c r="G16795" s="16"/>
    </row>
    <row r="16796" spans="4:7" ht="15" x14ac:dyDescent="0.3">
      <c r="D16796" s="25"/>
      <c r="F16796" s="21"/>
      <c r="G16796" s="16"/>
    </row>
    <row r="16797" spans="4:7" ht="15" x14ac:dyDescent="0.3">
      <c r="D16797" s="25"/>
      <c r="F16797" s="21"/>
      <c r="G16797" s="16"/>
    </row>
    <row r="16798" spans="4:7" ht="15" x14ac:dyDescent="0.3">
      <c r="D16798" s="25"/>
      <c r="F16798" s="21"/>
      <c r="G16798" s="16"/>
    </row>
    <row r="16799" spans="4:7" ht="15" x14ac:dyDescent="0.3">
      <c r="D16799" s="25"/>
      <c r="F16799" s="21"/>
      <c r="G16799" s="16"/>
    </row>
    <row r="16800" spans="4:7" ht="15" x14ac:dyDescent="0.3">
      <c r="D16800" s="25"/>
      <c r="F16800" s="21"/>
      <c r="G16800" s="16"/>
    </row>
    <row r="16801" spans="4:7" ht="15" x14ac:dyDescent="0.3">
      <c r="D16801" s="25"/>
      <c r="F16801" s="21"/>
      <c r="G16801" s="16"/>
    </row>
    <row r="16802" spans="4:7" ht="15" x14ac:dyDescent="0.3">
      <c r="D16802" s="25"/>
      <c r="F16802" s="21"/>
      <c r="G16802" s="16"/>
    </row>
    <row r="16803" spans="4:7" ht="15" x14ac:dyDescent="0.3">
      <c r="D16803" s="25"/>
      <c r="F16803" s="21"/>
      <c r="G16803" s="16"/>
    </row>
    <row r="16804" spans="4:7" ht="15" x14ac:dyDescent="0.3">
      <c r="D16804" s="25"/>
      <c r="F16804" s="21"/>
      <c r="G16804" s="16"/>
    </row>
    <row r="16805" spans="4:7" ht="15" x14ac:dyDescent="0.3">
      <c r="D16805" s="25"/>
      <c r="F16805" s="21"/>
      <c r="G16805" s="16"/>
    </row>
    <row r="16806" spans="4:7" ht="15" x14ac:dyDescent="0.3">
      <c r="D16806" s="25"/>
      <c r="F16806" s="21"/>
      <c r="G16806" s="16"/>
    </row>
    <row r="16807" spans="4:7" ht="15" x14ac:dyDescent="0.3">
      <c r="D16807" s="25"/>
      <c r="F16807" s="21"/>
      <c r="G16807" s="16"/>
    </row>
    <row r="16808" spans="4:7" ht="15" x14ac:dyDescent="0.3">
      <c r="D16808" s="25"/>
      <c r="F16808" s="21"/>
      <c r="G16808" s="16"/>
    </row>
    <row r="16809" spans="4:7" ht="15" x14ac:dyDescent="0.3">
      <c r="D16809" s="25"/>
      <c r="F16809" s="21"/>
      <c r="G16809" s="16"/>
    </row>
    <row r="16810" spans="4:7" ht="15" x14ac:dyDescent="0.3">
      <c r="D16810" s="25"/>
      <c r="F16810" s="21"/>
      <c r="G16810" s="16"/>
    </row>
    <row r="16811" spans="4:7" ht="15" x14ac:dyDescent="0.3">
      <c r="D16811" s="25"/>
      <c r="F16811" s="21"/>
      <c r="G16811" s="16"/>
    </row>
    <row r="16812" spans="4:7" ht="15" x14ac:dyDescent="0.3">
      <c r="D16812" s="25"/>
      <c r="F16812" s="21"/>
      <c r="G16812" s="16"/>
    </row>
    <row r="16813" spans="4:7" ht="15" x14ac:dyDescent="0.3">
      <c r="D16813" s="25"/>
      <c r="F16813" s="21"/>
      <c r="G16813" s="16"/>
    </row>
    <row r="16814" spans="4:7" ht="15" x14ac:dyDescent="0.3">
      <c r="D16814" s="25"/>
      <c r="F16814" s="21"/>
      <c r="G16814" s="16"/>
    </row>
    <row r="16815" spans="4:7" ht="15" x14ac:dyDescent="0.3">
      <c r="D16815" s="25"/>
      <c r="F16815" s="21"/>
      <c r="G16815" s="16"/>
    </row>
    <row r="16816" spans="4:7" ht="15" x14ac:dyDescent="0.3">
      <c r="D16816" s="25"/>
      <c r="F16816" s="21"/>
      <c r="G16816" s="16"/>
    </row>
    <row r="16817" spans="4:7" ht="15" x14ac:dyDescent="0.3">
      <c r="D16817" s="25"/>
      <c r="F16817" s="21"/>
      <c r="G16817" s="16"/>
    </row>
    <row r="16818" spans="4:7" ht="15" x14ac:dyDescent="0.3">
      <c r="D16818" s="25"/>
      <c r="F16818" s="21"/>
      <c r="G16818" s="16"/>
    </row>
    <row r="16819" spans="4:7" ht="15" x14ac:dyDescent="0.3">
      <c r="D16819" s="25"/>
      <c r="F16819" s="21"/>
      <c r="G16819" s="16"/>
    </row>
    <row r="16820" spans="4:7" ht="15" x14ac:dyDescent="0.3">
      <c r="D16820" s="25"/>
      <c r="F16820" s="21"/>
      <c r="G16820" s="16"/>
    </row>
    <row r="16821" spans="4:7" ht="15" x14ac:dyDescent="0.3">
      <c r="D16821" s="25"/>
      <c r="F16821" s="21"/>
      <c r="G16821" s="16"/>
    </row>
    <row r="16822" spans="4:7" ht="15" x14ac:dyDescent="0.3">
      <c r="D16822" s="25"/>
      <c r="F16822" s="21"/>
      <c r="G16822" s="16"/>
    </row>
    <row r="16823" spans="4:7" ht="15" x14ac:dyDescent="0.3">
      <c r="D16823" s="25"/>
      <c r="F16823" s="21"/>
      <c r="G16823" s="16"/>
    </row>
    <row r="16824" spans="4:7" ht="15" x14ac:dyDescent="0.3">
      <c r="D16824" s="25"/>
      <c r="F16824" s="21"/>
      <c r="G16824" s="16"/>
    </row>
    <row r="16825" spans="4:7" ht="15" x14ac:dyDescent="0.3">
      <c r="D16825" s="25"/>
      <c r="F16825" s="21"/>
      <c r="G16825" s="16"/>
    </row>
    <row r="16826" spans="4:7" ht="15" x14ac:dyDescent="0.3">
      <c r="D16826" s="25"/>
      <c r="F16826" s="21"/>
      <c r="G16826" s="16"/>
    </row>
    <row r="16827" spans="4:7" ht="15" x14ac:dyDescent="0.3">
      <c r="D16827" s="25"/>
      <c r="F16827" s="21"/>
      <c r="G16827" s="16"/>
    </row>
    <row r="16828" spans="4:7" ht="15" x14ac:dyDescent="0.3">
      <c r="D16828" s="25"/>
      <c r="F16828" s="21"/>
      <c r="G16828" s="16"/>
    </row>
    <row r="16829" spans="4:7" ht="15" x14ac:dyDescent="0.3">
      <c r="D16829" s="25"/>
      <c r="F16829" s="21"/>
      <c r="G16829" s="16"/>
    </row>
    <row r="16830" spans="4:7" ht="15" x14ac:dyDescent="0.3">
      <c r="D16830" s="25"/>
      <c r="F16830" s="21"/>
      <c r="G16830" s="16"/>
    </row>
    <row r="16831" spans="4:7" ht="15" x14ac:dyDescent="0.3">
      <c r="D16831" s="25"/>
      <c r="F16831" s="21"/>
      <c r="G16831" s="16"/>
    </row>
    <row r="16832" spans="4:7" ht="15" x14ac:dyDescent="0.3">
      <c r="D16832" s="25"/>
      <c r="F16832" s="21"/>
      <c r="G16832" s="16"/>
    </row>
    <row r="16833" spans="4:7" ht="15" x14ac:dyDescent="0.3">
      <c r="D16833" s="25"/>
      <c r="F16833" s="21"/>
      <c r="G16833" s="16"/>
    </row>
    <row r="16834" spans="4:7" ht="15" x14ac:dyDescent="0.3">
      <c r="D16834" s="25"/>
      <c r="F16834" s="21"/>
      <c r="G16834" s="16"/>
    </row>
    <row r="16835" spans="4:7" ht="15" x14ac:dyDescent="0.3">
      <c r="D16835" s="25"/>
      <c r="F16835" s="21"/>
      <c r="G16835" s="16"/>
    </row>
    <row r="16836" spans="4:7" ht="15" x14ac:dyDescent="0.3">
      <c r="D16836" s="25"/>
      <c r="F16836" s="21"/>
      <c r="G16836" s="16"/>
    </row>
    <row r="16837" spans="4:7" ht="15" x14ac:dyDescent="0.3">
      <c r="D16837" s="25"/>
      <c r="F16837" s="21"/>
      <c r="G16837" s="16"/>
    </row>
    <row r="16838" spans="4:7" ht="15" x14ac:dyDescent="0.3">
      <c r="D16838" s="25"/>
      <c r="F16838" s="21"/>
      <c r="G16838" s="16"/>
    </row>
    <row r="16839" spans="4:7" ht="15" x14ac:dyDescent="0.3">
      <c r="D16839" s="25"/>
      <c r="F16839" s="21"/>
      <c r="G16839" s="16"/>
    </row>
    <row r="16840" spans="4:7" ht="15" x14ac:dyDescent="0.3">
      <c r="D16840" s="25"/>
      <c r="F16840" s="21"/>
      <c r="G16840" s="16"/>
    </row>
    <row r="16841" spans="4:7" ht="15" x14ac:dyDescent="0.3">
      <c r="D16841" s="25"/>
      <c r="F16841" s="21"/>
      <c r="G16841" s="16"/>
    </row>
    <row r="16842" spans="4:7" ht="15" x14ac:dyDescent="0.3">
      <c r="D16842" s="25"/>
      <c r="F16842" s="21"/>
      <c r="G16842" s="16"/>
    </row>
    <row r="16843" spans="4:7" ht="15" x14ac:dyDescent="0.3">
      <c r="D16843" s="25"/>
      <c r="F16843" s="21"/>
      <c r="G16843" s="16"/>
    </row>
    <row r="16844" spans="4:7" ht="15" x14ac:dyDescent="0.3">
      <c r="D16844" s="25"/>
      <c r="F16844" s="21"/>
      <c r="G16844" s="16"/>
    </row>
    <row r="16845" spans="4:7" ht="15" x14ac:dyDescent="0.3">
      <c r="D16845" s="25"/>
      <c r="F16845" s="21"/>
      <c r="G16845" s="16"/>
    </row>
    <row r="16846" spans="4:7" ht="15" x14ac:dyDescent="0.3">
      <c r="D16846" s="25"/>
      <c r="F16846" s="21"/>
      <c r="G16846" s="16"/>
    </row>
    <row r="16847" spans="4:7" ht="15" x14ac:dyDescent="0.3">
      <c r="D16847" s="25"/>
      <c r="F16847" s="21"/>
      <c r="G16847" s="16"/>
    </row>
    <row r="16848" spans="4:7" ht="15" x14ac:dyDescent="0.3">
      <c r="D16848" s="25"/>
      <c r="F16848" s="21"/>
      <c r="G16848" s="16"/>
    </row>
    <row r="16849" spans="4:7" ht="15" x14ac:dyDescent="0.3">
      <c r="D16849" s="25"/>
      <c r="F16849" s="21"/>
      <c r="G16849" s="16"/>
    </row>
    <row r="16850" spans="4:7" ht="15" x14ac:dyDescent="0.3">
      <c r="D16850" s="25"/>
      <c r="F16850" s="21"/>
      <c r="G16850" s="16"/>
    </row>
    <row r="16851" spans="4:7" ht="15" x14ac:dyDescent="0.3">
      <c r="D16851" s="25"/>
      <c r="F16851" s="21"/>
      <c r="G16851" s="16"/>
    </row>
    <row r="16852" spans="4:7" ht="15" x14ac:dyDescent="0.3">
      <c r="D16852" s="25"/>
      <c r="F16852" s="21"/>
      <c r="G16852" s="16"/>
    </row>
    <row r="16853" spans="4:7" ht="15" x14ac:dyDescent="0.3">
      <c r="D16853" s="25"/>
      <c r="F16853" s="21"/>
      <c r="G16853" s="16"/>
    </row>
    <row r="16854" spans="4:7" ht="15" x14ac:dyDescent="0.3">
      <c r="D16854" s="25"/>
      <c r="F16854" s="21"/>
      <c r="G16854" s="16"/>
    </row>
    <row r="16855" spans="4:7" ht="15" x14ac:dyDescent="0.3">
      <c r="D16855" s="25"/>
      <c r="F16855" s="21"/>
      <c r="G16855" s="16"/>
    </row>
    <row r="16856" spans="4:7" ht="15" x14ac:dyDescent="0.3">
      <c r="D16856" s="25"/>
      <c r="F16856" s="21"/>
      <c r="G16856" s="16"/>
    </row>
    <row r="16857" spans="4:7" ht="15" x14ac:dyDescent="0.3">
      <c r="D16857" s="25"/>
      <c r="F16857" s="21"/>
      <c r="G16857" s="16"/>
    </row>
    <row r="16858" spans="4:7" ht="15" x14ac:dyDescent="0.3">
      <c r="D16858" s="25"/>
      <c r="F16858" s="21"/>
      <c r="G16858" s="16"/>
    </row>
    <row r="16859" spans="4:7" ht="15" x14ac:dyDescent="0.3">
      <c r="D16859" s="25"/>
      <c r="F16859" s="21"/>
      <c r="G16859" s="16"/>
    </row>
    <row r="16860" spans="4:7" ht="15" x14ac:dyDescent="0.3">
      <c r="D16860" s="25"/>
      <c r="F16860" s="21"/>
      <c r="G16860" s="16"/>
    </row>
    <row r="16861" spans="4:7" ht="15" x14ac:dyDescent="0.3">
      <c r="D16861" s="25"/>
      <c r="F16861" s="21"/>
      <c r="G16861" s="16"/>
    </row>
    <row r="16862" spans="4:7" ht="15" x14ac:dyDescent="0.3">
      <c r="D16862" s="25"/>
      <c r="F16862" s="21"/>
      <c r="G16862" s="16"/>
    </row>
    <row r="16863" spans="4:7" ht="15" x14ac:dyDescent="0.3">
      <c r="D16863" s="25"/>
      <c r="F16863" s="21"/>
      <c r="G16863" s="16"/>
    </row>
    <row r="16864" spans="4:7" ht="15" x14ac:dyDescent="0.3">
      <c r="D16864" s="25"/>
      <c r="F16864" s="21"/>
      <c r="G16864" s="16"/>
    </row>
    <row r="16865" spans="4:7" ht="15" x14ac:dyDescent="0.3">
      <c r="D16865" s="25"/>
      <c r="F16865" s="21"/>
      <c r="G16865" s="16"/>
    </row>
    <row r="16866" spans="4:7" ht="15" x14ac:dyDescent="0.3">
      <c r="D16866" s="25"/>
      <c r="F16866" s="21"/>
      <c r="G16866" s="16"/>
    </row>
    <row r="16867" spans="4:7" ht="15" x14ac:dyDescent="0.3">
      <c r="D16867" s="25"/>
      <c r="F16867" s="21"/>
      <c r="G16867" s="16"/>
    </row>
    <row r="16868" spans="4:7" ht="15" x14ac:dyDescent="0.3">
      <c r="D16868" s="25"/>
      <c r="F16868" s="21"/>
      <c r="G16868" s="16"/>
    </row>
    <row r="16869" spans="4:7" ht="15" x14ac:dyDescent="0.3">
      <c r="D16869" s="25"/>
      <c r="F16869" s="21"/>
      <c r="G16869" s="16"/>
    </row>
    <row r="16870" spans="4:7" ht="15" x14ac:dyDescent="0.3">
      <c r="D16870" s="25"/>
      <c r="F16870" s="21"/>
      <c r="G16870" s="16"/>
    </row>
    <row r="16871" spans="4:7" ht="15" x14ac:dyDescent="0.3">
      <c r="D16871" s="25"/>
      <c r="F16871" s="21"/>
      <c r="G16871" s="16"/>
    </row>
    <row r="16872" spans="4:7" ht="15" x14ac:dyDescent="0.3">
      <c r="D16872" s="25"/>
      <c r="F16872" s="21"/>
      <c r="G16872" s="16"/>
    </row>
    <row r="16873" spans="4:7" ht="15" x14ac:dyDescent="0.3">
      <c r="D16873" s="25"/>
      <c r="F16873" s="21"/>
      <c r="G16873" s="16"/>
    </row>
    <row r="16874" spans="4:7" ht="15" x14ac:dyDescent="0.3">
      <c r="D16874" s="25"/>
      <c r="F16874" s="21"/>
      <c r="G16874" s="16"/>
    </row>
    <row r="16875" spans="4:7" ht="15" x14ac:dyDescent="0.3">
      <c r="D16875" s="25"/>
      <c r="F16875" s="21"/>
      <c r="G16875" s="16"/>
    </row>
    <row r="16876" spans="4:7" ht="15" x14ac:dyDescent="0.3">
      <c r="D16876" s="25"/>
      <c r="F16876" s="21"/>
      <c r="G16876" s="16"/>
    </row>
    <row r="16877" spans="4:7" ht="15" x14ac:dyDescent="0.3">
      <c r="D16877" s="25"/>
      <c r="F16877" s="21"/>
      <c r="G16877" s="16"/>
    </row>
    <row r="16878" spans="4:7" ht="15" x14ac:dyDescent="0.3">
      <c r="D16878" s="25"/>
      <c r="F16878" s="21"/>
      <c r="G16878" s="16"/>
    </row>
    <row r="16879" spans="4:7" ht="15" x14ac:dyDescent="0.3">
      <c r="D16879" s="25"/>
      <c r="F16879" s="21"/>
      <c r="G16879" s="16"/>
    </row>
    <row r="16880" spans="4:7" ht="15" x14ac:dyDescent="0.3">
      <c r="D16880" s="25"/>
      <c r="F16880" s="21"/>
      <c r="G16880" s="16"/>
    </row>
    <row r="16881" spans="4:7" ht="15" x14ac:dyDescent="0.3">
      <c r="D16881" s="25"/>
      <c r="F16881" s="21"/>
      <c r="G16881" s="16"/>
    </row>
    <row r="16882" spans="4:7" ht="15" x14ac:dyDescent="0.3">
      <c r="D16882" s="25"/>
      <c r="F16882" s="21"/>
      <c r="G16882" s="16"/>
    </row>
    <row r="16883" spans="4:7" ht="15" x14ac:dyDescent="0.3">
      <c r="D16883" s="25"/>
      <c r="F16883" s="21"/>
      <c r="G16883" s="16"/>
    </row>
    <row r="16884" spans="4:7" ht="15" x14ac:dyDescent="0.3">
      <c r="D16884" s="25"/>
      <c r="F16884" s="21"/>
      <c r="G16884" s="16"/>
    </row>
    <row r="16885" spans="4:7" ht="15" x14ac:dyDescent="0.3">
      <c r="D16885" s="25"/>
      <c r="F16885" s="21"/>
      <c r="G16885" s="16"/>
    </row>
    <row r="16886" spans="4:7" ht="15" x14ac:dyDescent="0.3">
      <c r="D16886" s="25"/>
      <c r="F16886" s="21"/>
      <c r="G16886" s="16"/>
    </row>
    <row r="16887" spans="4:7" ht="15" x14ac:dyDescent="0.3">
      <c r="D16887" s="25"/>
      <c r="F16887" s="21"/>
      <c r="G16887" s="16"/>
    </row>
    <row r="16888" spans="4:7" ht="15" x14ac:dyDescent="0.3">
      <c r="D16888" s="25"/>
      <c r="F16888" s="21"/>
      <c r="G16888" s="16"/>
    </row>
    <row r="16889" spans="4:7" ht="15" x14ac:dyDescent="0.3">
      <c r="D16889" s="25"/>
      <c r="F16889" s="21"/>
      <c r="G16889" s="16"/>
    </row>
    <row r="16890" spans="4:7" ht="15" x14ac:dyDescent="0.3">
      <c r="D16890" s="25"/>
      <c r="F16890" s="21"/>
      <c r="G16890" s="16"/>
    </row>
    <row r="16891" spans="4:7" ht="15" x14ac:dyDescent="0.3">
      <c r="D16891" s="25"/>
      <c r="F16891" s="21"/>
      <c r="G16891" s="16"/>
    </row>
    <row r="16892" spans="4:7" ht="15" x14ac:dyDescent="0.3">
      <c r="D16892" s="25"/>
      <c r="F16892" s="21"/>
      <c r="G16892" s="16"/>
    </row>
    <row r="16893" spans="4:7" ht="15" x14ac:dyDescent="0.3">
      <c r="D16893" s="25"/>
      <c r="F16893" s="21"/>
      <c r="G16893" s="16"/>
    </row>
    <row r="16894" spans="4:7" ht="15" x14ac:dyDescent="0.3">
      <c r="D16894" s="25"/>
      <c r="F16894" s="21"/>
      <c r="G16894" s="16"/>
    </row>
    <row r="16895" spans="4:7" ht="15" x14ac:dyDescent="0.3">
      <c r="D16895" s="25"/>
      <c r="F16895" s="21"/>
      <c r="G16895" s="16"/>
    </row>
    <row r="16896" spans="4:7" ht="15" x14ac:dyDescent="0.3">
      <c r="D16896" s="25"/>
      <c r="F16896" s="21"/>
      <c r="G16896" s="16"/>
    </row>
    <row r="16897" spans="4:7" ht="15" x14ac:dyDescent="0.3">
      <c r="D16897" s="25"/>
      <c r="F16897" s="21"/>
      <c r="G16897" s="16"/>
    </row>
    <row r="16898" spans="4:7" ht="15" x14ac:dyDescent="0.3">
      <c r="D16898" s="25"/>
      <c r="F16898" s="21"/>
      <c r="G16898" s="16"/>
    </row>
    <row r="16899" spans="4:7" ht="15" x14ac:dyDescent="0.3">
      <c r="D16899" s="25"/>
      <c r="F16899" s="21"/>
      <c r="G16899" s="16"/>
    </row>
    <row r="16900" spans="4:7" ht="15" x14ac:dyDescent="0.3">
      <c r="D16900" s="25"/>
      <c r="F16900" s="21"/>
      <c r="G16900" s="16"/>
    </row>
    <row r="16901" spans="4:7" ht="15" x14ac:dyDescent="0.3">
      <c r="D16901" s="25"/>
      <c r="F16901" s="21"/>
      <c r="G16901" s="16"/>
    </row>
    <row r="16902" spans="4:7" ht="15" x14ac:dyDescent="0.3">
      <c r="D16902" s="25"/>
      <c r="F16902" s="21"/>
      <c r="G16902" s="16"/>
    </row>
    <row r="16903" spans="4:7" ht="15" x14ac:dyDescent="0.3">
      <c r="D16903" s="25"/>
      <c r="F16903" s="21"/>
      <c r="G16903" s="16"/>
    </row>
    <row r="16904" spans="4:7" ht="15" x14ac:dyDescent="0.3">
      <c r="D16904" s="25"/>
      <c r="F16904" s="21"/>
      <c r="G16904" s="16"/>
    </row>
    <row r="16905" spans="4:7" ht="15" x14ac:dyDescent="0.3">
      <c r="D16905" s="25"/>
      <c r="F16905" s="21"/>
      <c r="G16905" s="16"/>
    </row>
    <row r="16906" spans="4:7" ht="15" x14ac:dyDescent="0.3">
      <c r="D16906" s="25"/>
      <c r="F16906" s="21"/>
      <c r="G16906" s="16"/>
    </row>
    <row r="16907" spans="4:7" ht="15" x14ac:dyDescent="0.3">
      <c r="D16907" s="25"/>
      <c r="F16907" s="21"/>
      <c r="G16907" s="16"/>
    </row>
    <row r="16908" spans="4:7" ht="15" x14ac:dyDescent="0.3">
      <c r="D16908" s="25"/>
      <c r="F16908" s="21"/>
      <c r="G16908" s="16"/>
    </row>
    <row r="16909" spans="4:7" ht="15" x14ac:dyDescent="0.3">
      <c r="D16909" s="25"/>
      <c r="F16909" s="21"/>
      <c r="G16909" s="16"/>
    </row>
    <row r="16910" spans="4:7" ht="15" x14ac:dyDescent="0.3">
      <c r="D16910" s="25"/>
      <c r="F16910" s="21"/>
      <c r="G16910" s="16"/>
    </row>
    <row r="16911" spans="4:7" ht="15" x14ac:dyDescent="0.3">
      <c r="D16911" s="25"/>
      <c r="F16911" s="21"/>
      <c r="G16911" s="16"/>
    </row>
    <row r="16912" spans="4:7" ht="15" x14ac:dyDescent="0.3">
      <c r="D16912" s="25"/>
      <c r="F16912" s="21"/>
      <c r="G16912" s="16"/>
    </row>
    <row r="16913" spans="4:7" ht="15" x14ac:dyDescent="0.3">
      <c r="D16913" s="25"/>
      <c r="F16913" s="21"/>
      <c r="G16913" s="16"/>
    </row>
    <row r="16914" spans="4:7" ht="15" x14ac:dyDescent="0.3">
      <c r="D16914" s="25"/>
      <c r="F16914" s="21"/>
      <c r="G16914" s="16"/>
    </row>
    <row r="16915" spans="4:7" ht="15" x14ac:dyDescent="0.3">
      <c r="D16915" s="25"/>
      <c r="F16915" s="21"/>
      <c r="G16915" s="16"/>
    </row>
    <row r="16916" spans="4:7" ht="15" x14ac:dyDescent="0.3">
      <c r="D16916" s="25"/>
      <c r="F16916" s="21"/>
      <c r="G16916" s="16"/>
    </row>
    <row r="16917" spans="4:7" ht="15" x14ac:dyDescent="0.3">
      <c r="D16917" s="25"/>
      <c r="F16917" s="21"/>
      <c r="G16917" s="16"/>
    </row>
    <row r="16918" spans="4:7" ht="15" x14ac:dyDescent="0.3">
      <c r="D16918" s="25"/>
      <c r="F16918" s="21"/>
      <c r="G16918" s="16"/>
    </row>
    <row r="16919" spans="4:7" ht="15" x14ac:dyDescent="0.3">
      <c r="D16919" s="25"/>
      <c r="F16919" s="21"/>
      <c r="G16919" s="16"/>
    </row>
    <row r="16920" spans="4:7" ht="15" x14ac:dyDescent="0.3">
      <c r="D16920" s="25"/>
      <c r="F16920" s="21"/>
      <c r="G16920" s="16"/>
    </row>
    <row r="16921" spans="4:7" ht="15" x14ac:dyDescent="0.3">
      <c r="D16921" s="25"/>
      <c r="F16921" s="21"/>
      <c r="G16921" s="16"/>
    </row>
    <row r="16922" spans="4:7" ht="15" x14ac:dyDescent="0.3">
      <c r="D16922" s="25"/>
      <c r="F16922" s="21"/>
      <c r="G16922" s="16"/>
    </row>
    <row r="16923" spans="4:7" ht="15" x14ac:dyDescent="0.3">
      <c r="D16923" s="25"/>
      <c r="F16923" s="21"/>
      <c r="G16923" s="16"/>
    </row>
    <row r="16924" spans="4:7" ht="15" x14ac:dyDescent="0.3">
      <c r="D16924" s="25"/>
      <c r="F16924" s="21"/>
      <c r="G16924" s="16"/>
    </row>
    <row r="16925" spans="4:7" ht="15" x14ac:dyDescent="0.3">
      <c r="D16925" s="25"/>
      <c r="F16925" s="21"/>
      <c r="G16925" s="16"/>
    </row>
    <row r="16926" spans="4:7" ht="15" x14ac:dyDescent="0.3">
      <c r="D16926" s="25"/>
      <c r="F16926" s="21"/>
      <c r="G16926" s="16"/>
    </row>
    <row r="16927" spans="4:7" ht="15" x14ac:dyDescent="0.3">
      <c r="D16927" s="25"/>
      <c r="F16927" s="21"/>
      <c r="G16927" s="16"/>
    </row>
    <row r="16928" spans="4:7" ht="15" x14ac:dyDescent="0.3">
      <c r="D16928" s="25"/>
      <c r="F16928" s="21"/>
      <c r="G16928" s="16"/>
    </row>
    <row r="16929" spans="4:7" ht="15" x14ac:dyDescent="0.3">
      <c r="D16929" s="25"/>
      <c r="F16929" s="21"/>
      <c r="G16929" s="16"/>
    </row>
    <row r="16930" spans="4:7" ht="15" x14ac:dyDescent="0.3">
      <c r="D16930" s="25"/>
      <c r="F16930" s="21"/>
      <c r="G16930" s="16"/>
    </row>
    <row r="16931" spans="4:7" ht="15" x14ac:dyDescent="0.3">
      <c r="D16931" s="25"/>
      <c r="F16931" s="21"/>
      <c r="G16931" s="16"/>
    </row>
    <row r="16932" spans="4:7" ht="15" x14ac:dyDescent="0.3">
      <c r="D16932" s="25"/>
      <c r="F16932" s="21"/>
      <c r="G16932" s="16"/>
    </row>
    <row r="16933" spans="4:7" ht="15" x14ac:dyDescent="0.3">
      <c r="D16933" s="25"/>
      <c r="F16933" s="21"/>
      <c r="G16933" s="16"/>
    </row>
    <row r="16934" spans="4:7" ht="15" x14ac:dyDescent="0.3">
      <c r="D16934" s="25"/>
      <c r="F16934" s="21"/>
      <c r="G16934" s="16"/>
    </row>
    <row r="16935" spans="4:7" ht="15" x14ac:dyDescent="0.3">
      <c r="D16935" s="25"/>
      <c r="F16935" s="21"/>
      <c r="G16935" s="16"/>
    </row>
    <row r="16936" spans="4:7" ht="15" x14ac:dyDescent="0.3">
      <c r="D16936" s="25"/>
      <c r="F16936" s="21"/>
      <c r="G16936" s="16"/>
    </row>
    <row r="16937" spans="4:7" ht="15" x14ac:dyDescent="0.3">
      <c r="D16937" s="25"/>
      <c r="F16937" s="21"/>
      <c r="G16937" s="16"/>
    </row>
    <row r="16938" spans="4:7" ht="15" x14ac:dyDescent="0.3">
      <c r="D16938" s="25"/>
      <c r="F16938" s="21"/>
      <c r="G16938" s="16"/>
    </row>
    <row r="16939" spans="4:7" ht="15" x14ac:dyDescent="0.3">
      <c r="D16939" s="25"/>
      <c r="F16939" s="21"/>
      <c r="G16939" s="16"/>
    </row>
    <row r="16940" spans="4:7" ht="15" x14ac:dyDescent="0.3">
      <c r="D16940" s="25"/>
      <c r="F16940" s="21"/>
      <c r="G16940" s="16"/>
    </row>
    <row r="16941" spans="4:7" ht="15" x14ac:dyDescent="0.3">
      <c r="D16941" s="25"/>
      <c r="F16941" s="21"/>
      <c r="G16941" s="16"/>
    </row>
    <row r="16942" spans="4:7" ht="15" x14ac:dyDescent="0.3">
      <c r="D16942" s="25"/>
      <c r="F16942" s="21"/>
      <c r="G16942" s="16"/>
    </row>
    <row r="16943" spans="4:7" ht="15" x14ac:dyDescent="0.3">
      <c r="D16943" s="25"/>
      <c r="F16943" s="21"/>
      <c r="G16943" s="16"/>
    </row>
    <row r="16944" spans="4:7" ht="15" x14ac:dyDescent="0.3">
      <c r="D16944" s="25"/>
      <c r="F16944" s="21"/>
      <c r="G16944" s="16"/>
    </row>
    <row r="16945" spans="4:7" ht="15" x14ac:dyDescent="0.3">
      <c r="D16945" s="25"/>
      <c r="F16945" s="21"/>
      <c r="G16945" s="16"/>
    </row>
    <row r="16946" spans="4:7" ht="15" x14ac:dyDescent="0.3">
      <c r="D16946" s="25"/>
      <c r="F16946" s="21"/>
      <c r="G16946" s="16"/>
    </row>
    <row r="16947" spans="4:7" ht="15" x14ac:dyDescent="0.3">
      <c r="D16947" s="25"/>
      <c r="F16947" s="21"/>
      <c r="G16947" s="16"/>
    </row>
    <row r="16948" spans="4:7" ht="15" x14ac:dyDescent="0.3">
      <c r="D16948" s="25"/>
      <c r="F16948" s="21"/>
      <c r="G16948" s="16"/>
    </row>
    <row r="16949" spans="4:7" ht="15" x14ac:dyDescent="0.3">
      <c r="D16949" s="25"/>
      <c r="F16949" s="21"/>
      <c r="G16949" s="16"/>
    </row>
    <row r="16950" spans="4:7" ht="15" x14ac:dyDescent="0.3">
      <c r="D16950" s="25"/>
      <c r="F16950" s="21"/>
      <c r="G16950" s="16"/>
    </row>
    <row r="16951" spans="4:7" ht="15" x14ac:dyDescent="0.3">
      <c r="D16951" s="25"/>
      <c r="F16951" s="21"/>
      <c r="G16951" s="16"/>
    </row>
    <row r="16952" spans="4:7" ht="15" x14ac:dyDescent="0.3">
      <c r="D16952" s="25"/>
      <c r="F16952" s="21"/>
      <c r="G16952" s="16"/>
    </row>
    <row r="16953" spans="4:7" ht="15" x14ac:dyDescent="0.3">
      <c r="D16953" s="25"/>
      <c r="F16953" s="21"/>
      <c r="G16953" s="16"/>
    </row>
    <row r="16954" spans="4:7" ht="15" x14ac:dyDescent="0.3">
      <c r="D16954" s="25"/>
      <c r="F16954" s="21"/>
      <c r="G16954" s="16"/>
    </row>
    <row r="16955" spans="4:7" ht="15" x14ac:dyDescent="0.3">
      <c r="D16955" s="25"/>
      <c r="F16955" s="21"/>
      <c r="G16955" s="16"/>
    </row>
    <row r="16956" spans="4:7" ht="15" x14ac:dyDescent="0.3">
      <c r="D16956" s="25"/>
      <c r="F16956" s="21"/>
      <c r="G16956" s="16"/>
    </row>
    <row r="16957" spans="4:7" ht="15" x14ac:dyDescent="0.3">
      <c r="D16957" s="25"/>
      <c r="F16957" s="21"/>
      <c r="G16957" s="16"/>
    </row>
    <row r="16958" spans="4:7" ht="15" x14ac:dyDescent="0.3">
      <c r="D16958" s="25"/>
      <c r="F16958" s="21"/>
      <c r="G16958" s="16"/>
    </row>
    <row r="16959" spans="4:7" ht="15" x14ac:dyDescent="0.3">
      <c r="D16959" s="25"/>
      <c r="F16959" s="21"/>
      <c r="G16959" s="16"/>
    </row>
    <row r="16960" spans="4:7" ht="15" x14ac:dyDescent="0.3">
      <c r="D16960" s="25"/>
      <c r="F16960" s="21"/>
      <c r="G16960" s="16"/>
    </row>
    <row r="16961" spans="4:7" ht="15" x14ac:dyDescent="0.3">
      <c r="D16961" s="25"/>
      <c r="F16961" s="21"/>
      <c r="G16961" s="16"/>
    </row>
    <row r="16962" spans="4:7" ht="15" x14ac:dyDescent="0.3">
      <c r="D16962" s="25"/>
      <c r="F16962" s="21"/>
      <c r="G16962" s="16"/>
    </row>
    <row r="16963" spans="4:7" ht="15" x14ac:dyDescent="0.3">
      <c r="D16963" s="25"/>
      <c r="F16963" s="21"/>
      <c r="G16963" s="16"/>
    </row>
    <row r="16964" spans="4:7" ht="15" x14ac:dyDescent="0.3">
      <c r="D16964" s="25"/>
      <c r="F16964" s="21"/>
      <c r="G16964" s="16"/>
    </row>
    <row r="16965" spans="4:7" ht="15" x14ac:dyDescent="0.3">
      <c r="D16965" s="25"/>
      <c r="F16965" s="21"/>
      <c r="G16965" s="16"/>
    </row>
    <row r="16966" spans="4:7" ht="15" x14ac:dyDescent="0.3">
      <c r="D16966" s="25"/>
      <c r="F16966" s="21"/>
      <c r="G16966" s="16"/>
    </row>
    <row r="16967" spans="4:7" ht="15" x14ac:dyDescent="0.3">
      <c r="D16967" s="25"/>
      <c r="F16967" s="21"/>
      <c r="G16967" s="16"/>
    </row>
    <row r="16968" spans="4:7" ht="15" x14ac:dyDescent="0.3">
      <c r="D16968" s="25"/>
      <c r="F16968" s="21"/>
      <c r="G16968" s="16"/>
    </row>
    <row r="16969" spans="4:7" ht="15" x14ac:dyDescent="0.3">
      <c r="D16969" s="25"/>
      <c r="F16969" s="21"/>
      <c r="G16969" s="16"/>
    </row>
    <row r="16970" spans="4:7" ht="15" x14ac:dyDescent="0.3">
      <c r="D16970" s="25"/>
      <c r="F16970" s="21"/>
      <c r="G16970" s="16"/>
    </row>
    <row r="16971" spans="4:7" ht="15" x14ac:dyDescent="0.3">
      <c r="D16971" s="25"/>
      <c r="F16971" s="21"/>
      <c r="G16971" s="16"/>
    </row>
    <row r="16972" spans="4:7" ht="15" x14ac:dyDescent="0.3">
      <c r="D16972" s="25"/>
      <c r="F16972" s="21"/>
      <c r="G16972" s="16"/>
    </row>
    <row r="16973" spans="4:7" ht="15" x14ac:dyDescent="0.3">
      <c r="D16973" s="25"/>
      <c r="F16973" s="21"/>
      <c r="G16973" s="16"/>
    </row>
    <row r="16974" spans="4:7" ht="15" x14ac:dyDescent="0.3">
      <c r="D16974" s="25"/>
      <c r="F16974" s="21"/>
      <c r="G16974" s="16"/>
    </row>
    <row r="16975" spans="4:7" ht="15" x14ac:dyDescent="0.3">
      <c r="D16975" s="25"/>
      <c r="F16975" s="21"/>
      <c r="G16975" s="16"/>
    </row>
    <row r="16976" spans="4:7" ht="15" x14ac:dyDescent="0.3">
      <c r="D16976" s="25"/>
      <c r="F16976" s="21"/>
      <c r="G16976" s="16"/>
    </row>
    <row r="16977" spans="4:7" ht="15" x14ac:dyDescent="0.3">
      <c r="D16977" s="25"/>
      <c r="F16977" s="21"/>
      <c r="G16977" s="16"/>
    </row>
    <row r="16978" spans="4:7" ht="15" x14ac:dyDescent="0.3">
      <c r="D16978" s="25"/>
      <c r="F16978" s="21"/>
      <c r="G16978" s="16"/>
    </row>
    <row r="16979" spans="4:7" ht="15" x14ac:dyDescent="0.3">
      <c r="D16979" s="25"/>
      <c r="F16979" s="21"/>
      <c r="G16979" s="16"/>
    </row>
    <row r="16980" spans="4:7" ht="15" x14ac:dyDescent="0.3">
      <c r="D16980" s="25"/>
      <c r="F16980" s="21"/>
      <c r="G16980" s="16"/>
    </row>
    <row r="16981" spans="4:7" ht="15" x14ac:dyDescent="0.3">
      <c r="D16981" s="25"/>
      <c r="F16981" s="21"/>
      <c r="G16981" s="16"/>
    </row>
    <row r="16982" spans="4:7" ht="15" x14ac:dyDescent="0.3">
      <c r="D16982" s="25"/>
      <c r="F16982" s="21"/>
      <c r="G16982" s="16"/>
    </row>
    <row r="16983" spans="4:7" ht="15" x14ac:dyDescent="0.3">
      <c r="D16983" s="25"/>
      <c r="F16983" s="21"/>
      <c r="G16983" s="16"/>
    </row>
    <row r="16984" spans="4:7" ht="15" x14ac:dyDescent="0.3">
      <c r="D16984" s="25"/>
      <c r="F16984" s="21"/>
      <c r="G16984" s="16"/>
    </row>
    <row r="16985" spans="4:7" ht="15" x14ac:dyDescent="0.3">
      <c r="D16985" s="25"/>
      <c r="F16985" s="21"/>
      <c r="G16985" s="16"/>
    </row>
    <row r="16986" spans="4:7" ht="15" x14ac:dyDescent="0.3">
      <c r="D16986" s="25"/>
      <c r="F16986" s="21"/>
      <c r="G16986" s="16"/>
    </row>
    <row r="16987" spans="4:7" ht="15" x14ac:dyDescent="0.3">
      <c r="D16987" s="25"/>
      <c r="F16987" s="21"/>
      <c r="G16987" s="16"/>
    </row>
    <row r="16988" spans="4:7" ht="15" x14ac:dyDescent="0.3">
      <c r="D16988" s="25"/>
      <c r="F16988" s="21"/>
      <c r="G16988" s="16"/>
    </row>
    <row r="16989" spans="4:7" ht="15" x14ac:dyDescent="0.3">
      <c r="D16989" s="25"/>
      <c r="F16989" s="21"/>
      <c r="G16989" s="16"/>
    </row>
    <row r="16990" spans="4:7" ht="15" x14ac:dyDescent="0.3">
      <c r="D16990" s="25"/>
      <c r="F16990" s="21"/>
      <c r="G16990" s="16"/>
    </row>
    <row r="16991" spans="4:7" ht="15" x14ac:dyDescent="0.3">
      <c r="D16991" s="25"/>
      <c r="F16991" s="21"/>
      <c r="G16991" s="16"/>
    </row>
    <row r="16992" spans="4:7" ht="15" x14ac:dyDescent="0.3">
      <c r="D16992" s="25"/>
      <c r="F16992" s="21"/>
      <c r="G16992" s="16"/>
    </row>
    <row r="16993" spans="4:7" ht="15" x14ac:dyDescent="0.3">
      <c r="D16993" s="25"/>
      <c r="F16993" s="21"/>
      <c r="G16993" s="16"/>
    </row>
    <row r="16994" spans="4:7" ht="15" x14ac:dyDescent="0.3">
      <c r="D16994" s="25"/>
      <c r="F16994" s="21"/>
      <c r="G16994" s="16"/>
    </row>
    <row r="16995" spans="4:7" ht="15" x14ac:dyDescent="0.3">
      <c r="D16995" s="25"/>
      <c r="F16995" s="21"/>
      <c r="G16995" s="16"/>
    </row>
    <row r="16996" spans="4:7" ht="15" x14ac:dyDescent="0.3">
      <c r="D16996" s="25"/>
      <c r="F16996" s="21"/>
      <c r="G16996" s="16"/>
    </row>
    <row r="16997" spans="4:7" ht="15" x14ac:dyDescent="0.3">
      <c r="D16997" s="25"/>
      <c r="F16997" s="21"/>
      <c r="G16997" s="16"/>
    </row>
    <row r="16998" spans="4:7" ht="15" x14ac:dyDescent="0.3">
      <c r="D16998" s="25"/>
      <c r="F16998" s="21"/>
      <c r="G16998" s="16"/>
    </row>
    <row r="16999" spans="4:7" ht="15" x14ac:dyDescent="0.3">
      <c r="D16999" s="25"/>
      <c r="F16999" s="21"/>
      <c r="G16999" s="16"/>
    </row>
    <row r="17000" spans="4:7" ht="15" x14ac:dyDescent="0.3">
      <c r="D17000" s="25"/>
      <c r="F17000" s="21"/>
      <c r="G17000" s="16"/>
    </row>
    <row r="17001" spans="4:7" ht="15" x14ac:dyDescent="0.3">
      <c r="D17001" s="25"/>
      <c r="F17001" s="21"/>
      <c r="G17001" s="16"/>
    </row>
    <row r="17002" spans="4:7" ht="15" x14ac:dyDescent="0.3">
      <c r="D17002" s="25"/>
      <c r="F17002" s="21"/>
      <c r="G17002" s="16"/>
    </row>
    <row r="17003" spans="4:7" ht="15" x14ac:dyDescent="0.3">
      <c r="D17003" s="25"/>
      <c r="F17003" s="21"/>
      <c r="G17003" s="16"/>
    </row>
    <row r="17004" spans="4:7" ht="15" x14ac:dyDescent="0.3">
      <c r="D17004" s="25"/>
      <c r="F17004" s="21"/>
      <c r="G17004" s="16"/>
    </row>
    <row r="17005" spans="4:7" ht="15" x14ac:dyDescent="0.3">
      <c r="D17005" s="25"/>
      <c r="F17005" s="21"/>
      <c r="G17005" s="16"/>
    </row>
    <row r="17006" spans="4:7" ht="15" x14ac:dyDescent="0.3">
      <c r="D17006" s="25"/>
      <c r="F17006" s="21"/>
      <c r="G17006" s="16"/>
    </row>
    <row r="17007" spans="4:7" ht="15" x14ac:dyDescent="0.3">
      <c r="D17007" s="25"/>
      <c r="F17007" s="21"/>
      <c r="G17007" s="16"/>
    </row>
    <row r="17008" spans="4:7" ht="15" x14ac:dyDescent="0.3">
      <c r="D17008" s="25"/>
      <c r="F17008" s="21"/>
      <c r="G17008" s="16"/>
    </row>
    <row r="17009" spans="4:7" ht="15" x14ac:dyDescent="0.3">
      <c r="D17009" s="25"/>
      <c r="F17009" s="21"/>
      <c r="G17009" s="16"/>
    </row>
    <row r="17010" spans="4:7" ht="15" x14ac:dyDescent="0.3">
      <c r="D17010" s="25"/>
      <c r="F17010" s="21"/>
      <c r="G17010" s="16"/>
    </row>
    <row r="17011" spans="4:7" ht="15" x14ac:dyDescent="0.3">
      <c r="D17011" s="25"/>
      <c r="F17011" s="21"/>
      <c r="G17011" s="16"/>
    </row>
    <row r="17012" spans="4:7" ht="15" x14ac:dyDescent="0.3">
      <c r="D17012" s="25"/>
      <c r="F17012" s="21"/>
      <c r="G17012" s="16"/>
    </row>
    <row r="17013" spans="4:7" ht="15" x14ac:dyDescent="0.3">
      <c r="D17013" s="25"/>
      <c r="F17013" s="21"/>
      <c r="G17013" s="16"/>
    </row>
    <row r="17014" spans="4:7" ht="15" x14ac:dyDescent="0.3">
      <c r="D17014" s="25"/>
      <c r="F17014" s="21"/>
      <c r="G17014" s="16"/>
    </row>
    <row r="17015" spans="4:7" ht="15" x14ac:dyDescent="0.3">
      <c r="D17015" s="25"/>
      <c r="F17015" s="21"/>
      <c r="G17015" s="16"/>
    </row>
    <row r="17016" spans="4:7" ht="15" x14ac:dyDescent="0.3">
      <c r="D17016" s="25"/>
      <c r="F17016" s="21"/>
      <c r="G17016" s="16"/>
    </row>
    <row r="17017" spans="4:7" ht="15" x14ac:dyDescent="0.3">
      <c r="D17017" s="25"/>
      <c r="F17017" s="21"/>
      <c r="G17017" s="16"/>
    </row>
    <row r="17018" spans="4:7" ht="15" x14ac:dyDescent="0.3">
      <c r="D17018" s="25"/>
      <c r="F17018" s="21"/>
      <c r="G17018" s="16"/>
    </row>
    <row r="17019" spans="4:7" ht="15" x14ac:dyDescent="0.3">
      <c r="D17019" s="25"/>
      <c r="F17019" s="21"/>
      <c r="G17019" s="16"/>
    </row>
    <row r="17020" spans="4:7" ht="15" x14ac:dyDescent="0.3">
      <c r="D17020" s="25"/>
      <c r="F17020" s="21"/>
      <c r="G17020" s="16"/>
    </row>
    <row r="17021" spans="4:7" ht="15" x14ac:dyDescent="0.3">
      <c r="D17021" s="25"/>
      <c r="F17021" s="21"/>
      <c r="G17021" s="16"/>
    </row>
    <row r="17022" spans="4:7" ht="15" x14ac:dyDescent="0.3">
      <c r="D17022" s="25"/>
      <c r="F17022" s="21"/>
      <c r="G17022" s="16"/>
    </row>
    <row r="17023" spans="4:7" ht="15" x14ac:dyDescent="0.3">
      <c r="D17023" s="25"/>
      <c r="F17023" s="21"/>
      <c r="G17023" s="16"/>
    </row>
    <row r="17024" spans="4:7" ht="15" x14ac:dyDescent="0.3">
      <c r="D17024" s="25"/>
      <c r="F17024" s="21"/>
      <c r="G17024" s="16"/>
    </row>
    <row r="17025" spans="4:7" ht="15" x14ac:dyDescent="0.3">
      <c r="D17025" s="25"/>
      <c r="F17025" s="21"/>
      <c r="G17025" s="16"/>
    </row>
    <row r="17026" spans="4:7" ht="15" x14ac:dyDescent="0.3">
      <c r="D17026" s="25"/>
      <c r="F17026" s="21"/>
      <c r="G17026" s="16"/>
    </row>
    <row r="17027" spans="4:7" ht="15" x14ac:dyDescent="0.3">
      <c r="D17027" s="25"/>
      <c r="F17027" s="21"/>
      <c r="G17027" s="16"/>
    </row>
    <row r="17028" spans="4:7" ht="15" x14ac:dyDescent="0.3">
      <c r="D17028" s="25"/>
      <c r="F17028" s="21"/>
      <c r="G17028" s="16"/>
    </row>
    <row r="17029" spans="4:7" ht="15" x14ac:dyDescent="0.3">
      <c r="D17029" s="25"/>
      <c r="F17029" s="21"/>
      <c r="G17029" s="16"/>
    </row>
    <row r="17030" spans="4:7" ht="15" x14ac:dyDescent="0.3">
      <c r="D17030" s="25"/>
      <c r="F17030" s="21"/>
      <c r="G17030" s="16"/>
    </row>
    <row r="17031" spans="4:7" ht="15" x14ac:dyDescent="0.3">
      <c r="D17031" s="25"/>
      <c r="F17031" s="21"/>
      <c r="G17031" s="16"/>
    </row>
    <row r="17032" spans="4:7" ht="15" x14ac:dyDescent="0.3">
      <c r="D17032" s="25"/>
      <c r="F17032" s="21"/>
      <c r="G17032" s="16"/>
    </row>
    <row r="17033" spans="4:7" ht="15" x14ac:dyDescent="0.3">
      <c r="D17033" s="25"/>
      <c r="F17033" s="21"/>
      <c r="G17033" s="16"/>
    </row>
    <row r="17034" spans="4:7" ht="15" x14ac:dyDescent="0.3">
      <c r="D17034" s="25"/>
      <c r="F17034" s="21"/>
      <c r="G17034" s="16"/>
    </row>
    <row r="17035" spans="4:7" ht="15" x14ac:dyDescent="0.3">
      <c r="D17035" s="25"/>
      <c r="F17035" s="21"/>
      <c r="G17035" s="16"/>
    </row>
    <row r="17036" spans="4:7" ht="15" x14ac:dyDescent="0.3">
      <c r="D17036" s="25"/>
      <c r="F17036" s="21"/>
      <c r="G17036" s="16"/>
    </row>
    <row r="17037" spans="4:7" ht="15" x14ac:dyDescent="0.3">
      <c r="D17037" s="25"/>
      <c r="F17037" s="21"/>
      <c r="G17037" s="16"/>
    </row>
    <row r="17038" spans="4:7" ht="15" x14ac:dyDescent="0.3">
      <c r="D17038" s="25"/>
      <c r="F17038" s="21"/>
      <c r="G17038" s="16"/>
    </row>
    <row r="17039" spans="4:7" ht="15" x14ac:dyDescent="0.3">
      <c r="D17039" s="25"/>
      <c r="F17039" s="21"/>
      <c r="G17039" s="16"/>
    </row>
    <row r="17040" spans="4:7" ht="15" x14ac:dyDescent="0.3">
      <c r="D17040" s="25"/>
      <c r="F17040" s="21"/>
      <c r="G17040" s="16"/>
    </row>
    <row r="17041" spans="4:7" ht="15" x14ac:dyDescent="0.3">
      <c r="D17041" s="25"/>
      <c r="F17041" s="21"/>
      <c r="G17041" s="16"/>
    </row>
    <row r="17042" spans="4:7" ht="15" x14ac:dyDescent="0.3">
      <c r="D17042" s="25"/>
      <c r="F17042" s="21"/>
      <c r="G17042" s="16"/>
    </row>
    <row r="17043" spans="4:7" ht="15" x14ac:dyDescent="0.3">
      <c r="D17043" s="25"/>
      <c r="F17043" s="21"/>
      <c r="G17043" s="16"/>
    </row>
    <row r="17044" spans="4:7" ht="15" x14ac:dyDescent="0.3">
      <c r="D17044" s="25"/>
      <c r="F17044" s="21"/>
      <c r="G17044" s="16"/>
    </row>
    <row r="17045" spans="4:7" ht="15" x14ac:dyDescent="0.3">
      <c r="D17045" s="25"/>
      <c r="F17045" s="21"/>
      <c r="G17045" s="16"/>
    </row>
    <row r="17046" spans="4:7" ht="15" x14ac:dyDescent="0.3">
      <c r="D17046" s="25"/>
      <c r="F17046" s="21"/>
      <c r="G17046" s="16"/>
    </row>
    <row r="17047" spans="4:7" ht="15" x14ac:dyDescent="0.3">
      <c r="D17047" s="25"/>
      <c r="F17047" s="21"/>
      <c r="G17047" s="16"/>
    </row>
    <row r="17048" spans="4:7" ht="15" x14ac:dyDescent="0.3">
      <c r="D17048" s="25"/>
      <c r="F17048" s="21"/>
      <c r="G17048" s="16"/>
    </row>
    <row r="17049" spans="4:7" ht="15" x14ac:dyDescent="0.3">
      <c r="D17049" s="25"/>
      <c r="F17049" s="21"/>
      <c r="G17049" s="16"/>
    </row>
    <row r="17050" spans="4:7" ht="15" x14ac:dyDescent="0.3">
      <c r="D17050" s="25"/>
      <c r="F17050" s="21"/>
      <c r="G17050" s="16"/>
    </row>
    <row r="17051" spans="4:7" ht="15" x14ac:dyDescent="0.3">
      <c r="D17051" s="25"/>
      <c r="F17051" s="21"/>
      <c r="G17051" s="16"/>
    </row>
    <row r="17052" spans="4:7" ht="15" x14ac:dyDescent="0.3">
      <c r="D17052" s="25"/>
      <c r="F17052" s="21"/>
      <c r="G17052" s="16"/>
    </row>
    <row r="17053" spans="4:7" ht="15" x14ac:dyDescent="0.3">
      <c r="D17053" s="25"/>
      <c r="F17053" s="21"/>
      <c r="G17053" s="16"/>
    </row>
    <row r="17054" spans="4:7" ht="15" x14ac:dyDescent="0.3">
      <c r="D17054" s="25"/>
      <c r="F17054" s="21"/>
      <c r="G17054" s="16"/>
    </row>
    <row r="17055" spans="4:7" ht="15" x14ac:dyDescent="0.3">
      <c r="D17055" s="25"/>
      <c r="F17055" s="21"/>
      <c r="G17055" s="16"/>
    </row>
    <row r="17056" spans="4:7" ht="15" x14ac:dyDescent="0.3">
      <c r="D17056" s="25"/>
      <c r="F17056" s="21"/>
      <c r="G17056" s="16"/>
    </row>
    <row r="17057" spans="4:7" ht="15" x14ac:dyDescent="0.3">
      <c r="D17057" s="25"/>
      <c r="F17057" s="21"/>
      <c r="G17057" s="16"/>
    </row>
    <row r="17058" spans="4:7" ht="15" x14ac:dyDescent="0.3">
      <c r="D17058" s="25"/>
      <c r="F17058" s="21"/>
      <c r="G17058" s="16"/>
    </row>
    <row r="17059" spans="4:7" ht="15" x14ac:dyDescent="0.3">
      <c r="D17059" s="25"/>
      <c r="F17059" s="21"/>
      <c r="G17059" s="16"/>
    </row>
    <row r="17060" spans="4:7" ht="15" x14ac:dyDescent="0.3">
      <c r="D17060" s="25"/>
      <c r="F17060" s="21"/>
      <c r="G17060" s="16"/>
    </row>
    <row r="17061" spans="4:7" ht="15" x14ac:dyDescent="0.3">
      <c r="D17061" s="25"/>
      <c r="F17061" s="21"/>
      <c r="G17061" s="16"/>
    </row>
    <row r="17062" spans="4:7" ht="15" x14ac:dyDescent="0.3">
      <c r="D17062" s="25"/>
      <c r="F17062" s="21"/>
      <c r="G17062" s="16"/>
    </row>
    <row r="17063" spans="4:7" ht="15" x14ac:dyDescent="0.3">
      <c r="D17063" s="25"/>
      <c r="F17063" s="21"/>
      <c r="G17063" s="16"/>
    </row>
    <row r="17064" spans="4:7" ht="15" x14ac:dyDescent="0.3">
      <c r="D17064" s="25"/>
      <c r="F17064" s="21"/>
      <c r="G17064" s="16"/>
    </row>
    <row r="17065" spans="4:7" ht="15" x14ac:dyDescent="0.3">
      <c r="D17065" s="25"/>
      <c r="F17065" s="21"/>
      <c r="G17065" s="16"/>
    </row>
    <row r="17066" spans="4:7" ht="15" x14ac:dyDescent="0.3">
      <c r="D17066" s="25"/>
      <c r="F17066" s="21"/>
      <c r="G17066" s="16"/>
    </row>
    <row r="17067" spans="4:7" ht="15" x14ac:dyDescent="0.3">
      <c r="D17067" s="25"/>
      <c r="F17067" s="21"/>
      <c r="G17067" s="16"/>
    </row>
    <row r="17068" spans="4:7" ht="15" x14ac:dyDescent="0.3">
      <c r="D17068" s="25"/>
      <c r="F17068" s="21"/>
      <c r="G17068" s="16"/>
    </row>
    <row r="17069" spans="4:7" ht="15" x14ac:dyDescent="0.3">
      <c r="D17069" s="25"/>
      <c r="F17069" s="21"/>
      <c r="G17069" s="16"/>
    </row>
    <row r="17070" spans="4:7" ht="15" x14ac:dyDescent="0.3">
      <c r="D17070" s="25"/>
      <c r="F17070" s="21"/>
      <c r="G17070" s="16"/>
    </row>
    <row r="17071" spans="4:7" ht="15" x14ac:dyDescent="0.3">
      <c r="D17071" s="25"/>
      <c r="F17071" s="21"/>
      <c r="G17071" s="16"/>
    </row>
    <row r="17072" spans="4:7" ht="15" x14ac:dyDescent="0.3">
      <c r="D17072" s="25"/>
      <c r="F17072" s="21"/>
      <c r="G17072" s="16"/>
    </row>
    <row r="17073" spans="4:7" ht="15" x14ac:dyDescent="0.3">
      <c r="D17073" s="25"/>
      <c r="F17073" s="21"/>
      <c r="G17073" s="16"/>
    </row>
    <row r="17074" spans="4:7" ht="15" x14ac:dyDescent="0.3">
      <c r="D17074" s="25"/>
      <c r="F17074" s="21"/>
      <c r="G17074" s="16"/>
    </row>
    <row r="17075" spans="4:7" ht="15" x14ac:dyDescent="0.3">
      <c r="D17075" s="25"/>
      <c r="F17075" s="21"/>
      <c r="G17075" s="16"/>
    </row>
    <row r="17076" spans="4:7" ht="15" x14ac:dyDescent="0.3">
      <c r="D17076" s="25"/>
      <c r="F17076" s="21"/>
      <c r="G17076" s="16"/>
    </row>
    <row r="17077" spans="4:7" ht="15" x14ac:dyDescent="0.3">
      <c r="D17077" s="25"/>
      <c r="F17077" s="21"/>
      <c r="G17077" s="16"/>
    </row>
    <row r="17078" spans="4:7" ht="15" x14ac:dyDescent="0.3">
      <c r="D17078" s="25"/>
      <c r="F17078" s="21"/>
      <c r="G17078" s="16"/>
    </row>
    <row r="17079" spans="4:7" ht="15" x14ac:dyDescent="0.3">
      <c r="D17079" s="25"/>
      <c r="F17079" s="21"/>
      <c r="G17079" s="16"/>
    </row>
    <row r="17080" spans="4:7" ht="15" x14ac:dyDescent="0.3">
      <c r="D17080" s="25"/>
      <c r="F17080" s="21"/>
      <c r="G17080" s="16"/>
    </row>
    <row r="17081" spans="4:7" ht="15" x14ac:dyDescent="0.3">
      <c r="D17081" s="25"/>
      <c r="F17081" s="21"/>
      <c r="G17081" s="16"/>
    </row>
    <row r="17082" spans="4:7" ht="15" x14ac:dyDescent="0.3">
      <c r="D17082" s="25"/>
      <c r="F17082" s="21"/>
      <c r="G17082" s="16"/>
    </row>
    <row r="17083" spans="4:7" ht="15" x14ac:dyDescent="0.3">
      <c r="D17083" s="25"/>
      <c r="F17083" s="21"/>
      <c r="G17083" s="16"/>
    </row>
    <row r="17084" spans="4:7" ht="15" x14ac:dyDescent="0.3">
      <c r="D17084" s="25"/>
      <c r="F17084" s="21"/>
      <c r="G17084" s="16"/>
    </row>
    <row r="17085" spans="4:7" ht="15" x14ac:dyDescent="0.3">
      <c r="D17085" s="25"/>
      <c r="F17085" s="21"/>
      <c r="G17085" s="16"/>
    </row>
    <row r="17086" spans="4:7" ht="15" x14ac:dyDescent="0.3">
      <c r="D17086" s="25"/>
      <c r="F17086" s="21"/>
      <c r="G17086" s="16"/>
    </row>
    <row r="17087" spans="4:7" ht="15" x14ac:dyDescent="0.3">
      <c r="D17087" s="25"/>
      <c r="F17087" s="21"/>
      <c r="G17087" s="16"/>
    </row>
    <row r="17088" spans="4:7" ht="15" x14ac:dyDescent="0.3">
      <c r="D17088" s="25"/>
      <c r="F17088" s="21"/>
      <c r="G17088" s="16"/>
    </row>
    <row r="17089" spans="4:7" ht="15" x14ac:dyDescent="0.3">
      <c r="D17089" s="25"/>
      <c r="F17089" s="21"/>
      <c r="G17089" s="16"/>
    </row>
    <row r="17090" spans="4:7" ht="15" x14ac:dyDescent="0.3">
      <c r="D17090" s="25"/>
      <c r="F17090" s="21"/>
      <c r="G17090" s="16"/>
    </row>
    <row r="17091" spans="4:7" ht="15" x14ac:dyDescent="0.3">
      <c r="D17091" s="25"/>
      <c r="F17091" s="21"/>
      <c r="G17091" s="16"/>
    </row>
    <row r="17092" spans="4:7" ht="15" x14ac:dyDescent="0.3">
      <c r="D17092" s="25"/>
      <c r="F17092" s="21"/>
      <c r="G17092" s="16"/>
    </row>
    <row r="17093" spans="4:7" ht="15" x14ac:dyDescent="0.3">
      <c r="D17093" s="25"/>
      <c r="F17093" s="21"/>
      <c r="G17093" s="16"/>
    </row>
    <row r="17094" spans="4:7" ht="15" x14ac:dyDescent="0.3">
      <c r="D17094" s="25"/>
      <c r="F17094" s="21"/>
      <c r="G17094" s="16"/>
    </row>
    <row r="17095" spans="4:7" ht="15" x14ac:dyDescent="0.3">
      <c r="D17095" s="25"/>
      <c r="F17095" s="21"/>
      <c r="G17095" s="16"/>
    </row>
    <row r="17096" spans="4:7" ht="15" x14ac:dyDescent="0.3">
      <c r="D17096" s="25"/>
      <c r="F17096" s="21"/>
      <c r="G17096" s="16"/>
    </row>
    <row r="17097" spans="4:7" ht="15" x14ac:dyDescent="0.3">
      <c r="D17097" s="25"/>
      <c r="F17097" s="21"/>
      <c r="G17097" s="16"/>
    </row>
    <row r="17098" spans="4:7" ht="15" x14ac:dyDescent="0.3">
      <c r="D17098" s="25"/>
      <c r="F17098" s="21"/>
      <c r="G17098" s="16"/>
    </row>
    <row r="17099" spans="4:7" ht="15" x14ac:dyDescent="0.3">
      <c r="D17099" s="25"/>
      <c r="F17099" s="21"/>
      <c r="G17099" s="16"/>
    </row>
    <row r="17100" spans="4:7" ht="15" x14ac:dyDescent="0.3">
      <c r="D17100" s="25"/>
      <c r="F17100" s="21"/>
      <c r="G17100" s="16"/>
    </row>
    <row r="17101" spans="4:7" ht="15" x14ac:dyDescent="0.3">
      <c r="D17101" s="25"/>
      <c r="F17101" s="21"/>
      <c r="G17101" s="16"/>
    </row>
    <row r="17102" spans="4:7" ht="15" x14ac:dyDescent="0.3">
      <c r="D17102" s="25"/>
      <c r="F17102" s="21"/>
      <c r="G17102" s="16"/>
    </row>
    <row r="17103" spans="4:7" ht="15" x14ac:dyDescent="0.3">
      <c r="D17103" s="25"/>
      <c r="F17103" s="21"/>
      <c r="G17103" s="16"/>
    </row>
    <row r="17104" spans="4:7" ht="15" x14ac:dyDescent="0.3">
      <c r="D17104" s="25"/>
      <c r="F17104" s="21"/>
      <c r="G17104" s="16"/>
    </row>
    <row r="17105" spans="4:7" ht="15" x14ac:dyDescent="0.3">
      <c r="D17105" s="25"/>
      <c r="F17105" s="21"/>
      <c r="G17105" s="16"/>
    </row>
    <row r="17106" spans="4:7" ht="15" x14ac:dyDescent="0.3">
      <c r="D17106" s="25"/>
      <c r="F17106" s="21"/>
      <c r="G17106" s="16"/>
    </row>
    <row r="17107" spans="4:7" ht="15" x14ac:dyDescent="0.3">
      <c r="D17107" s="25"/>
      <c r="F17107" s="21"/>
      <c r="G17107" s="16"/>
    </row>
    <row r="17108" spans="4:7" ht="15" x14ac:dyDescent="0.3">
      <c r="D17108" s="25"/>
      <c r="F17108" s="21"/>
      <c r="G17108" s="16"/>
    </row>
    <row r="17109" spans="4:7" ht="15" x14ac:dyDescent="0.3">
      <c r="D17109" s="25"/>
      <c r="F17109" s="21"/>
      <c r="G17109" s="16"/>
    </row>
    <row r="17110" spans="4:7" ht="15" x14ac:dyDescent="0.3">
      <c r="D17110" s="25"/>
      <c r="F17110" s="21"/>
      <c r="G17110" s="16"/>
    </row>
    <row r="17111" spans="4:7" ht="15" x14ac:dyDescent="0.3">
      <c r="D17111" s="25"/>
      <c r="F17111" s="21"/>
      <c r="G17111" s="16"/>
    </row>
    <row r="17112" spans="4:7" ht="15" x14ac:dyDescent="0.3">
      <c r="D17112" s="25"/>
      <c r="F17112" s="21"/>
      <c r="G17112" s="16"/>
    </row>
    <row r="17113" spans="4:7" ht="15" x14ac:dyDescent="0.3">
      <c r="D17113" s="25"/>
      <c r="F17113" s="21"/>
      <c r="G17113" s="16"/>
    </row>
    <row r="17114" spans="4:7" ht="15" x14ac:dyDescent="0.3">
      <c r="D17114" s="25"/>
      <c r="F17114" s="21"/>
      <c r="G17114" s="16"/>
    </row>
    <row r="17115" spans="4:7" ht="15" x14ac:dyDescent="0.3">
      <c r="D17115" s="25"/>
      <c r="F17115" s="21"/>
      <c r="G17115" s="16"/>
    </row>
    <row r="17116" spans="4:7" ht="15" x14ac:dyDescent="0.3">
      <c r="D17116" s="25"/>
      <c r="F17116" s="21"/>
      <c r="G17116" s="16"/>
    </row>
    <row r="17117" spans="4:7" ht="15" x14ac:dyDescent="0.3">
      <c r="D17117" s="25"/>
      <c r="F17117" s="21"/>
      <c r="G17117" s="16"/>
    </row>
    <row r="17118" spans="4:7" ht="15" x14ac:dyDescent="0.3">
      <c r="D17118" s="25"/>
      <c r="F17118" s="21"/>
      <c r="G17118" s="16"/>
    </row>
    <row r="17119" spans="4:7" ht="15" x14ac:dyDescent="0.3">
      <c r="D17119" s="25"/>
      <c r="F17119" s="21"/>
      <c r="G17119" s="16"/>
    </row>
    <row r="17120" spans="4:7" ht="15" x14ac:dyDescent="0.3">
      <c r="D17120" s="25"/>
      <c r="F17120" s="21"/>
      <c r="G17120" s="16"/>
    </row>
    <row r="17121" spans="4:7" ht="15" x14ac:dyDescent="0.3">
      <c r="D17121" s="25"/>
      <c r="F17121" s="21"/>
      <c r="G17121" s="16"/>
    </row>
    <row r="17122" spans="4:7" ht="15" x14ac:dyDescent="0.3">
      <c r="D17122" s="25"/>
      <c r="F17122" s="21"/>
      <c r="G17122" s="16"/>
    </row>
    <row r="17123" spans="4:7" ht="15" x14ac:dyDescent="0.3">
      <c r="D17123" s="25"/>
      <c r="F17123" s="21"/>
      <c r="G17123" s="16"/>
    </row>
    <row r="17124" spans="4:7" ht="15" x14ac:dyDescent="0.3">
      <c r="D17124" s="25"/>
      <c r="F17124" s="21"/>
      <c r="G17124" s="16"/>
    </row>
    <row r="17125" spans="4:7" ht="15" x14ac:dyDescent="0.3">
      <c r="D17125" s="25"/>
      <c r="F17125" s="21"/>
      <c r="G17125" s="16"/>
    </row>
    <row r="17126" spans="4:7" ht="15" x14ac:dyDescent="0.3">
      <c r="D17126" s="25"/>
      <c r="F17126" s="21"/>
      <c r="G17126" s="16"/>
    </row>
    <row r="17127" spans="4:7" ht="15" x14ac:dyDescent="0.3">
      <c r="D17127" s="25"/>
      <c r="F17127" s="21"/>
      <c r="G17127" s="16"/>
    </row>
    <row r="17128" spans="4:7" ht="15" x14ac:dyDescent="0.3">
      <c r="D17128" s="25"/>
      <c r="F17128" s="21"/>
      <c r="G17128" s="16"/>
    </row>
    <row r="17129" spans="4:7" ht="15" x14ac:dyDescent="0.3">
      <c r="D17129" s="25"/>
      <c r="F17129" s="21"/>
      <c r="G17129" s="16"/>
    </row>
    <row r="17130" spans="4:7" ht="15" x14ac:dyDescent="0.3">
      <c r="D17130" s="25"/>
      <c r="F17130" s="21"/>
      <c r="G17130" s="16"/>
    </row>
    <row r="17131" spans="4:7" ht="15" x14ac:dyDescent="0.3">
      <c r="D17131" s="25"/>
      <c r="F17131" s="21"/>
      <c r="G17131" s="16"/>
    </row>
    <row r="17132" spans="4:7" ht="15" x14ac:dyDescent="0.3">
      <c r="D17132" s="25"/>
      <c r="F17132" s="21"/>
      <c r="G17132" s="16"/>
    </row>
    <row r="17133" spans="4:7" ht="15" x14ac:dyDescent="0.3">
      <c r="D17133" s="25"/>
      <c r="F17133" s="21"/>
      <c r="G17133" s="16"/>
    </row>
    <row r="17134" spans="4:7" ht="15" x14ac:dyDescent="0.3">
      <c r="D17134" s="25"/>
      <c r="F17134" s="21"/>
      <c r="G17134" s="16"/>
    </row>
    <row r="17135" spans="4:7" ht="15" x14ac:dyDescent="0.3">
      <c r="D17135" s="25"/>
      <c r="F17135" s="21"/>
      <c r="G17135" s="16"/>
    </row>
    <row r="17136" spans="4:7" ht="15" x14ac:dyDescent="0.3">
      <c r="D17136" s="25"/>
      <c r="F17136" s="21"/>
      <c r="G17136" s="16"/>
    </row>
    <row r="17137" spans="4:7" ht="15" x14ac:dyDescent="0.3">
      <c r="D17137" s="25"/>
      <c r="F17137" s="21"/>
      <c r="G17137" s="16"/>
    </row>
    <row r="17138" spans="4:7" ht="15" x14ac:dyDescent="0.3">
      <c r="D17138" s="25"/>
      <c r="F17138" s="21"/>
      <c r="G17138" s="16"/>
    </row>
    <row r="17139" spans="4:7" ht="15" x14ac:dyDescent="0.3">
      <c r="D17139" s="25"/>
      <c r="F17139" s="21"/>
      <c r="G17139" s="16"/>
    </row>
    <row r="17140" spans="4:7" ht="15" x14ac:dyDescent="0.3">
      <c r="D17140" s="25"/>
      <c r="F17140" s="21"/>
      <c r="G17140" s="16"/>
    </row>
    <row r="17141" spans="4:7" ht="15" x14ac:dyDescent="0.3">
      <c r="D17141" s="25"/>
      <c r="F17141" s="21"/>
      <c r="G17141" s="16"/>
    </row>
    <row r="17142" spans="4:7" ht="15" x14ac:dyDescent="0.3">
      <c r="D17142" s="25"/>
      <c r="F17142" s="21"/>
      <c r="G17142" s="16"/>
    </row>
    <row r="17143" spans="4:7" ht="15" x14ac:dyDescent="0.3">
      <c r="D17143" s="25"/>
      <c r="F17143" s="21"/>
      <c r="G17143" s="16"/>
    </row>
    <row r="17144" spans="4:7" ht="15" x14ac:dyDescent="0.3">
      <c r="D17144" s="25"/>
      <c r="F17144" s="21"/>
      <c r="G17144" s="16"/>
    </row>
    <row r="17145" spans="4:7" ht="15" x14ac:dyDescent="0.3">
      <c r="D17145" s="25"/>
      <c r="F17145" s="21"/>
      <c r="G17145" s="16"/>
    </row>
    <row r="17146" spans="4:7" ht="15" x14ac:dyDescent="0.3">
      <c r="D17146" s="25"/>
      <c r="F17146" s="21"/>
      <c r="G17146" s="16"/>
    </row>
    <row r="17147" spans="4:7" ht="15" x14ac:dyDescent="0.3">
      <c r="D17147" s="25"/>
      <c r="F17147" s="21"/>
      <c r="G17147" s="16"/>
    </row>
    <row r="17148" spans="4:7" ht="15" x14ac:dyDescent="0.3">
      <c r="D17148" s="25"/>
      <c r="F17148" s="21"/>
      <c r="G17148" s="16"/>
    </row>
    <row r="17149" spans="4:7" ht="15" x14ac:dyDescent="0.3">
      <c r="D17149" s="25"/>
      <c r="F17149" s="21"/>
      <c r="G17149" s="16"/>
    </row>
    <row r="17150" spans="4:7" ht="15" x14ac:dyDescent="0.3">
      <c r="D17150" s="25"/>
      <c r="F17150" s="21"/>
      <c r="G17150" s="16"/>
    </row>
    <row r="17151" spans="4:7" ht="15" x14ac:dyDescent="0.3">
      <c r="D17151" s="25"/>
      <c r="F17151" s="21"/>
      <c r="G17151" s="16"/>
    </row>
    <row r="17152" spans="4:7" ht="15" x14ac:dyDescent="0.3">
      <c r="D17152" s="25"/>
      <c r="F17152" s="21"/>
      <c r="G17152" s="16"/>
    </row>
    <row r="17153" spans="4:7" ht="15" x14ac:dyDescent="0.3">
      <c r="D17153" s="25"/>
      <c r="F17153" s="21"/>
      <c r="G17153" s="16"/>
    </row>
    <row r="17154" spans="4:7" ht="15" x14ac:dyDescent="0.3">
      <c r="D17154" s="25"/>
      <c r="F17154" s="21"/>
      <c r="G17154" s="16"/>
    </row>
    <row r="17155" spans="4:7" ht="15" x14ac:dyDescent="0.3">
      <c r="D17155" s="25"/>
      <c r="F17155" s="21"/>
      <c r="G17155" s="16"/>
    </row>
    <row r="17156" spans="4:7" ht="15" x14ac:dyDescent="0.3">
      <c r="D17156" s="25"/>
      <c r="F17156" s="21"/>
      <c r="G17156" s="16"/>
    </row>
    <row r="17157" spans="4:7" ht="15" x14ac:dyDescent="0.3">
      <c r="D17157" s="25"/>
      <c r="F17157" s="21"/>
      <c r="G17157" s="16"/>
    </row>
    <row r="17158" spans="4:7" ht="15" x14ac:dyDescent="0.3">
      <c r="D17158" s="25"/>
      <c r="F17158" s="21"/>
      <c r="G17158" s="16"/>
    </row>
    <row r="17159" spans="4:7" ht="15" x14ac:dyDescent="0.3">
      <c r="D17159" s="25"/>
      <c r="F17159" s="21"/>
      <c r="G17159" s="16"/>
    </row>
    <row r="17160" spans="4:7" ht="15" x14ac:dyDescent="0.3">
      <c r="D17160" s="25"/>
      <c r="F17160" s="21"/>
      <c r="G17160" s="16"/>
    </row>
    <row r="17161" spans="4:7" ht="15" x14ac:dyDescent="0.3">
      <c r="D17161" s="25"/>
      <c r="F17161" s="21"/>
      <c r="G17161" s="16"/>
    </row>
    <row r="17162" spans="4:7" ht="15" x14ac:dyDescent="0.3">
      <c r="D17162" s="25"/>
      <c r="F17162" s="21"/>
      <c r="G17162" s="16"/>
    </row>
    <row r="17163" spans="4:7" ht="15" x14ac:dyDescent="0.3">
      <c r="D17163" s="25"/>
      <c r="F17163" s="21"/>
      <c r="G17163" s="16"/>
    </row>
    <row r="17164" spans="4:7" ht="15" x14ac:dyDescent="0.3">
      <c r="D17164" s="25"/>
      <c r="F17164" s="21"/>
      <c r="G17164" s="16"/>
    </row>
    <row r="17165" spans="4:7" ht="15" x14ac:dyDescent="0.3">
      <c r="D17165" s="25"/>
      <c r="F17165" s="21"/>
      <c r="G17165" s="16"/>
    </row>
    <row r="17166" spans="4:7" ht="15" x14ac:dyDescent="0.3">
      <c r="D17166" s="25"/>
      <c r="F17166" s="21"/>
      <c r="G17166" s="16"/>
    </row>
    <row r="17167" spans="4:7" ht="15" x14ac:dyDescent="0.3">
      <c r="D17167" s="25"/>
      <c r="F17167" s="21"/>
      <c r="G17167" s="16"/>
    </row>
    <row r="17168" spans="4:7" ht="15" x14ac:dyDescent="0.3">
      <c r="D17168" s="25"/>
      <c r="F17168" s="21"/>
      <c r="G17168" s="16"/>
    </row>
    <row r="17169" spans="4:7" ht="15" x14ac:dyDescent="0.3">
      <c r="D17169" s="25"/>
      <c r="F17169" s="21"/>
      <c r="G17169" s="16"/>
    </row>
    <row r="17170" spans="4:7" ht="15" x14ac:dyDescent="0.3">
      <c r="D17170" s="25"/>
      <c r="F17170" s="21"/>
      <c r="G17170" s="16"/>
    </row>
    <row r="17171" spans="4:7" ht="15" x14ac:dyDescent="0.3">
      <c r="D17171" s="25"/>
      <c r="F17171" s="21"/>
      <c r="G17171" s="16"/>
    </row>
    <row r="17172" spans="4:7" ht="15" x14ac:dyDescent="0.3">
      <c r="D17172" s="25"/>
      <c r="F17172" s="21"/>
      <c r="G17172" s="16"/>
    </row>
    <row r="17173" spans="4:7" ht="15" x14ac:dyDescent="0.3">
      <c r="D17173" s="25"/>
      <c r="F17173" s="21"/>
      <c r="G17173" s="16"/>
    </row>
    <row r="17174" spans="4:7" ht="15" x14ac:dyDescent="0.3">
      <c r="D17174" s="25"/>
      <c r="F17174" s="21"/>
      <c r="G17174" s="16"/>
    </row>
    <row r="17175" spans="4:7" ht="15" x14ac:dyDescent="0.3">
      <c r="D17175" s="25"/>
      <c r="F17175" s="21"/>
      <c r="G17175" s="16"/>
    </row>
    <row r="17176" spans="4:7" ht="15" x14ac:dyDescent="0.3">
      <c r="D17176" s="25"/>
      <c r="F17176" s="21"/>
      <c r="G17176" s="16"/>
    </row>
    <row r="17177" spans="4:7" ht="15" x14ac:dyDescent="0.3">
      <c r="D17177" s="25"/>
      <c r="F17177" s="21"/>
      <c r="G17177" s="16"/>
    </row>
    <row r="17178" spans="4:7" ht="15" x14ac:dyDescent="0.3">
      <c r="D17178" s="25"/>
      <c r="F17178" s="21"/>
      <c r="G17178" s="16"/>
    </row>
    <row r="17179" spans="4:7" ht="15" x14ac:dyDescent="0.3">
      <c r="D17179" s="25"/>
      <c r="F17179" s="21"/>
      <c r="G17179" s="16"/>
    </row>
    <row r="17180" spans="4:7" ht="15" x14ac:dyDescent="0.3">
      <c r="D17180" s="25"/>
      <c r="F17180" s="21"/>
      <c r="G17180" s="16"/>
    </row>
    <row r="17181" spans="4:7" ht="15" x14ac:dyDescent="0.3">
      <c r="D17181" s="25"/>
      <c r="F17181" s="21"/>
      <c r="G17181" s="16"/>
    </row>
    <row r="17182" spans="4:7" ht="15" x14ac:dyDescent="0.3">
      <c r="D17182" s="25"/>
      <c r="F17182" s="21"/>
      <c r="G17182" s="16"/>
    </row>
    <row r="17183" spans="4:7" ht="15" x14ac:dyDescent="0.3">
      <c r="D17183" s="25"/>
      <c r="F17183" s="21"/>
      <c r="G17183" s="16"/>
    </row>
    <row r="17184" spans="4:7" ht="15" x14ac:dyDescent="0.3">
      <c r="D17184" s="25"/>
      <c r="F17184" s="21"/>
      <c r="G17184" s="16"/>
    </row>
    <row r="17185" spans="4:7" ht="15" x14ac:dyDescent="0.3">
      <c r="D17185" s="25"/>
      <c r="F17185" s="21"/>
      <c r="G17185" s="16"/>
    </row>
    <row r="17186" spans="4:7" ht="15" x14ac:dyDescent="0.3">
      <c r="D17186" s="25"/>
      <c r="F17186" s="21"/>
      <c r="G17186" s="16"/>
    </row>
    <row r="17187" spans="4:7" ht="15" x14ac:dyDescent="0.3">
      <c r="D17187" s="25"/>
      <c r="F17187" s="21"/>
      <c r="G17187" s="16"/>
    </row>
    <row r="17188" spans="4:7" ht="15" x14ac:dyDescent="0.3">
      <c r="D17188" s="25"/>
      <c r="F17188" s="21"/>
      <c r="G17188" s="16"/>
    </row>
    <row r="17189" spans="4:7" ht="15" x14ac:dyDescent="0.3">
      <c r="D17189" s="25"/>
      <c r="F17189" s="21"/>
      <c r="G17189" s="16"/>
    </row>
    <row r="17190" spans="4:7" ht="15" x14ac:dyDescent="0.3">
      <c r="D17190" s="25"/>
      <c r="F17190" s="21"/>
      <c r="G17190" s="16"/>
    </row>
    <row r="17191" spans="4:7" ht="15" x14ac:dyDescent="0.3">
      <c r="D17191" s="25"/>
      <c r="F17191" s="21"/>
      <c r="G17191" s="16"/>
    </row>
    <row r="17192" spans="4:7" ht="15" x14ac:dyDescent="0.3">
      <c r="D17192" s="25"/>
      <c r="F17192" s="21"/>
      <c r="G17192" s="16"/>
    </row>
    <row r="17193" spans="4:7" ht="15" x14ac:dyDescent="0.3">
      <c r="D17193" s="25"/>
      <c r="F17193" s="21"/>
      <c r="G17193" s="16"/>
    </row>
    <row r="17194" spans="4:7" ht="15" x14ac:dyDescent="0.3">
      <c r="D17194" s="25"/>
      <c r="F17194" s="21"/>
      <c r="G17194" s="16"/>
    </row>
    <row r="17195" spans="4:7" ht="15" x14ac:dyDescent="0.3">
      <c r="D17195" s="25"/>
      <c r="F17195" s="21"/>
      <c r="G17195" s="16"/>
    </row>
    <row r="17196" spans="4:7" ht="15" x14ac:dyDescent="0.3">
      <c r="D17196" s="25"/>
      <c r="F17196" s="21"/>
      <c r="G17196" s="16"/>
    </row>
    <row r="17197" spans="4:7" ht="15" x14ac:dyDescent="0.3">
      <c r="D17197" s="25"/>
      <c r="F17197" s="21"/>
      <c r="G17197" s="16"/>
    </row>
    <row r="17198" spans="4:7" ht="15" x14ac:dyDescent="0.3">
      <c r="D17198" s="25"/>
      <c r="F17198" s="21"/>
      <c r="G17198" s="16"/>
    </row>
    <row r="17199" spans="4:7" ht="15" x14ac:dyDescent="0.3">
      <c r="D17199" s="25"/>
      <c r="F17199" s="21"/>
      <c r="G17199" s="16"/>
    </row>
    <row r="17200" spans="4:7" ht="15" x14ac:dyDescent="0.3">
      <c r="D17200" s="25"/>
      <c r="F17200" s="21"/>
      <c r="G17200" s="16"/>
    </row>
    <row r="17201" spans="4:7" ht="15" x14ac:dyDescent="0.3">
      <c r="D17201" s="25"/>
      <c r="F17201" s="21"/>
      <c r="G17201" s="16"/>
    </row>
    <row r="17202" spans="4:7" ht="15" x14ac:dyDescent="0.3">
      <c r="D17202" s="25"/>
      <c r="F17202" s="21"/>
      <c r="G17202" s="16"/>
    </row>
    <row r="17203" spans="4:7" ht="15" x14ac:dyDescent="0.3">
      <c r="D17203" s="25"/>
      <c r="F17203" s="21"/>
      <c r="G17203" s="16"/>
    </row>
    <row r="17204" spans="4:7" ht="15" x14ac:dyDescent="0.3">
      <c r="D17204" s="25"/>
      <c r="F17204" s="21"/>
      <c r="G17204" s="16"/>
    </row>
    <row r="17205" spans="4:7" ht="15" x14ac:dyDescent="0.3">
      <c r="D17205" s="25"/>
      <c r="F17205" s="21"/>
      <c r="G17205" s="16"/>
    </row>
    <row r="17206" spans="4:7" ht="15" x14ac:dyDescent="0.3">
      <c r="D17206" s="25"/>
      <c r="F17206" s="21"/>
      <c r="G17206" s="16"/>
    </row>
    <row r="17207" spans="4:7" ht="15" x14ac:dyDescent="0.3">
      <c r="D17207" s="25"/>
      <c r="F17207" s="21"/>
      <c r="G17207" s="16"/>
    </row>
    <row r="17208" spans="4:7" ht="15" x14ac:dyDescent="0.3">
      <c r="D17208" s="25"/>
      <c r="F17208" s="21"/>
      <c r="G17208" s="16"/>
    </row>
    <row r="17209" spans="4:7" ht="15" x14ac:dyDescent="0.3">
      <c r="D17209" s="25"/>
      <c r="F17209" s="21"/>
      <c r="G17209" s="16"/>
    </row>
    <row r="17210" spans="4:7" ht="15" x14ac:dyDescent="0.3">
      <c r="D17210" s="25"/>
      <c r="F17210" s="21"/>
      <c r="G17210" s="16"/>
    </row>
    <row r="17211" spans="4:7" ht="15" x14ac:dyDescent="0.3">
      <c r="D17211" s="25"/>
      <c r="F17211" s="21"/>
      <c r="G17211" s="16"/>
    </row>
    <row r="17212" spans="4:7" ht="15" x14ac:dyDescent="0.3">
      <c r="D17212" s="25"/>
      <c r="F17212" s="21"/>
      <c r="G17212" s="16"/>
    </row>
    <row r="17213" spans="4:7" ht="15" x14ac:dyDescent="0.3">
      <c r="D17213" s="25"/>
      <c r="F17213" s="21"/>
      <c r="G17213" s="16"/>
    </row>
    <row r="17214" spans="4:7" ht="15" x14ac:dyDescent="0.3">
      <c r="D17214" s="25"/>
      <c r="F17214" s="21"/>
      <c r="G17214" s="16"/>
    </row>
    <row r="17215" spans="4:7" ht="15" x14ac:dyDescent="0.3">
      <c r="D17215" s="25"/>
      <c r="F17215" s="21"/>
      <c r="G17215" s="16"/>
    </row>
    <row r="17216" spans="4:7" ht="15" x14ac:dyDescent="0.3">
      <c r="D17216" s="25"/>
      <c r="F17216" s="21"/>
      <c r="G17216" s="16"/>
    </row>
    <row r="17217" spans="4:7" ht="15" x14ac:dyDescent="0.3">
      <c r="D17217" s="25"/>
      <c r="F17217" s="21"/>
      <c r="G17217" s="16"/>
    </row>
    <row r="17218" spans="4:7" ht="15" x14ac:dyDescent="0.3">
      <c r="D17218" s="25"/>
      <c r="F17218" s="21"/>
      <c r="G17218" s="16"/>
    </row>
    <row r="17219" spans="4:7" ht="15" x14ac:dyDescent="0.3">
      <c r="D17219" s="25"/>
      <c r="F17219" s="21"/>
      <c r="G17219" s="16"/>
    </row>
    <row r="17220" spans="4:7" ht="15" x14ac:dyDescent="0.3">
      <c r="D17220" s="25"/>
      <c r="F17220" s="21"/>
      <c r="G17220" s="16"/>
    </row>
    <row r="17221" spans="4:7" ht="15" x14ac:dyDescent="0.3">
      <c r="D17221" s="25"/>
      <c r="F17221" s="21"/>
      <c r="G17221" s="16"/>
    </row>
    <row r="17222" spans="4:7" ht="15" x14ac:dyDescent="0.3">
      <c r="D17222" s="25"/>
      <c r="F17222" s="21"/>
      <c r="G17222" s="16"/>
    </row>
    <row r="17223" spans="4:7" ht="15" x14ac:dyDescent="0.3">
      <c r="D17223" s="25"/>
      <c r="F17223" s="21"/>
      <c r="G17223" s="16"/>
    </row>
    <row r="17224" spans="4:7" ht="15" x14ac:dyDescent="0.3">
      <c r="D17224" s="25"/>
      <c r="F17224" s="21"/>
      <c r="G17224" s="16"/>
    </row>
    <row r="17225" spans="4:7" ht="15" x14ac:dyDescent="0.3">
      <c r="D17225" s="25"/>
      <c r="F17225" s="21"/>
      <c r="G17225" s="16"/>
    </row>
    <row r="17226" spans="4:7" ht="15" x14ac:dyDescent="0.3">
      <c r="D17226" s="25"/>
      <c r="F17226" s="21"/>
      <c r="G17226" s="16"/>
    </row>
    <row r="17227" spans="4:7" ht="15" x14ac:dyDescent="0.3">
      <c r="D17227" s="25"/>
      <c r="F17227" s="21"/>
      <c r="G17227" s="16"/>
    </row>
    <row r="17228" spans="4:7" ht="15" x14ac:dyDescent="0.3">
      <c r="D17228" s="25"/>
      <c r="F17228" s="21"/>
      <c r="G17228" s="16"/>
    </row>
    <row r="17229" spans="4:7" ht="15" x14ac:dyDescent="0.3">
      <c r="D17229" s="25"/>
      <c r="F17229" s="21"/>
      <c r="G17229" s="16"/>
    </row>
    <row r="17230" spans="4:7" ht="15" x14ac:dyDescent="0.3">
      <c r="D17230" s="25"/>
      <c r="F17230" s="21"/>
      <c r="G17230" s="16"/>
    </row>
    <row r="17231" spans="4:7" ht="15" x14ac:dyDescent="0.3">
      <c r="D17231" s="25"/>
      <c r="F17231" s="21"/>
      <c r="G17231" s="16"/>
    </row>
    <row r="17232" spans="4:7" ht="15" x14ac:dyDescent="0.3">
      <c r="D17232" s="25"/>
      <c r="F17232" s="21"/>
      <c r="G17232" s="16"/>
    </row>
    <row r="17233" spans="4:7" ht="15" x14ac:dyDescent="0.3">
      <c r="D17233" s="25"/>
      <c r="F17233" s="21"/>
      <c r="G17233" s="16"/>
    </row>
    <row r="17234" spans="4:7" ht="15" x14ac:dyDescent="0.3">
      <c r="D17234" s="25"/>
      <c r="F17234" s="21"/>
      <c r="G17234" s="16"/>
    </row>
    <row r="17235" spans="4:7" ht="15" x14ac:dyDescent="0.3">
      <c r="D17235" s="25"/>
      <c r="F17235" s="21"/>
      <c r="G17235" s="16"/>
    </row>
    <row r="17236" spans="4:7" ht="15" x14ac:dyDescent="0.3">
      <c r="D17236" s="25"/>
      <c r="F17236" s="21"/>
      <c r="G17236" s="16"/>
    </row>
    <row r="17237" spans="4:7" ht="15" x14ac:dyDescent="0.3">
      <c r="D17237" s="25"/>
      <c r="F17237" s="21"/>
      <c r="G17237" s="16"/>
    </row>
    <row r="17238" spans="4:7" ht="15" x14ac:dyDescent="0.3">
      <c r="D17238" s="25"/>
      <c r="F17238" s="21"/>
      <c r="G17238" s="16"/>
    </row>
    <row r="17239" spans="4:7" ht="15" x14ac:dyDescent="0.3">
      <c r="D17239" s="25"/>
      <c r="F17239" s="21"/>
      <c r="G17239" s="16"/>
    </row>
    <row r="17240" spans="4:7" ht="15" x14ac:dyDescent="0.3">
      <c r="D17240" s="25"/>
      <c r="F17240" s="21"/>
      <c r="G17240" s="16"/>
    </row>
    <row r="17241" spans="4:7" ht="15" x14ac:dyDescent="0.3">
      <c r="D17241" s="25"/>
      <c r="F17241" s="21"/>
      <c r="G17241" s="16"/>
    </row>
    <row r="17242" spans="4:7" ht="15" x14ac:dyDescent="0.3">
      <c r="D17242" s="25"/>
      <c r="F17242" s="21"/>
      <c r="G17242" s="16"/>
    </row>
    <row r="17243" spans="4:7" ht="15" x14ac:dyDescent="0.3">
      <c r="D17243" s="25"/>
      <c r="F17243" s="21"/>
      <c r="G17243" s="16"/>
    </row>
    <row r="17244" spans="4:7" ht="15" x14ac:dyDescent="0.3">
      <c r="D17244" s="25"/>
      <c r="F17244" s="21"/>
      <c r="G17244" s="16"/>
    </row>
    <row r="17245" spans="4:7" ht="15" x14ac:dyDescent="0.3">
      <c r="D17245" s="25"/>
      <c r="F17245" s="21"/>
      <c r="G17245" s="16"/>
    </row>
    <row r="17246" spans="4:7" ht="15" x14ac:dyDescent="0.3">
      <c r="D17246" s="25"/>
      <c r="F17246" s="21"/>
      <c r="G17246" s="16"/>
    </row>
    <row r="17247" spans="4:7" ht="15" x14ac:dyDescent="0.3">
      <c r="D17247" s="25"/>
      <c r="F17247" s="21"/>
      <c r="G17247" s="16"/>
    </row>
    <row r="17248" spans="4:7" ht="15" x14ac:dyDescent="0.3">
      <c r="D17248" s="25"/>
      <c r="F17248" s="21"/>
      <c r="G17248" s="16"/>
    </row>
    <row r="17249" spans="4:7" ht="15" x14ac:dyDescent="0.3">
      <c r="D17249" s="25"/>
      <c r="F17249" s="21"/>
      <c r="G17249" s="16"/>
    </row>
    <row r="17250" spans="4:7" ht="15" x14ac:dyDescent="0.3">
      <c r="D17250" s="25"/>
      <c r="F17250" s="21"/>
      <c r="G17250" s="16"/>
    </row>
    <row r="17251" spans="4:7" ht="15" x14ac:dyDescent="0.3">
      <c r="D17251" s="25"/>
      <c r="F17251" s="21"/>
      <c r="G17251" s="16"/>
    </row>
    <row r="17252" spans="4:7" ht="15" x14ac:dyDescent="0.3">
      <c r="D17252" s="25"/>
      <c r="F17252" s="21"/>
      <c r="G17252" s="16"/>
    </row>
    <row r="17253" spans="4:7" ht="15" x14ac:dyDescent="0.3">
      <c r="D17253" s="25"/>
      <c r="F17253" s="21"/>
      <c r="G17253" s="16"/>
    </row>
    <row r="17254" spans="4:7" ht="15" x14ac:dyDescent="0.3">
      <c r="D17254" s="25"/>
      <c r="F17254" s="21"/>
      <c r="G17254" s="16"/>
    </row>
    <row r="17255" spans="4:7" ht="15" x14ac:dyDescent="0.3">
      <c r="D17255" s="25"/>
      <c r="F17255" s="21"/>
      <c r="G17255" s="16"/>
    </row>
    <row r="17256" spans="4:7" ht="15" x14ac:dyDescent="0.3">
      <c r="D17256" s="25"/>
      <c r="F17256" s="21"/>
      <c r="G17256" s="16"/>
    </row>
    <row r="17257" spans="4:7" ht="15" x14ac:dyDescent="0.3">
      <c r="D17257" s="25"/>
      <c r="F17257" s="21"/>
      <c r="G17257" s="16"/>
    </row>
    <row r="17258" spans="4:7" ht="15" x14ac:dyDescent="0.3">
      <c r="D17258" s="25"/>
      <c r="F17258" s="21"/>
      <c r="G17258" s="16"/>
    </row>
    <row r="17259" spans="4:7" ht="15" x14ac:dyDescent="0.3">
      <c r="D17259" s="25"/>
      <c r="F17259" s="21"/>
      <c r="G17259" s="16"/>
    </row>
    <row r="17260" spans="4:7" ht="15" x14ac:dyDescent="0.3">
      <c r="D17260" s="25"/>
      <c r="F17260" s="21"/>
      <c r="G17260" s="16"/>
    </row>
    <row r="17261" spans="4:7" ht="15" x14ac:dyDescent="0.3">
      <c r="D17261" s="25"/>
      <c r="F17261" s="21"/>
      <c r="G17261" s="16"/>
    </row>
    <row r="17262" spans="4:7" ht="15" x14ac:dyDescent="0.3">
      <c r="D17262" s="25"/>
      <c r="F17262" s="21"/>
      <c r="G17262" s="16"/>
    </row>
    <row r="17263" spans="4:7" ht="15" x14ac:dyDescent="0.3">
      <c r="D17263" s="25"/>
      <c r="F17263" s="21"/>
      <c r="G17263" s="16"/>
    </row>
    <row r="17264" spans="4:7" ht="15" x14ac:dyDescent="0.3">
      <c r="D17264" s="25"/>
      <c r="F17264" s="21"/>
      <c r="G17264" s="16"/>
    </row>
    <row r="17265" spans="4:7" ht="15" x14ac:dyDescent="0.3">
      <c r="D17265" s="25"/>
      <c r="F17265" s="21"/>
      <c r="G17265" s="16"/>
    </row>
    <row r="17266" spans="4:7" ht="15" x14ac:dyDescent="0.3">
      <c r="D17266" s="25"/>
      <c r="F17266" s="21"/>
      <c r="G17266" s="16"/>
    </row>
    <row r="17267" spans="4:7" ht="15" x14ac:dyDescent="0.3">
      <c r="D17267" s="25"/>
      <c r="F17267" s="21"/>
      <c r="G17267" s="16"/>
    </row>
    <row r="17268" spans="4:7" ht="15" x14ac:dyDescent="0.3">
      <c r="D17268" s="25"/>
      <c r="F17268" s="21"/>
      <c r="G17268" s="16"/>
    </row>
    <row r="17269" spans="4:7" ht="15" x14ac:dyDescent="0.3">
      <c r="D17269" s="25"/>
      <c r="F17269" s="21"/>
      <c r="G17269" s="16"/>
    </row>
    <row r="17270" spans="4:7" ht="15" x14ac:dyDescent="0.3">
      <c r="D17270" s="25"/>
      <c r="F17270" s="21"/>
      <c r="G17270" s="16"/>
    </row>
    <row r="17271" spans="4:7" ht="15" x14ac:dyDescent="0.3">
      <c r="D17271" s="25"/>
      <c r="F17271" s="21"/>
      <c r="G17271" s="16"/>
    </row>
    <row r="17272" spans="4:7" ht="15" x14ac:dyDescent="0.3">
      <c r="D17272" s="25"/>
      <c r="F17272" s="21"/>
      <c r="G17272" s="16"/>
    </row>
    <row r="17273" spans="4:7" ht="15" x14ac:dyDescent="0.3">
      <c r="D17273" s="25"/>
      <c r="F17273" s="21"/>
      <c r="G17273" s="16"/>
    </row>
    <row r="17274" spans="4:7" ht="15" x14ac:dyDescent="0.3">
      <c r="D17274" s="25"/>
      <c r="F17274" s="21"/>
      <c r="G17274" s="16"/>
    </row>
    <row r="17275" spans="4:7" ht="15" x14ac:dyDescent="0.3">
      <c r="D17275" s="25"/>
      <c r="F17275" s="21"/>
      <c r="G17275" s="16"/>
    </row>
    <row r="17276" spans="4:7" ht="15" x14ac:dyDescent="0.3">
      <c r="D17276" s="25"/>
      <c r="F17276" s="21"/>
      <c r="G17276" s="16"/>
    </row>
    <row r="17277" spans="4:7" ht="15" x14ac:dyDescent="0.3">
      <c r="D17277" s="25"/>
      <c r="F17277" s="21"/>
      <c r="G17277" s="16"/>
    </row>
    <row r="17278" spans="4:7" ht="15" x14ac:dyDescent="0.3">
      <c r="D17278" s="25"/>
      <c r="F17278" s="21"/>
      <c r="G17278" s="16"/>
    </row>
    <row r="17279" spans="4:7" ht="15" x14ac:dyDescent="0.3">
      <c r="D17279" s="25"/>
      <c r="F17279" s="21"/>
      <c r="G17279" s="16"/>
    </row>
    <row r="17280" spans="4:7" ht="15" x14ac:dyDescent="0.3">
      <c r="D17280" s="25"/>
      <c r="F17280" s="21"/>
      <c r="G17280" s="16"/>
    </row>
    <row r="17281" spans="4:7" ht="15" x14ac:dyDescent="0.3">
      <c r="D17281" s="25"/>
      <c r="F17281" s="21"/>
      <c r="G17281" s="16"/>
    </row>
    <row r="17282" spans="4:7" ht="15" x14ac:dyDescent="0.3">
      <c r="D17282" s="25"/>
      <c r="F17282" s="21"/>
      <c r="G17282" s="16"/>
    </row>
    <row r="17283" spans="4:7" ht="15" x14ac:dyDescent="0.3">
      <c r="D17283" s="25"/>
      <c r="F17283" s="21"/>
      <c r="G17283" s="16"/>
    </row>
    <row r="17284" spans="4:7" ht="15" x14ac:dyDescent="0.3">
      <c r="D17284" s="25"/>
      <c r="F17284" s="21"/>
      <c r="G17284" s="16"/>
    </row>
    <row r="17285" spans="4:7" ht="15" x14ac:dyDescent="0.3">
      <c r="D17285" s="25"/>
      <c r="F17285" s="21"/>
      <c r="G17285" s="16"/>
    </row>
    <row r="17286" spans="4:7" ht="15" x14ac:dyDescent="0.3">
      <c r="D17286" s="25"/>
      <c r="F17286" s="21"/>
      <c r="G17286" s="16"/>
    </row>
    <row r="17287" spans="4:7" ht="15" x14ac:dyDescent="0.3">
      <c r="D17287" s="25"/>
      <c r="F17287" s="21"/>
      <c r="G17287" s="16"/>
    </row>
    <row r="17288" spans="4:7" ht="15" x14ac:dyDescent="0.3">
      <c r="D17288" s="25"/>
      <c r="F17288" s="21"/>
      <c r="G17288" s="16"/>
    </row>
    <row r="17289" spans="4:7" ht="15" x14ac:dyDescent="0.3">
      <c r="D17289" s="25"/>
      <c r="F17289" s="21"/>
      <c r="G17289" s="16"/>
    </row>
    <row r="17290" spans="4:7" ht="15" x14ac:dyDescent="0.3">
      <c r="D17290" s="25"/>
      <c r="F17290" s="21"/>
      <c r="G17290" s="16"/>
    </row>
    <row r="17291" spans="4:7" ht="15" x14ac:dyDescent="0.3">
      <c r="D17291" s="25"/>
      <c r="F17291" s="21"/>
      <c r="G17291" s="16"/>
    </row>
    <row r="17292" spans="4:7" ht="15" x14ac:dyDescent="0.3">
      <c r="D17292" s="25"/>
      <c r="F17292" s="21"/>
      <c r="G17292" s="16"/>
    </row>
    <row r="17293" spans="4:7" ht="15" x14ac:dyDescent="0.3">
      <c r="D17293" s="25"/>
      <c r="F17293" s="21"/>
      <c r="G17293" s="16"/>
    </row>
    <row r="17294" spans="4:7" ht="15" x14ac:dyDescent="0.3">
      <c r="D17294" s="25"/>
      <c r="F17294" s="21"/>
      <c r="G17294" s="16"/>
    </row>
    <row r="17295" spans="4:7" ht="15" x14ac:dyDescent="0.3">
      <c r="D17295" s="25"/>
      <c r="F17295" s="21"/>
      <c r="G17295" s="16"/>
    </row>
    <row r="17296" spans="4:7" ht="15" x14ac:dyDescent="0.3">
      <c r="D17296" s="25"/>
      <c r="F17296" s="21"/>
      <c r="G17296" s="16"/>
    </row>
    <row r="17297" spans="4:7" ht="15" x14ac:dyDescent="0.3">
      <c r="D17297" s="25"/>
      <c r="F17297" s="21"/>
      <c r="G17297" s="16"/>
    </row>
    <row r="17298" spans="4:7" ht="15" x14ac:dyDescent="0.3">
      <c r="D17298" s="25"/>
      <c r="F17298" s="21"/>
      <c r="G17298" s="16"/>
    </row>
    <row r="17299" spans="4:7" ht="15" x14ac:dyDescent="0.3">
      <c r="D17299" s="25"/>
      <c r="F17299" s="21"/>
      <c r="G17299" s="16"/>
    </row>
    <row r="17300" spans="4:7" ht="15" x14ac:dyDescent="0.3">
      <c r="D17300" s="25"/>
      <c r="F17300" s="21"/>
      <c r="G17300" s="16"/>
    </row>
    <row r="17301" spans="4:7" ht="15" x14ac:dyDescent="0.3">
      <c r="D17301" s="25"/>
      <c r="F17301" s="21"/>
      <c r="G17301" s="16"/>
    </row>
    <row r="17302" spans="4:7" ht="15" x14ac:dyDescent="0.3">
      <c r="D17302" s="25"/>
      <c r="F17302" s="21"/>
      <c r="G17302" s="16"/>
    </row>
    <row r="17303" spans="4:7" ht="15" x14ac:dyDescent="0.3">
      <c r="D17303" s="25"/>
      <c r="F17303" s="21"/>
      <c r="G17303" s="16"/>
    </row>
    <row r="17304" spans="4:7" ht="15" x14ac:dyDescent="0.3">
      <c r="D17304" s="25"/>
      <c r="F17304" s="21"/>
      <c r="G17304" s="16"/>
    </row>
    <row r="17305" spans="4:7" ht="15" x14ac:dyDescent="0.3">
      <c r="D17305" s="25"/>
      <c r="F17305" s="21"/>
      <c r="G17305" s="16"/>
    </row>
    <row r="17306" spans="4:7" ht="15" x14ac:dyDescent="0.3">
      <c r="D17306" s="25"/>
      <c r="F17306" s="21"/>
      <c r="G17306" s="16"/>
    </row>
    <row r="17307" spans="4:7" ht="15" x14ac:dyDescent="0.3">
      <c r="D17307" s="25"/>
      <c r="F17307" s="21"/>
      <c r="G17307" s="16"/>
    </row>
    <row r="17308" spans="4:7" ht="15" x14ac:dyDescent="0.3">
      <c r="D17308" s="25"/>
      <c r="F17308" s="21"/>
      <c r="G17308" s="16"/>
    </row>
    <row r="17309" spans="4:7" ht="15" x14ac:dyDescent="0.3">
      <c r="D17309" s="25"/>
      <c r="F17309" s="21"/>
      <c r="G17309" s="16"/>
    </row>
    <row r="17310" spans="4:7" ht="15" x14ac:dyDescent="0.3">
      <c r="D17310" s="25"/>
      <c r="F17310" s="21"/>
      <c r="G17310" s="16"/>
    </row>
    <row r="17311" spans="4:7" ht="15" x14ac:dyDescent="0.3">
      <c r="D17311" s="25"/>
      <c r="F17311" s="21"/>
      <c r="G17311" s="16"/>
    </row>
    <row r="17312" spans="4:7" ht="15" x14ac:dyDescent="0.3">
      <c r="D17312" s="25"/>
      <c r="F17312" s="21"/>
      <c r="G17312" s="16"/>
    </row>
    <row r="17313" spans="4:7" ht="15" x14ac:dyDescent="0.3">
      <c r="D17313" s="25"/>
      <c r="F17313" s="21"/>
      <c r="G17313" s="16"/>
    </row>
    <row r="17314" spans="4:7" ht="15" x14ac:dyDescent="0.3">
      <c r="D17314" s="25"/>
      <c r="F17314" s="21"/>
      <c r="G17314" s="16"/>
    </row>
    <row r="17315" spans="4:7" ht="15" x14ac:dyDescent="0.3">
      <c r="D17315" s="25"/>
      <c r="F17315" s="21"/>
      <c r="G17315" s="16"/>
    </row>
    <row r="17316" spans="4:7" ht="15" x14ac:dyDescent="0.3">
      <c r="D17316" s="25"/>
      <c r="F17316" s="21"/>
      <c r="G17316" s="16"/>
    </row>
    <row r="17317" spans="4:7" ht="15" x14ac:dyDescent="0.3">
      <c r="D17317" s="25"/>
      <c r="F17317" s="21"/>
      <c r="G17317" s="16"/>
    </row>
    <row r="17318" spans="4:7" ht="15" x14ac:dyDescent="0.3">
      <c r="D17318" s="25"/>
      <c r="F17318" s="21"/>
      <c r="G17318" s="16"/>
    </row>
    <row r="17319" spans="4:7" ht="15" x14ac:dyDescent="0.3">
      <c r="D17319" s="25"/>
      <c r="F17319" s="21"/>
      <c r="G17319" s="16"/>
    </row>
    <row r="17320" spans="4:7" ht="15" x14ac:dyDescent="0.3">
      <c r="D17320" s="25"/>
      <c r="F17320" s="21"/>
      <c r="G17320" s="16"/>
    </row>
    <row r="17321" spans="4:7" ht="15" x14ac:dyDescent="0.3">
      <c r="D17321" s="25"/>
      <c r="F17321" s="21"/>
      <c r="G17321" s="16"/>
    </row>
    <row r="17322" spans="4:7" ht="15" x14ac:dyDescent="0.3">
      <c r="D17322" s="25"/>
      <c r="F17322" s="21"/>
      <c r="G17322" s="16"/>
    </row>
    <row r="17323" spans="4:7" ht="15" x14ac:dyDescent="0.3">
      <c r="D17323" s="25"/>
      <c r="F17323" s="21"/>
      <c r="G17323" s="16"/>
    </row>
    <row r="17324" spans="4:7" ht="15" x14ac:dyDescent="0.3">
      <c r="D17324" s="25"/>
      <c r="F17324" s="21"/>
      <c r="G17324" s="16"/>
    </row>
    <row r="17325" spans="4:7" ht="15" x14ac:dyDescent="0.3">
      <c r="D17325" s="25"/>
      <c r="F17325" s="21"/>
      <c r="G17325" s="16"/>
    </row>
    <row r="17326" spans="4:7" ht="15" x14ac:dyDescent="0.3">
      <c r="D17326" s="25"/>
      <c r="F17326" s="21"/>
      <c r="G17326" s="16"/>
    </row>
    <row r="17327" spans="4:7" ht="15" x14ac:dyDescent="0.3">
      <c r="D17327" s="25"/>
      <c r="F17327" s="21"/>
      <c r="G17327" s="16"/>
    </row>
    <row r="17328" spans="4:7" ht="15" x14ac:dyDescent="0.3">
      <c r="D17328" s="25"/>
      <c r="F17328" s="21"/>
      <c r="G17328" s="16"/>
    </row>
    <row r="17329" spans="4:7" ht="15" x14ac:dyDescent="0.3">
      <c r="D17329" s="25"/>
      <c r="F17329" s="21"/>
      <c r="G17329" s="16"/>
    </row>
    <row r="17330" spans="4:7" ht="15" x14ac:dyDescent="0.3">
      <c r="D17330" s="25"/>
      <c r="F17330" s="21"/>
      <c r="G17330" s="16"/>
    </row>
    <row r="17331" spans="4:7" ht="15" x14ac:dyDescent="0.3">
      <c r="D17331" s="25"/>
      <c r="F17331" s="21"/>
      <c r="G17331" s="16"/>
    </row>
    <row r="17332" spans="4:7" ht="15" x14ac:dyDescent="0.3">
      <c r="D17332" s="25"/>
      <c r="F17332" s="21"/>
      <c r="G17332" s="16"/>
    </row>
    <row r="17333" spans="4:7" ht="15" x14ac:dyDescent="0.3">
      <c r="D17333" s="25"/>
      <c r="F17333" s="21"/>
      <c r="G17333" s="16"/>
    </row>
    <row r="17334" spans="4:7" ht="15" x14ac:dyDescent="0.3">
      <c r="D17334" s="25"/>
      <c r="F17334" s="21"/>
      <c r="G17334" s="16"/>
    </row>
    <row r="17335" spans="4:7" ht="15" x14ac:dyDescent="0.3">
      <c r="D17335" s="25"/>
      <c r="F17335" s="21"/>
      <c r="G17335" s="16"/>
    </row>
    <row r="17336" spans="4:7" ht="15" x14ac:dyDescent="0.3">
      <c r="D17336" s="25"/>
      <c r="F17336" s="21"/>
      <c r="G17336" s="16"/>
    </row>
    <row r="17337" spans="4:7" ht="15" x14ac:dyDescent="0.3">
      <c r="D17337" s="25"/>
      <c r="F17337" s="21"/>
      <c r="G17337" s="16"/>
    </row>
    <row r="17338" spans="4:7" ht="15" x14ac:dyDescent="0.3">
      <c r="D17338" s="25"/>
      <c r="F17338" s="21"/>
      <c r="G17338" s="16"/>
    </row>
    <row r="17339" spans="4:7" ht="15" x14ac:dyDescent="0.3">
      <c r="D17339" s="25"/>
      <c r="F17339" s="21"/>
      <c r="G17339" s="16"/>
    </row>
    <row r="17340" spans="4:7" ht="15" x14ac:dyDescent="0.3">
      <c r="D17340" s="25"/>
      <c r="F17340" s="21"/>
      <c r="G17340" s="16"/>
    </row>
    <row r="17341" spans="4:7" ht="15" x14ac:dyDescent="0.3">
      <c r="D17341" s="25"/>
      <c r="F17341" s="21"/>
      <c r="G17341" s="16"/>
    </row>
    <row r="17342" spans="4:7" ht="15" x14ac:dyDescent="0.3">
      <c r="D17342" s="25"/>
      <c r="F17342" s="21"/>
      <c r="G17342" s="16"/>
    </row>
    <row r="17343" spans="4:7" ht="15" x14ac:dyDescent="0.3">
      <c r="D17343" s="25"/>
      <c r="F17343" s="21"/>
      <c r="G17343" s="16"/>
    </row>
    <row r="17344" spans="4:7" ht="15" x14ac:dyDescent="0.3">
      <c r="D17344" s="25"/>
      <c r="F17344" s="21"/>
      <c r="G17344" s="16"/>
    </row>
    <row r="17345" spans="4:7" ht="15" x14ac:dyDescent="0.3">
      <c r="D17345" s="25"/>
      <c r="F17345" s="21"/>
      <c r="G17345" s="16"/>
    </row>
    <row r="17346" spans="4:7" ht="15" x14ac:dyDescent="0.3">
      <c r="D17346" s="25"/>
      <c r="F17346" s="21"/>
      <c r="G17346" s="16"/>
    </row>
    <row r="17347" spans="4:7" ht="15" x14ac:dyDescent="0.3">
      <c r="D17347" s="25"/>
      <c r="F17347" s="21"/>
      <c r="G17347" s="16"/>
    </row>
    <row r="17348" spans="4:7" ht="15" x14ac:dyDescent="0.3">
      <c r="D17348" s="25"/>
      <c r="F17348" s="21"/>
      <c r="G17348" s="16"/>
    </row>
    <row r="17349" spans="4:7" ht="15" x14ac:dyDescent="0.3">
      <c r="D17349" s="25"/>
      <c r="F17349" s="21"/>
      <c r="G17349" s="16"/>
    </row>
    <row r="17350" spans="4:7" ht="15" x14ac:dyDescent="0.3">
      <c r="D17350" s="25"/>
      <c r="F17350" s="21"/>
      <c r="G17350" s="16"/>
    </row>
    <row r="17351" spans="4:7" ht="15" x14ac:dyDescent="0.3">
      <c r="D17351" s="25"/>
      <c r="F17351" s="21"/>
      <c r="G17351" s="16"/>
    </row>
    <row r="17352" spans="4:7" ht="15" x14ac:dyDescent="0.3">
      <c r="D17352" s="25"/>
      <c r="F17352" s="21"/>
      <c r="G17352" s="16"/>
    </row>
    <row r="17353" spans="4:7" ht="15" x14ac:dyDescent="0.3">
      <c r="D17353" s="25"/>
      <c r="F17353" s="21"/>
      <c r="G17353" s="16"/>
    </row>
    <row r="17354" spans="4:7" ht="15" x14ac:dyDescent="0.3">
      <c r="D17354" s="25"/>
      <c r="F17354" s="21"/>
      <c r="G17354" s="16"/>
    </row>
    <row r="17355" spans="4:7" ht="15" x14ac:dyDescent="0.3">
      <c r="D17355" s="25"/>
      <c r="F17355" s="21"/>
      <c r="G17355" s="16"/>
    </row>
    <row r="17356" spans="4:7" ht="15" x14ac:dyDescent="0.3">
      <c r="D17356" s="25"/>
      <c r="F17356" s="21"/>
      <c r="G17356" s="16"/>
    </row>
    <row r="17357" spans="4:7" ht="15" x14ac:dyDescent="0.3">
      <c r="D17357" s="25"/>
      <c r="F17357" s="21"/>
      <c r="G17357" s="16"/>
    </row>
    <row r="17358" spans="4:7" ht="15" x14ac:dyDescent="0.3">
      <c r="D17358" s="25"/>
      <c r="F17358" s="21"/>
      <c r="G17358" s="16"/>
    </row>
    <row r="17359" spans="4:7" ht="15" x14ac:dyDescent="0.3">
      <c r="D17359" s="25"/>
      <c r="F17359" s="21"/>
      <c r="G17359" s="16"/>
    </row>
    <row r="17360" spans="4:7" ht="15" x14ac:dyDescent="0.3">
      <c r="D17360" s="25"/>
      <c r="F17360" s="21"/>
      <c r="G17360" s="16"/>
    </row>
    <row r="17361" spans="4:7" ht="15" x14ac:dyDescent="0.3">
      <c r="D17361" s="25"/>
      <c r="F17361" s="21"/>
      <c r="G17361" s="16"/>
    </row>
    <row r="17362" spans="4:7" ht="15" x14ac:dyDescent="0.3">
      <c r="D17362" s="25"/>
      <c r="F17362" s="21"/>
      <c r="G17362" s="16"/>
    </row>
    <row r="17363" spans="4:7" ht="15" x14ac:dyDescent="0.3">
      <c r="D17363" s="25"/>
      <c r="F17363" s="21"/>
      <c r="G17363" s="16"/>
    </row>
    <row r="17364" spans="4:7" ht="15" x14ac:dyDescent="0.3">
      <c r="D17364" s="25"/>
      <c r="F17364" s="21"/>
      <c r="G17364" s="16"/>
    </row>
    <row r="17365" spans="4:7" ht="15" x14ac:dyDescent="0.3">
      <c r="D17365" s="25"/>
      <c r="F17365" s="21"/>
      <c r="G17365" s="16"/>
    </row>
    <row r="17366" spans="4:7" ht="15" x14ac:dyDescent="0.3">
      <c r="D17366" s="25"/>
      <c r="F17366" s="21"/>
      <c r="G17366" s="16"/>
    </row>
    <row r="17367" spans="4:7" ht="15" x14ac:dyDescent="0.3">
      <c r="D17367" s="25"/>
      <c r="F17367" s="21"/>
      <c r="G17367" s="16"/>
    </row>
    <row r="17368" spans="4:7" ht="15" x14ac:dyDescent="0.3">
      <c r="D17368" s="25"/>
      <c r="F17368" s="21"/>
      <c r="G17368" s="16"/>
    </row>
    <row r="17369" spans="4:7" ht="15" x14ac:dyDescent="0.3">
      <c r="D17369" s="25"/>
      <c r="F17369" s="21"/>
      <c r="G17369" s="16"/>
    </row>
    <row r="17370" spans="4:7" ht="15" x14ac:dyDescent="0.3">
      <c r="D17370" s="25"/>
      <c r="F17370" s="21"/>
      <c r="G17370" s="16"/>
    </row>
    <row r="17371" spans="4:7" ht="15" x14ac:dyDescent="0.3">
      <c r="D17371" s="25"/>
      <c r="F17371" s="21"/>
      <c r="G17371" s="16"/>
    </row>
    <row r="17372" spans="4:7" ht="15" x14ac:dyDescent="0.3">
      <c r="D17372" s="25"/>
      <c r="F17372" s="21"/>
      <c r="G17372" s="16"/>
    </row>
    <row r="17373" spans="4:7" ht="15" x14ac:dyDescent="0.3">
      <c r="D17373" s="25"/>
      <c r="F17373" s="21"/>
      <c r="G17373" s="16"/>
    </row>
    <row r="17374" spans="4:7" ht="15" x14ac:dyDescent="0.3">
      <c r="D17374" s="25"/>
      <c r="F17374" s="21"/>
      <c r="G17374" s="16"/>
    </row>
    <row r="17375" spans="4:7" ht="15" x14ac:dyDescent="0.3">
      <c r="D17375" s="25"/>
      <c r="F17375" s="21"/>
      <c r="G17375" s="16"/>
    </row>
    <row r="17376" spans="4:7" ht="15" x14ac:dyDescent="0.3">
      <c r="D17376" s="25"/>
      <c r="F17376" s="21"/>
      <c r="G17376" s="16"/>
    </row>
    <row r="17377" spans="4:7" ht="15" x14ac:dyDescent="0.3">
      <c r="D17377" s="25"/>
      <c r="F17377" s="21"/>
      <c r="G17377" s="16"/>
    </row>
    <row r="17378" spans="4:7" ht="15" x14ac:dyDescent="0.3">
      <c r="D17378" s="25"/>
      <c r="F17378" s="21"/>
      <c r="G17378" s="16"/>
    </row>
    <row r="17379" spans="4:7" ht="15" x14ac:dyDescent="0.3">
      <c r="D17379" s="25"/>
      <c r="F17379" s="21"/>
      <c r="G17379" s="16"/>
    </row>
    <row r="17380" spans="4:7" ht="15" x14ac:dyDescent="0.3">
      <c r="D17380" s="25"/>
      <c r="F17380" s="21"/>
      <c r="G17380" s="16"/>
    </row>
    <row r="17381" spans="4:7" ht="15" x14ac:dyDescent="0.3">
      <c r="D17381" s="25"/>
      <c r="F17381" s="21"/>
      <c r="G17381" s="16"/>
    </row>
    <row r="17382" spans="4:7" ht="15" x14ac:dyDescent="0.3">
      <c r="D17382" s="25"/>
      <c r="F17382" s="21"/>
      <c r="G17382" s="16"/>
    </row>
    <row r="17383" spans="4:7" ht="15" x14ac:dyDescent="0.3">
      <c r="D17383" s="25"/>
      <c r="F17383" s="21"/>
      <c r="G17383" s="16"/>
    </row>
    <row r="17384" spans="4:7" ht="15" x14ac:dyDescent="0.3">
      <c r="D17384" s="25"/>
      <c r="F17384" s="21"/>
      <c r="G17384" s="16"/>
    </row>
    <row r="17385" spans="4:7" ht="15" x14ac:dyDescent="0.3">
      <c r="D17385" s="25"/>
      <c r="F17385" s="21"/>
      <c r="G17385" s="16"/>
    </row>
    <row r="17386" spans="4:7" ht="15" x14ac:dyDescent="0.3">
      <c r="D17386" s="25"/>
      <c r="F17386" s="21"/>
      <c r="G17386" s="16"/>
    </row>
    <row r="17387" spans="4:7" ht="15" x14ac:dyDescent="0.3">
      <c r="D17387" s="25"/>
      <c r="F17387" s="21"/>
      <c r="G17387" s="16"/>
    </row>
    <row r="17388" spans="4:7" ht="15" x14ac:dyDescent="0.3">
      <c r="D17388" s="25"/>
      <c r="F17388" s="21"/>
      <c r="G17388" s="16"/>
    </row>
    <row r="17389" spans="4:7" ht="15" x14ac:dyDescent="0.3">
      <c r="D17389" s="25"/>
      <c r="F17389" s="21"/>
      <c r="G17389" s="16"/>
    </row>
    <row r="17390" spans="4:7" ht="15" x14ac:dyDescent="0.3">
      <c r="D17390" s="25"/>
      <c r="F17390" s="21"/>
      <c r="G17390" s="16"/>
    </row>
    <row r="17391" spans="4:7" ht="15" x14ac:dyDescent="0.3">
      <c r="D17391" s="25"/>
      <c r="F17391" s="21"/>
      <c r="G17391" s="16"/>
    </row>
    <row r="17392" spans="4:7" ht="15" x14ac:dyDescent="0.3">
      <c r="D17392" s="25"/>
      <c r="F17392" s="21"/>
      <c r="G17392" s="16"/>
    </row>
    <row r="17393" spans="4:7" ht="15" x14ac:dyDescent="0.3">
      <c r="D17393" s="25"/>
      <c r="F17393" s="21"/>
      <c r="G17393" s="16"/>
    </row>
    <row r="17394" spans="4:7" ht="15" x14ac:dyDescent="0.3">
      <c r="D17394" s="25"/>
      <c r="F17394" s="21"/>
      <c r="G17394" s="16"/>
    </row>
    <row r="17395" spans="4:7" ht="15" x14ac:dyDescent="0.3">
      <c r="D17395" s="25"/>
      <c r="F17395" s="21"/>
      <c r="G17395" s="16"/>
    </row>
    <row r="17396" spans="4:7" ht="15" x14ac:dyDescent="0.3">
      <c r="D17396" s="25"/>
      <c r="F17396" s="21"/>
      <c r="G17396" s="16"/>
    </row>
    <row r="17397" spans="4:7" ht="15" x14ac:dyDescent="0.3">
      <c r="D17397" s="25"/>
      <c r="F17397" s="21"/>
      <c r="G17397" s="16"/>
    </row>
    <row r="17398" spans="4:7" ht="15" x14ac:dyDescent="0.3">
      <c r="D17398" s="25"/>
      <c r="F17398" s="21"/>
      <c r="G17398" s="16"/>
    </row>
    <row r="17399" spans="4:7" ht="15" x14ac:dyDescent="0.3">
      <c r="D17399" s="25"/>
      <c r="F17399" s="21"/>
      <c r="G17399" s="16"/>
    </row>
    <row r="17400" spans="4:7" ht="15" x14ac:dyDescent="0.3">
      <c r="D17400" s="25"/>
      <c r="F17400" s="21"/>
      <c r="G17400" s="16"/>
    </row>
    <row r="17401" spans="4:7" ht="15" x14ac:dyDescent="0.3">
      <c r="D17401" s="25"/>
      <c r="F17401" s="21"/>
      <c r="G17401" s="16"/>
    </row>
    <row r="17402" spans="4:7" ht="15" x14ac:dyDescent="0.3">
      <c r="D17402" s="25"/>
      <c r="F17402" s="21"/>
      <c r="G17402" s="16"/>
    </row>
    <row r="17403" spans="4:7" ht="15" x14ac:dyDescent="0.3">
      <c r="D17403" s="25"/>
      <c r="F17403" s="21"/>
      <c r="G17403" s="16"/>
    </row>
    <row r="17404" spans="4:7" ht="15" x14ac:dyDescent="0.3">
      <c r="D17404" s="25"/>
      <c r="F17404" s="21"/>
      <c r="G17404" s="16"/>
    </row>
    <row r="17405" spans="4:7" ht="15" x14ac:dyDescent="0.3">
      <c r="D17405" s="25"/>
      <c r="F17405" s="21"/>
      <c r="G17405" s="16"/>
    </row>
    <row r="17406" spans="4:7" ht="15" x14ac:dyDescent="0.3">
      <c r="D17406" s="25"/>
      <c r="F17406" s="21"/>
      <c r="G17406" s="16"/>
    </row>
    <row r="17407" spans="4:7" ht="15" x14ac:dyDescent="0.3">
      <c r="D17407" s="25"/>
      <c r="F17407" s="21"/>
      <c r="G17407" s="16"/>
    </row>
    <row r="17408" spans="4:7" ht="15" x14ac:dyDescent="0.3">
      <c r="D17408" s="25"/>
      <c r="F17408" s="21"/>
      <c r="G17408" s="16"/>
    </row>
    <row r="17409" spans="4:7" ht="15" x14ac:dyDescent="0.3">
      <c r="D17409" s="25"/>
      <c r="F17409" s="21"/>
      <c r="G17409" s="16"/>
    </row>
    <row r="17410" spans="4:7" ht="15" x14ac:dyDescent="0.3">
      <c r="D17410" s="25"/>
      <c r="F17410" s="21"/>
      <c r="G17410" s="16"/>
    </row>
    <row r="17411" spans="4:7" ht="15" x14ac:dyDescent="0.3">
      <c r="D17411" s="25"/>
      <c r="F17411" s="21"/>
      <c r="G17411" s="16"/>
    </row>
    <row r="17412" spans="4:7" ht="15" x14ac:dyDescent="0.3">
      <c r="D17412" s="25"/>
      <c r="F17412" s="21"/>
      <c r="G17412" s="16"/>
    </row>
    <row r="17413" spans="4:7" ht="15" x14ac:dyDescent="0.3">
      <c r="D17413" s="25"/>
      <c r="F17413" s="21"/>
      <c r="G17413" s="16"/>
    </row>
    <row r="17414" spans="4:7" ht="15" x14ac:dyDescent="0.3">
      <c r="D17414" s="25"/>
      <c r="F17414" s="21"/>
      <c r="G17414" s="16"/>
    </row>
    <row r="17415" spans="4:7" ht="15" x14ac:dyDescent="0.3">
      <c r="D17415" s="25"/>
      <c r="F17415" s="21"/>
      <c r="G17415" s="16"/>
    </row>
    <row r="17416" spans="4:7" ht="15" x14ac:dyDescent="0.3">
      <c r="D17416" s="25"/>
      <c r="F17416" s="21"/>
      <c r="G17416" s="16"/>
    </row>
    <row r="17417" spans="4:7" ht="15" x14ac:dyDescent="0.3">
      <c r="D17417" s="25"/>
      <c r="F17417" s="21"/>
      <c r="G17417" s="16"/>
    </row>
    <row r="17418" spans="4:7" ht="15" x14ac:dyDescent="0.3">
      <c r="D17418" s="25"/>
      <c r="F17418" s="21"/>
      <c r="G17418" s="16"/>
    </row>
    <row r="17419" spans="4:7" ht="15" x14ac:dyDescent="0.3">
      <c r="D17419" s="25"/>
      <c r="F17419" s="21"/>
      <c r="G17419" s="16"/>
    </row>
    <row r="17420" spans="4:7" ht="15" x14ac:dyDescent="0.3">
      <c r="D17420" s="25"/>
      <c r="F17420" s="21"/>
      <c r="G17420" s="16"/>
    </row>
    <row r="17421" spans="4:7" ht="15" x14ac:dyDescent="0.3">
      <c r="D17421" s="25"/>
      <c r="F17421" s="21"/>
      <c r="G17421" s="16"/>
    </row>
    <row r="17422" spans="4:7" ht="15" x14ac:dyDescent="0.3">
      <c r="D17422" s="25"/>
      <c r="F17422" s="21"/>
      <c r="G17422" s="16"/>
    </row>
    <row r="17423" spans="4:7" ht="15" x14ac:dyDescent="0.3">
      <c r="D17423" s="25"/>
      <c r="F17423" s="21"/>
      <c r="G17423" s="16"/>
    </row>
    <row r="17424" spans="4:7" ht="15" x14ac:dyDescent="0.3">
      <c r="D17424" s="25"/>
      <c r="F17424" s="21"/>
      <c r="G17424" s="16"/>
    </row>
    <row r="17425" spans="4:7" ht="15" x14ac:dyDescent="0.3">
      <c r="D17425" s="25"/>
      <c r="F17425" s="21"/>
      <c r="G17425" s="16"/>
    </row>
    <row r="17426" spans="4:7" ht="15" x14ac:dyDescent="0.3">
      <c r="D17426" s="25"/>
      <c r="F17426" s="21"/>
      <c r="G17426" s="16"/>
    </row>
    <row r="17427" spans="4:7" ht="15" x14ac:dyDescent="0.3">
      <c r="D17427" s="25"/>
      <c r="F17427" s="21"/>
      <c r="G17427" s="16"/>
    </row>
    <row r="17428" spans="4:7" ht="15" x14ac:dyDescent="0.3">
      <c r="D17428" s="25"/>
      <c r="F17428" s="21"/>
      <c r="G17428" s="16"/>
    </row>
    <row r="17429" spans="4:7" ht="15" x14ac:dyDescent="0.3">
      <c r="D17429" s="25"/>
      <c r="F17429" s="21"/>
      <c r="G17429" s="16"/>
    </row>
    <row r="17430" spans="4:7" ht="15" x14ac:dyDescent="0.3">
      <c r="D17430" s="25"/>
      <c r="F17430" s="21"/>
      <c r="G17430" s="16"/>
    </row>
    <row r="17431" spans="4:7" ht="15" x14ac:dyDescent="0.3">
      <c r="D17431" s="25"/>
      <c r="F17431" s="21"/>
      <c r="G17431" s="16"/>
    </row>
    <row r="17432" spans="4:7" ht="15" x14ac:dyDescent="0.3">
      <c r="D17432" s="25"/>
      <c r="F17432" s="21"/>
      <c r="G17432" s="16"/>
    </row>
    <row r="17433" spans="4:7" ht="15" x14ac:dyDescent="0.3">
      <c r="D17433" s="25"/>
      <c r="F17433" s="21"/>
      <c r="G17433" s="16"/>
    </row>
    <row r="17434" spans="4:7" ht="15" x14ac:dyDescent="0.3">
      <c r="D17434" s="25"/>
      <c r="F17434" s="21"/>
      <c r="G17434" s="16"/>
    </row>
    <row r="17435" spans="4:7" ht="15" x14ac:dyDescent="0.3">
      <c r="D17435" s="25"/>
      <c r="F17435" s="21"/>
      <c r="G17435" s="16"/>
    </row>
    <row r="17436" spans="4:7" ht="15" x14ac:dyDescent="0.3">
      <c r="D17436" s="25"/>
      <c r="F17436" s="21"/>
      <c r="G17436" s="16"/>
    </row>
    <row r="17437" spans="4:7" ht="15" x14ac:dyDescent="0.3">
      <c r="D17437" s="25"/>
      <c r="F17437" s="21"/>
      <c r="G17437" s="16"/>
    </row>
    <row r="17438" spans="4:7" ht="15" x14ac:dyDescent="0.3">
      <c r="D17438" s="25"/>
      <c r="F17438" s="21"/>
      <c r="G17438" s="16"/>
    </row>
    <row r="17439" spans="4:7" ht="15" x14ac:dyDescent="0.3">
      <c r="D17439" s="25"/>
      <c r="F17439" s="21"/>
      <c r="G17439" s="16"/>
    </row>
    <row r="17440" spans="4:7" ht="15" x14ac:dyDescent="0.3">
      <c r="D17440" s="25"/>
      <c r="F17440" s="21"/>
      <c r="G17440" s="16"/>
    </row>
    <row r="17441" spans="4:7" ht="15" x14ac:dyDescent="0.3">
      <c r="D17441" s="25"/>
      <c r="F17441" s="21"/>
      <c r="G17441" s="16"/>
    </row>
    <row r="17442" spans="4:7" ht="15" x14ac:dyDescent="0.3">
      <c r="D17442" s="25"/>
      <c r="F17442" s="21"/>
      <c r="G17442" s="16"/>
    </row>
    <row r="17443" spans="4:7" ht="15" x14ac:dyDescent="0.3">
      <c r="D17443" s="25"/>
      <c r="F17443" s="21"/>
      <c r="G17443" s="16"/>
    </row>
    <row r="17444" spans="4:7" ht="15" x14ac:dyDescent="0.3">
      <c r="D17444" s="25"/>
      <c r="F17444" s="21"/>
      <c r="G17444" s="16"/>
    </row>
    <row r="17445" spans="4:7" ht="15" x14ac:dyDescent="0.3">
      <c r="D17445" s="25"/>
      <c r="F17445" s="21"/>
      <c r="G17445" s="16"/>
    </row>
    <row r="17446" spans="4:7" ht="15" x14ac:dyDescent="0.3">
      <c r="D17446" s="25"/>
      <c r="F17446" s="21"/>
      <c r="G17446" s="16"/>
    </row>
    <row r="17447" spans="4:7" ht="15" x14ac:dyDescent="0.3">
      <c r="D17447" s="25"/>
      <c r="F17447" s="21"/>
      <c r="G17447" s="16"/>
    </row>
    <row r="17448" spans="4:7" ht="15" x14ac:dyDescent="0.3">
      <c r="D17448" s="25"/>
      <c r="F17448" s="21"/>
      <c r="G17448" s="16"/>
    </row>
    <row r="17449" spans="4:7" ht="15" x14ac:dyDescent="0.3">
      <c r="D17449" s="25"/>
      <c r="F17449" s="21"/>
      <c r="G17449" s="16"/>
    </row>
    <row r="17450" spans="4:7" ht="15" x14ac:dyDescent="0.3">
      <c r="D17450" s="25"/>
      <c r="F17450" s="21"/>
      <c r="G17450" s="16"/>
    </row>
    <row r="17451" spans="4:7" ht="15" x14ac:dyDescent="0.3">
      <c r="D17451" s="25"/>
      <c r="F17451" s="21"/>
      <c r="G17451" s="16"/>
    </row>
    <row r="17452" spans="4:7" ht="15" x14ac:dyDescent="0.3">
      <c r="D17452" s="25"/>
      <c r="F17452" s="21"/>
      <c r="G17452" s="16"/>
    </row>
    <row r="17453" spans="4:7" ht="15" x14ac:dyDescent="0.3">
      <c r="D17453" s="25"/>
      <c r="F17453" s="21"/>
      <c r="G17453" s="16"/>
    </row>
    <row r="17454" spans="4:7" ht="15" x14ac:dyDescent="0.3">
      <c r="D17454" s="25"/>
      <c r="F17454" s="21"/>
      <c r="G17454" s="16"/>
    </row>
    <row r="17455" spans="4:7" ht="15" x14ac:dyDescent="0.3">
      <c r="D17455" s="25"/>
      <c r="F17455" s="21"/>
      <c r="G17455" s="16"/>
    </row>
    <row r="17456" spans="4:7" ht="15" x14ac:dyDescent="0.3">
      <c r="D17456" s="25"/>
      <c r="F17456" s="21"/>
      <c r="G17456" s="16"/>
    </row>
    <row r="17457" spans="4:7" ht="15" x14ac:dyDescent="0.3">
      <c r="D17457" s="25"/>
      <c r="F17457" s="21"/>
      <c r="G17457" s="16"/>
    </row>
    <row r="17458" spans="4:7" ht="15" x14ac:dyDescent="0.3">
      <c r="D17458" s="25"/>
      <c r="F17458" s="21"/>
      <c r="G17458" s="16"/>
    </row>
    <row r="17459" spans="4:7" ht="15" x14ac:dyDescent="0.3">
      <c r="D17459" s="25"/>
      <c r="F17459" s="21"/>
      <c r="G17459" s="16"/>
    </row>
    <row r="17460" spans="4:7" ht="15" x14ac:dyDescent="0.3">
      <c r="D17460" s="25"/>
      <c r="F17460" s="21"/>
      <c r="G17460" s="16"/>
    </row>
    <row r="17461" spans="4:7" ht="15" x14ac:dyDescent="0.3">
      <c r="D17461" s="25"/>
      <c r="F17461" s="21"/>
      <c r="G17461" s="16"/>
    </row>
    <row r="17462" spans="4:7" ht="15" x14ac:dyDescent="0.3">
      <c r="D17462" s="25"/>
      <c r="F17462" s="21"/>
      <c r="G17462" s="16"/>
    </row>
    <row r="17463" spans="4:7" ht="15" x14ac:dyDescent="0.3">
      <c r="D17463" s="25"/>
      <c r="F17463" s="21"/>
      <c r="G17463" s="16"/>
    </row>
    <row r="17464" spans="4:7" ht="15" x14ac:dyDescent="0.3">
      <c r="D17464" s="25"/>
      <c r="F17464" s="21"/>
      <c r="G17464" s="16"/>
    </row>
    <row r="17465" spans="4:7" ht="15" x14ac:dyDescent="0.3">
      <c r="D17465" s="25"/>
      <c r="F17465" s="21"/>
      <c r="G17465" s="16"/>
    </row>
    <row r="17466" spans="4:7" ht="15" x14ac:dyDescent="0.3">
      <c r="D17466" s="25"/>
      <c r="F17466" s="21"/>
      <c r="G17466" s="16"/>
    </row>
    <row r="17467" spans="4:7" ht="15" x14ac:dyDescent="0.3">
      <c r="D17467" s="25"/>
      <c r="F17467" s="21"/>
      <c r="G17467" s="16"/>
    </row>
    <row r="17468" spans="4:7" ht="15" x14ac:dyDescent="0.3">
      <c r="D17468" s="25"/>
      <c r="F17468" s="21"/>
      <c r="G17468" s="16"/>
    </row>
    <row r="17469" spans="4:7" ht="15" x14ac:dyDescent="0.3">
      <c r="D17469" s="25"/>
      <c r="F17469" s="21"/>
      <c r="G17469" s="16"/>
    </row>
    <row r="17470" spans="4:7" ht="15" x14ac:dyDescent="0.3">
      <c r="D17470" s="25"/>
      <c r="F17470" s="21"/>
      <c r="G17470" s="16"/>
    </row>
    <row r="17471" spans="4:7" ht="15" x14ac:dyDescent="0.3">
      <c r="D17471" s="25"/>
      <c r="F17471" s="21"/>
      <c r="G17471" s="16"/>
    </row>
    <row r="17472" spans="4:7" ht="15" x14ac:dyDescent="0.3">
      <c r="D17472" s="25"/>
      <c r="F17472" s="21"/>
      <c r="G17472" s="16"/>
    </row>
    <row r="17473" spans="4:7" ht="15" x14ac:dyDescent="0.3">
      <c r="D17473" s="25"/>
      <c r="F17473" s="21"/>
      <c r="G17473" s="16"/>
    </row>
    <row r="17474" spans="4:7" ht="15" x14ac:dyDescent="0.3">
      <c r="D17474" s="25"/>
      <c r="F17474" s="21"/>
      <c r="G17474" s="16"/>
    </row>
    <row r="17475" spans="4:7" ht="15" x14ac:dyDescent="0.3">
      <c r="D17475" s="25"/>
      <c r="F17475" s="21"/>
      <c r="G17475" s="16"/>
    </row>
    <row r="17476" spans="4:7" ht="15" x14ac:dyDescent="0.3">
      <c r="D17476" s="25"/>
      <c r="F17476" s="21"/>
      <c r="G17476" s="16"/>
    </row>
    <row r="17477" spans="4:7" ht="15" x14ac:dyDescent="0.3">
      <c r="D17477" s="25"/>
      <c r="F17477" s="21"/>
      <c r="G17477" s="16"/>
    </row>
    <row r="17478" spans="4:7" ht="15" x14ac:dyDescent="0.3">
      <c r="D17478" s="25"/>
      <c r="F17478" s="21"/>
      <c r="G17478" s="16"/>
    </row>
    <row r="17479" spans="4:7" ht="15" x14ac:dyDescent="0.3">
      <c r="D17479" s="25"/>
      <c r="F17479" s="21"/>
      <c r="G17479" s="16"/>
    </row>
    <row r="17480" spans="4:7" ht="15" x14ac:dyDescent="0.3">
      <c r="D17480" s="25"/>
      <c r="F17480" s="21"/>
      <c r="G17480" s="16"/>
    </row>
    <row r="17481" spans="4:7" ht="15" x14ac:dyDescent="0.3">
      <c r="D17481" s="25"/>
      <c r="F17481" s="21"/>
      <c r="G17481" s="16"/>
    </row>
    <row r="17482" spans="4:7" ht="15" x14ac:dyDescent="0.3">
      <c r="D17482" s="25"/>
      <c r="F17482" s="21"/>
      <c r="G17482" s="16"/>
    </row>
    <row r="17483" spans="4:7" ht="15" x14ac:dyDescent="0.3">
      <c r="D17483" s="25"/>
      <c r="F17483" s="21"/>
      <c r="G17483" s="16"/>
    </row>
    <row r="17484" spans="4:7" ht="15" x14ac:dyDescent="0.3">
      <c r="D17484" s="25"/>
      <c r="F17484" s="21"/>
      <c r="G17484" s="16"/>
    </row>
    <row r="17485" spans="4:7" ht="15" x14ac:dyDescent="0.3">
      <c r="D17485" s="25"/>
      <c r="F17485" s="21"/>
      <c r="G17485" s="16"/>
    </row>
    <row r="17486" spans="4:7" ht="15" x14ac:dyDescent="0.3">
      <c r="D17486" s="25"/>
      <c r="F17486" s="21"/>
      <c r="G17486" s="16"/>
    </row>
    <row r="17487" spans="4:7" ht="15" x14ac:dyDescent="0.3">
      <c r="D17487" s="25"/>
      <c r="F17487" s="21"/>
      <c r="G17487" s="16"/>
    </row>
    <row r="17488" spans="4:7" ht="15" x14ac:dyDescent="0.3">
      <c r="D17488" s="25"/>
      <c r="F17488" s="21"/>
      <c r="G17488" s="16"/>
    </row>
    <row r="17489" spans="4:7" ht="15" x14ac:dyDescent="0.3">
      <c r="D17489" s="25"/>
      <c r="F17489" s="21"/>
      <c r="G17489" s="16"/>
    </row>
    <row r="17490" spans="4:7" ht="15" x14ac:dyDescent="0.3">
      <c r="D17490" s="25"/>
      <c r="F17490" s="21"/>
      <c r="G17490" s="16"/>
    </row>
    <row r="17491" spans="4:7" ht="15" x14ac:dyDescent="0.3">
      <c r="D17491" s="25"/>
      <c r="F17491" s="21"/>
      <c r="G17491" s="16"/>
    </row>
    <row r="17492" spans="4:7" ht="15" x14ac:dyDescent="0.3">
      <c r="D17492" s="25"/>
      <c r="F17492" s="21"/>
      <c r="G17492" s="16"/>
    </row>
    <row r="17493" spans="4:7" ht="15" x14ac:dyDescent="0.3">
      <c r="D17493" s="25"/>
      <c r="F17493" s="21"/>
      <c r="G17493" s="16"/>
    </row>
    <row r="17494" spans="4:7" ht="15" x14ac:dyDescent="0.3">
      <c r="D17494" s="25"/>
      <c r="F17494" s="21"/>
      <c r="G17494" s="16"/>
    </row>
    <row r="17495" spans="4:7" ht="15" x14ac:dyDescent="0.3">
      <c r="D17495" s="25"/>
      <c r="F17495" s="21"/>
      <c r="G17495" s="16"/>
    </row>
    <row r="17496" spans="4:7" ht="15" x14ac:dyDescent="0.3">
      <c r="D17496" s="25"/>
      <c r="F17496" s="21"/>
      <c r="G17496" s="16"/>
    </row>
    <row r="17497" spans="4:7" ht="15" x14ac:dyDescent="0.3">
      <c r="D17497" s="25"/>
      <c r="F17497" s="21"/>
      <c r="G17497" s="16"/>
    </row>
    <row r="17498" spans="4:7" ht="15" x14ac:dyDescent="0.3">
      <c r="D17498" s="25"/>
      <c r="F17498" s="21"/>
      <c r="G17498" s="16"/>
    </row>
    <row r="17499" spans="4:7" ht="15" x14ac:dyDescent="0.3">
      <c r="D17499" s="25"/>
      <c r="F17499" s="21"/>
      <c r="G17499" s="16"/>
    </row>
    <row r="17500" spans="4:7" ht="15" x14ac:dyDescent="0.3">
      <c r="D17500" s="25"/>
      <c r="F17500" s="21"/>
      <c r="G17500" s="16"/>
    </row>
    <row r="17501" spans="4:7" ht="15" x14ac:dyDescent="0.3">
      <c r="D17501" s="25"/>
      <c r="F17501" s="21"/>
      <c r="G17501" s="16"/>
    </row>
    <row r="17502" spans="4:7" ht="15" x14ac:dyDescent="0.3">
      <c r="D17502" s="25"/>
      <c r="F17502" s="21"/>
      <c r="G17502" s="16"/>
    </row>
    <row r="17503" spans="4:7" ht="15" x14ac:dyDescent="0.3">
      <c r="D17503" s="25"/>
      <c r="F17503" s="21"/>
      <c r="G17503" s="16"/>
    </row>
    <row r="17504" spans="4:7" ht="15" x14ac:dyDescent="0.3">
      <c r="D17504" s="25"/>
      <c r="F17504" s="21"/>
      <c r="G17504" s="16"/>
    </row>
    <row r="17505" spans="4:7" ht="15" x14ac:dyDescent="0.3">
      <c r="D17505" s="25"/>
      <c r="F17505" s="21"/>
      <c r="G17505" s="16"/>
    </row>
    <row r="17506" spans="4:7" ht="15" x14ac:dyDescent="0.3">
      <c r="D17506" s="25"/>
      <c r="F17506" s="21"/>
      <c r="G17506" s="16"/>
    </row>
    <row r="17507" spans="4:7" ht="15" x14ac:dyDescent="0.3">
      <c r="D17507" s="25"/>
      <c r="F17507" s="21"/>
      <c r="G17507" s="16"/>
    </row>
    <row r="17508" spans="4:7" ht="15" x14ac:dyDescent="0.3">
      <c r="D17508" s="25"/>
      <c r="F17508" s="21"/>
      <c r="G17508" s="16"/>
    </row>
    <row r="17509" spans="4:7" ht="15" x14ac:dyDescent="0.3">
      <c r="D17509" s="25"/>
      <c r="F17509" s="21"/>
      <c r="G17509" s="16"/>
    </row>
    <row r="17510" spans="4:7" ht="15" x14ac:dyDescent="0.3">
      <c r="D17510" s="25"/>
      <c r="F17510" s="21"/>
      <c r="G17510" s="16"/>
    </row>
    <row r="17511" spans="4:7" ht="15" x14ac:dyDescent="0.3">
      <c r="D17511" s="25"/>
      <c r="F17511" s="21"/>
      <c r="G17511" s="16"/>
    </row>
    <row r="17512" spans="4:7" ht="15" x14ac:dyDescent="0.3">
      <c r="D17512" s="25"/>
      <c r="F17512" s="21"/>
      <c r="G17512" s="16"/>
    </row>
    <row r="17513" spans="4:7" ht="15" x14ac:dyDescent="0.3">
      <c r="D17513" s="25"/>
      <c r="F17513" s="21"/>
      <c r="G17513" s="16"/>
    </row>
    <row r="17514" spans="4:7" ht="15" x14ac:dyDescent="0.3">
      <c r="D17514" s="25"/>
      <c r="F17514" s="21"/>
      <c r="G17514" s="16"/>
    </row>
    <row r="17515" spans="4:7" ht="15" x14ac:dyDescent="0.3">
      <c r="D17515" s="25"/>
      <c r="F17515" s="21"/>
      <c r="G17515" s="16"/>
    </row>
    <row r="17516" spans="4:7" ht="15" x14ac:dyDescent="0.3">
      <c r="D17516" s="25"/>
      <c r="F17516" s="21"/>
      <c r="G17516" s="16"/>
    </row>
    <row r="17517" spans="4:7" ht="15" x14ac:dyDescent="0.3">
      <c r="D17517" s="25"/>
      <c r="F17517" s="21"/>
      <c r="G17517" s="16"/>
    </row>
    <row r="17518" spans="4:7" ht="15" x14ac:dyDescent="0.3">
      <c r="D17518" s="25"/>
      <c r="F17518" s="21"/>
      <c r="G17518" s="16"/>
    </row>
    <row r="17519" spans="4:7" ht="15" x14ac:dyDescent="0.3">
      <c r="D17519" s="25"/>
      <c r="F17519" s="21"/>
      <c r="G17519" s="16"/>
    </row>
    <row r="17520" spans="4:7" ht="15" x14ac:dyDescent="0.3">
      <c r="D17520" s="25"/>
      <c r="F17520" s="21"/>
      <c r="G17520" s="16"/>
    </row>
    <row r="17521" spans="4:7" ht="15" x14ac:dyDescent="0.3">
      <c r="D17521" s="25"/>
      <c r="F17521" s="21"/>
      <c r="G17521" s="16"/>
    </row>
    <row r="17522" spans="4:7" ht="15" x14ac:dyDescent="0.3">
      <c r="D17522" s="25"/>
      <c r="F17522" s="21"/>
      <c r="G17522" s="16"/>
    </row>
    <row r="17523" spans="4:7" ht="15" x14ac:dyDescent="0.3">
      <c r="D17523" s="25"/>
      <c r="F17523" s="21"/>
      <c r="G17523" s="16"/>
    </row>
    <row r="17524" spans="4:7" ht="15" x14ac:dyDescent="0.3">
      <c r="D17524" s="25"/>
      <c r="F17524" s="21"/>
      <c r="G17524" s="16"/>
    </row>
    <row r="17525" spans="4:7" ht="15" x14ac:dyDescent="0.3">
      <c r="D17525" s="25"/>
      <c r="F17525" s="21"/>
      <c r="G17525" s="16"/>
    </row>
    <row r="17526" spans="4:7" ht="15" x14ac:dyDescent="0.3">
      <c r="D17526" s="25"/>
      <c r="F17526" s="21"/>
      <c r="G17526" s="16"/>
    </row>
    <row r="17527" spans="4:7" ht="15" x14ac:dyDescent="0.3">
      <c r="D17527" s="25"/>
      <c r="F17527" s="21"/>
      <c r="G17527" s="16"/>
    </row>
    <row r="17528" spans="4:7" ht="15" x14ac:dyDescent="0.3">
      <c r="D17528" s="25"/>
      <c r="F17528" s="21"/>
      <c r="G17528" s="16"/>
    </row>
    <row r="17529" spans="4:7" ht="15" x14ac:dyDescent="0.3">
      <c r="D17529" s="25"/>
      <c r="F17529" s="21"/>
      <c r="G17529" s="16"/>
    </row>
    <row r="17530" spans="4:7" ht="15" x14ac:dyDescent="0.3">
      <c r="D17530" s="25"/>
      <c r="F17530" s="21"/>
      <c r="G17530" s="16"/>
    </row>
    <row r="17531" spans="4:7" ht="15" x14ac:dyDescent="0.3">
      <c r="D17531" s="25"/>
      <c r="F17531" s="21"/>
      <c r="G17531" s="16"/>
    </row>
    <row r="17532" spans="4:7" ht="15" x14ac:dyDescent="0.3">
      <c r="D17532" s="25"/>
      <c r="F17532" s="21"/>
      <c r="G17532" s="16"/>
    </row>
    <row r="17533" spans="4:7" ht="15" x14ac:dyDescent="0.3">
      <c r="D17533" s="25"/>
      <c r="F17533" s="21"/>
      <c r="G17533" s="16"/>
    </row>
    <row r="17534" spans="4:7" ht="15" x14ac:dyDescent="0.3">
      <c r="D17534" s="25"/>
      <c r="F17534" s="21"/>
      <c r="G17534" s="16"/>
    </row>
    <row r="17535" spans="4:7" ht="15" x14ac:dyDescent="0.3">
      <c r="D17535" s="25"/>
      <c r="F17535" s="21"/>
      <c r="G17535" s="16"/>
    </row>
    <row r="17536" spans="4:7" ht="15" x14ac:dyDescent="0.3">
      <c r="D17536" s="25"/>
      <c r="F17536" s="21"/>
      <c r="G17536" s="16"/>
    </row>
    <row r="17537" spans="4:7" ht="15" x14ac:dyDescent="0.3">
      <c r="D17537" s="25"/>
      <c r="F17537" s="21"/>
      <c r="G17537" s="16"/>
    </row>
    <row r="17538" spans="4:7" ht="15" x14ac:dyDescent="0.3">
      <c r="D17538" s="25"/>
      <c r="F17538" s="21"/>
      <c r="G17538" s="16"/>
    </row>
    <row r="17539" spans="4:7" ht="15" x14ac:dyDescent="0.3">
      <c r="D17539" s="25"/>
      <c r="F17539" s="21"/>
      <c r="G17539" s="16"/>
    </row>
    <row r="17540" spans="4:7" ht="15" x14ac:dyDescent="0.3">
      <c r="D17540" s="25"/>
      <c r="F17540" s="21"/>
      <c r="G17540" s="16"/>
    </row>
    <row r="17541" spans="4:7" ht="15" x14ac:dyDescent="0.3">
      <c r="D17541" s="25"/>
      <c r="F17541" s="21"/>
      <c r="G17541" s="16"/>
    </row>
    <row r="17542" spans="4:7" ht="15" x14ac:dyDescent="0.3">
      <c r="D17542" s="25"/>
      <c r="F17542" s="21"/>
      <c r="G17542" s="16"/>
    </row>
    <row r="17543" spans="4:7" ht="15" x14ac:dyDescent="0.3">
      <c r="D17543" s="25"/>
      <c r="F17543" s="21"/>
      <c r="G17543" s="16"/>
    </row>
    <row r="17544" spans="4:7" ht="15" x14ac:dyDescent="0.3">
      <c r="D17544" s="25"/>
      <c r="F17544" s="21"/>
      <c r="G17544" s="16"/>
    </row>
    <row r="17545" spans="4:7" ht="15" x14ac:dyDescent="0.3">
      <c r="D17545" s="25"/>
      <c r="F17545" s="21"/>
      <c r="G17545" s="16"/>
    </row>
    <row r="17546" spans="4:7" ht="15" x14ac:dyDescent="0.3">
      <c r="D17546" s="25"/>
      <c r="F17546" s="21"/>
      <c r="G17546" s="16"/>
    </row>
    <row r="17547" spans="4:7" ht="15" x14ac:dyDescent="0.3">
      <c r="D17547" s="25"/>
      <c r="F17547" s="21"/>
      <c r="G17547" s="16"/>
    </row>
    <row r="17548" spans="4:7" ht="15" x14ac:dyDescent="0.3">
      <c r="D17548" s="25"/>
      <c r="F17548" s="21"/>
      <c r="G17548" s="16"/>
    </row>
    <row r="17549" spans="4:7" ht="15" x14ac:dyDescent="0.3">
      <c r="D17549" s="25"/>
      <c r="F17549" s="21"/>
      <c r="G17549" s="16"/>
    </row>
    <row r="17550" spans="4:7" ht="15" x14ac:dyDescent="0.3">
      <c r="D17550" s="25"/>
      <c r="F17550" s="21"/>
      <c r="G17550" s="16"/>
    </row>
    <row r="17551" spans="4:7" ht="15" x14ac:dyDescent="0.3">
      <c r="D17551" s="25"/>
      <c r="F17551" s="21"/>
      <c r="G17551" s="16"/>
    </row>
    <row r="17552" spans="4:7" ht="15" x14ac:dyDescent="0.3">
      <c r="D17552" s="25"/>
      <c r="F17552" s="21"/>
      <c r="G17552" s="16"/>
    </row>
    <row r="17553" spans="4:7" ht="15" x14ac:dyDescent="0.3">
      <c r="D17553" s="25"/>
      <c r="F17553" s="21"/>
      <c r="G17553" s="16"/>
    </row>
    <row r="17554" spans="4:7" ht="15" x14ac:dyDescent="0.3">
      <c r="D17554" s="25"/>
      <c r="F17554" s="21"/>
      <c r="G17554" s="16"/>
    </row>
    <row r="17555" spans="4:7" ht="15" x14ac:dyDescent="0.3">
      <c r="D17555" s="25"/>
      <c r="F17555" s="21"/>
      <c r="G17555" s="16"/>
    </row>
    <row r="17556" spans="4:7" ht="15" x14ac:dyDescent="0.3">
      <c r="D17556" s="25"/>
      <c r="F17556" s="21"/>
      <c r="G17556" s="16"/>
    </row>
    <row r="17557" spans="4:7" ht="15" x14ac:dyDescent="0.3">
      <c r="D17557" s="25"/>
      <c r="F17557" s="21"/>
      <c r="G17557" s="16"/>
    </row>
    <row r="17558" spans="4:7" ht="15" x14ac:dyDescent="0.3">
      <c r="D17558" s="25"/>
      <c r="F17558" s="21"/>
      <c r="G17558" s="16"/>
    </row>
    <row r="17559" spans="4:7" ht="15" x14ac:dyDescent="0.3">
      <c r="D17559" s="25"/>
      <c r="F17559" s="21"/>
      <c r="G17559" s="16"/>
    </row>
    <row r="17560" spans="4:7" ht="15" x14ac:dyDescent="0.3">
      <c r="D17560" s="25"/>
      <c r="F17560" s="21"/>
      <c r="G17560" s="16"/>
    </row>
    <row r="17561" spans="4:7" ht="15" x14ac:dyDescent="0.3">
      <c r="D17561" s="25"/>
      <c r="F17561" s="21"/>
      <c r="G17561" s="16"/>
    </row>
    <row r="17562" spans="4:7" ht="15" x14ac:dyDescent="0.3">
      <c r="D17562" s="25"/>
      <c r="F17562" s="21"/>
      <c r="G17562" s="16"/>
    </row>
    <row r="17563" spans="4:7" ht="15" x14ac:dyDescent="0.3">
      <c r="D17563" s="25"/>
      <c r="F17563" s="21"/>
      <c r="G17563" s="16"/>
    </row>
    <row r="17564" spans="4:7" ht="15" x14ac:dyDescent="0.3">
      <c r="D17564" s="25"/>
      <c r="F17564" s="21"/>
      <c r="G17564" s="16"/>
    </row>
    <row r="17565" spans="4:7" ht="15" x14ac:dyDescent="0.3">
      <c r="D17565" s="25"/>
      <c r="F17565" s="21"/>
      <c r="G17565" s="16"/>
    </row>
    <row r="17566" spans="4:7" ht="15" x14ac:dyDescent="0.3">
      <c r="D17566" s="25"/>
      <c r="F17566" s="21"/>
      <c r="G17566" s="16"/>
    </row>
    <row r="17567" spans="4:7" ht="15" x14ac:dyDescent="0.3">
      <c r="D17567" s="25"/>
      <c r="F17567" s="21"/>
      <c r="G17567" s="16"/>
    </row>
    <row r="17568" spans="4:7" ht="15" x14ac:dyDescent="0.3">
      <c r="D17568" s="25"/>
      <c r="F17568" s="21"/>
      <c r="G17568" s="16"/>
    </row>
    <row r="17569" spans="4:7" ht="15" x14ac:dyDescent="0.3">
      <c r="D17569" s="25"/>
      <c r="F17569" s="21"/>
      <c r="G17569" s="16"/>
    </row>
    <row r="17570" spans="4:7" ht="15" x14ac:dyDescent="0.3">
      <c r="D17570" s="25"/>
      <c r="F17570" s="21"/>
      <c r="G17570" s="16"/>
    </row>
    <row r="17571" spans="4:7" ht="15" x14ac:dyDescent="0.3">
      <c r="D17571" s="25"/>
      <c r="F17571" s="21"/>
      <c r="G17571" s="16"/>
    </row>
    <row r="17572" spans="4:7" ht="15" x14ac:dyDescent="0.3">
      <c r="D17572" s="25"/>
      <c r="F17572" s="21"/>
      <c r="G17572" s="16"/>
    </row>
    <row r="17573" spans="4:7" ht="15" x14ac:dyDescent="0.3">
      <c r="D17573" s="25"/>
      <c r="F17573" s="21"/>
      <c r="G17573" s="16"/>
    </row>
    <row r="17574" spans="4:7" ht="15" x14ac:dyDescent="0.3">
      <c r="D17574" s="25"/>
      <c r="F17574" s="21"/>
      <c r="G17574" s="16"/>
    </row>
    <row r="17575" spans="4:7" ht="15" x14ac:dyDescent="0.3">
      <c r="D17575" s="25"/>
      <c r="F17575" s="21"/>
      <c r="G17575" s="16"/>
    </row>
    <row r="17576" spans="4:7" ht="15" x14ac:dyDescent="0.3">
      <c r="D17576" s="25"/>
      <c r="F17576" s="21"/>
      <c r="G17576" s="16"/>
    </row>
    <row r="17577" spans="4:7" ht="15" x14ac:dyDescent="0.3">
      <c r="D17577" s="25"/>
      <c r="F17577" s="21"/>
      <c r="G17577" s="16"/>
    </row>
    <row r="17578" spans="4:7" ht="15" x14ac:dyDescent="0.3">
      <c r="D17578" s="25"/>
      <c r="F17578" s="21"/>
      <c r="G17578" s="16"/>
    </row>
    <row r="17579" spans="4:7" ht="15" x14ac:dyDescent="0.3">
      <c r="D17579" s="25"/>
      <c r="F17579" s="21"/>
      <c r="G17579" s="16"/>
    </row>
    <row r="17580" spans="4:7" ht="15" x14ac:dyDescent="0.3">
      <c r="D17580" s="25"/>
      <c r="F17580" s="21"/>
      <c r="G17580" s="16"/>
    </row>
    <row r="17581" spans="4:7" ht="15" x14ac:dyDescent="0.3">
      <c r="D17581" s="25"/>
      <c r="F17581" s="21"/>
      <c r="G17581" s="16"/>
    </row>
    <row r="17582" spans="4:7" ht="15" x14ac:dyDescent="0.3">
      <c r="D17582" s="25"/>
      <c r="F17582" s="21"/>
      <c r="G17582" s="16"/>
    </row>
    <row r="17583" spans="4:7" ht="15" x14ac:dyDescent="0.3">
      <c r="D17583" s="25"/>
      <c r="F17583" s="21"/>
      <c r="G17583" s="16"/>
    </row>
    <row r="17584" spans="4:7" ht="15" x14ac:dyDescent="0.3">
      <c r="D17584" s="25"/>
      <c r="F17584" s="21"/>
      <c r="G17584" s="16"/>
    </row>
    <row r="17585" spans="4:7" ht="15" x14ac:dyDescent="0.3">
      <c r="D17585" s="25"/>
      <c r="F17585" s="21"/>
      <c r="G17585" s="16"/>
    </row>
    <row r="17586" spans="4:7" ht="15" x14ac:dyDescent="0.3">
      <c r="D17586" s="25"/>
      <c r="F17586" s="21"/>
      <c r="G17586" s="16"/>
    </row>
    <row r="17587" spans="4:7" ht="15" x14ac:dyDescent="0.3">
      <c r="D17587" s="25"/>
      <c r="F17587" s="21"/>
      <c r="G17587" s="16"/>
    </row>
    <row r="17588" spans="4:7" ht="15" x14ac:dyDescent="0.3">
      <c r="D17588" s="25"/>
      <c r="F17588" s="21"/>
      <c r="G17588" s="16"/>
    </row>
    <row r="17589" spans="4:7" ht="15" x14ac:dyDescent="0.3">
      <c r="D17589" s="25"/>
      <c r="F17589" s="21"/>
      <c r="G17589" s="16"/>
    </row>
    <row r="17590" spans="4:7" ht="15" x14ac:dyDescent="0.3">
      <c r="D17590" s="25"/>
      <c r="F17590" s="21"/>
      <c r="G17590" s="16"/>
    </row>
    <row r="17591" spans="4:7" ht="15" x14ac:dyDescent="0.3">
      <c r="D17591" s="25"/>
      <c r="F17591" s="21"/>
      <c r="G17591" s="16"/>
    </row>
    <row r="17592" spans="4:7" ht="15" x14ac:dyDescent="0.3">
      <c r="D17592" s="25"/>
      <c r="F17592" s="21"/>
      <c r="G17592" s="16"/>
    </row>
    <row r="17593" spans="4:7" ht="15" x14ac:dyDescent="0.3">
      <c r="D17593" s="25"/>
      <c r="F17593" s="21"/>
      <c r="G17593" s="16"/>
    </row>
    <row r="17594" spans="4:7" ht="15" x14ac:dyDescent="0.3">
      <c r="D17594" s="25"/>
      <c r="F17594" s="21"/>
      <c r="G17594" s="16"/>
    </row>
    <row r="17595" spans="4:7" ht="15" x14ac:dyDescent="0.3">
      <c r="D17595" s="25"/>
      <c r="F17595" s="21"/>
      <c r="G17595" s="16"/>
    </row>
    <row r="17596" spans="4:7" ht="15" x14ac:dyDescent="0.3">
      <c r="D17596" s="25"/>
      <c r="F17596" s="21"/>
      <c r="G17596" s="16"/>
    </row>
    <row r="17597" spans="4:7" ht="15" x14ac:dyDescent="0.3">
      <c r="D17597" s="25"/>
      <c r="F17597" s="21"/>
      <c r="G17597" s="16"/>
    </row>
    <row r="17598" spans="4:7" ht="15" x14ac:dyDescent="0.3">
      <c r="D17598" s="25"/>
      <c r="F17598" s="21"/>
      <c r="G17598" s="16"/>
    </row>
    <row r="17599" spans="4:7" ht="15" x14ac:dyDescent="0.3">
      <c r="D17599" s="25"/>
      <c r="F17599" s="21"/>
      <c r="G17599" s="16"/>
    </row>
    <row r="17600" spans="4:7" ht="15" x14ac:dyDescent="0.3">
      <c r="D17600" s="25"/>
      <c r="F17600" s="21"/>
      <c r="G17600" s="16"/>
    </row>
    <row r="17601" spans="4:7" ht="15" x14ac:dyDescent="0.3">
      <c r="D17601" s="25"/>
      <c r="F17601" s="21"/>
      <c r="G17601" s="16"/>
    </row>
    <row r="17602" spans="4:7" ht="15" x14ac:dyDescent="0.3">
      <c r="D17602" s="25"/>
      <c r="F17602" s="21"/>
      <c r="G17602" s="16"/>
    </row>
    <row r="17603" spans="4:7" ht="15" x14ac:dyDescent="0.3">
      <c r="D17603" s="25"/>
      <c r="F17603" s="21"/>
      <c r="G17603" s="16"/>
    </row>
    <row r="17604" spans="4:7" ht="15" x14ac:dyDescent="0.3">
      <c r="D17604" s="25"/>
      <c r="F17604" s="21"/>
      <c r="G17604" s="16"/>
    </row>
    <row r="17605" spans="4:7" ht="15" x14ac:dyDescent="0.3">
      <c r="D17605" s="25"/>
      <c r="F17605" s="21"/>
      <c r="G17605" s="16"/>
    </row>
    <row r="17606" spans="4:7" ht="15" x14ac:dyDescent="0.3">
      <c r="D17606" s="25"/>
      <c r="F17606" s="21"/>
      <c r="G17606" s="16"/>
    </row>
    <row r="17607" spans="4:7" ht="15" x14ac:dyDescent="0.3">
      <c r="D17607" s="25"/>
      <c r="F17607" s="21"/>
      <c r="G17607" s="16"/>
    </row>
    <row r="17608" spans="4:7" ht="15" x14ac:dyDescent="0.3">
      <c r="D17608" s="25"/>
      <c r="F17608" s="21"/>
      <c r="G17608" s="16"/>
    </row>
    <row r="17609" spans="4:7" ht="15" x14ac:dyDescent="0.3">
      <c r="D17609" s="25"/>
      <c r="F17609" s="21"/>
      <c r="G17609" s="16"/>
    </row>
    <row r="17610" spans="4:7" ht="15" x14ac:dyDescent="0.3">
      <c r="D17610" s="25"/>
      <c r="F17610" s="21"/>
      <c r="G17610" s="16"/>
    </row>
    <row r="17611" spans="4:7" ht="15" x14ac:dyDescent="0.3">
      <c r="D17611" s="25"/>
      <c r="F17611" s="21"/>
      <c r="G17611" s="16"/>
    </row>
    <row r="17612" spans="4:7" ht="15" x14ac:dyDescent="0.3">
      <c r="D17612" s="25"/>
      <c r="F17612" s="21"/>
      <c r="G17612" s="16"/>
    </row>
    <row r="17613" spans="4:7" ht="15" x14ac:dyDescent="0.3">
      <c r="D17613" s="25"/>
      <c r="F17613" s="21"/>
      <c r="G17613" s="16"/>
    </row>
    <row r="17614" spans="4:7" ht="15" x14ac:dyDescent="0.3">
      <c r="D17614" s="25"/>
      <c r="F17614" s="21"/>
      <c r="G17614" s="16"/>
    </row>
    <row r="17615" spans="4:7" ht="15" x14ac:dyDescent="0.3">
      <c r="D17615" s="25"/>
      <c r="F17615" s="21"/>
      <c r="G17615" s="16"/>
    </row>
    <row r="17616" spans="4:7" ht="15" x14ac:dyDescent="0.3">
      <c r="D17616" s="25"/>
      <c r="F17616" s="21"/>
      <c r="G17616" s="16"/>
    </row>
    <row r="17617" spans="4:7" ht="15" x14ac:dyDescent="0.3">
      <c r="D17617" s="25"/>
      <c r="F17617" s="21"/>
      <c r="G17617" s="16"/>
    </row>
    <row r="17618" spans="4:7" ht="15" x14ac:dyDescent="0.3">
      <c r="D17618" s="25"/>
      <c r="F17618" s="21"/>
      <c r="G17618" s="16"/>
    </row>
    <row r="17619" spans="4:7" ht="15" x14ac:dyDescent="0.3">
      <c r="D17619" s="25"/>
      <c r="F17619" s="21"/>
      <c r="G17619" s="16"/>
    </row>
    <row r="17620" spans="4:7" ht="15" x14ac:dyDescent="0.3">
      <c r="D17620" s="25"/>
      <c r="F17620" s="21"/>
      <c r="G17620" s="16"/>
    </row>
    <row r="17621" spans="4:7" ht="15" x14ac:dyDescent="0.3">
      <c r="D17621" s="25"/>
      <c r="F17621" s="21"/>
      <c r="G17621" s="16"/>
    </row>
    <row r="17622" spans="4:7" ht="15" x14ac:dyDescent="0.3">
      <c r="D17622" s="25"/>
      <c r="F17622" s="21"/>
      <c r="G17622" s="16"/>
    </row>
    <row r="17623" spans="4:7" ht="15" x14ac:dyDescent="0.3">
      <c r="D17623" s="25"/>
      <c r="F17623" s="21"/>
      <c r="G17623" s="16"/>
    </row>
    <row r="17624" spans="4:7" ht="15" x14ac:dyDescent="0.3">
      <c r="D17624" s="25"/>
      <c r="F17624" s="21"/>
      <c r="G17624" s="16"/>
    </row>
    <row r="17625" spans="4:7" ht="15" x14ac:dyDescent="0.3">
      <c r="D17625" s="25"/>
      <c r="F17625" s="21"/>
      <c r="G17625" s="16"/>
    </row>
    <row r="17626" spans="4:7" ht="15" x14ac:dyDescent="0.3">
      <c r="D17626" s="25"/>
      <c r="F17626" s="21"/>
      <c r="G17626" s="16"/>
    </row>
    <row r="17627" spans="4:7" ht="15" x14ac:dyDescent="0.3">
      <c r="D17627" s="25"/>
      <c r="F17627" s="21"/>
      <c r="G17627" s="16"/>
    </row>
    <row r="17628" spans="4:7" ht="15" x14ac:dyDescent="0.3">
      <c r="D17628" s="25"/>
      <c r="F17628" s="21"/>
      <c r="G17628" s="16"/>
    </row>
    <row r="17629" spans="4:7" ht="15" x14ac:dyDescent="0.3">
      <c r="D17629" s="25"/>
      <c r="F17629" s="21"/>
      <c r="G17629" s="16"/>
    </row>
    <row r="17630" spans="4:7" ht="15" x14ac:dyDescent="0.3">
      <c r="D17630" s="25"/>
      <c r="F17630" s="21"/>
      <c r="G17630" s="16"/>
    </row>
    <row r="17631" spans="4:7" ht="15" x14ac:dyDescent="0.3">
      <c r="D17631" s="25"/>
      <c r="F17631" s="21"/>
      <c r="G17631" s="16"/>
    </row>
    <row r="17632" spans="4:7" ht="15" x14ac:dyDescent="0.3">
      <c r="D17632" s="25"/>
      <c r="F17632" s="21"/>
      <c r="G17632" s="16"/>
    </row>
    <row r="17633" spans="4:7" ht="15" x14ac:dyDescent="0.3">
      <c r="D17633" s="25"/>
      <c r="F17633" s="21"/>
      <c r="G17633" s="16"/>
    </row>
    <row r="17634" spans="4:7" ht="15" x14ac:dyDescent="0.3">
      <c r="D17634" s="25"/>
      <c r="F17634" s="21"/>
      <c r="G17634" s="16"/>
    </row>
    <row r="17635" spans="4:7" ht="15" x14ac:dyDescent="0.3">
      <c r="D17635" s="25"/>
      <c r="F17635" s="21"/>
      <c r="G17635" s="16"/>
    </row>
    <row r="17636" spans="4:7" ht="15" x14ac:dyDescent="0.3">
      <c r="D17636" s="25"/>
      <c r="F17636" s="21"/>
      <c r="G17636" s="16"/>
    </row>
    <row r="17637" spans="4:7" ht="15" x14ac:dyDescent="0.3">
      <c r="D17637" s="25"/>
      <c r="F17637" s="21"/>
      <c r="G17637" s="16"/>
    </row>
    <row r="17638" spans="4:7" ht="15" x14ac:dyDescent="0.3">
      <c r="D17638" s="25"/>
      <c r="F17638" s="21"/>
      <c r="G17638" s="16"/>
    </row>
    <row r="17639" spans="4:7" ht="15" x14ac:dyDescent="0.3">
      <c r="D17639" s="25"/>
      <c r="F17639" s="21"/>
      <c r="G17639" s="16"/>
    </row>
    <row r="17640" spans="4:7" ht="15" x14ac:dyDescent="0.3">
      <c r="D17640" s="25"/>
      <c r="F17640" s="21"/>
      <c r="G17640" s="16"/>
    </row>
    <row r="17641" spans="4:7" ht="15" x14ac:dyDescent="0.3">
      <c r="D17641" s="25"/>
      <c r="F17641" s="21"/>
      <c r="G17641" s="16"/>
    </row>
    <row r="17642" spans="4:7" ht="15" x14ac:dyDescent="0.3">
      <c r="D17642" s="25"/>
      <c r="F17642" s="21"/>
      <c r="G17642" s="16"/>
    </row>
    <row r="17643" spans="4:7" ht="15" x14ac:dyDescent="0.3">
      <c r="D17643" s="25"/>
      <c r="F17643" s="21"/>
      <c r="G17643" s="16"/>
    </row>
    <row r="17644" spans="4:7" ht="15" x14ac:dyDescent="0.3">
      <c r="D17644" s="25"/>
      <c r="F17644" s="21"/>
      <c r="G17644" s="16"/>
    </row>
    <row r="17645" spans="4:7" ht="15" x14ac:dyDescent="0.3">
      <c r="D17645" s="25"/>
      <c r="F17645" s="21"/>
      <c r="G17645" s="16"/>
    </row>
    <row r="17646" spans="4:7" ht="15" x14ac:dyDescent="0.3">
      <c r="D17646" s="25"/>
      <c r="F17646" s="21"/>
      <c r="G17646" s="16"/>
    </row>
    <row r="17647" spans="4:7" ht="15" x14ac:dyDescent="0.3">
      <c r="D17647" s="25"/>
      <c r="F17647" s="21"/>
      <c r="G17647" s="16"/>
    </row>
    <row r="17648" spans="4:7" ht="15" x14ac:dyDescent="0.3">
      <c r="D17648" s="25"/>
      <c r="F17648" s="21"/>
      <c r="G17648" s="16"/>
    </row>
    <row r="17649" spans="4:7" ht="15" x14ac:dyDescent="0.3">
      <c r="D17649" s="25"/>
      <c r="F17649" s="21"/>
      <c r="G17649" s="16"/>
    </row>
    <row r="17650" spans="4:7" ht="15" x14ac:dyDescent="0.3">
      <c r="D17650" s="25"/>
      <c r="F17650" s="21"/>
      <c r="G17650" s="16"/>
    </row>
    <row r="17651" spans="4:7" ht="15" x14ac:dyDescent="0.3">
      <c r="D17651" s="25"/>
      <c r="F17651" s="21"/>
      <c r="G17651" s="16"/>
    </row>
    <row r="17652" spans="4:7" ht="15" x14ac:dyDescent="0.3">
      <c r="D17652" s="25"/>
      <c r="F17652" s="21"/>
      <c r="G17652" s="16"/>
    </row>
    <row r="17653" spans="4:7" ht="15" x14ac:dyDescent="0.3">
      <c r="D17653" s="25"/>
      <c r="F17653" s="21"/>
      <c r="G17653" s="16"/>
    </row>
    <row r="17654" spans="4:7" ht="15" x14ac:dyDescent="0.3">
      <c r="D17654" s="25"/>
      <c r="F17654" s="21"/>
      <c r="G17654" s="16"/>
    </row>
    <row r="17655" spans="4:7" ht="15" x14ac:dyDescent="0.3">
      <c r="D17655" s="25"/>
      <c r="F17655" s="21"/>
      <c r="G17655" s="16"/>
    </row>
    <row r="17656" spans="4:7" ht="15" x14ac:dyDescent="0.3">
      <c r="D17656" s="25"/>
      <c r="F17656" s="21"/>
      <c r="G17656" s="16"/>
    </row>
    <row r="17657" spans="4:7" ht="15" x14ac:dyDescent="0.3">
      <c r="D17657" s="25"/>
      <c r="F17657" s="21"/>
      <c r="G17657" s="16"/>
    </row>
    <row r="17658" spans="4:7" ht="15" x14ac:dyDescent="0.3">
      <c r="D17658" s="25"/>
      <c r="F17658" s="21"/>
      <c r="G17658" s="16"/>
    </row>
    <row r="17659" spans="4:7" ht="15" x14ac:dyDescent="0.3">
      <c r="D17659" s="25"/>
      <c r="F17659" s="21"/>
      <c r="G17659" s="16"/>
    </row>
    <row r="17660" spans="4:7" ht="15" x14ac:dyDescent="0.3">
      <c r="D17660" s="25"/>
      <c r="F17660" s="21"/>
      <c r="G17660" s="16"/>
    </row>
    <row r="17661" spans="4:7" ht="15" x14ac:dyDescent="0.3">
      <c r="D17661" s="25"/>
      <c r="F17661" s="21"/>
      <c r="G17661" s="16"/>
    </row>
    <row r="17662" spans="4:7" ht="15" x14ac:dyDescent="0.3">
      <c r="D17662" s="25"/>
      <c r="F17662" s="21"/>
      <c r="G17662" s="16"/>
    </row>
    <row r="17663" spans="4:7" ht="15" x14ac:dyDescent="0.3">
      <c r="D17663" s="25"/>
      <c r="F17663" s="21"/>
      <c r="G17663" s="16"/>
    </row>
    <row r="17664" spans="4:7" ht="15" x14ac:dyDescent="0.3">
      <c r="D17664" s="25"/>
      <c r="F17664" s="21"/>
      <c r="G17664" s="16"/>
    </row>
    <row r="17665" spans="4:7" ht="15" x14ac:dyDescent="0.3">
      <c r="D17665" s="25"/>
      <c r="F17665" s="21"/>
      <c r="G17665" s="16"/>
    </row>
    <row r="17666" spans="4:7" ht="15" x14ac:dyDescent="0.3">
      <c r="D17666" s="25"/>
      <c r="F17666" s="21"/>
      <c r="G17666" s="16"/>
    </row>
    <row r="17667" spans="4:7" ht="15" x14ac:dyDescent="0.3">
      <c r="D17667" s="25"/>
      <c r="F17667" s="21"/>
      <c r="G17667" s="16"/>
    </row>
    <row r="17668" spans="4:7" ht="15" x14ac:dyDescent="0.3">
      <c r="D17668" s="25"/>
      <c r="F17668" s="21"/>
      <c r="G17668" s="16"/>
    </row>
    <row r="17669" spans="4:7" ht="15" x14ac:dyDescent="0.3">
      <c r="D17669" s="25"/>
      <c r="F17669" s="21"/>
      <c r="G17669" s="16"/>
    </row>
    <row r="17670" spans="4:7" ht="15" x14ac:dyDescent="0.3">
      <c r="D17670" s="25"/>
      <c r="F17670" s="21"/>
      <c r="G17670" s="16"/>
    </row>
    <row r="17671" spans="4:7" ht="15" x14ac:dyDescent="0.3">
      <c r="D17671" s="25"/>
      <c r="F17671" s="21"/>
      <c r="G17671" s="16"/>
    </row>
    <row r="17672" spans="4:7" ht="15" x14ac:dyDescent="0.3">
      <c r="D17672" s="25"/>
      <c r="F17672" s="21"/>
      <c r="G17672" s="16"/>
    </row>
    <row r="17673" spans="4:7" ht="15" x14ac:dyDescent="0.3">
      <c r="D17673" s="25"/>
      <c r="F17673" s="21"/>
      <c r="G17673" s="16"/>
    </row>
    <row r="17674" spans="4:7" ht="15" x14ac:dyDescent="0.3">
      <c r="D17674" s="25"/>
      <c r="F17674" s="21"/>
      <c r="G17674" s="16"/>
    </row>
    <row r="17675" spans="4:7" ht="15" x14ac:dyDescent="0.3">
      <c r="D17675" s="25"/>
      <c r="F17675" s="21"/>
      <c r="G17675" s="16"/>
    </row>
    <row r="17676" spans="4:7" ht="15" x14ac:dyDescent="0.3">
      <c r="D17676" s="25"/>
      <c r="F17676" s="21"/>
      <c r="G17676" s="16"/>
    </row>
    <row r="17677" spans="4:7" ht="15" x14ac:dyDescent="0.3">
      <c r="D17677" s="25"/>
      <c r="F17677" s="21"/>
      <c r="G17677" s="16"/>
    </row>
    <row r="17678" spans="4:7" ht="15" x14ac:dyDescent="0.3">
      <c r="D17678" s="25"/>
      <c r="F17678" s="21"/>
      <c r="G17678" s="16"/>
    </row>
    <row r="17679" spans="4:7" ht="15" x14ac:dyDescent="0.3">
      <c r="D17679" s="25"/>
      <c r="F17679" s="21"/>
      <c r="G17679" s="16"/>
    </row>
    <row r="17680" spans="4:7" ht="15" x14ac:dyDescent="0.3">
      <c r="D17680" s="25"/>
      <c r="F17680" s="21"/>
      <c r="G17680" s="16"/>
    </row>
    <row r="17681" spans="4:7" ht="15" x14ac:dyDescent="0.3">
      <c r="D17681" s="25"/>
      <c r="F17681" s="21"/>
      <c r="G17681" s="16"/>
    </row>
    <row r="17682" spans="4:7" ht="15" x14ac:dyDescent="0.3">
      <c r="D17682" s="25"/>
      <c r="F17682" s="21"/>
      <c r="G17682" s="16"/>
    </row>
    <row r="17683" spans="4:7" ht="15" x14ac:dyDescent="0.3">
      <c r="D17683" s="25"/>
      <c r="F17683" s="21"/>
      <c r="G17683" s="16"/>
    </row>
    <row r="17684" spans="4:7" ht="15" x14ac:dyDescent="0.3">
      <c r="D17684" s="25"/>
      <c r="F17684" s="21"/>
      <c r="G17684" s="16"/>
    </row>
    <row r="17685" spans="4:7" ht="15" x14ac:dyDescent="0.3">
      <c r="D17685" s="25"/>
      <c r="F17685" s="21"/>
      <c r="G17685" s="16"/>
    </row>
    <row r="17686" spans="4:7" ht="15" x14ac:dyDescent="0.3">
      <c r="D17686" s="25"/>
      <c r="F17686" s="21"/>
      <c r="G17686" s="16"/>
    </row>
    <row r="17687" spans="4:7" ht="15" x14ac:dyDescent="0.3">
      <c r="D17687" s="25"/>
      <c r="F17687" s="21"/>
      <c r="G17687" s="16"/>
    </row>
    <row r="17688" spans="4:7" ht="15" x14ac:dyDescent="0.3">
      <c r="D17688" s="25"/>
      <c r="F17688" s="21"/>
      <c r="G17688" s="16"/>
    </row>
    <row r="17689" spans="4:7" ht="15" x14ac:dyDescent="0.3">
      <c r="D17689" s="25"/>
      <c r="F17689" s="21"/>
      <c r="G17689" s="16"/>
    </row>
    <row r="17690" spans="4:7" ht="15" x14ac:dyDescent="0.3">
      <c r="D17690" s="25"/>
      <c r="F17690" s="21"/>
      <c r="G17690" s="16"/>
    </row>
    <row r="17691" spans="4:7" ht="15" x14ac:dyDescent="0.3">
      <c r="D17691" s="25"/>
      <c r="F17691" s="21"/>
      <c r="G17691" s="16"/>
    </row>
    <row r="17692" spans="4:7" ht="15" x14ac:dyDescent="0.3">
      <c r="D17692" s="25"/>
      <c r="F17692" s="21"/>
      <c r="G17692" s="16"/>
    </row>
    <row r="17693" spans="4:7" ht="15" x14ac:dyDescent="0.3">
      <c r="D17693" s="25"/>
      <c r="F17693" s="21"/>
      <c r="G17693" s="16"/>
    </row>
    <row r="17694" spans="4:7" ht="15" x14ac:dyDescent="0.3">
      <c r="D17694" s="25"/>
      <c r="F17694" s="21"/>
      <c r="G17694" s="16"/>
    </row>
    <row r="17695" spans="4:7" ht="15" x14ac:dyDescent="0.3">
      <c r="D17695" s="25"/>
      <c r="F17695" s="21"/>
      <c r="G17695" s="16"/>
    </row>
    <row r="17696" spans="4:7" ht="15" x14ac:dyDescent="0.3">
      <c r="D17696" s="25"/>
      <c r="F17696" s="21"/>
      <c r="G17696" s="16"/>
    </row>
    <row r="17697" spans="4:7" ht="15" x14ac:dyDescent="0.3">
      <c r="D17697" s="25"/>
      <c r="F17697" s="21"/>
      <c r="G17697" s="16"/>
    </row>
    <row r="17698" spans="4:7" ht="15" x14ac:dyDescent="0.3">
      <c r="D17698" s="25"/>
      <c r="F17698" s="21"/>
      <c r="G17698" s="16"/>
    </row>
    <row r="17699" spans="4:7" ht="15" x14ac:dyDescent="0.3">
      <c r="D17699" s="25"/>
      <c r="F17699" s="21"/>
      <c r="G17699" s="16"/>
    </row>
    <row r="17700" spans="4:7" ht="15" x14ac:dyDescent="0.3">
      <c r="D17700" s="25"/>
      <c r="F17700" s="21"/>
      <c r="G17700" s="16"/>
    </row>
    <row r="17701" spans="4:7" ht="15" x14ac:dyDescent="0.3">
      <c r="D17701" s="25"/>
      <c r="F17701" s="21"/>
      <c r="G17701" s="16"/>
    </row>
    <row r="17702" spans="4:7" ht="15" x14ac:dyDescent="0.3">
      <c r="D17702" s="25"/>
      <c r="F17702" s="21"/>
      <c r="G17702" s="16"/>
    </row>
    <row r="17703" spans="4:7" ht="15" x14ac:dyDescent="0.3">
      <c r="D17703" s="25"/>
      <c r="F17703" s="21"/>
      <c r="G17703" s="16"/>
    </row>
    <row r="17704" spans="4:7" ht="15" x14ac:dyDescent="0.3">
      <c r="D17704" s="25"/>
      <c r="F17704" s="21"/>
      <c r="G17704" s="16"/>
    </row>
    <row r="17705" spans="4:7" ht="15" x14ac:dyDescent="0.3">
      <c r="D17705" s="25"/>
      <c r="F17705" s="21"/>
      <c r="G17705" s="16"/>
    </row>
    <row r="17706" spans="4:7" ht="15" x14ac:dyDescent="0.3">
      <c r="D17706" s="25"/>
      <c r="F17706" s="21"/>
      <c r="G17706" s="16"/>
    </row>
    <row r="17707" spans="4:7" ht="15" x14ac:dyDescent="0.3">
      <c r="D17707" s="25"/>
      <c r="F17707" s="21"/>
      <c r="G17707" s="16"/>
    </row>
    <row r="17708" spans="4:7" ht="15" x14ac:dyDescent="0.3">
      <c r="D17708" s="25"/>
      <c r="F17708" s="21"/>
      <c r="G17708" s="16"/>
    </row>
    <row r="17709" spans="4:7" ht="15" x14ac:dyDescent="0.3">
      <c r="D17709" s="25"/>
      <c r="F17709" s="21"/>
      <c r="G17709" s="16"/>
    </row>
    <row r="17710" spans="4:7" ht="15" x14ac:dyDescent="0.3">
      <c r="D17710" s="25"/>
      <c r="F17710" s="21"/>
      <c r="G17710" s="16"/>
    </row>
    <row r="17711" spans="4:7" ht="15" x14ac:dyDescent="0.3">
      <c r="D17711" s="25"/>
      <c r="F17711" s="21"/>
      <c r="G17711" s="16"/>
    </row>
    <row r="17712" spans="4:7" ht="15" x14ac:dyDescent="0.3">
      <c r="D17712" s="25"/>
      <c r="F17712" s="21"/>
      <c r="G17712" s="16"/>
    </row>
    <row r="17713" spans="4:7" ht="15" x14ac:dyDescent="0.3">
      <c r="D17713" s="25"/>
      <c r="F17713" s="21"/>
      <c r="G17713" s="16"/>
    </row>
    <row r="17714" spans="4:7" ht="15" x14ac:dyDescent="0.3">
      <c r="D17714" s="25"/>
      <c r="F17714" s="21"/>
      <c r="G17714" s="16"/>
    </row>
    <row r="17715" spans="4:7" ht="15" x14ac:dyDescent="0.3">
      <c r="D17715" s="25"/>
      <c r="F17715" s="21"/>
      <c r="G17715" s="16"/>
    </row>
    <row r="17716" spans="4:7" ht="15" x14ac:dyDescent="0.3">
      <c r="D17716" s="25"/>
      <c r="F17716" s="21"/>
      <c r="G17716" s="16"/>
    </row>
    <row r="17717" spans="4:7" ht="15" x14ac:dyDescent="0.3">
      <c r="D17717" s="25"/>
      <c r="F17717" s="21"/>
      <c r="G17717" s="16"/>
    </row>
    <row r="17718" spans="4:7" ht="15" x14ac:dyDescent="0.3">
      <c r="D17718" s="25"/>
      <c r="F17718" s="21"/>
      <c r="G17718" s="16"/>
    </row>
    <row r="17719" spans="4:7" ht="15" x14ac:dyDescent="0.3">
      <c r="D17719" s="25"/>
      <c r="F17719" s="21"/>
      <c r="G17719" s="16"/>
    </row>
    <row r="17720" spans="4:7" ht="15" x14ac:dyDescent="0.3">
      <c r="D17720" s="25"/>
      <c r="F17720" s="21"/>
      <c r="G17720" s="16"/>
    </row>
    <row r="17721" spans="4:7" ht="15" x14ac:dyDescent="0.3">
      <c r="D17721" s="25"/>
      <c r="F17721" s="21"/>
      <c r="G17721" s="16"/>
    </row>
    <row r="17722" spans="4:7" ht="15" x14ac:dyDescent="0.3">
      <c r="D17722" s="25"/>
      <c r="F17722" s="21"/>
      <c r="G17722" s="16"/>
    </row>
    <row r="17723" spans="4:7" ht="15" x14ac:dyDescent="0.3">
      <c r="D17723" s="25"/>
      <c r="F17723" s="21"/>
      <c r="G17723" s="16"/>
    </row>
    <row r="17724" spans="4:7" ht="15" x14ac:dyDescent="0.3">
      <c r="D17724" s="25"/>
      <c r="F17724" s="21"/>
      <c r="G17724" s="16"/>
    </row>
    <row r="17725" spans="4:7" ht="15" x14ac:dyDescent="0.3">
      <c r="D17725" s="25"/>
      <c r="F17725" s="21"/>
      <c r="G17725" s="16"/>
    </row>
    <row r="17726" spans="4:7" ht="15" x14ac:dyDescent="0.3">
      <c r="D17726" s="25"/>
      <c r="F17726" s="21"/>
      <c r="G17726" s="16"/>
    </row>
    <row r="17727" spans="4:7" ht="15" x14ac:dyDescent="0.3">
      <c r="D17727" s="25"/>
      <c r="F17727" s="21"/>
      <c r="G17727" s="16"/>
    </row>
    <row r="17728" spans="4:7" ht="15" x14ac:dyDescent="0.3">
      <c r="D17728" s="25"/>
      <c r="F17728" s="21"/>
      <c r="G17728" s="16"/>
    </row>
    <row r="17729" spans="4:7" ht="15" x14ac:dyDescent="0.3">
      <c r="D17729" s="25"/>
      <c r="F17729" s="21"/>
      <c r="G17729" s="16"/>
    </row>
    <row r="17730" spans="4:7" ht="15" x14ac:dyDescent="0.3">
      <c r="D17730" s="25"/>
      <c r="F17730" s="21"/>
      <c r="G17730" s="16"/>
    </row>
    <row r="17731" spans="4:7" ht="15" x14ac:dyDescent="0.3">
      <c r="D17731" s="25"/>
      <c r="F17731" s="21"/>
      <c r="G17731" s="16"/>
    </row>
    <row r="17732" spans="4:7" ht="15" x14ac:dyDescent="0.3">
      <c r="D17732" s="25"/>
      <c r="F17732" s="21"/>
      <c r="G17732" s="16"/>
    </row>
    <row r="17733" spans="4:7" ht="15" x14ac:dyDescent="0.3">
      <c r="D17733" s="25"/>
      <c r="F17733" s="21"/>
      <c r="G17733" s="16"/>
    </row>
    <row r="17734" spans="4:7" ht="15" x14ac:dyDescent="0.3">
      <c r="D17734" s="25"/>
      <c r="F17734" s="21"/>
      <c r="G17734" s="16"/>
    </row>
    <row r="17735" spans="4:7" ht="15" x14ac:dyDescent="0.3">
      <c r="D17735" s="25"/>
      <c r="F17735" s="21"/>
      <c r="G17735" s="16"/>
    </row>
    <row r="17736" spans="4:7" ht="15" x14ac:dyDescent="0.3">
      <c r="D17736" s="25"/>
      <c r="F17736" s="21"/>
      <c r="G17736" s="16"/>
    </row>
    <row r="17737" spans="4:7" ht="15" x14ac:dyDescent="0.3">
      <c r="D17737" s="25"/>
      <c r="F17737" s="21"/>
      <c r="G17737" s="16"/>
    </row>
    <row r="17738" spans="4:7" ht="15" x14ac:dyDescent="0.3">
      <c r="D17738" s="25"/>
      <c r="F17738" s="21"/>
      <c r="G17738" s="16"/>
    </row>
    <row r="17739" spans="4:7" ht="15" x14ac:dyDescent="0.3">
      <c r="D17739" s="25"/>
      <c r="F17739" s="21"/>
      <c r="G17739" s="16"/>
    </row>
    <row r="17740" spans="4:7" ht="15" x14ac:dyDescent="0.3">
      <c r="D17740" s="25"/>
      <c r="F17740" s="21"/>
      <c r="G17740" s="16"/>
    </row>
    <row r="17741" spans="4:7" ht="15" x14ac:dyDescent="0.3">
      <c r="D17741" s="25"/>
      <c r="F17741" s="21"/>
      <c r="G17741" s="16"/>
    </row>
    <row r="17742" spans="4:7" ht="15" x14ac:dyDescent="0.3">
      <c r="D17742" s="25"/>
      <c r="F17742" s="21"/>
      <c r="G17742" s="16"/>
    </row>
    <row r="17743" spans="4:7" ht="15" x14ac:dyDescent="0.3">
      <c r="D17743" s="25"/>
      <c r="F17743" s="21"/>
      <c r="G17743" s="16"/>
    </row>
    <row r="17744" spans="4:7" ht="15" x14ac:dyDescent="0.3">
      <c r="D17744" s="25"/>
      <c r="F17744" s="21"/>
      <c r="G17744" s="16"/>
    </row>
    <row r="17745" spans="4:7" ht="15" x14ac:dyDescent="0.3">
      <c r="D17745" s="25"/>
      <c r="F17745" s="21"/>
      <c r="G17745" s="16"/>
    </row>
    <row r="17746" spans="4:7" ht="15" x14ac:dyDescent="0.3">
      <c r="D17746" s="25"/>
      <c r="F17746" s="21"/>
      <c r="G17746" s="16"/>
    </row>
    <row r="17747" spans="4:7" ht="15" x14ac:dyDescent="0.3">
      <c r="D17747" s="25"/>
      <c r="F17747" s="21"/>
      <c r="G17747" s="16"/>
    </row>
    <row r="17748" spans="4:7" ht="15" x14ac:dyDescent="0.3">
      <c r="D17748" s="25"/>
      <c r="F17748" s="21"/>
      <c r="G17748" s="16"/>
    </row>
    <row r="17749" spans="4:7" ht="15" x14ac:dyDescent="0.3">
      <c r="D17749" s="25"/>
      <c r="F17749" s="21"/>
      <c r="G17749" s="16"/>
    </row>
    <row r="17750" spans="4:7" ht="15" x14ac:dyDescent="0.3">
      <c r="D17750" s="25"/>
      <c r="F17750" s="21"/>
      <c r="G17750" s="16"/>
    </row>
    <row r="17751" spans="4:7" ht="15" x14ac:dyDescent="0.3">
      <c r="D17751" s="25"/>
      <c r="F17751" s="21"/>
      <c r="G17751" s="16"/>
    </row>
    <row r="17752" spans="4:7" ht="15" x14ac:dyDescent="0.3">
      <c r="D17752" s="25"/>
      <c r="F17752" s="21"/>
      <c r="G17752" s="16"/>
    </row>
    <row r="17753" spans="4:7" ht="15" x14ac:dyDescent="0.3">
      <c r="D17753" s="25"/>
      <c r="F17753" s="21"/>
      <c r="G17753" s="16"/>
    </row>
    <row r="17754" spans="4:7" ht="15" x14ac:dyDescent="0.3">
      <c r="D17754" s="25"/>
      <c r="F17754" s="21"/>
      <c r="G17754" s="16"/>
    </row>
    <row r="17755" spans="4:7" ht="15" x14ac:dyDescent="0.3">
      <c r="D17755" s="25"/>
      <c r="F17755" s="21"/>
      <c r="G17755" s="16"/>
    </row>
    <row r="17756" spans="4:7" ht="15" x14ac:dyDescent="0.3">
      <c r="D17756" s="25"/>
      <c r="F17756" s="21"/>
      <c r="G17756" s="16"/>
    </row>
    <row r="17757" spans="4:7" ht="15" x14ac:dyDescent="0.3">
      <c r="D17757" s="25"/>
      <c r="F17757" s="21"/>
      <c r="G17757" s="16"/>
    </row>
    <row r="17758" spans="4:7" ht="15" x14ac:dyDescent="0.3">
      <c r="D17758" s="25"/>
      <c r="F17758" s="21"/>
      <c r="G17758" s="16"/>
    </row>
    <row r="17759" spans="4:7" ht="15" x14ac:dyDescent="0.3">
      <c r="D17759" s="25"/>
      <c r="F17759" s="21"/>
      <c r="G17759" s="16"/>
    </row>
    <row r="17760" spans="4:7" ht="15" x14ac:dyDescent="0.3">
      <c r="D17760" s="25"/>
      <c r="F17760" s="21"/>
      <c r="G17760" s="16"/>
    </row>
    <row r="17761" spans="4:7" ht="15" x14ac:dyDescent="0.3">
      <c r="D17761" s="25"/>
      <c r="F17761" s="21"/>
      <c r="G17761" s="16"/>
    </row>
    <row r="17762" spans="4:7" ht="15" x14ac:dyDescent="0.3">
      <c r="D17762" s="25"/>
      <c r="F17762" s="21"/>
      <c r="G17762" s="16"/>
    </row>
    <row r="17763" spans="4:7" ht="15" x14ac:dyDescent="0.3">
      <c r="D17763" s="25"/>
      <c r="F17763" s="21"/>
      <c r="G17763" s="16"/>
    </row>
    <row r="17764" spans="4:7" ht="15" x14ac:dyDescent="0.3">
      <c r="D17764" s="25"/>
      <c r="F17764" s="21"/>
      <c r="G17764" s="16"/>
    </row>
    <row r="17765" spans="4:7" ht="15" x14ac:dyDescent="0.3">
      <c r="D17765" s="25"/>
      <c r="F17765" s="21"/>
      <c r="G17765" s="16"/>
    </row>
    <row r="17766" spans="4:7" ht="15" x14ac:dyDescent="0.3">
      <c r="D17766" s="25"/>
      <c r="F17766" s="21"/>
      <c r="G17766" s="16"/>
    </row>
    <row r="17767" spans="4:7" ht="15" x14ac:dyDescent="0.3">
      <c r="D17767" s="25"/>
      <c r="F17767" s="21"/>
      <c r="G17767" s="16"/>
    </row>
    <row r="17768" spans="4:7" ht="15" x14ac:dyDescent="0.3">
      <c r="D17768" s="25"/>
      <c r="F17768" s="21"/>
      <c r="G17768" s="16"/>
    </row>
    <row r="17769" spans="4:7" ht="15" x14ac:dyDescent="0.3">
      <c r="D17769" s="25"/>
      <c r="F17769" s="21"/>
      <c r="G17769" s="16"/>
    </row>
    <row r="17770" spans="4:7" ht="15" x14ac:dyDescent="0.3">
      <c r="D17770" s="25"/>
      <c r="F17770" s="21"/>
      <c r="G17770" s="16"/>
    </row>
    <row r="17771" spans="4:7" ht="15" x14ac:dyDescent="0.3">
      <c r="D17771" s="25"/>
      <c r="F17771" s="21"/>
      <c r="G17771" s="16"/>
    </row>
    <row r="17772" spans="4:7" ht="15" x14ac:dyDescent="0.3">
      <c r="D17772" s="25"/>
      <c r="F17772" s="21"/>
      <c r="G17772" s="16"/>
    </row>
    <row r="17773" spans="4:7" ht="15" x14ac:dyDescent="0.3">
      <c r="D17773" s="25"/>
      <c r="F17773" s="21"/>
      <c r="G17773" s="16"/>
    </row>
    <row r="17774" spans="4:7" ht="15" x14ac:dyDescent="0.3">
      <c r="D17774" s="25"/>
      <c r="F17774" s="21"/>
      <c r="G17774" s="16"/>
    </row>
    <row r="17775" spans="4:7" ht="15" x14ac:dyDescent="0.3">
      <c r="D17775" s="25"/>
      <c r="F17775" s="21"/>
      <c r="G17775" s="16"/>
    </row>
    <row r="17776" spans="4:7" ht="15" x14ac:dyDescent="0.3">
      <c r="D17776" s="25"/>
      <c r="F17776" s="21"/>
      <c r="G17776" s="16"/>
    </row>
    <row r="17777" spans="4:7" ht="15" x14ac:dyDescent="0.3">
      <c r="D17777" s="25"/>
      <c r="F17777" s="21"/>
      <c r="G17777" s="16"/>
    </row>
    <row r="17778" spans="4:7" ht="15" x14ac:dyDescent="0.3">
      <c r="D17778" s="25"/>
      <c r="F17778" s="21"/>
      <c r="G17778" s="16"/>
    </row>
    <row r="17779" spans="4:7" ht="15" x14ac:dyDescent="0.3">
      <c r="D17779" s="25"/>
      <c r="F17779" s="21"/>
      <c r="G17779" s="16"/>
    </row>
    <row r="17780" spans="4:7" ht="15" x14ac:dyDescent="0.3">
      <c r="D17780" s="25"/>
      <c r="F17780" s="21"/>
      <c r="G17780" s="16"/>
    </row>
    <row r="17781" spans="4:7" ht="15" x14ac:dyDescent="0.3">
      <c r="D17781" s="25"/>
      <c r="F17781" s="21"/>
      <c r="G17781" s="16"/>
    </row>
    <row r="17782" spans="4:7" ht="15" x14ac:dyDescent="0.3">
      <c r="D17782" s="25"/>
      <c r="F17782" s="21"/>
      <c r="G17782" s="16"/>
    </row>
    <row r="17783" spans="4:7" ht="15" x14ac:dyDescent="0.3">
      <c r="D17783" s="25"/>
      <c r="F17783" s="21"/>
      <c r="G17783" s="16"/>
    </row>
    <row r="17784" spans="4:7" ht="15" x14ac:dyDescent="0.3">
      <c r="D17784" s="25"/>
      <c r="F17784" s="21"/>
      <c r="G17784" s="16"/>
    </row>
    <row r="17785" spans="4:7" ht="15" x14ac:dyDescent="0.3">
      <c r="D17785" s="25"/>
      <c r="F17785" s="21"/>
      <c r="G17785" s="16"/>
    </row>
    <row r="17786" spans="4:7" ht="15" x14ac:dyDescent="0.3">
      <c r="D17786" s="25"/>
      <c r="F17786" s="21"/>
      <c r="G17786" s="16"/>
    </row>
    <row r="17787" spans="4:7" ht="15" x14ac:dyDescent="0.3">
      <c r="D17787" s="25"/>
      <c r="F17787" s="21"/>
      <c r="G17787" s="16"/>
    </row>
    <row r="17788" spans="4:7" ht="15" x14ac:dyDescent="0.3">
      <c r="D17788" s="25"/>
      <c r="F17788" s="21"/>
      <c r="G17788" s="16"/>
    </row>
    <row r="17789" spans="4:7" ht="15" x14ac:dyDescent="0.3">
      <c r="D17789" s="25"/>
      <c r="F17789" s="21"/>
      <c r="G17789" s="16"/>
    </row>
    <row r="17790" spans="4:7" ht="15" x14ac:dyDescent="0.3">
      <c r="D17790" s="25"/>
      <c r="F17790" s="21"/>
      <c r="G17790" s="16"/>
    </row>
    <row r="17791" spans="4:7" ht="15" x14ac:dyDescent="0.3">
      <c r="D17791" s="25"/>
      <c r="F17791" s="21"/>
      <c r="G17791" s="16"/>
    </row>
    <row r="17792" spans="4:7" ht="15" x14ac:dyDescent="0.3">
      <c r="D17792" s="25"/>
      <c r="F17792" s="21"/>
      <c r="G17792" s="16"/>
    </row>
    <row r="17793" spans="4:7" ht="15" x14ac:dyDescent="0.3">
      <c r="D17793" s="25"/>
      <c r="F17793" s="21"/>
      <c r="G17793" s="16"/>
    </row>
    <row r="17794" spans="4:7" ht="15" x14ac:dyDescent="0.3">
      <c r="D17794" s="25"/>
      <c r="F17794" s="21"/>
      <c r="G17794" s="16"/>
    </row>
    <row r="17795" spans="4:7" ht="15" x14ac:dyDescent="0.3">
      <c r="D17795" s="25"/>
      <c r="F17795" s="21"/>
      <c r="G17795" s="16"/>
    </row>
    <row r="17796" spans="4:7" ht="15" x14ac:dyDescent="0.3">
      <c r="D17796" s="25"/>
      <c r="F17796" s="21"/>
      <c r="G17796" s="16"/>
    </row>
    <row r="17797" spans="4:7" ht="15" x14ac:dyDescent="0.3">
      <c r="D17797" s="25"/>
      <c r="F17797" s="21"/>
      <c r="G17797" s="16"/>
    </row>
    <row r="17798" spans="4:7" ht="15" x14ac:dyDescent="0.3">
      <c r="D17798" s="25"/>
      <c r="F17798" s="21"/>
      <c r="G17798" s="16"/>
    </row>
    <row r="17799" spans="4:7" ht="15" x14ac:dyDescent="0.3">
      <c r="D17799" s="25"/>
      <c r="F17799" s="21"/>
      <c r="G17799" s="16"/>
    </row>
    <row r="17800" spans="4:7" ht="15" x14ac:dyDescent="0.3">
      <c r="D17800" s="25"/>
      <c r="F17800" s="21"/>
      <c r="G17800" s="16"/>
    </row>
    <row r="17801" spans="4:7" ht="15" x14ac:dyDescent="0.3">
      <c r="D17801" s="25"/>
      <c r="F17801" s="21"/>
      <c r="G17801" s="16"/>
    </row>
    <row r="17802" spans="4:7" ht="15" x14ac:dyDescent="0.3">
      <c r="D17802" s="25"/>
      <c r="F17802" s="21"/>
      <c r="G17802" s="16"/>
    </row>
    <row r="17803" spans="4:7" ht="15" x14ac:dyDescent="0.3">
      <c r="D17803" s="25"/>
      <c r="F17803" s="21"/>
      <c r="G17803" s="16"/>
    </row>
    <row r="17804" spans="4:7" ht="15" x14ac:dyDescent="0.3">
      <c r="D17804" s="25"/>
      <c r="F17804" s="21"/>
      <c r="G17804" s="16"/>
    </row>
    <row r="17805" spans="4:7" ht="15" x14ac:dyDescent="0.3">
      <c r="D17805" s="25"/>
      <c r="F17805" s="21"/>
      <c r="G17805" s="16"/>
    </row>
    <row r="17806" spans="4:7" ht="15" x14ac:dyDescent="0.3">
      <c r="D17806" s="25"/>
      <c r="F17806" s="21"/>
      <c r="G17806" s="16"/>
    </row>
    <row r="17807" spans="4:7" ht="15" x14ac:dyDescent="0.3">
      <c r="D17807" s="25"/>
      <c r="F17807" s="21"/>
      <c r="G17807" s="16"/>
    </row>
    <row r="17808" spans="4:7" ht="15" x14ac:dyDescent="0.3">
      <c r="D17808" s="25"/>
      <c r="F17808" s="21"/>
      <c r="G17808" s="16"/>
    </row>
    <row r="17809" spans="4:7" ht="15" x14ac:dyDescent="0.3">
      <c r="D17809" s="25"/>
      <c r="F17809" s="21"/>
      <c r="G17809" s="16"/>
    </row>
    <row r="17810" spans="4:7" ht="15" x14ac:dyDescent="0.3">
      <c r="D17810" s="25"/>
      <c r="F17810" s="21"/>
      <c r="G17810" s="16"/>
    </row>
    <row r="17811" spans="4:7" ht="15" x14ac:dyDescent="0.3">
      <c r="D17811" s="25"/>
      <c r="F17811" s="21"/>
      <c r="G17811" s="16"/>
    </row>
    <row r="17812" spans="4:7" ht="15" x14ac:dyDescent="0.3">
      <c r="D17812" s="25"/>
      <c r="F17812" s="21"/>
      <c r="G17812" s="16"/>
    </row>
    <row r="17813" spans="4:7" ht="15" x14ac:dyDescent="0.3">
      <c r="D17813" s="25"/>
      <c r="F17813" s="21"/>
      <c r="G17813" s="16"/>
    </row>
    <row r="17814" spans="4:7" ht="15" x14ac:dyDescent="0.3">
      <c r="D17814" s="25"/>
      <c r="F17814" s="21"/>
      <c r="G17814" s="16"/>
    </row>
    <row r="17815" spans="4:7" ht="15" x14ac:dyDescent="0.3">
      <c r="D17815" s="25"/>
      <c r="F17815" s="21"/>
      <c r="G17815" s="16"/>
    </row>
    <row r="17816" spans="4:7" ht="15" x14ac:dyDescent="0.3">
      <c r="D17816" s="25"/>
      <c r="F17816" s="21"/>
      <c r="G17816" s="16"/>
    </row>
    <row r="17817" spans="4:7" ht="15" x14ac:dyDescent="0.3">
      <c r="D17817" s="25"/>
      <c r="F17817" s="21"/>
      <c r="G17817" s="16"/>
    </row>
    <row r="17818" spans="4:7" ht="15" x14ac:dyDescent="0.3">
      <c r="D17818" s="25"/>
      <c r="F17818" s="21"/>
      <c r="G17818" s="16"/>
    </row>
    <row r="17819" spans="4:7" ht="15" x14ac:dyDescent="0.3">
      <c r="D17819" s="25"/>
      <c r="F17819" s="21"/>
      <c r="G17819" s="16"/>
    </row>
    <row r="17820" spans="4:7" ht="15" x14ac:dyDescent="0.3">
      <c r="D17820" s="25"/>
      <c r="F17820" s="21"/>
      <c r="G17820" s="16"/>
    </row>
    <row r="17821" spans="4:7" ht="15" x14ac:dyDescent="0.3">
      <c r="D17821" s="25"/>
      <c r="F17821" s="21"/>
      <c r="G17821" s="16"/>
    </row>
    <row r="17822" spans="4:7" ht="15" x14ac:dyDescent="0.3">
      <c r="D17822" s="25"/>
      <c r="F17822" s="21"/>
      <c r="G17822" s="16"/>
    </row>
    <row r="17823" spans="4:7" ht="15" x14ac:dyDescent="0.3">
      <c r="D17823" s="25"/>
      <c r="F17823" s="21"/>
      <c r="G17823" s="16"/>
    </row>
    <row r="17824" spans="4:7" ht="15" x14ac:dyDescent="0.3">
      <c r="D17824" s="25"/>
      <c r="F17824" s="21"/>
      <c r="G17824" s="16"/>
    </row>
    <row r="17825" spans="4:7" ht="15" x14ac:dyDescent="0.3">
      <c r="D17825" s="25"/>
      <c r="F17825" s="21"/>
      <c r="G17825" s="16"/>
    </row>
    <row r="17826" spans="4:7" ht="15" x14ac:dyDescent="0.3">
      <c r="D17826" s="25"/>
      <c r="F17826" s="21"/>
      <c r="G17826" s="16"/>
    </row>
    <row r="17827" spans="4:7" ht="15" x14ac:dyDescent="0.3">
      <c r="D17827" s="25"/>
      <c r="F17827" s="21"/>
      <c r="G17827" s="16"/>
    </row>
    <row r="17828" spans="4:7" ht="15" x14ac:dyDescent="0.3">
      <c r="D17828" s="25"/>
      <c r="F17828" s="21"/>
      <c r="G17828" s="16"/>
    </row>
    <row r="17829" spans="4:7" ht="15" x14ac:dyDescent="0.3">
      <c r="D17829" s="25"/>
      <c r="F17829" s="21"/>
      <c r="G17829" s="16"/>
    </row>
    <row r="17830" spans="4:7" ht="15" x14ac:dyDescent="0.3">
      <c r="D17830" s="25"/>
      <c r="F17830" s="21"/>
      <c r="G17830" s="16"/>
    </row>
    <row r="17831" spans="4:7" ht="15" x14ac:dyDescent="0.3">
      <c r="D17831" s="25"/>
      <c r="F17831" s="21"/>
      <c r="G17831" s="16"/>
    </row>
    <row r="17832" spans="4:7" ht="15" x14ac:dyDescent="0.3">
      <c r="D17832" s="25"/>
      <c r="F17832" s="21"/>
      <c r="G17832" s="16"/>
    </row>
    <row r="17833" spans="4:7" ht="15" x14ac:dyDescent="0.3">
      <c r="D17833" s="25"/>
      <c r="F17833" s="21"/>
      <c r="G17833" s="16"/>
    </row>
    <row r="17834" spans="4:7" ht="15" x14ac:dyDescent="0.3">
      <c r="D17834" s="25"/>
      <c r="F17834" s="21"/>
      <c r="G17834" s="16"/>
    </row>
    <row r="17835" spans="4:7" ht="15" x14ac:dyDescent="0.3">
      <c r="D17835" s="25"/>
      <c r="F17835" s="21"/>
      <c r="G17835" s="16"/>
    </row>
    <row r="17836" spans="4:7" ht="15" x14ac:dyDescent="0.3">
      <c r="D17836" s="25"/>
      <c r="F17836" s="21"/>
      <c r="G17836" s="16"/>
    </row>
    <row r="17837" spans="4:7" ht="15" x14ac:dyDescent="0.3">
      <c r="D17837" s="25"/>
      <c r="F17837" s="21"/>
      <c r="G17837" s="16"/>
    </row>
    <row r="17838" spans="4:7" ht="15" x14ac:dyDescent="0.3">
      <c r="D17838" s="25"/>
      <c r="F17838" s="21"/>
      <c r="G17838" s="16"/>
    </row>
    <row r="17839" spans="4:7" ht="15" x14ac:dyDescent="0.3">
      <c r="D17839" s="25"/>
      <c r="F17839" s="21"/>
      <c r="G17839" s="16"/>
    </row>
    <row r="17840" spans="4:7" ht="15" x14ac:dyDescent="0.3">
      <c r="D17840" s="25"/>
      <c r="F17840" s="21"/>
      <c r="G17840" s="16"/>
    </row>
    <row r="17841" spans="4:7" ht="15" x14ac:dyDescent="0.3">
      <c r="D17841" s="25"/>
      <c r="F17841" s="21"/>
      <c r="G17841" s="16"/>
    </row>
    <row r="17842" spans="4:7" ht="15" x14ac:dyDescent="0.3">
      <c r="D17842" s="25"/>
      <c r="F17842" s="21"/>
      <c r="G17842" s="16"/>
    </row>
    <row r="17843" spans="4:7" ht="15" x14ac:dyDescent="0.3">
      <c r="D17843" s="25"/>
      <c r="F17843" s="21"/>
      <c r="G17843" s="16"/>
    </row>
    <row r="17844" spans="4:7" ht="15" x14ac:dyDescent="0.3">
      <c r="D17844" s="25"/>
      <c r="F17844" s="21"/>
      <c r="G17844" s="16"/>
    </row>
    <row r="17845" spans="4:7" ht="15" x14ac:dyDescent="0.3">
      <c r="D17845" s="25"/>
      <c r="F17845" s="21"/>
      <c r="G17845" s="16"/>
    </row>
    <row r="17846" spans="4:7" ht="15" x14ac:dyDescent="0.3">
      <c r="D17846" s="25"/>
      <c r="F17846" s="21"/>
      <c r="G17846" s="16"/>
    </row>
    <row r="17847" spans="4:7" ht="15" x14ac:dyDescent="0.3">
      <c r="D17847" s="25"/>
      <c r="F17847" s="21"/>
      <c r="G17847" s="16"/>
    </row>
    <row r="17848" spans="4:7" ht="15" x14ac:dyDescent="0.3">
      <c r="D17848" s="25"/>
      <c r="F17848" s="21"/>
      <c r="G17848" s="16"/>
    </row>
    <row r="17849" spans="4:7" ht="15" x14ac:dyDescent="0.3">
      <c r="D17849" s="25"/>
      <c r="F17849" s="21"/>
      <c r="G17849" s="16"/>
    </row>
    <row r="17850" spans="4:7" ht="15" x14ac:dyDescent="0.3">
      <c r="D17850" s="25"/>
      <c r="F17850" s="21"/>
      <c r="G17850" s="16"/>
    </row>
    <row r="17851" spans="4:7" ht="15" x14ac:dyDescent="0.3">
      <c r="D17851" s="25"/>
      <c r="F17851" s="21"/>
      <c r="G17851" s="16"/>
    </row>
    <row r="17852" spans="4:7" ht="15" x14ac:dyDescent="0.3">
      <c r="D17852" s="25"/>
      <c r="F17852" s="21"/>
      <c r="G17852" s="16"/>
    </row>
    <row r="17853" spans="4:7" ht="15" x14ac:dyDescent="0.3">
      <c r="D17853" s="25"/>
      <c r="F17853" s="21"/>
      <c r="G17853" s="16"/>
    </row>
    <row r="17854" spans="4:7" ht="15" x14ac:dyDescent="0.3">
      <c r="D17854" s="25"/>
      <c r="F17854" s="21"/>
      <c r="G17854" s="16"/>
    </row>
    <row r="17855" spans="4:7" ht="15" x14ac:dyDescent="0.3">
      <c r="D17855" s="25"/>
      <c r="F17855" s="21"/>
      <c r="G17855" s="16"/>
    </row>
    <row r="17856" spans="4:7" ht="15" x14ac:dyDescent="0.3">
      <c r="D17856" s="25"/>
      <c r="F17856" s="21"/>
      <c r="G17856" s="16"/>
    </row>
    <row r="17857" spans="4:7" ht="15" x14ac:dyDescent="0.3">
      <c r="D17857" s="25"/>
      <c r="F17857" s="21"/>
      <c r="G17857" s="16"/>
    </row>
    <row r="17858" spans="4:7" ht="15" x14ac:dyDescent="0.3">
      <c r="D17858" s="25"/>
      <c r="F17858" s="21"/>
      <c r="G17858" s="16"/>
    </row>
    <row r="17859" spans="4:7" ht="15" x14ac:dyDescent="0.3">
      <c r="D17859" s="25"/>
      <c r="F17859" s="21"/>
      <c r="G17859" s="16"/>
    </row>
    <row r="17860" spans="4:7" ht="15" x14ac:dyDescent="0.3">
      <c r="D17860" s="25"/>
      <c r="F17860" s="21"/>
      <c r="G17860" s="16"/>
    </row>
    <row r="17861" spans="4:7" ht="15" x14ac:dyDescent="0.3">
      <c r="D17861" s="25"/>
      <c r="F17861" s="21"/>
      <c r="G17861" s="16"/>
    </row>
    <row r="17862" spans="4:7" ht="15" x14ac:dyDescent="0.3">
      <c r="D17862" s="25"/>
      <c r="F17862" s="21"/>
      <c r="G17862" s="16"/>
    </row>
    <row r="17863" spans="4:7" ht="15" x14ac:dyDescent="0.3">
      <c r="D17863" s="25"/>
      <c r="F17863" s="21"/>
      <c r="G17863" s="16"/>
    </row>
    <row r="17864" spans="4:7" ht="15" x14ac:dyDescent="0.3">
      <c r="D17864" s="25"/>
      <c r="F17864" s="21"/>
      <c r="G17864" s="16"/>
    </row>
    <row r="17865" spans="4:7" ht="15" x14ac:dyDescent="0.3">
      <c r="D17865" s="25"/>
      <c r="F17865" s="21"/>
      <c r="G17865" s="16"/>
    </row>
    <row r="17866" spans="4:7" ht="15" x14ac:dyDescent="0.3">
      <c r="D17866" s="25"/>
      <c r="F17866" s="21"/>
      <c r="G17866" s="16"/>
    </row>
    <row r="17867" spans="4:7" ht="15" x14ac:dyDescent="0.3">
      <c r="D17867" s="25"/>
      <c r="F17867" s="21"/>
      <c r="G17867" s="16"/>
    </row>
    <row r="17868" spans="4:7" ht="15" x14ac:dyDescent="0.3">
      <c r="D17868" s="25"/>
      <c r="F17868" s="21"/>
      <c r="G17868" s="16"/>
    </row>
    <row r="17869" spans="4:7" ht="15" x14ac:dyDescent="0.3">
      <c r="D17869" s="25"/>
      <c r="F17869" s="21"/>
      <c r="G17869" s="16"/>
    </row>
    <row r="17870" spans="4:7" ht="15" x14ac:dyDescent="0.3">
      <c r="D17870" s="25"/>
      <c r="F17870" s="21"/>
      <c r="G17870" s="16"/>
    </row>
    <row r="17871" spans="4:7" ht="15" x14ac:dyDescent="0.3">
      <c r="D17871" s="25"/>
      <c r="F17871" s="21"/>
      <c r="G17871" s="16"/>
    </row>
    <row r="17872" spans="4:7" ht="15" x14ac:dyDescent="0.3">
      <c r="D17872" s="25"/>
      <c r="F17872" s="21"/>
      <c r="G17872" s="16"/>
    </row>
    <row r="17873" spans="4:7" ht="15" x14ac:dyDescent="0.3">
      <c r="D17873" s="25"/>
      <c r="F17873" s="21"/>
      <c r="G17873" s="16"/>
    </row>
    <row r="17874" spans="4:7" ht="15" x14ac:dyDescent="0.3">
      <c r="D17874" s="25"/>
      <c r="F17874" s="21"/>
      <c r="G17874" s="16"/>
    </row>
    <row r="17875" spans="4:7" ht="15" x14ac:dyDescent="0.3">
      <c r="D17875" s="25"/>
      <c r="F17875" s="21"/>
      <c r="G17875" s="16"/>
    </row>
    <row r="17876" spans="4:7" ht="15" x14ac:dyDescent="0.3">
      <c r="D17876" s="25"/>
      <c r="F17876" s="21"/>
      <c r="G17876" s="16"/>
    </row>
    <row r="17877" spans="4:7" ht="15" x14ac:dyDescent="0.3">
      <c r="D17877" s="25"/>
      <c r="F17877" s="21"/>
      <c r="G17877" s="16"/>
    </row>
    <row r="17878" spans="4:7" ht="15" x14ac:dyDescent="0.3">
      <c r="D17878" s="25"/>
      <c r="F17878" s="21"/>
      <c r="G17878" s="16"/>
    </row>
    <row r="17879" spans="4:7" ht="15" x14ac:dyDescent="0.3">
      <c r="D17879" s="25"/>
      <c r="F17879" s="21"/>
      <c r="G17879" s="16"/>
    </row>
    <row r="17880" spans="4:7" ht="15" x14ac:dyDescent="0.3">
      <c r="D17880" s="25"/>
      <c r="F17880" s="21"/>
      <c r="G17880" s="16"/>
    </row>
    <row r="17881" spans="4:7" ht="15" x14ac:dyDescent="0.3">
      <c r="D17881" s="25"/>
      <c r="F17881" s="21"/>
      <c r="G17881" s="16"/>
    </row>
    <row r="17882" spans="4:7" ht="15" x14ac:dyDescent="0.3">
      <c r="D17882" s="25"/>
      <c r="F17882" s="21"/>
      <c r="G17882" s="16"/>
    </row>
    <row r="17883" spans="4:7" ht="15" x14ac:dyDescent="0.3">
      <c r="D17883" s="25"/>
      <c r="F17883" s="21"/>
      <c r="G17883" s="16"/>
    </row>
    <row r="17884" spans="4:7" ht="15" x14ac:dyDescent="0.3">
      <c r="D17884" s="25"/>
      <c r="F17884" s="21"/>
      <c r="G17884" s="16"/>
    </row>
    <row r="17885" spans="4:7" ht="15" x14ac:dyDescent="0.3">
      <c r="D17885" s="25"/>
      <c r="F17885" s="21"/>
      <c r="G17885" s="16"/>
    </row>
    <row r="17886" spans="4:7" ht="15" x14ac:dyDescent="0.3">
      <c r="D17886" s="25"/>
      <c r="F17886" s="21"/>
      <c r="G17886" s="16"/>
    </row>
    <row r="17887" spans="4:7" ht="15" x14ac:dyDescent="0.3">
      <c r="D17887" s="25"/>
      <c r="F17887" s="21"/>
      <c r="G17887" s="16"/>
    </row>
    <row r="17888" spans="4:7" ht="15" x14ac:dyDescent="0.3">
      <c r="D17888" s="25"/>
      <c r="F17888" s="21"/>
      <c r="G17888" s="16"/>
    </row>
    <row r="17889" spans="4:7" ht="15" x14ac:dyDescent="0.3">
      <c r="D17889" s="25"/>
      <c r="F17889" s="21"/>
      <c r="G17889" s="16"/>
    </row>
    <row r="17890" spans="4:7" ht="15" x14ac:dyDescent="0.3">
      <c r="D17890" s="25"/>
      <c r="F17890" s="21"/>
      <c r="G17890" s="16"/>
    </row>
    <row r="17891" spans="4:7" ht="15" x14ac:dyDescent="0.3">
      <c r="D17891" s="25"/>
      <c r="F17891" s="21"/>
      <c r="G17891" s="16"/>
    </row>
    <row r="17892" spans="4:7" ht="15" x14ac:dyDescent="0.3">
      <c r="D17892" s="25"/>
      <c r="F17892" s="21"/>
      <c r="G17892" s="16"/>
    </row>
    <row r="17893" spans="4:7" ht="15" x14ac:dyDescent="0.3">
      <c r="D17893" s="25"/>
      <c r="F17893" s="21"/>
      <c r="G17893" s="16"/>
    </row>
    <row r="17894" spans="4:7" ht="15" x14ac:dyDescent="0.3">
      <c r="D17894" s="25"/>
      <c r="F17894" s="21"/>
      <c r="G17894" s="16"/>
    </row>
    <row r="17895" spans="4:7" ht="15" x14ac:dyDescent="0.3">
      <c r="D17895" s="25"/>
      <c r="F17895" s="21"/>
      <c r="G17895" s="16"/>
    </row>
    <row r="17896" spans="4:7" ht="15" x14ac:dyDescent="0.3">
      <c r="D17896" s="25"/>
      <c r="F17896" s="21"/>
      <c r="G17896" s="16"/>
    </row>
    <row r="17897" spans="4:7" ht="15" x14ac:dyDescent="0.3">
      <c r="D17897" s="25"/>
      <c r="F17897" s="21"/>
      <c r="G17897" s="16"/>
    </row>
    <row r="17898" spans="4:7" ht="15" x14ac:dyDescent="0.3">
      <c r="D17898" s="25"/>
      <c r="F17898" s="21"/>
      <c r="G17898" s="16"/>
    </row>
    <row r="17899" spans="4:7" ht="15" x14ac:dyDescent="0.3">
      <c r="D17899" s="25"/>
      <c r="F17899" s="21"/>
      <c r="G17899" s="16"/>
    </row>
    <row r="17900" spans="4:7" ht="15" x14ac:dyDescent="0.3">
      <c r="D17900" s="25"/>
      <c r="F17900" s="21"/>
      <c r="G17900" s="16"/>
    </row>
    <row r="17901" spans="4:7" ht="15" x14ac:dyDescent="0.3">
      <c r="D17901" s="25"/>
      <c r="F17901" s="21"/>
      <c r="G17901" s="16"/>
    </row>
    <row r="17902" spans="4:7" ht="15" x14ac:dyDescent="0.3">
      <c r="D17902" s="25"/>
      <c r="F17902" s="21"/>
      <c r="G17902" s="16"/>
    </row>
    <row r="17903" spans="4:7" ht="15" x14ac:dyDescent="0.3">
      <c r="D17903" s="25"/>
      <c r="F17903" s="21"/>
      <c r="G17903" s="16"/>
    </row>
    <row r="17904" spans="4:7" ht="15" x14ac:dyDescent="0.3">
      <c r="D17904" s="25"/>
      <c r="F17904" s="21"/>
      <c r="G17904" s="16"/>
    </row>
    <row r="17905" spans="4:7" ht="15" x14ac:dyDescent="0.3">
      <c r="D17905" s="25"/>
      <c r="F17905" s="21"/>
      <c r="G17905" s="16"/>
    </row>
    <row r="17906" spans="4:7" x14ac:dyDescent="0.2">
      <c r="D17906" s="25"/>
      <c r="F17906" s="21"/>
    </row>
    <row r="17907" spans="4:7" x14ac:dyDescent="0.2">
      <c r="D17907" s="25"/>
      <c r="F17907" s="21"/>
    </row>
    <row r="17908" spans="4:7" ht="15" x14ac:dyDescent="0.3">
      <c r="D17908" s="25"/>
      <c r="F17908" s="21"/>
      <c r="G17908" s="16"/>
    </row>
    <row r="17909" spans="4:7" ht="15" x14ac:dyDescent="0.3">
      <c r="D17909" s="25"/>
      <c r="F17909" s="21"/>
      <c r="G17909" s="16"/>
    </row>
    <row r="17910" spans="4:7" ht="15" x14ac:dyDescent="0.3">
      <c r="D17910" s="25"/>
      <c r="F17910" s="21"/>
      <c r="G17910" s="16"/>
    </row>
    <row r="17911" spans="4:7" ht="15" x14ac:dyDescent="0.3">
      <c r="D17911" s="25"/>
      <c r="F17911" s="21"/>
      <c r="G17911" s="16"/>
    </row>
    <row r="17912" spans="4:7" ht="15" x14ac:dyDescent="0.3">
      <c r="D17912" s="25"/>
      <c r="F17912" s="21"/>
      <c r="G17912" s="16"/>
    </row>
    <row r="17913" spans="4:7" ht="15" x14ac:dyDescent="0.3">
      <c r="D17913" s="25"/>
      <c r="F17913" s="21"/>
      <c r="G17913" s="16"/>
    </row>
    <row r="17914" spans="4:7" ht="15" x14ac:dyDescent="0.3">
      <c r="D17914" s="25"/>
      <c r="F17914" s="21"/>
      <c r="G17914" s="16"/>
    </row>
    <row r="17915" spans="4:7" ht="15" x14ac:dyDescent="0.3">
      <c r="D17915" s="25"/>
      <c r="F17915" s="21"/>
      <c r="G17915" s="16"/>
    </row>
    <row r="17916" spans="4:7" ht="15" x14ac:dyDescent="0.3">
      <c r="D17916" s="25"/>
      <c r="F17916" s="21"/>
      <c r="G17916" s="16"/>
    </row>
    <row r="17917" spans="4:7" ht="15" x14ac:dyDescent="0.3">
      <c r="D17917" s="25"/>
      <c r="F17917" s="21"/>
      <c r="G17917" s="16"/>
    </row>
    <row r="17918" spans="4:7" ht="15" x14ac:dyDescent="0.3">
      <c r="D17918" s="25"/>
      <c r="F17918" s="21"/>
      <c r="G17918" s="16"/>
    </row>
    <row r="17919" spans="4:7" ht="15" x14ac:dyDescent="0.3">
      <c r="D17919" s="25"/>
      <c r="F17919" s="21"/>
      <c r="G17919" s="16"/>
    </row>
    <row r="17920" spans="4:7" ht="15" x14ac:dyDescent="0.3">
      <c r="D17920" s="25"/>
      <c r="F17920" s="21"/>
      <c r="G17920" s="16"/>
    </row>
    <row r="17921" spans="4:7" ht="15" x14ac:dyDescent="0.3">
      <c r="D17921" s="25"/>
      <c r="F17921" s="21"/>
      <c r="G17921" s="16"/>
    </row>
    <row r="17922" spans="4:7" ht="15" x14ac:dyDescent="0.3">
      <c r="D17922" s="25"/>
      <c r="F17922" s="21"/>
      <c r="G17922" s="16"/>
    </row>
    <row r="17923" spans="4:7" ht="15" x14ac:dyDescent="0.3">
      <c r="D17923" s="25"/>
      <c r="F17923" s="21"/>
      <c r="G17923" s="16"/>
    </row>
    <row r="17924" spans="4:7" ht="15" x14ac:dyDescent="0.3">
      <c r="D17924" s="25"/>
      <c r="F17924" s="21"/>
      <c r="G17924" s="16"/>
    </row>
    <row r="17925" spans="4:7" ht="15" x14ac:dyDescent="0.3">
      <c r="D17925" s="25"/>
      <c r="F17925" s="21"/>
      <c r="G17925" s="16"/>
    </row>
    <row r="17926" spans="4:7" ht="15" x14ac:dyDescent="0.3">
      <c r="D17926" s="25"/>
      <c r="F17926" s="21"/>
      <c r="G17926" s="16"/>
    </row>
    <row r="17927" spans="4:7" ht="15" x14ac:dyDescent="0.3">
      <c r="D17927" s="25"/>
      <c r="F17927" s="21"/>
      <c r="G17927" s="16"/>
    </row>
    <row r="17928" spans="4:7" ht="15" x14ac:dyDescent="0.3">
      <c r="D17928" s="25"/>
      <c r="F17928" s="21"/>
      <c r="G17928" s="16"/>
    </row>
    <row r="17929" spans="4:7" ht="15" x14ac:dyDescent="0.3">
      <c r="D17929" s="25"/>
      <c r="F17929" s="21"/>
      <c r="G17929" s="16"/>
    </row>
    <row r="17930" spans="4:7" ht="15" x14ac:dyDescent="0.3">
      <c r="D17930" s="25"/>
      <c r="F17930" s="21"/>
      <c r="G17930" s="16"/>
    </row>
    <row r="17931" spans="4:7" ht="15" x14ac:dyDescent="0.3">
      <c r="D17931" s="25"/>
      <c r="F17931" s="21"/>
      <c r="G17931" s="16"/>
    </row>
    <row r="17932" spans="4:7" ht="15" x14ac:dyDescent="0.3">
      <c r="D17932" s="25"/>
      <c r="F17932" s="21"/>
      <c r="G17932" s="16"/>
    </row>
    <row r="17933" spans="4:7" ht="15" x14ac:dyDescent="0.3">
      <c r="D17933" s="25"/>
      <c r="F17933" s="21"/>
      <c r="G17933" s="16"/>
    </row>
    <row r="17934" spans="4:7" ht="15" x14ac:dyDescent="0.3">
      <c r="D17934" s="25"/>
      <c r="F17934" s="21"/>
      <c r="G17934" s="16"/>
    </row>
    <row r="17935" spans="4:7" ht="15" x14ac:dyDescent="0.3">
      <c r="D17935" s="25"/>
      <c r="F17935" s="21"/>
      <c r="G17935" s="16"/>
    </row>
    <row r="17936" spans="4:7" ht="15" x14ac:dyDescent="0.3">
      <c r="D17936" s="25"/>
      <c r="F17936" s="21"/>
      <c r="G17936" s="16"/>
    </row>
    <row r="17937" spans="4:7" ht="15" x14ac:dyDescent="0.3">
      <c r="D17937" s="25"/>
      <c r="F17937" s="21"/>
      <c r="G17937" s="16"/>
    </row>
    <row r="17938" spans="4:7" ht="15" x14ac:dyDescent="0.3">
      <c r="D17938" s="25"/>
      <c r="F17938" s="21"/>
      <c r="G17938" s="16"/>
    </row>
    <row r="17939" spans="4:7" ht="15" x14ac:dyDescent="0.3">
      <c r="D17939" s="25"/>
      <c r="F17939" s="21"/>
      <c r="G17939" s="16"/>
    </row>
    <row r="17940" spans="4:7" ht="15" x14ac:dyDescent="0.3">
      <c r="D17940" s="25"/>
      <c r="F17940" s="21"/>
      <c r="G17940" s="16"/>
    </row>
    <row r="17941" spans="4:7" ht="15" x14ac:dyDescent="0.3">
      <c r="D17941" s="25"/>
      <c r="F17941" s="21"/>
      <c r="G17941" s="16"/>
    </row>
    <row r="17942" spans="4:7" ht="15" x14ac:dyDescent="0.3">
      <c r="D17942" s="25"/>
      <c r="F17942" s="21"/>
      <c r="G17942" s="16"/>
    </row>
    <row r="17943" spans="4:7" ht="15" x14ac:dyDescent="0.3">
      <c r="D17943" s="25"/>
      <c r="F17943" s="21"/>
      <c r="G17943" s="16"/>
    </row>
    <row r="17944" spans="4:7" ht="15" x14ac:dyDescent="0.3">
      <c r="D17944" s="25"/>
      <c r="F17944" s="21"/>
      <c r="G17944" s="16"/>
    </row>
    <row r="17945" spans="4:7" ht="15" x14ac:dyDescent="0.3">
      <c r="D17945" s="25"/>
      <c r="F17945" s="21"/>
      <c r="G17945" s="16"/>
    </row>
    <row r="17946" spans="4:7" ht="15" x14ac:dyDescent="0.3">
      <c r="D17946" s="25"/>
      <c r="F17946" s="21"/>
      <c r="G17946" s="16"/>
    </row>
    <row r="17947" spans="4:7" ht="15" x14ac:dyDescent="0.3">
      <c r="D17947" s="25"/>
      <c r="F17947" s="21"/>
      <c r="G17947" s="16"/>
    </row>
    <row r="17948" spans="4:7" ht="15" x14ac:dyDescent="0.3">
      <c r="D17948" s="25"/>
      <c r="F17948" s="21"/>
      <c r="G17948" s="16"/>
    </row>
    <row r="17949" spans="4:7" ht="15" x14ac:dyDescent="0.3">
      <c r="D17949" s="25"/>
      <c r="F17949" s="21"/>
      <c r="G17949" s="16"/>
    </row>
    <row r="17950" spans="4:7" ht="15" x14ac:dyDescent="0.3">
      <c r="D17950" s="25"/>
      <c r="F17950" s="21"/>
      <c r="G17950" s="16"/>
    </row>
    <row r="17951" spans="4:7" ht="15" x14ac:dyDescent="0.3">
      <c r="D17951" s="25"/>
      <c r="F17951" s="21"/>
      <c r="G17951" s="16"/>
    </row>
    <row r="17952" spans="4:7" ht="15" x14ac:dyDescent="0.3">
      <c r="D17952" s="25"/>
      <c r="F17952" s="21"/>
      <c r="G17952" s="16"/>
    </row>
    <row r="17953" spans="4:7" ht="15" x14ac:dyDescent="0.3">
      <c r="D17953" s="25"/>
      <c r="F17953" s="21"/>
      <c r="G17953" s="16"/>
    </row>
    <row r="17954" spans="4:7" ht="15" x14ac:dyDescent="0.3">
      <c r="D17954" s="25"/>
      <c r="F17954" s="21"/>
      <c r="G17954" s="16"/>
    </row>
    <row r="17955" spans="4:7" ht="15" x14ac:dyDescent="0.3">
      <c r="D17955" s="25"/>
      <c r="F17955" s="21"/>
      <c r="G17955" s="16"/>
    </row>
    <row r="17956" spans="4:7" ht="15" x14ac:dyDescent="0.3">
      <c r="D17956" s="25"/>
      <c r="F17956" s="21"/>
      <c r="G17956" s="16"/>
    </row>
    <row r="17957" spans="4:7" ht="15" x14ac:dyDescent="0.3">
      <c r="D17957" s="25"/>
      <c r="F17957" s="21"/>
      <c r="G17957" s="16"/>
    </row>
    <row r="17958" spans="4:7" ht="15" x14ac:dyDescent="0.3">
      <c r="D17958" s="25"/>
      <c r="F17958" s="21"/>
      <c r="G17958" s="16"/>
    </row>
    <row r="17959" spans="4:7" ht="15" x14ac:dyDescent="0.3">
      <c r="D17959" s="25"/>
      <c r="F17959" s="21"/>
      <c r="G17959" s="16"/>
    </row>
    <row r="17960" spans="4:7" ht="15" x14ac:dyDescent="0.3">
      <c r="D17960" s="25"/>
      <c r="F17960" s="21"/>
      <c r="G17960" s="16"/>
    </row>
    <row r="17961" spans="4:7" ht="15" x14ac:dyDescent="0.3">
      <c r="D17961" s="25"/>
      <c r="F17961" s="21"/>
      <c r="G17961" s="16"/>
    </row>
    <row r="17962" spans="4:7" ht="15" x14ac:dyDescent="0.3">
      <c r="D17962" s="25"/>
      <c r="F17962" s="21"/>
      <c r="G17962" s="16"/>
    </row>
    <row r="17963" spans="4:7" ht="15" x14ac:dyDescent="0.3">
      <c r="D17963" s="25"/>
      <c r="F17963" s="21"/>
      <c r="G17963" s="16"/>
    </row>
    <row r="17964" spans="4:7" ht="15" x14ac:dyDescent="0.3">
      <c r="D17964" s="25"/>
      <c r="F17964" s="21"/>
      <c r="G17964" s="16"/>
    </row>
    <row r="17965" spans="4:7" ht="15" x14ac:dyDescent="0.3">
      <c r="D17965" s="25"/>
      <c r="F17965" s="21"/>
      <c r="G17965" s="16"/>
    </row>
    <row r="17966" spans="4:7" ht="15" x14ac:dyDescent="0.3">
      <c r="D17966" s="25"/>
      <c r="F17966" s="21"/>
      <c r="G17966" s="16"/>
    </row>
    <row r="17967" spans="4:7" ht="15" x14ac:dyDescent="0.3">
      <c r="D17967" s="25"/>
      <c r="F17967" s="21"/>
      <c r="G17967" s="16"/>
    </row>
    <row r="17968" spans="4:7" ht="15" x14ac:dyDescent="0.3">
      <c r="D17968" s="25"/>
      <c r="F17968" s="21"/>
      <c r="G17968" s="16"/>
    </row>
    <row r="17969" spans="4:7" ht="15" x14ac:dyDescent="0.3">
      <c r="D17969" s="25"/>
      <c r="F17969" s="21"/>
      <c r="G17969" s="16"/>
    </row>
    <row r="17970" spans="4:7" ht="15" x14ac:dyDescent="0.3">
      <c r="D17970" s="25"/>
      <c r="F17970" s="21"/>
      <c r="G17970" s="16"/>
    </row>
    <row r="17971" spans="4:7" ht="15" x14ac:dyDescent="0.3">
      <c r="D17971" s="25"/>
      <c r="F17971" s="21"/>
      <c r="G17971" s="16"/>
    </row>
    <row r="17972" spans="4:7" ht="15" x14ac:dyDescent="0.3">
      <c r="D17972" s="25"/>
      <c r="F17972" s="21"/>
      <c r="G17972" s="16"/>
    </row>
    <row r="17973" spans="4:7" ht="15" x14ac:dyDescent="0.3">
      <c r="D17973" s="25"/>
      <c r="F17973" s="21"/>
      <c r="G17973" s="16"/>
    </row>
    <row r="17974" spans="4:7" ht="15" x14ac:dyDescent="0.3">
      <c r="D17974" s="25"/>
      <c r="F17974" s="21"/>
      <c r="G17974" s="16"/>
    </row>
    <row r="17975" spans="4:7" ht="15" x14ac:dyDescent="0.3">
      <c r="D17975" s="25"/>
      <c r="F17975" s="21"/>
      <c r="G17975" s="16"/>
    </row>
    <row r="17976" spans="4:7" ht="15" x14ac:dyDescent="0.3">
      <c r="D17976" s="25"/>
      <c r="F17976" s="21"/>
      <c r="G17976" s="16"/>
    </row>
    <row r="17977" spans="4:7" ht="15" x14ac:dyDescent="0.3">
      <c r="D17977" s="25"/>
      <c r="F17977" s="21"/>
      <c r="G17977" s="16"/>
    </row>
    <row r="17978" spans="4:7" ht="15" x14ac:dyDescent="0.3">
      <c r="D17978" s="25"/>
      <c r="F17978" s="21"/>
      <c r="G17978" s="16"/>
    </row>
    <row r="17979" spans="4:7" ht="15" x14ac:dyDescent="0.3">
      <c r="D17979" s="25"/>
      <c r="F17979" s="21"/>
      <c r="G17979" s="16"/>
    </row>
    <row r="17980" spans="4:7" ht="15" x14ac:dyDescent="0.3">
      <c r="D17980" s="25"/>
      <c r="F17980" s="21"/>
      <c r="G17980" s="16"/>
    </row>
    <row r="17981" spans="4:7" ht="15" x14ac:dyDescent="0.3">
      <c r="D17981" s="25"/>
      <c r="F17981" s="21"/>
      <c r="G17981" s="16"/>
    </row>
    <row r="17982" spans="4:7" ht="15" x14ac:dyDescent="0.3">
      <c r="D17982" s="25"/>
      <c r="F17982" s="21"/>
      <c r="G17982" s="16"/>
    </row>
    <row r="17983" spans="4:7" ht="15" x14ac:dyDescent="0.3">
      <c r="D17983" s="25"/>
      <c r="F17983" s="21"/>
      <c r="G17983" s="16"/>
    </row>
    <row r="17984" spans="4:7" ht="15" x14ac:dyDescent="0.3">
      <c r="D17984" s="25"/>
      <c r="F17984" s="21"/>
      <c r="G17984" s="16"/>
    </row>
    <row r="17985" spans="4:7" ht="15" x14ac:dyDescent="0.3">
      <c r="D17985" s="25"/>
      <c r="F17985" s="21"/>
      <c r="G17985" s="16"/>
    </row>
    <row r="17986" spans="4:7" ht="15" x14ac:dyDescent="0.3">
      <c r="D17986" s="25"/>
      <c r="F17986" s="21"/>
      <c r="G17986" s="16"/>
    </row>
    <row r="17987" spans="4:7" ht="15" x14ac:dyDescent="0.3">
      <c r="D17987" s="25"/>
      <c r="F17987" s="21"/>
      <c r="G17987" s="16"/>
    </row>
    <row r="17988" spans="4:7" ht="15" x14ac:dyDescent="0.3">
      <c r="D17988" s="25"/>
      <c r="F17988" s="21"/>
      <c r="G17988" s="16"/>
    </row>
    <row r="17989" spans="4:7" ht="15" x14ac:dyDescent="0.3">
      <c r="D17989" s="25"/>
      <c r="F17989" s="21"/>
      <c r="G17989" s="16"/>
    </row>
    <row r="17990" spans="4:7" ht="15" x14ac:dyDescent="0.3">
      <c r="D17990" s="25"/>
      <c r="F17990" s="21"/>
      <c r="G17990" s="16"/>
    </row>
    <row r="17991" spans="4:7" ht="15" x14ac:dyDescent="0.3">
      <c r="D17991" s="25"/>
      <c r="F17991" s="21"/>
      <c r="G17991" s="16"/>
    </row>
    <row r="17992" spans="4:7" ht="15" x14ac:dyDescent="0.3">
      <c r="D17992" s="25"/>
      <c r="F17992" s="21"/>
      <c r="G17992" s="16"/>
    </row>
    <row r="17993" spans="4:7" ht="15" x14ac:dyDescent="0.3">
      <c r="D17993" s="25"/>
      <c r="F17993" s="21"/>
      <c r="G17993" s="16"/>
    </row>
    <row r="17994" spans="4:7" ht="15" x14ac:dyDescent="0.3">
      <c r="D17994" s="25"/>
      <c r="F17994" s="21"/>
      <c r="G17994" s="16"/>
    </row>
    <row r="17995" spans="4:7" ht="15" x14ac:dyDescent="0.3">
      <c r="D17995" s="25"/>
      <c r="F17995" s="21"/>
      <c r="G17995" s="16"/>
    </row>
    <row r="17996" spans="4:7" ht="15" x14ac:dyDescent="0.3">
      <c r="D17996" s="25"/>
      <c r="F17996" s="21"/>
      <c r="G17996" s="16"/>
    </row>
    <row r="17997" spans="4:7" ht="15" x14ac:dyDescent="0.3">
      <c r="D17997" s="25"/>
      <c r="F17997" s="21"/>
      <c r="G17997" s="16"/>
    </row>
    <row r="17998" spans="4:7" ht="15" x14ac:dyDescent="0.3">
      <c r="D17998" s="25"/>
      <c r="F17998" s="21"/>
      <c r="G17998" s="16"/>
    </row>
    <row r="17999" spans="4:7" ht="15" x14ac:dyDescent="0.3">
      <c r="D17999" s="25"/>
      <c r="F17999" s="21"/>
      <c r="G17999" s="16"/>
    </row>
    <row r="18000" spans="4:7" ht="15" x14ac:dyDescent="0.3">
      <c r="D18000" s="25"/>
      <c r="F18000" s="21"/>
      <c r="G18000" s="16"/>
    </row>
    <row r="18001" spans="4:7" ht="15" x14ac:dyDescent="0.3">
      <c r="D18001" s="25"/>
      <c r="F18001" s="21"/>
      <c r="G18001" s="16"/>
    </row>
    <row r="18002" spans="4:7" ht="15" x14ac:dyDescent="0.3">
      <c r="D18002" s="25"/>
      <c r="F18002" s="21"/>
      <c r="G18002" s="16"/>
    </row>
    <row r="18003" spans="4:7" ht="15" x14ac:dyDescent="0.3">
      <c r="D18003" s="25"/>
      <c r="F18003" s="21"/>
      <c r="G18003" s="16"/>
    </row>
    <row r="18004" spans="4:7" ht="15" x14ac:dyDescent="0.3">
      <c r="D18004" s="25"/>
      <c r="F18004" s="21"/>
      <c r="G18004" s="16"/>
    </row>
    <row r="18005" spans="4:7" ht="15" x14ac:dyDescent="0.3">
      <c r="D18005" s="25"/>
      <c r="F18005" s="21"/>
      <c r="G18005" s="16"/>
    </row>
    <row r="18006" spans="4:7" ht="15" x14ac:dyDescent="0.3">
      <c r="D18006" s="25"/>
      <c r="F18006" s="21"/>
      <c r="G18006" s="16"/>
    </row>
    <row r="18007" spans="4:7" ht="15" x14ac:dyDescent="0.3">
      <c r="D18007" s="25"/>
      <c r="F18007" s="21"/>
      <c r="G18007" s="16"/>
    </row>
    <row r="18008" spans="4:7" ht="15" x14ac:dyDescent="0.3">
      <c r="D18008" s="25"/>
      <c r="F18008" s="21"/>
      <c r="G18008" s="16"/>
    </row>
    <row r="18009" spans="4:7" ht="15" x14ac:dyDescent="0.3">
      <c r="D18009" s="25"/>
      <c r="F18009" s="21"/>
      <c r="G18009" s="16"/>
    </row>
    <row r="18010" spans="4:7" ht="15" x14ac:dyDescent="0.3">
      <c r="D18010" s="25"/>
      <c r="F18010" s="21"/>
      <c r="G18010" s="16"/>
    </row>
    <row r="18011" spans="4:7" ht="15" x14ac:dyDescent="0.3">
      <c r="D18011" s="25"/>
      <c r="F18011" s="21"/>
      <c r="G18011" s="16"/>
    </row>
    <row r="18012" spans="4:7" ht="15" x14ac:dyDescent="0.3">
      <c r="D18012" s="25"/>
      <c r="F18012" s="21"/>
      <c r="G18012" s="16"/>
    </row>
    <row r="18013" spans="4:7" ht="15" x14ac:dyDescent="0.3">
      <c r="D18013" s="25"/>
      <c r="F18013" s="21"/>
      <c r="G18013" s="16"/>
    </row>
    <row r="18014" spans="4:7" ht="15" x14ac:dyDescent="0.3">
      <c r="D18014" s="25"/>
      <c r="F18014" s="21"/>
      <c r="G18014" s="16"/>
    </row>
    <row r="18015" spans="4:7" ht="15" x14ac:dyDescent="0.3">
      <c r="D18015" s="25"/>
      <c r="F18015" s="21"/>
      <c r="G18015" s="16"/>
    </row>
    <row r="18016" spans="4:7" ht="15" x14ac:dyDescent="0.3">
      <c r="D18016" s="25"/>
      <c r="F18016" s="21"/>
      <c r="G18016" s="16"/>
    </row>
    <row r="18017" spans="4:7" ht="15" x14ac:dyDescent="0.3">
      <c r="D18017" s="25"/>
      <c r="F18017" s="21"/>
      <c r="G18017" s="16"/>
    </row>
    <row r="18018" spans="4:7" ht="15" x14ac:dyDescent="0.3">
      <c r="D18018" s="25"/>
      <c r="F18018" s="21"/>
      <c r="G18018" s="16"/>
    </row>
    <row r="18019" spans="4:7" ht="15" x14ac:dyDescent="0.3">
      <c r="D18019" s="25"/>
      <c r="F18019" s="21"/>
      <c r="G18019" s="16"/>
    </row>
    <row r="18020" spans="4:7" ht="15" x14ac:dyDescent="0.3">
      <c r="D18020" s="25"/>
      <c r="F18020" s="21"/>
      <c r="G18020" s="16"/>
    </row>
    <row r="18021" spans="4:7" ht="15" x14ac:dyDescent="0.3">
      <c r="D18021" s="25"/>
      <c r="F18021" s="21"/>
      <c r="G18021" s="16"/>
    </row>
    <row r="18022" spans="4:7" ht="15" x14ac:dyDescent="0.3">
      <c r="D18022" s="25"/>
      <c r="F18022" s="21"/>
      <c r="G18022" s="16"/>
    </row>
    <row r="18023" spans="4:7" ht="15" x14ac:dyDescent="0.3">
      <c r="D18023" s="25"/>
      <c r="F18023" s="21"/>
      <c r="G18023" s="16"/>
    </row>
    <row r="18024" spans="4:7" ht="15" x14ac:dyDescent="0.3">
      <c r="D18024" s="25"/>
      <c r="F18024" s="21"/>
      <c r="G18024" s="16"/>
    </row>
    <row r="18025" spans="4:7" ht="15" x14ac:dyDescent="0.3">
      <c r="D18025" s="25"/>
      <c r="F18025" s="21"/>
      <c r="G18025" s="16"/>
    </row>
    <row r="18026" spans="4:7" ht="15" x14ac:dyDescent="0.3">
      <c r="D18026" s="25"/>
      <c r="F18026" s="21"/>
      <c r="G18026" s="16"/>
    </row>
    <row r="18027" spans="4:7" ht="15" x14ac:dyDescent="0.3">
      <c r="D18027" s="25"/>
      <c r="F18027" s="21"/>
      <c r="G18027" s="16"/>
    </row>
    <row r="18028" spans="4:7" ht="15" x14ac:dyDescent="0.3">
      <c r="D18028" s="25"/>
      <c r="F18028" s="21"/>
      <c r="G18028" s="16"/>
    </row>
    <row r="18029" spans="4:7" ht="15" x14ac:dyDescent="0.3">
      <c r="D18029" s="25"/>
      <c r="F18029" s="21"/>
      <c r="G18029" s="16"/>
    </row>
    <row r="18030" spans="4:7" ht="15" x14ac:dyDescent="0.3">
      <c r="D18030" s="25"/>
      <c r="F18030" s="21"/>
      <c r="G18030" s="16"/>
    </row>
    <row r="18031" spans="4:7" ht="15" x14ac:dyDescent="0.3">
      <c r="D18031" s="25"/>
      <c r="F18031" s="21"/>
      <c r="G18031" s="16"/>
    </row>
    <row r="18032" spans="4:7" ht="15" x14ac:dyDescent="0.3">
      <c r="D18032" s="25"/>
      <c r="F18032" s="21"/>
      <c r="G18032" s="16"/>
    </row>
    <row r="18033" spans="4:7" ht="15" x14ac:dyDescent="0.3">
      <c r="D18033" s="25"/>
      <c r="F18033" s="21"/>
      <c r="G18033" s="16"/>
    </row>
    <row r="18034" spans="4:7" ht="15" x14ac:dyDescent="0.3">
      <c r="D18034" s="25"/>
      <c r="F18034" s="21"/>
      <c r="G18034" s="16"/>
    </row>
    <row r="18035" spans="4:7" ht="15" x14ac:dyDescent="0.3">
      <c r="D18035" s="25"/>
      <c r="F18035" s="21"/>
      <c r="G18035" s="16"/>
    </row>
    <row r="18036" spans="4:7" ht="15" x14ac:dyDescent="0.3">
      <c r="D18036" s="25"/>
      <c r="F18036" s="21"/>
      <c r="G18036" s="16"/>
    </row>
    <row r="18037" spans="4:7" ht="15" x14ac:dyDescent="0.3">
      <c r="D18037" s="25"/>
      <c r="F18037" s="21"/>
      <c r="G18037" s="16"/>
    </row>
    <row r="18038" spans="4:7" ht="15" x14ac:dyDescent="0.3">
      <c r="D18038" s="25"/>
      <c r="F18038" s="21"/>
      <c r="G18038" s="16"/>
    </row>
    <row r="18039" spans="4:7" ht="15" x14ac:dyDescent="0.3">
      <c r="D18039" s="25"/>
      <c r="F18039" s="21"/>
      <c r="G18039" s="16"/>
    </row>
    <row r="18040" spans="4:7" ht="15" x14ac:dyDescent="0.3">
      <c r="D18040" s="25"/>
      <c r="F18040" s="21"/>
      <c r="G18040" s="16"/>
    </row>
    <row r="18041" spans="4:7" ht="15" x14ac:dyDescent="0.3">
      <c r="D18041" s="25"/>
      <c r="F18041" s="21"/>
      <c r="G18041" s="16"/>
    </row>
    <row r="18042" spans="4:7" ht="15" x14ac:dyDescent="0.3">
      <c r="D18042" s="25"/>
      <c r="F18042" s="21"/>
      <c r="G18042" s="16"/>
    </row>
    <row r="18043" spans="4:7" ht="15" x14ac:dyDescent="0.3">
      <c r="D18043" s="25"/>
      <c r="F18043" s="21"/>
      <c r="G18043" s="16"/>
    </row>
    <row r="18044" spans="4:7" ht="15" x14ac:dyDescent="0.3">
      <c r="D18044" s="25"/>
      <c r="F18044" s="21"/>
      <c r="G18044" s="16"/>
    </row>
    <row r="18045" spans="4:7" ht="15" x14ac:dyDescent="0.3">
      <c r="D18045" s="25"/>
      <c r="F18045" s="21"/>
      <c r="G18045" s="16"/>
    </row>
    <row r="18046" spans="4:7" ht="15" x14ac:dyDescent="0.3">
      <c r="D18046" s="25"/>
      <c r="F18046" s="21"/>
      <c r="G18046" s="16"/>
    </row>
    <row r="18047" spans="4:7" ht="15" x14ac:dyDescent="0.3">
      <c r="D18047" s="25"/>
      <c r="F18047" s="21"/>
      <c r="G18047" s="16"/>
    </row>
    <row r="18048" spans="4:7" ht="15" x14ac:dyDescent="0.3">
      <c r="D18048" s="25"/>
      <c r="F18048" s="21"/>
      <c r="G18048" s="16"/>
    </row>
    <row r="18049" spans="4:7" ht="15" x14ac:dyDescent="0.3">
      <c r="D18049" s="25"/>
      <c r="F18049" s="21"/>
      <c r="G18049" s="16"/>
    </row>
    <row r="18050" spans="4:7" ht="15" x14ac:dyDescent="0.3">
      <c r="D18050" s="25"/>
      <c r="F18050" s="21"/>
      <c r="G18050" s="16"/>
    </row>
    <row r="18051" spans="4:7" ht="15" x14ac:dyDescent="0.3">
      <c r="D18051" s="25"/>
      <c r="F18051" s="21"/>
      <c r="G18051" s="16"/>
    </row>
    <row r="18052" spans="4:7" ht="15" x14ac:dyDescent="0.3">
      <c r="D18052" s="25"/>
      <c r="F18052" s="21"/>
      <c r="G18052" s="16"/>
    </row>
    <row r="18053" spans="4:7" ht="15" x14ac:dyDescent="0.3">
      <c r="D18053" s="25"/>
      <c r="F18053" s="21"/>
      <c r="G18053" s="16"/>
    </row>
    <row r="18054" spans="4:7" ht="15" x14ac:dyDescent="0.3">
      <c r="D18054" s="25"/>
      <c r="F18054" s="21"/>
      <c r="G18054" s="16"/>
    </row>
    <row r="18055" spans="4:7" ht="15" x14ac:dyDescent="0.3">
      <c r="D18055" s="25"/>
      <c r="F18055" s="21"/>
      <c r="G18055" s="16"/>
    </row>
    <row r="18056" spans="4:7" ht="15" x14ac:dyDescent="0.3">
      <c r="D18056" s="25"/>
      <c r="F18056" s="21"/>
      <c r="G18056" s="16"/>
    </row>
    <row r="18057" spans="4:7" ht="15" x14ac:dyDescent="0.3">
      <c r="D18057" s="25"/>
      <c r="F18057" s="21"/>
      <c r="G18057" s="16"/>
    </row>
    <row r="18058" spans="4:7" ht="15" x14ac:dyDescent="0.3">
      <c r="D18058" s="25"/>
      <c r="F18058" s="21"/>
      <c r="G18058" s="16"/>
    </row>
    <row r="18059" spans="4:7" ht="15" x14ac:dyDescent="0.3">
      <c r="D18059" s="25"/>
      <c r="F18059" s="21"/>
      <c r="G18059" s="16"/>
    </row>
    <row r="18060" spans="4:7" ht="15" x14ac:dyDescent="0.3">
      <c r="D18060" s="25"/>
      <c r="F18060" s="21"/>
      <c r="G18060" s="16"/>
    </row>
    <row r="18061" spans="4:7" ht="15" x14ac:dyDescent="0.3">
      <c r="D18061" s="25"/>
      <c r="F18061" s="21"/>
      <c r="G18061" s="16"/>
    </row>
    <row r="18062" spans="4:7" ht="15" x14ac:dyDescent="0.3">
      <c r="D18062" s="25"/>
      <c r="F18062" s="21"/>
      <c r="G18062" s="16"/>
    </row>
    <row r="18063" spans="4:7" ht="15" x14ac:dyDescent="0.3">
      <c r="D18063" s="25"/>
      <c r="F18063" s="21"/>
      <c r="G18063" s="16"/>
    </row>
    <row r="18064" spans="4:7" ht="15" x14ac:dyDescent="0.3">
      <c r="D18064" s="25"/>
      <c r="F18064" s="21"/>
      <c r="G18064" s="16"/>
    </row>
    <row r="18065" spans="4:7" ht="15" x14ac:dyDescent="0.3">
      <c r="D18065" s="25"/>
      <c r="F18065" s="21"/>
      <c r="G18065" s="16"/>
    </row>
    <row r="18066" spans="4:7" ht="15" x14ac:dyDescent="0.3">
      <c r="D18066" s="25"/>
      <c r="F18066" s="21"/>
      <c r="G18066" s="16"/>
    </row>
    <row r="18067" spans="4:7" ht="15" x14ac:dyDescent="0.3">
      <c r="D18067" s="25"/>
      <c r="F18067" s="21"/>
      <c r="G18067" s="16"/>
    </row>
    <row r="18068" spans="4:7" ht="15" x14ac:dyDescent="0.3">
      <c r="D18068" s="25"/>
      <c r="F18068" s="21"/>
      <c r="G18068" s="16"/>
    </row>
    <row r="18069" spans="4:7" ht="15" x14ac:dyDescent="0.3">
      <c r="D18069" s="25"/>
      <c r="F18069" s="21"/>
      <c r="G18069" s="16"/>
    </row>
    <row r="18070" spans="4:7" ht="15" x14ac:dyDescent="0.3">
      <c r="D18070" s="25"/>
      <c r="F18070" s="21"/>
      <c r="G18070" s="16"/>
    </row>
    <row r="18071" spans="4:7" ht="15" x14ac:dyDescent="0.3">
      <c r="D18071" s="25"/>
      <c r="F18071" s="21"/>
      <c r="G18071" s="16"/>
    </row>
    <row r="18072" spans="4:7" ht="15" x14ac:dyDescent="0.3">
      <c r="D18072" s="25"/>
      <c r="F18072" s="21"/>
      <c r="G18072" s="16"/>
    </row>
    <row r="18073" spans="4:7" ht="15" x14ac:dyDescent="0.3">
      <c r="D18073" s="25"/>
      <c r="F18073" s="21"/>
      <c r="G18073" s="16"/>
    </row>
    <row r="18074" spans="4:7" ht="15" x14ac:dyDescent="0.3">
      <c r="D18074" s="25"/>
      <c r="F18074" s="21"/>
      <c r="G18074" s="16"/>
    </row>
    <row r="18075" spans="4:7" ht="15" x14ac:dyDescent="0.3">
      <c r="D18075" s="25"/>
      <c r="F18075" s="21"/>
      <c r="G18075" s="16"/>
    </row>
    <row r="18076" spans="4:7" ht="15" x14ac:dyDescent="0.3">
      <c r="D18076" s="25"/>
      <c r="F18076" s="21"/>
      <c r="G18076" s="16"/>
    </row>
    <row r="18077" spans="4:7" ht="15" x14ac:dyDescent="0.3">
      <c r="D18077" s="25"/>
      <c r="F18077" s="21"/>
      <c r="G18077" s="16"/>
    </row>
    <row r="18078" spans="4:7" ht="15" x14ac:dyDescent="0.3">
      <c r="D18078" s="25"/>
      <c r="F18078" s="21"/>
      <c r="G18078" s="16"/>
    </row>
    <row r="18079" spans="4:7" ht="15" x14ac:dyDescent="0.3">
      <c r="D18079" s="25"/>
      <c r="F18079" s="21"/>
      <c r="G18079" s="16"/>
    </row>
    <row r="18080" spans="4:7" ht="15" x14ac:dyDescent="0.3">
      <c r="D18080" s="25"/>
      <c r="F18080" s="21"/>
      <c r="G18080" s="16"/>
    </row>
    <row r="18081" spans="4:7" ht="15" x14ac:dyDescent="0.3">
      <c r="D18081" s="25"/>
      <c r="F18081" s="21"/>
      <c r="G18081" s="16"/>
    </row>
    <row r="18082" spans="4:7" ht="15" x14ac:dyDescent="0.3">
      <c r="D18082" s="25"/>
      <c r="F18082" s="21"/>
      <c r="G18082" s="16"/>
    </row>
    <row r="18083" spans="4:7" ht="15" x14ac:dyDescent="0.3">
      <c r="D18083" s="25"/>
      <c r="F18083" s="21"/>
      <c r="G18083" s="16"/>
    </row>
    <row r="18084" spans="4:7" ht="15" x14ac:dyDescent="0.3">
      <c r="D18084" s="25"/>
      <c r="F18084" s="21"/>
      <c r="G18084" s="16"/>
    </row>
    <row r="18085" spans="4:7" ht="15" x14ac:dyDescent="0.3">
      <c r="D18085" s="25"/>
      <c r="F18085" s="21"/>
      <c r="G18085" s="16"/>
    </row>
    <row r="18086" spans="4:7" ht="15" x14ac:dyDescent="0.3">
      <c r="D18086" s="25"/>
      <c r="F18086" s="21"/>
      <c r="G18086" s="16"/>
    </row>
    <row r="18087" spans="4:7" ht="15" x14ac:dyDescent="0.3">
      <c r="D18087" s="25"/>
      <c r="F18087" s="21"/>
      <c r="G18087" s="16"/>
    </row>
    <row r="18088" spans="4:7" ht="15" x14ac:dyDescent="0.3">
      <c r="D18088" s="25"/>
      <c r="F18088" s="21"/>
      <c r="G18088" s="16"/>
    </row>
    <row r="18089" spans="4:7" ht="15" x14ac:dyDescent="0.3">
      <c r="D18089" s="25"/>
      <c r="F18089" s="21"/>
      <c r="G18089" s="16"/>
    </row>
    <row r="18090" spans="4:7" ht="15" x14ac:dyDescent="0.3">
      <c r="D18090" s="25"/>
      <c r="F18090" s="21"/>
      <c r="G18090" s="16"/>
    </row>
    <row r="18091" spans="4:7" ht="15" x14ac:dyDescent="0.3">
      <c r="D18091" s="25"/>
      <c r="F18091" s="21"/>
      <c r="G18091" s="16"/>
    </row>
    <row r="18092" spans="4:7" ht="15" x14ac:dyDescent="0.3">
      <c r="D18092" s="25"/>
      <c r="F18092" s="21"/>
      <c r="G18092" s="16"/>
    </row>
    <row r="18093" spans="4:7" ht="15" x14ac:dyDescent="0.3">
      <c r="D18093" s="25"/>
      <c r="F18093" s="21"/>
      <c r="G18093" s="16"/>
    </row>
    <row r="18094" spans="4:7" ht="15" x14ac:dyDescent="0.3">
      <c r="D18094" s="25"/>
      <c r="F18094" s="21"/>
      <c r="G18094" s="16"/>
    </row>
    <row r="18095" spans="4:7" ht="15" x14ac:dyDescent="0.3">
      <c r="D18095" s="25"/>
      <c r="F18095" s="21"/>
      <c r="G18095" s="16"/>
    </row>
    <row r="18096" spans="4:7" ht="15" x14ac:dyDescent="0.3">
      <c r="D18096" s="25"/>
      <c r="F18096" s="21"/>
      <c r="G18096" s="16"/>
    </row>
    <row r="18097" spans="4:7" ht="15" x14ac:dyDescent="0.3">
      <c r="D18097" s="25"/>
      <c r="F18097" s="21"/>
      <c r="G18097" s="16"/>
    </row>
    <row r="18098" spans="4:7" ht="15" x14ac:dyDescent="0.3">
      <c r="D18098" s="25"/>
      <c r="F18098" s="21"/>
      <c r="G18098" s="16"/>
    </row>
    <row r="18099" spans="4:7" ht="15" x14ac:dyDescent="0.3">
      <c r="D18099" s="25"/>
      <c r="F18099" s="21"/>
      <c r="G18099" s="16"/>
    </row>
    <row r="18100" spans="4:7" ht="15" x14ac:dyDescent="0.3">
      <c r="D18100" s="25"/>
      <c r="F18100" s="21"/>
      <c r="G18100" s="16"/>
    </row>
    <row r="18101" spans="4:7" ht="15" x14ac:dyDescent="0.3">
      <c r="D18101" s="25"/>
      <c r="F18101" s="21"/>
      <c r="G18101" s="16"/>
    </row>
    <row r="18102" spans="4:7" ht="15" x14ac:dyDescent="0.3">
      <c r="D18102" s="25"/>
      <c r="F18102" s="21"/>
      <c r="G18102" s="16"/>
    </row>
    <row r="18103" spans="4:7" ht="15" x14ac:dyDescent="0.3">
      <c r="D18103" s="25"/>
      <c r="F18103" s="21"/>
      <c r="G18103" s="16"/>
    </row>
    <row r="18104" spans="4:7" ht="15" x14ac:dyDescent="0.3">
      <c r="D18104" s="25"/>
      <c r="F18104" s="21"/>
      <c r="G18104" s="16"/>
    </row>
    <row r="18105" spans="4:7" ht="15" x14ac:dyDescent="0.3">
      <c r="D18105" s="25"/>
      <c r="F18105" s="21"/>
      <c r="G18105" s="16"/>
    </row>
    <row r="18106" spans="4:7" ht="15" x14ac:dyDescent="0.3">
      <c r="D18106" s="25"/>
      <c r="F18106" s="21"/>
      <c r="G18106" s="16"/>
    </row>
    <row r="18107" spans="4:7" ht="15" x14ac:dyDescent="0.3">
      <c r="D18107" s="25"/>
      <c r="F18107" s="21"/>
      <c r="G18107" s="16"/>
    </row>
    <row r="18108" spans="4:7" ht="15" x14ac:dyDescent="0.3">
      <c r="D18108" s="25"/>
      <c r="F18108" s="21"/>
      <c r="G18108" s="16"/>
    </row>
    <row r="18109" spans="4:7" ht="15" x14ac:dyDescent="0.3">
      <c r="D18109" s="25"/>
      <c r="F18109" s="21"/>
      <c r="G18109" s="16"/>
    </row>
    <row r="18110" spans="4:7" ht="15" x14ac:dyDescent="0.3">
      <c r="D18110" s="25"/>
      <c r="F18110" s="21"/>
      <c r="G18110" s="16"/>
    </row>
    <row r="18111" spans="4:7" ht="15" x14ac:dyDescent="0.3">
      <c r="D18111" s="25"/>
      <c r="F18111" s="21"/>
      <c r="G18111" s="16"/>
    </row>
    <row r="18112" spans="4:7" ht="15" x14ac:dyDescent="0.3">
      <c r="D18112" s="25"/>
      <c r="F18112" s="21"/>
      <c r="G18112" s="16"/>
    </row>
    <row r="18113" spans="4:7" ht="15" x14ac:dyDescent="0.3">
      <c r="D18113" s="25"/>
      <c r="F18113" s="21"/>
      <c r="G18113" s="16"/>
    </row>
    <row r="18114" spans="4:7" ht="15" x14ac:dyDescent="0.3">
      <c r="D18114" s="25"/>
      <c r="F18114" s="21"/>
      <c r="G18114" s="16"/>
    </row>
    <row r="18115" spans="4:7" ht="15" x14ac:dyDescent="0.3">
      <c r="D18115" s="25"/>
      <c r="F18115" s="21"/>
      <c r="G18115" s="16"/>
    </row>
    <row r="18116" spans="4:7" ht="15" x14ac:dyDescent="0.3">
      <c r="D18116" s="25"/>
      <c r="F18116" s="21"/>
      <c r="G18116" s="16"/>
    </row>
    <row r="18117" spans="4:7" ht="15" x14ac:dyDescent="0.3">
      <c r="D18117" s="25"/>
      <c r="F18117" s="21"/>
      <c r="G18117" s="16"/>
    </row>
    <row r="18118" spans="4:7" ht="15" x14ac:dyDescent="0.3">
      <c r="D18118" s="25"/>
      <c r="F18118" s="21"/>
      <c r="G18118" s="16"/>
    </row>
    <row r="18119" spans="4:7" ht="15" x14ac:dyDescent="0.3">
      <c r="D18119" s="25"/>
      <c r="F18119" s="21"/>
      <c r="G18119" s="16"/>
    </row>
    <row r="18120" spans="4:7" ht="15" x14ac:dyDescent="0.3">
      <c r="D18120" s="25"/>
      <c r="F18120" s="21"/>
      <c r="G18120" s="16"/>
    </row>
    <row r="18121" spans="4:7" ht="15" x14ac:dyDescent="0.3">
      <c r="D18121" s="25"/>
      <c r="F18121" s="21"/>
      <c r="G18121" s="16"/>
    </row>
    <row r="18122" spans="4:7" ht="15" x14ac:dyDescent="0.3">
      <c r="D18122" s="25"/>
      <c r="F18122" s="21"/>
      <c r="G18122" s="16"/>
    </row>
    <row r="18123" spans="4:7" ht="15" x14ac:dyDescent="0.3">
      <c r="D18123" s="25"/>
      <c r="F18123" s="21"/>
      <c r="G18123" s="16"/>
    </row>
    <row r="18124" spans="4:7" ht="15" x14ac:dyDescent="0.3">
      <c r="D18124" s="25"/>
      <c r="F18124" s="21"/>
      <c r="G18124" s="16"/>
    </row>
    <row r="18125" spans="4:7" ht="15" x14ac:dyDescent="0.3">
      <c r="D18125" s="25"/>
      <c r="F18125" s="21"/>
      <c r="G18125" s="16"/>
    </row>
    <row r="18126" spans="4:7" ht="15" x14ac:dyDescent="0.3">
      <c r="D18126" s="25"/>
      <c r="F18126" s="21"/>
      <c r="G18126" s="16"/>
    </row>
    <row r="18127" spans="4:7" ht="15" x14ac:dyDescent="0.3">
      <c r="D18127" s="25"/>
      <c r="F18127" s="21"/>
      <c r="G18127" s="16"/>
    </row>
    <row r="18128" spans="4:7" ht="15" x14ac:dyDescent="0.3">
      <c r="D18128" s="25"/>
      <c r="F18128" s="21"/>
      <c r="G18128" s="16"/>
    </row>
    <row r="18129" spans="4:7" ht="15" x14ac:dyDescent="0.3">
      <c r="D18129" s="25"/>
      <c r="F18129" s="21"/>
      <c r="G18129" s="16"/>
    </row>
    <row r="18130" spans="4:7" ht="15" x14ac:dyDescent="0.3">
      <c r="D18130" s="25"/>
      <c r="F18130" s="21"/>
      <c r="G18130" s="16"/>
    </row>
    <row r="18131" spans="4:7" ht="15" x14ac:dyDescent="0.3">
      <c r="D18131" s="25"/>
      <c r="F18131" s="21"/>
      <c r="G18131" s="16"/>
    </row>
    <row r="18132" spans="4:7" ht="15" x14ac:dyDescent="0.3">
      <c r="D18132" s="25"/>
      <c r="F18132" s="21"/>
      <c r="G18132" s="16"/>
    </row>
    <row r="18133" spans="4:7" ht="15" x14ac:dyDescent="0.3">
      <c r="D18133" s="25"/>
      <c r="F18133" s="21"/>
      <c r="G18133" s="16"/>
    </row>
    <row r="18134" spans="4:7" ht="15" x14ac:dyDescent="0.3">
      <c r="D18134" s="25"/>
      <c r="F18134" s="21"/>
      <c r="G18134" s="16"/>
    </row>
    <row r="18135" spans="4:7" ht="15" x14ac:dyDescent="0.3">
      <c r="D18135" s="25"/>
      <c r="F18135" s="21"/>
      <c r="G18135" s="16"/>
    </row>
    <row r="18136" spans="4:7" ht="15" x14ac:dyDescent="0.3">
      <c r="D18136" s="25"/>
      <c r="F18136" s="21"/>
      <c r="G18136" s="16"/>
    </row>
    <row r="18137" spans="4:7" ht="15" x14ac:dyDescent="0.3">
      <c r="D18137" s="25"/>
      <c r="F18137" s="21"/>
      <c r="G18137" s="16"/>
    </row>
    <row r="18138" spans="4:7" ht="15" x14ac:dyDescent="0.3">
      <c r="D18138" s="25"/>
      <c r="F18138" s="21"/>
      <c r="G18138" s="16"/>
    </row>
    <row r="18139" spans="4:7" ht="15" x14ac:dyDescent="0.3">
      <c r="D18139" s="25"/>
      <c r="F18139" s="21"/>
      <c r="G18139" s="16"/>
    </row>
    <row r="18140" spans="4:7" ht="15" x14ac:dyDescent="0.3">
      <c r="D18140" s="25"/>
      <c r="F18140" s="21"/>
      <c r="G18140" s="16"/>
    </row>
    <row r="18141" spans="4:7" ht="15" x14ac:dyDescent="0.3">
      <c r="D18141" s="25"/>
      <c r="F18141" s="21"/>
      <c r="G18141" s="16"/>
    </row>
    <row r="18142" spans="4:7" ht="15" x14ac:dyDescent="0.3">
      <c r="D18142" s="25"/>
      <c r="F18142" s="21"/>
      <c r="G18142" s="16"/>
    </row>
    <row r="18143" spans="4:7" ht="15" x14ac:dyDescent="0.3">
      <c r="D18143" s="25"/>
      <c r="F18143" s="21"/>
      <c r="G18143" s="16"/>
    </row>
    <row r="18144" spans="4:7" ht="15" x14ac:dyDescent="0.3">
      <c r="D18144" s="25"/>
      <c r="F18144" s="21"/>
      <c r="G18144" s="16"/>
    </row>
    <row r="18145" spans="4:7" ht="15" x14ac:dyDescent="0.3">
      <c r="D18145" s="25"/>
      <c r="F18145" s="21"/>
      <c r="G18145" s="16"/>
    </row>
    <row r="18146" spans="4:7" ht="15" x14ac:dyDescent="0.3">
      <c r="D18146" s="25"/>
      <c r="F18146" s="21"/>
      <c r="G18146" s="16"/>
    </row>
    <row r="18147" spans="4:7" ht="15" x14ac:dyDescent="0.3">
      <c r="D18147" s="25"/>
      <c r="F18147" s="21"/>
      <c r="G18147" s="16"/>
    </row>
    <row r="18148" spans="4:7" ht="15" x14ac:dyDescent="0.3">
      <c r="D18148" s="25"/>
      <c r="F18148" s="21"/>
      <c r="G18148" s="16"/>
    </row>
    <row r="18149" spans="4:7" ht="15" x14ac:dyDescent="0.3">
      <c r="D18149" s="25"/>
      <c r="F18149" s="21"/>
      <c r="G18149" s="16"/>
    </row>
    <row r="18150" spans="4:7" ht="15" x14ac:dyDescent="0.3">
      <c r="D18150" s="25"/>
      <c r="F18150" s="21"/>
      <c r="G18150" s="16"/>
    </row>
    <row r="18151" spans="4:7" ht="15" x14ac:dyDescent="0.3">
      <c r="D18151" s="25"/>
      <c r="F18151" s="21"/>
      <c r="G18151" s="16"/>
    </row>
    <row r="18152" spans="4:7" ht="15" x14ac:dyDescent="0.3">
      <c r="D18152" s="25"/>
      <c r="F18152" s="21"/>
      <c r="G18152" s="16"/>
    </row>
    <row r="18153" spans="4:7" ht="15" x14ac:dyDescent="0.3">
      <c r="D18153" s="25"/>
      <c r="F18153" s="21"/>
      <c r="G18153" s="16"/>
    </row>
    <row r="18154" spans="4:7" ht="15" x14ac:dyDescent="0.3">
      <c r="D18154" s="25"/>
      <c r="F18154" s="21"/>
      <c r="G18154" s="16"/>
    </row>
    <row r="18155" spans="4:7" ht="15" x14ac:dyDescent="0.3">
      <c r="D18155" s="25"/>
      <c r="F18155" s="21"/>
      <c r="G18155" s="16"/>
    </row>
    <row r="18156" spans="4:7" ht="15" x14ac:dyDescent="0.3">
      <c r="D18156" s="25"/>
      <c r="F18156" s="21"/>
      <c r="G18156" s="16"/>
    </row>
    <row r="18157" spans="4:7" ht="15" x14ac:dyDescent="0.3">
      <c r="D18157" s="25"/>
      <c r="F18157" s="21"/>
      <c r="G18157" s="16"/>
    </row>
    <row r="18158" spans="4:7" ht="15" x14ac:dyDescent="0.3">
      <c r="D18158" s="25"/>
      <c r="F18158" s="21"/>
      <c r="G18158" s="16"/>
    </row>
    <row r="18159" spans="4:7" ht="15" x14ac:dyDescent="0.3">
      <c r="D18159" s="25"/>
      <c r="F18159" s="21"/>
      <c r="G18159" s="16"/>
    </row>
    <row r="18160" spans="4:7" ht="15" x14ac:dyDescent="0.3">
      <c r="D18160" s="25"/>
      <c r="F18160" s="21"/>
      <c r="G18160" s="16"/>
    </row>
    <row r="18161" spans="4:7" ht="15" x14ac:dyDescent="0.3">
      <c r="D18161" s="25"/>
      <c r="F18161" s="21"/>
      <c r="G18161" s="16"/>
    </row>
    <row r="18162" spans="4:7" ht="15" x14ac:dyDescent="0.3">
      <c r="D18162" s="25"/>
      <c r="F18162" s="21"/>
      <c r="G18162" s="16"/>
    </row>
    <row r="18163" spans="4:7" ht="15" x14ac:dyDescent="0.3">
      <c r="D18163" s="25"/>
      <c r="F18163" s="21"/>
      <c r="G18163" s="16"/>
    </row>
    <row r="18164" spans="4:7" ht="15" x14ac:dyDescent="0.3">
      <c r="D18164" s="25"/>
      <c r="F18164" s="21"/>
      <c r="G18164" s="16"/>
    </row>
    <row r="18165" spans="4:7" ht="15" x14ac:dyDescent="0.3">
      <c r="D18165" s="25"/>
      <c r="F18165" s="21"/>
      <c r="G18165" s="16"/>
    </row>
    <row r="18166" spans="4:7" ht="15" x14ac:dyDescent="0.3">
      <c r="D18166" s="25"/>
      <c r="F18166" s="21"/>
      <c r="G18166" s="16"/>
    </row>
    <row r="18167" spans="4:7" ht="15" x14ac:dyDescent="0.3">
      <c r="D18167" s="25"/>
      <c r="F18167" s="21"/>
      <c r="G18167" s="16"/>
    </row>
    <row r="18168" spans="4:7" ht="15" x14ac:dyDescent="0.3">
      <c r="D18168" s="25"/>
      <c r="F18168" s="21"/>
      <c r="G18168" s="16"/>
    </row>
    <row r="18169" spans="4:7" ht="15" x14ac:dyDescent="0.3">
      <c r="D18169" s="25"/>
      <c r="F18169" s="21"/>
      <c r="G18169" s="16"/>
    </row>
    <row r="18170" spans="4:7" ht="15" x14ac:dyDescent="0.3">
      <c r="D18170" s="25"/>
      <c r="F18170" s="21"/>
      <c r="G18170" s="16"/>
    </row>
    <row r="18171" spans="4:7" ht="15" x14ac:dyDescent="0.3">
      <c r="D18171" s="25"/>
      <c r="F18171" s="21"/>
      <c r="G18171" s="16"/>
    </row>
    <row r="18172" spans="4:7" ht="15" x14ac:dyDescent="0.3">
      <c r="D18172" s="25"/>
      <c r="F18172" s="21"/>
      <c r="G18172" s="16"/>
    </row>
    <row r="18173" spans="4:7" ht="15" x14ac:dyDescent="0.3">
      <c r="D18173" s="25"/>
      <c r="F18173" s="21"/>
      <c r="G18173" s="16"/>
    </row>
    <row r="18174" spans="4:7" ht="15" x14ac:dyDescent="0.3">
      <c r="D18174" s="25"/>
      <c r="F18174" s="21"/>
      <c r="G18174" s="16"/>
    </row>
    <row r="18175" spans="4:7" ht="15" x14ac:dyDescent="0.3">
      <c r="D18175" s="25"/>
      <c r="F18175" s="21"/>
      <c r="G18175" s="16"/>
    </row>
    <row r="18176" spans="4:7" ht="15" x14ac:dyDescent="0.3">
      <c r="D18176" s="25"/>
      <c r="F18176" s="21"/>
      <c r="G18176" s="16"/>
    </row>
    <row r="18177" spans="4:7" ht="15" x14ac:dyDescent="0.3">
      <c r="D18177" s="25"/>
      <c r="F18177" s="21"/>
      <c r="G18177" s="16"/>
    </row>
    <row r="18178" spans="4:7" ht="15" x14ac:dyDescent="0.3">
      <c r="D18178" s="25"/>
      <c r="F18178" s="21"/>
      <c r="G18178" s="16"/>
    </row>
    <row r="18179" spans="4:7" ht="15" x14ac:dyDescent="0.3">
      <c r="D18179" s="25"/>
      <c r="F18179" s="21"/>
      <c r="G18179" s="16"/>
    </row>
    <row r="18180" spans="4:7" ht="15" x14ac:dyDescent="0.3">
      <c r="D18180" s="25"/>
      <c r="F18180" s="21"/>
      <c r="G18180" s="16"/>
    </row>
    <row r="18181" spans="4:7" ht="15" x14ac:dyDescent="0.3">
      <c r="D18181" s="25"/>
      <c r="F18181" s="21"/>
      <c r="G18181" s="16"/>
    </row>
    <row r="18182" spans="4:7" ht="15" x14ac:dyDescent="0.3">
      <c r="D18182" s="25"/>
      <c r="F18182" s="21"/>
      <c r="G18182" s="16"/>
    </row>
    <row r="18183" spans="4:7" ht="15" x14ac:dyDescent="0.3">
      <c r="D18183" s="25"/>
      <c r="F18183" s="21"/>
      <c r="G18183" s="16"/>
    </row>
    <row r="18184" spans="4:7" ht="15" x14ac:dyDescent="0.3">
      <c r="D18184" s="25"/>
      <c r="F18184" s="21"/>
      <c r="G18184" s="16"/>
    </row>
    <row r="18185" spans="4:7" ht="15" x14ac:dyDescent="0.3">
      <c r="D18185" s="25"/>
      <c r="F18185" s="21"/>
      <c r="G18185" s="16"/>
    </row>
    <row r="18186" spans="4:7" ht="15" x14ac:dyDescent="0.3">
      <c r="D18186" s="25"/>
      <c r="F18186" s="21"/>
      <c r="G18186" s="16"/>
    </row>
    <row r="18187" spans="4:7" ht="15" x14ac:dyDescent="0.3">
      <c r="D18187" s="25"/>
      <c r="F18187" s="21"/>
      <c r="G18187" s="16"/>
    </row>
    <row r="18188" spans="4:7" ht="15" x14ac:dyDescent="0.3">
      <c r="D18188" s="25"/>
      <c r="F18188" s="21"/>
      <c r="G18188" s="16"/>
    </row>
    <row r="18189" spans="4:7" ht="15" x14ac:dyDescent="0.3">
      <c r="D18189" s="25"/>
      <c r="F18189" s="21"/>
      <c r="G18189" s="16"/>
    </row>
    <row r="18190" spans="4:7" ht="15" x14ac:dyDescent="0.3">
      <c r="D18190" s="25"/>
      <c r="F18190" s="21"/>
      <c r="G18190" s="16"/>
    </row>
    <row r="18191" spans="4:7" ht="15" x14ac:dyDescent="0.3">
      <c r="D18191" s="25"/>
      <c r="F18191" s="21"/>
      <c r="G18191" s="16"/>
    </row>
    <row r="18192" spans="4:7" ht="15" x14ac:dyDescent="0.3">
      <c r="D18192" s="25"/>
      <c r="F18192" s="21"/>
      <c r="G18192" s="16"/>
    </row>
    <row r="18193" spans="4:7" ht="15" x14ac:dyDescent="0.3">
      <c r="D18193" s="25"/>
      <c r="F18193" s="21"/>
      <c r="G18193" s="16"/>
    </row>
    <row r="18194" spans="4:7" ht="15" x14ac:dyDescent="0.3">
      <c r="D18194" s="25"/>
      <c r="F18194" s="21"/>
      <c r="G18194" s="16"/>
    </row>
    <row r="18195" spans="4:7" ht="15" x14ac:dyDescent="0.3">
      <c r="D18195" s="25"/>
      <c r="F18195" s="21"/>
      <c r="G18195" s="16"/>
    </row>
    <row r="18196" spans="4:7" ht="15" x14ac:dyDescent="0.3">
      <c r="D18196" s="25"/>
      <c r="F18196" s="21"/>
      <c r="G18196" s="16"/>
    </row>
    <row r="18197" spans="4:7" ht="15" x14ac:dyDescent="0.3">
      <c r="D18197" s="25"/>
      <c r="F18197" s="21"/>
      <c r="G18197" s="16"/>
    </row>
    <row r="18198" spans="4:7" ht="15" x14ac:dyDescent="0.3">
      <c r="D18198" s="25"/>
      <c r="F18198" s="21"/>
      <c r="G18198" s="16"/>
    </row>
    <row r="18199" spans="4:7" ht="15" x14ac:dyDescent="0.3">
      <c r="D18199" s="25"/>
      <c r="F18199" s="21"/>
      <c r="G18199" s="16"/>
    </row>
    <row r="18200" spans="4:7" ht="15" x14ac:dyDescent="0.3">
      <c r="D18200" s="25"/>
      <c r="F18200" s="21"/>
      <c r="G18200" s="16"/>
    </row>
    <row r="18201" spans="4:7" ht="15" x14ac:dyDescent="0.3">
      <c r="D18201" s="25"/>
      <c r="F18201" s="21"/>
      <c r="G18201" s="16"/>
    </row>
    <row r="18202" spans="4:7" ht="15" x14ac:dyDescent="0.3">
      <c r="D18202" s="25"/>
      <c r="F18202" s="21"/>
      <c r="G18202" s="16"/>
    </row>
    <row r="18203" spans="4:7" ht="15" x14ac:dyDescent="0.3">
      <c r="D18203" s="25"/>
      <c r="F18203" s="21"/>
      <c r="G18203" s="16"/>
    </row>
    <row r="18204" spans="4:7" ht="15" x14ac:dyDescent="0.3">
      <c r="D18204" s="25"/>
      <c r="F18204" s="21"/>
      <c r="G18204" s="16"/>
    </row>
    <row r="18205" spans="4:7" ht="15" x14ac:dyDescent="0.3">
      <c r="D18205" s="25"/>
      <c r="F18205" s="21"/>
      <c r="G18205" s="16"/>
    </row>
    <row r="18206" spans="4:7" ht="15" x14ac:dyDescent="0.3">
      <c r="D18206" s="25"/>
      <c r="F18206" s="21"/>
      <c r="G18206" s="16"/>
    </row>
    <row r="18207" spans="4:7" ht="15" x14ac:dyDescent="0.3">
      <c r="D18207" s="25"/>
      <c r="F18207" s="21"/>
      <c r="G18207" s="16"/>
    </row>
    <row r="18208" spans="4:7" ht="15" x14ac:dyDescent="0.3">
      <c r="D18208" s="25"/>
      <c r="F18208" s="21"/>
      <c r="G18208" s="16"/>
    </row>
    <row r="18209" spans="4:7" ht="15" x14ac:dyDescent="0.3">
      <c r="D18209" s="25"/>
      <c r="F18209" s="21"/>
      <c r="G18209" s="16"/>
    </row>
    <row r="18210" spans="4:7" ht="15" x14ac:dyDescent="0.3">
      <c r="D18210" s="25"/>
      <c r="F18210" s="21"/>
      <c r="G18210" s="16"/>
    </row>
    <row r="18211" spans="4:7" ht="15" x14ac:dyDescent="0.3">
      <c r="D18211" s="25"/>
      <c r="F18211" s="21"/>
      <c r="G18211" s="16"/>
    </row>
    <row r="18212" spans="4:7" ht="15" x14ac:dyDescent="0.3">
      <c r="D18212" s="25"/>
      <c r="F18212" s="21"/>
      <c r="G18212" s="16"/>
    </row>
    <row r="18213" spans="4:7" ht="15" x14ac:dyDescent="0.3">
      <c r="D18213" s="25"/>
      <c r="F18213" s="21"/>
      <c r="G18213" s="16"/>
    </row>
    <row r="18214" spans="4:7" ht="15" x14ac:dyDescent="0.3">
      <c r="D18214" s="25"/>
      <c r="F18214" s="21"/>
      <c r="G18214" s="16"/>
    </row>
    <row r="18215" spans="4:7" ht="15" x14ac:dyDescent="0.3">
      <c r="D18215" s="25"/>
      <c r="F18215" s="21"/>
      <c r="G18215" s="16"/>
    </row>
    <row r="18216" spans="4:7" ht="15" x14ac:dyDescent="0.3">
      <c r="D18216" s="25"/>
      <c r="F18216" s="21"/>
      <c r="G18216" s="16"/>
    </row>
    <row r="18217" spans="4:7" ht="15" x14ac:dyDescent="0.3">
      <c r="D18217" s="25"/>
      <c r="F18217" s="21"/>
      <c r="G18217" s="16"/>
    </row>
    <row r="18218" spans="4:7" ht="15" x14ac:dyDescent="0.3">
      <c r="D18218" s="25"/>
      <c r="F18218" s="21"/>
      <c r="G18218" s="16"/>
    </row>
    <row r="18219" spans="4:7" ht="15" x14ac:dyDescent="0.3">
      <c r="D18219" s="25"/>
      <c r="F18219" s="21"/>
      <c r="G18219" s="16"/>
    </row>
    <row r="18220" spans="4:7" ht="15" x14ac:dyDescent="0.3">
      <c r="D18220" s="25"/>
      <c r="F18220" s="21"/>
      <c r="G18220" s="16"/>
    </row>
    <row r="18221" spans="4:7" ht="15" x14ac:dyDescent="0.3">
      <c r="D18221" s="25"/>
      <c r="F18221" s="21"/>
      <c r="G18221" s="16"/>
    </row>
    <row r="18222" spans="4:7" ht="15" x14ac:dyDescent="0.3">
      <c r="D18222" s="25"/>
      <c r="F18222" s="21"/>
      <c r="G18222" s="16"/>
    </row>
    <row r="18223" spans="4:7" ht="15" x14ac:dyDescent="0.3">
      <c r="D18223" s="25"/>
      <c r="F18223" s="21"/>
      <c r="G18223" s="16"/>
    </row>
    <row r="18224" spans="4:7" ht="15" x14ac:dyDescent="0.3">
      <c r="D18224" s="25"/>
      <c r="F18224" s="21"/>
      <c r="G18224" s="16"/>
    </row>
    <row r="18225" spans="4:7" ht="15" x14ac:dyDescent="0.3">
      <c r="D18225" s="25"/>
      <c r="F18225" s="21"/>
      <c r="G18225" s="16"/>
    </row>
    <row r="18226" spans="4:7" ht="15" x14ac:dyDescent="0.3">
      <c r="D18226" s="25"/>
      <c r="F18226" s="21"/>
      <c r="G18226" s="16"/>
    </row>
    <row r="18227" spans="4:7" ht="15" x14ac:dyDescent="0.3">
      <c r="D18227" s="25"/>
      <c r="F18227" s="21"/>
      <c r="G18227" s="16"/>
    </row>
    <row r="18228" spans="4:7" ht="15" x14ac:dyDescent="0.3">
      <c r="D18228" s="25"/>
      <c r="F18228" s="21"/>
      <c r="G18228" s="16"/>
    </row>
    <row r="18229" spans="4:7" ht="15" x14ac:dyDescent="0.3">
      <c r="D18229" s="25"/>
      <c r="F18229" s="21"/>
      <c r="G18229" s="16"/>
    </row>
    <row r="18230" spans="4:7" ht="15" x14ac:dyDescent="0.3">
      <c r="D18230" s="25"/>
      <c r="F18230" s="21"/>
      <c r="G18230" s="16"/>
    </row>
    <row r="18231" spans="4:7" ht="15" x14ac:dyDescent="0.3">
      <c r="D18231" s="25"/>
      <c r="F18231" s="21"/>
      <c r="G18231" s="16"/>
    </row>
    <row r="18232" spans="4:7" ht="15" x14ac:dyDescent="0.3">
      <c r="D18232" s="25"/>
      <c r="F18232" s="21"/>
      <c r="G18232" s="16"/>
    </row>
    <row r="18233" spans="4:7" ht="15" x14ac:dyDescent="0.3">
      <c r="D18233" s="25"/>
      <c r="F18233" s="21"/>
      <c r="G18233" s="16"/>
    </row>
    <row r="18234" spans="4:7" ht="15" x14ac:dyDescent="0.3">
      <c r="D18234" s="25"/>
      <c r="F18234" s="21"/>
      <c r="G18234" s="16"/>
    </row>
    <row r="18235" spans="4:7" ht="15" x14ac:dyDescent="0.3">
      <c r="D18235" s="25"/>
      <c r="F18235" s="21"/>
      <c r="G18235" s="16"/>
    </row>
    <row r="18236" spans="4:7" ht="15" x14ac:dyDescent="0.3">
      <c r="D18236" s="25"/>
      <c r="F18236" s="21"/>
      <c r="G18236" s="16"/>
    </row>
    <row r="18237" spans="4:7" ht="15" x14ac:dyDescent="0.3">
      <c r="D18237" s="25"/>
      <c r="F18237" s="21"/>
      <c r="G18237" s="16"/>
    </row>
    <row r="18238" spans="4:7" ht="15" x14ac:dyDescent="0.3">
      <c r="D18238" s="25"/>
      <c r="F18238" s="21"/>
      <c r="G18238" s="16"/>
    </row>
    <row r="18239" spans="4:7" ht="15" x14ac:dyDescent="0.3">
      <c r="D18239" s="25"/>
      <c r="F18239" s="21"/>
      <c r="G18239" s="16"/>
    </row>
    <row r="18240" spans="4:7" ht="15" x14ac:dyDescent="0.3">
      <c r="D18240" s="25"/>
      <c r="F18240" s="21"/>
      <c r="G18240" s="16"/>
    </row>
    <row r="18241" spans="4:7" ht="15" x14ac:dyDescent="0.3">
      <c r="D18241" s="25"/>
      <c r="F18241" s="21"/>
      <c r="G18241" s="16"/>
    </row>
    <row r="18242" spans="4:7" ht="15" x14ac:dyDescent="0.3">
      <c r="D18242" s="25"/>
      <c r="F18242" s="21"/>
      <c r="G18242" s="16"/>
    </row>
    <row r="18243" spans="4:7" ht="15" x14ac:dyDescent="0.3">
      <c r="D18243" s="25"/>
      <c r="F18243" s="21"/>
      <c r="G18243" s="16"/>
    </row>
    <row r="18244" spans="4:7" ht="15" x14ac:dyDescent="0.3">
      <c r="D18244" s="25"/>
      <c r="F18244" s="21"/>
      <c r="G18244" s="16"/>
    </row>
    <row r="18245" spans="4:7" ht="15" x14ac:dyDescent="0.3">
      <c r="D18245" s="25"/>
      <c r="F18245" s="21"/>
      <c r="G18245" s="16"/>
    </row>
    <row r="18246" spans="4:7" ht="15" x14ac:dyDescent="0.3">
      <c r="D18246" s="25"/>
      <c r="F18246" s="21"/>
      <c r="G18246" s="16"/>
    </row>
    <row r="18247" spans="4:7" ht="15" x14ac:dyDescent="0.3">
      <c r="D18247" s="25"/>
      <c r="F18247" s="21"/>
      <c r="G18247" s="16"/>
    </row>
    <row r="18248" spans="4:7" ht="15" x14ac:dyDescent="0.3">
      <c r="D18248" s="25"/>
      <c r="F18248" s="21"/>
      <c r="G18248" s="16"/>
    </row>
    <row r="18249" spans="4:7" ht="15" x14ac:dyDescent="0.3">
      <c r="D18249" s="25"/>
      <c r="F18249" s="21"/>
      <c r="G18249" s="16"/>
    </row>
    <row r="18250" spans="4:7" ht="15" x14ac:dyDescent="0.3">
      <c r="D18250" s="25"/>
      <c r="F18250" s="21"/>
      <c r="G18250" s="16"/>
    </row>
    <row r="18251" spans="4:7" ht="15" x14ac:dyDescent="0.3">
      <c r="D18251" s="25"/>
      <c r="F18251" s="21"/>
      <c r="G18251" s="16"/>
    </row>
    <row r="18252" spans="4:7" ht="15" x14ac:dyDescent="0.3">
      <c r="D18252" s="25"/>
      <c r="F18252" s="21"/>
      <c r="G18252" s="16"/>
    </row>
    <row r="18253" spans="4:7" ht="15" x14ac:dyDescent="0.3">
      <c r="D18253" s="25"/>
      <c r="F18253" s="21"/>
      <c r="G18253" s="16"/>
    </row>
    <row r="18254" spans="4:7" ht="15" x14ac:dyDescent="0.3">
      <c r="D18254" s="25"/>
      <c r="F18254" s="21"/>
      <c r="G18254" s="16"/>
    </row>
    <row r="18255" spans="4:7" ht="15" x14ac:dyDescent="0.3">
      <c r="D18255" s="25"/>
      <c r="F18255" s="21"/>
      <c r="G18255" s="16"/>
    </row>
    <row r="18256" spans="4:7" ht="15" x14ac:dyDescent="0.3">
      <c r="D18256" s="25"/>
      <c r="F18256" s="21"/>
      <c r="G18256" s="16"/>
    </row>
    <row r="18257" spans="4:7" ht="15" x14ac:dyDescent="0.3">
      <c r="D18257" s="25"/>
      <c r="F18257" s="21"/>
      <c r="G18257" s="16"/>
    </row>
    <row r="18258" spans="4:7" ht="15" x14ac:dyDescent="0.3">
      <c r="D18258" s="25"/>
      <c r="F18258" s="21"/>
      <c r="G18258" s="16"/>
    </row>
    <row r="18259" spans="4:7" ht="15" x14ac:dyDescent="0.3">
      <c r="D18259" s="25"/>
      <c r="F18259" s="21"/>
      <c r="G18259" s="16"/>
    </row>
    <row r="18260" spans="4:7" ht="15" x14ac:dyDescent="0.3">
      <c r="D18260" s="25"/>
      <c r="F18260" s="21"/>
      <c r="G18260" s="16"/>
    </row>
    <row r="18261" spans="4:7" ht="15" x14ac:dyDescent="0.3">
      <c r="D18261" s="25"/>
      <c r="F18261" s="21"/>
      <c r="G18261" s="16"/>
    </row>
    <row r="18262" spans="4:7" ht="15" x14ac:dyDescent="0.3">
      <c r="D18262" s="25"/>
      <c r="F18262" s="21"/>
      <c r="G18262" s="16"/>
    </row>
    <row r="18263" spans="4:7" ht="15" x14ac:dyDescent="0.3">
      <c r="D18263" s="25"/>
      <c r="F18263" s="21"/>
      <c r="G18263" s="16"/>
    </row>
    <row r="18264" spans="4:7" ht="15" x14ac:dyDescent="0.3">
      <c r="D18264" s="25"/>
      <c r="F18264" s="21"/>
      <c r="G18264" s="16"/>
    </row>
    <row r="18265" spans="4:7" ht="15" x14ac:dyDescent="0.3">
      <c r="D18265" s="25"/>
      <c r="F18265" s="21"/>
      <c r="G18265" s="16"/>
    </row>
    <row r="18266" spans="4:7" ht="15" x14ac:dyDescent="0.3">
      <c r="D18266" s="25"/>
      <c r="F18266" s="21"/>
      <c r="G18266" s="16"/>
    </row>
    <row r="18267" spans="4:7" ht="15" x14ac:dyDescent="0.3">
      <c r="D18267" s="25"/>
      <c r="F18267" s="21"/>
      <c r="G18267" s="16"/>
    </row>
    <row r="18268" spans="4:7" ht="15" x14ac:dyDescent="0.3">
      <c r="D18268" s="25"/>
      <c r="F18268" s="21"/>
      <c r="G18268" s="16"/>
    </row>
    <row r="18269" spans="4:7" ht="15" x14ac:dyDescent="0.3">
      <c r="D18269" s="25"/>
      <c r="F18269" s="21"/>
      <c r="G18269" s="16"/>
    </row>
    <row r="18270" spans="4:7" ht="15" x14ac:dyDescent="0.3">
      <c r="D18270" s="25"/>
      <c r="F18270" s="21"/>
      <c r="G18270" s="16"/>
    </row>
    <row r="18271" spans="4:7" ht="15" x14ac:dyDescent="0.3">
      <c r="D18271" s="25"/>
      <c r="F18271" s="21"/>
      <c r="G18271" s="16"/>
    </row>
    <row r="18272" spans="4:7" ht="15" x14ac:dyDescent="0.3">
      <c r="D18272" s="25"/>
      <c r="F18272" s="21"/>
      <c r="G18272" s="16"/>
    </row>
    <row r="18273" spans="4:7" ht="15" x14ac:dyDescent="0.3">
      <c r="D18273" s="25"/>
      <c r="F18273" s="21"/>
      <c r="G18273" s="16"/>
    </row>
    <row r="18274" spans="4:7" ht="15" x14ac:dyDescent="0.3">
      <c r="D18274" s="25"/>
      <c r="F18274" s="21"/>
      <c r="G18274" s="16"/>
    </row>
    <row r="18275" spans="4:7" ht="15" x14ac:dyDescent="0.3">
      <c r="D18275" s="25"/>
      <c r="F18275" s="21"/>
      <c r="G18275" s="16"/>
    </row>
    <row r="18276" spans="4:7" ht="15" x14ac:dyDescent="0.3">
      <c r="D18276" s="25"/>
      <c r="F18276" s="21"/>
      <c r="G18276" s="16"/>
    </row>
    <row r="18277" spans="4:7" ht="15" x14ac:dyDescent="0.3">
      <c r="D18277" s="25"/>
      <c r="F18277" s="21"/>
      <c r="G18277" s="16"/>
    </row>
    <row r="18278" spans="4:7" ht="15" x14ac:dyDescent="0.3">
      <c r="D18278" s="25"/>
      <c r="F18278" s="21"/>
      <c r="G18278" s="16"/>
    </row>
    <row r="18279" spans="4:7" ht="15" x14ac:dyDescent="0.3">
      <c r="D18279" s="25"/>
      <c r="F18279" s="21"/>
      <c r="G18279" s="16"/>
    </row>
    <row r="18280" spans="4:7" ht="15" x14ac:dyDescent="0.3">
      <c r="D18280" s="25"/>
      <c r="F18280" s="21"/>
      <c r="G18280" s="16"/>
    </row>
    <row r="18281" spans="4:7" ht="15" x14ac:dyDescent="0.3">
      <c r="D18281" s="25"/>
      <c r="F18281" s="21"/>
      <c r="G18281" s="16"/>
    </row>
    <row r="18282" spans="4:7" ht="15" x14ac:dyDescent="0.3">
      <c r="D18282" s="25"/>
      <c r="F18282" s="21"/>
      <c r="G18282" s="16"/>
    </row>
    <row r="18283" spans="4:7" ht="15" x14ac:dyDescent="0.3">
      <c r="D18283" s="25"/>
      <c r="F18283" s="21"/>
      <c r="G18283" s="16"/>
    </row>
    <row r="18284" spans="4:7" ht="15" x14ac:dyDescent="0.3">
      <c r="D18284" s="25"/>
      <c r="F18284" s="21"/>
      <c r="G18284" s="16"/>
    </row>
    <row r="18285" spans="4:7" ht="15" x14ac:dyDescent="0.3">
      <c r="D18285" s="25"/>
      <c r="F18285" s="21"/>
      <c r="G18285" s="16"/>
    </row>
    <row r="18286" spans="4:7" ht="15" x14ac:dyDescent="0.3">
      <c r="D18286" s="25"/>
      <c r="F18286" s="21"/>
      <c r="G18286" s="16"/>
    </row>
    <row r="18287" spans="4:7" ht="15" x14ac:dyDescent="0.3">
      <c r="D18287" s="25"/>
      <c r="F18287" s="21"/>
      <c r="G18287" s="16"/>
    </row>
    <row r="18288" spans="4:7" ht="15" x14ac:dyDescent="0.3">
      <c r="D18288" s="25"/>
      <c r="F18288" s="21"/>
      <c r="G18288" s="16"/>
    </row>
    <row r="18289" spans="4:7" ht="15" x14ac:dyDescent="0.3">
      <c r="D18289" s="25"/>
      <c r="F18289" s="21"/>
      <c r="G18289" s="16"/>
    </row>
    <row r="18290" spans="4:7" ht="15" x14ac:dyDescent="0.3">
      <c r="D18290" s="25"/>
      <c r="F18290" s="21"/>
      <c r="G18290" s="16"/>
    </row>
    <row r="18291" spans="4:7" ht="15" x14ac:dyDescent="0.3">
      <c r="D18291" s="25"/>
      <c r="F18291" s="21"/>
      <c r="G18291" s="16"/>
    </row>
    <row r="18292" spans="4:7" ht="15" x14ac:dyDescent="0.3">
      <c r="D18292" s="25"/>
      <c r="F18292" s="21"/>
      <c r="G18292" s="16"/>
    </row>
    <row r="18293" spans="4:7" ht="15" x14ac:dyDescent="0.3">
      <c r="D18293" s="25"/>
      <c r="F18293" s="21"/>
      <c r="G18293" s="16"/>
    </row>
    <row r="18294" spans="4:7" ht="15" x14ac:dyDescent="0.3">
      <c r="D18294" s="25"/>
      <c r="F18294" s="21"/>
      <c r="G18294" s="16"/>
    </row>
    <row r="18295" spans="4:7" ht="15" x14ac:dyDescent="0.3">
      <c r="D18295" s="25"/>
      <c r="F18295" s="21"/>
      <c r="G18295" s="16"/>
    </row>
    <row r="18296" spans="4:7" ht="15" x14ac:dyDescent="0.3">
      <c r="D18296" s="25"/>
      <c r="F18296" s="21"/>
      <c r="G18296" s="16"/>
    </row>
    <row r="18297" spans="4:7" ht="15" x14ac:dyDescent="0.3">
      <c r="D18297" s="25"/>
      <c r="F18297" s="21"/>
      <c r="G18297" s="16"/>
    </row>
    <row r="18298" spans="4:7" ht="15" x14ac:dyDescent="0.3">
      <c r="D18298" s="25"/>
      <c r="F18298" s="21"/>
      <c r="G18298" s="16"/>
    </row>
    <row r="18299" spans="4:7" ht="15" x14ac:dyDescent="0.3">
      <c r="D18299" s="25"/>
      <c r="F18299" s="21"/>
      <c r="G18299" s="16"/>
    </row>
    <row r="18300" spans="4:7" ht="15" x14ac:dyDescent="0.3">
      <c r="D18300" s="25"/>
      <c r="F18300" s="21"/>
      <c r="G18300" s="16"/>
    </row>
    <row r="18301" spans="4:7" ht="15" x14ac:dyDescent="0.3">
      <c r="D18301" s="25"/>
      <c r="F18301" s="21"/>
      <c r="G18301" s="16"/>
    </row>
    <row r="18302" spans="4:7" ht="15" x14ac:dyDescent="0.3">
      <c r="D18302" s="25"/>
      <c r="F18302" s="21"/>
      <c r="G18302" s="16"/>
    </row>
    <row r="18303" spans="4:7" ht="15" x14ac:dyDescent="0.3">
      <c r="D18303" s="25"/>
      <c r="F18303" s="21"/>
      <c r="G18303" s="16"/>
    </row>
    <row r="18304" spans="4:7" ht="15" x14ac:dyDescent="0.3">
      <c r="D18304" s="25"/>
      <c r="F18304" s="21"/>
      <c r="G18304" s="16"/>
    </row>
    <row r="18305" spans="4:7" ht="15" x14ac:dyDescent="0.3">
      <c r="D18305" s="25"/>
      <c r="F18305" s="21"/>
      <c r="G18305" s="16"/>
    </row>
    <row r="18306" spans="4:7" ht="15" x14ac:dyDescent="0.3">
      <c r="D18306" s="25"/>
      <c r="F18306" s="21"/>
      <c r="G18306" s="16"/>
    </row>
    <row r="18307" spans="4:7" ht="15" x14ac:dyDescent="0.3">
      <c r="D18307" s="25"/>
      <c r="F18307" s="21"/>
      <c r="G18307" s="16"/>
    </row>
    <row r="18308" spans="4:7" ht="15" x14ac:dyDescent="0.3">
      <c r="D18308" s="25"/>
      <c r="F18308" s="21"/>
      <c r="G18308" s="16"/>
    </row>
    <row r="18309" spans="4:7" ht="15" x14ac:dyDescent="0.3">
      <c r="D18309" s="25"/>
      <c r="F18309" s="21"/>
      <c r="G18309" s="16"/>
    </row>
    <row r="18310" spans="4:7" ht="15" x14ac:dyDescent="0.3">
      <c r="D18310" s="25"/>
      <c r="F18310" s="21"/>
      <c r="G18310" s="16"/>
    </row>
    <row r="18311" spans="4:7" ht="15" x14ac:dyDescent="0.3">
      <c r="D18311" s="25"/>
      <c r="F18311" s="21"/>
      <c r="G18311" s="16"/>
    </row>
    <row r="18312" spans="4:7" ht="15" x14ac:dyDescent="0.3">
      <c r="D18312" s="25"/>
      <c r="F18312" s="21"/>
      <c r="G18312" s="16"/>
    </row>
    <row r="18313" spans="4:7" ht="15" x14ac:dyDescent="0.3">
      <c r="D18313" s="25"/>
      <c r="F18313" s="21"/>
      <c r="G18313" s="16"/>
    </row>
    <row r="18314" spans="4:7" ht="15" x14ac:dyDescent="0.3">
      <c r="D18314" s="25"/>
      <c r="F18314" s="21"/>
      <c r="G18314" s="16"/>
    </row>
    <row r="18315" spans="4:7" ht="15" x14ac:dyDescent="0.3">
      <c r="D18315" s="25"/>
      <c r="F18315" s="21"/>
      <c r="G18315" s="16"/>
    </row>
    <row r="18316" spans="4:7" ht="15" x14ac:dyDescent="0.3">
      <c r="D18316" s="25"/>
      <c r="F18316" s="21"/>
      <c r="G18316" s="16"/>
    </row>
    <row r="18317" spans="4:7" ht="15" x14ac:dyDescent="0.3">
      <c r="D18317" s="25"/>
      <c r="F18317" s="21"/>
      <c r="G18317" s="16"/>
    </row>
    <row r="18318" spans="4:7" ht="15" x14ac:dyDescent="0.3">
      <c r="D18318" s="25"/>
      <c r="F18318" s="21"/>
      <c r="G18318" s="16"/>
    </row>
    <row r="18319" spans="4:7" ht="15" x14ac:dyDescent="0.3">
      <c r="D18319" s="25"/>
      <c r="F18319" s="21"/>
      <c r="G18319" s="16"/>
    </row>
    <row r="18320" spans="4:7" ht="15" x14ac:dyDescent="0.3">
      <c r="D18320" s="25"/>
      <c r="F18320" s="21"/>
      <c r="G18320" s="16"/>
    </row>
    <row r="18321" spans="4:7" ht="15" x14ac:dyDescent="0.3">
      <c r="D18321" s="25"/>
      <c r="F18321" s="21"/>
      <c r="G18321" s="16"/>
    </row>
    <row r="18322" spans="4:7" ht="15" x14ac:dyDescent="0.3">
      <c r="D18322" s="25"/>
      <c r="F18322" s="21"/>
      <c r="G18322" s="16"/>
    </row>
    <row r="18323" spans="4:7" ht="15" x14ac:dyDescent="0.3">
      <c r="D18323" s="25"/>
      <c r="F18323" s="21"/>
      <c r="G18323" s="16"/>
    </row>
    <row r="18324" spans="4:7" ht="15" x14ac:dyDescent="0.3">
      <c r="D18324" s="25"/>
      <c r="F18324" s="21"/>
      <c r="G18324" s="16"/>
    </row>
    <row r="18325" spans="4:7" ht="15" x14ac:dyDescent="0.3">
      <c r="D18325" s="25"/>
      <c r="F18325" s="21"/>
      <c r="G18325" s="16"/>
    </row>
    <row r="18326" spans="4:7" ht="15" x14ac:dyDescent="0.3">
      <c r="D18326" s="25"/>
      <c r="F18326" s="21"/>
      <c r="G18326" s="16"/>
    </row>
    <row r="18327" spans="4:7" ht="15" x14ac:dyDescent="0.3">
      <c r="D18327" s="25"/>
      <c r="F18327" s="21"/>
      <c r="G18327" s="16"/>
    </row>
    <row r="18328" spans="4:7" ht="15" x14ac:dyDescent="0.3">
      <c r="D18328" s="25"/>
      <c r="F18328" s="21"/>
      <c r="G18328" s="16"/>
    </row>
    <row r="18329" spans="4:7" ht="15" x14ac:dyDescent="0.3">
      <c r="D18329" s="25"/>
      <c r="F18329" s="21"/>
      <c r="G18329" s="16"/>
    </row>
    <row r="18330" spans="4:7" ht="15" x14ac:dyDescent="0.3">
      <c r="D18330" s="25"/>
      <c r="F18330" s="21"/>
      <c r="G18330" s="16"/>
    </row>
    <row r="18331" spans="4:7" ht="15" x14ac:dyDescent="0.3">
      <c r="D18331" s="25"/>
      <c r="F18331" s="21"/>
      <c r="G18331" s="16"/>
    </row>
    <row r="18332" spans="4:7" ht="15" x14ac:dyDescent="0.3">
      <c r="D18332" s="25"/>
      <c r="F18332" s="21"/>
      <c r="G18332" s="16"/>
    </row>
    <row r="18333" spans="4:7" ht="15" x14ac:dyDescent="0.3">
      <c r="D18333" s="25"/>
      <c r="F18333" s="21"/>
      <c r="G18333" s="16"/>
    </row>
    <row r="18334" spans="4:7" ht="15" x14ac:dyDescent="0.3">
      <c r="D18334" s="25"/>
      <c r="F18334" s="21"/>
      <c r="G18334" s="16"/>
    </row>
    <row r="18335" spans="4:7" ht="15" x14ac:dyDescent="0.3">
      <c r="D18335" s="25"/>
      <c r="F18335" s="21"/>
      <c r="G18335" s="16"/>
    </row>
    <row r="18336" spans="4:7" ht="15" x14ac:dyDescent="0.3">
      <c r="D18336" s="25"/>
      <c r="F18336" s="21"/>
      <c r="G18336" s="16"/>
    </row>
    <row r="18337" spans="4:7" ht="15" x14ac:dyDescent="0.3">
      <c r="D18337" s="25"/>
      <c r="F18337" s="21"/>
      <c r="G18337" s="16"/>
    </row>
    <row r="18338" spans="4:7" ht="15" x14ac:dyDescent="0.3">
      <c r="D18338" s="25"/>
      <c r="F18338" s="21"/>
      <c r="G18338" s="16"/>
    </row>
    <row r="18339" spans="4:7" ht="15" x14ac:dyDescent="0.3">
      <c r="D18339" s="25"/>
      <c r="F18339" s="21"/>
      <c r="G18339" s="16"/>
    </row>
    <row r="18340" spans="4:7" ht="15" x14ac:dyDescent="0.3">
      <c r="D18340" s="25"/>
      <c r="F18340" s="21"/>
      <c r="G18340" s="16"/>
    </row>
    <row r="18341" spans="4:7" ht="15" x14ac:dyDescent="0.3">
      <c r="D18341" s="25"/>
      <c r="F18341" s="21"/>
      <c r="G18341" s="16"/>
    </row>
    <row r="18342" spans="4:7" ht="15" x14ac:dyDescent="0.3">
      <c r="D18342" s="25"/>
      <c r="F18342" s="21"/>
      <c r="G18342" s="16"/>
    </row>
    <row r="18343" spans="4:7" ht="15" x14ac:dyDescent="0.3">
      <c r="D18343" s="25"/>
      <c r="F18343" s="21"/>
      <c r="G18343" s="16"/>
    </row>
    <row r="18344" spans="4:7" ht="15" x14ac:dyDescent="0.3">
      <c r="D18344" s="25"/>
      <c r="F18344" s="21"/>
      <c r="G18344" s="16"/>
    </row>
    <row r="18345" spans="4:7" ht="15" x14ac:dyDescent="0.3">
      <c r="D18345" s="25"/>
      <c r="F18345" s="21"/>
      <c r="G18345" s="16"/>
    </row>
    <row r="18346" spans="4:7" ht="15" x14ac:dyDescent="0.3">
      <c r="D18346" s="25"/>
      <c r="F18346" s="21"/>
      <c r="G18346" s="16"/>
    </row>
    <row r="18347" spans="4:7" ht="15" x14ac:dyDescent="0.3">
      <c r="D18347" s="25"/>
      <c r="F18347" s="21"/>
      <c r="G18347" s="16"/>
    </row>
    <row r="18348" spans="4:7" ht="15" x14ac:dyDescent="0.3">
      <c r="D18348" s="25"/>
      <c r="F18348" s="21"/>
      <c r="G18348" s="16"/>
    </row>
    <row r="18349" spans="4:7" ht="15" x14ac:dyDescent="0.3">
      <c r="D18349" s="25"/>
      <c r="F18349" s="21"/>
      <c r="G18349" s="16"/>
    </row>
    <row r="18350" spans="4:7" ht="15" x14ac:dyDescent="0.3">
      <c r="D18350" s="25"/>
      <c r="F18350" s="21"/>
      <c r="G18350" s="16"/>
    </row>
    <row r="18351" spans="4:7" ht="15" x14ac:dyDescent="0.3">
      <c r="D18351" s="25"/>
      <c r="F18351" s="21"/>
      <c r="G18351" s="16"/>
    </row>
    <row r="18352" spans="4:7" ht="15" x14ac:dyDescent="0.3">
      <c r="D18352" s="25"/>
      <c r="F18352" s="21"/>
      <c r="G18352" s="16"/>
    </row>
    <row r="18353" spans="4:7" ht="15" x14ac:dyDescent="0.3">
      <c r="D18353" s="25"/>
      <c r="F18353" s="21"/>
      <c r="G18353" s="16"/>
    </row>
    <row r="18354" spans="4:7" ht="15" x14ac:dyDescent="0.3">
      <c r="D18354" s="25"/>
      <c r="F18354" s="21"/>
      <c r="G18354" s="16"/>
    </row>
    <row r="18355" spans="4:7" ht="15" x14ac:dyDescent="0.3">
      <c r="D18355" s="25"/>
      <c r="F18355" s="21"/>
      <c r="G18355" s="16"/>
    </row>
    <row r="18356" spans="4:7" ht="15" x14ac:dyDescent="0.3">
      <c r="D18356" s="25"/>
      <c r="F18356" s="21"/>
      <c r="G18356" s="16"/>
    </row>
    <row r="18357" spans="4:7" ht="15" x14ac:dyDescent="0.3">
      <c r="D18357" s="25"/>
      <c r="F18357" s="21"/>
      <c r="G18357" s="16"/>
    </row>
    <row r="18358" spans="4:7" ht="15" x14ac:dyDescent="0.3">
      <c r="D18358" s="25"/>
      <c r="F18358" s="21"/>
      <c r="G18358" s="16"/>
    </row>
    <row r="18359" spans="4:7" ht="15" x14ac:dyDescent="0.3">
      <c r="D18359" s="25"/>
      <c r="F18359" s="21"/>
      <c r="G18359" s="16"/>
    </row>
    <row r="18360" spans="4:7" ht="15" x14ac:dyDescent="0.3">
      <c r="D18360" s="25"/>
      <c r="F18360" s="21"/>
      <c r="G18360" s="16"/>
    </row>
    <row r="18361" spans="4:7" ht="15" x14ac:dyDescent="0.3">
      <c r="D18361" s="25"/>
      <c r="F18361" s="21"/>
      <c r="G18361" s="16"/>
    </row>
    <row r="18362" spans="4:7" ht="15" x14ac:dyDescent="0.3">
      <c r="D18362" s="25"/>
      <c r="F18362" s="21"/>
      <c r="G18362" s="16"/>
    </row>
    <row r="18363" spans="4:7" ht="15" x14ac:dyDescent="0.3">
      <c r="D18363" s="25"/>
      <c r="F18363" s="21"/>
      <c r="G18363" s="16"/>
    </row>
    <row r="18364" spans="4:7" ht="15" x14ac:dyDescent="0.3">
      <c r="D18364" s="25"/>
      <c r="F18364" s="21"/>
      <c r="G18364" s="16"/>
    </row>
    <row r="18365" spans="4:7" ht="15" x14ac:dyDescent="0.3">
      <c r="D18365" s="25"/>
      <c r="F18365" s="21"/>
      <c r="G18365" s="16"/>
    </row>
    <row r="18366" spans="4:7" ht="15" x14ac:dyDescent="0.3">
      <c r="D18366" s="25"/>
      <c r="F18366" s="21"/>
      <c r="G18366" s="16"/>
    </row>
    <row r="18367" spans="4:7" ht="15" x14ac:dyDescent="0.3">
      <c r="D18367" s="25"/>
      <c r="F18367" s="21"/>
      <c r="G18367" s="16"/>
    </row>
    <row r="18368" spans="4:7" ht="15" x14ac:dyDescent="0.3">
      <c r="D18368" s="25"/>
      <c r="F18368" s="21"/>
      <c r="G18368" s="16"/>
    </row>
    <row r="18369" spans="4:7" ht="15" x14ac:dyDescent="0.3">
      <c r="D18369" s="25"/>
      <c r="F18369" s="21"/>
      <c r="G18369" s="16"/>
    </row>
    <row r="18370" spans="4:7" ht="15" x14ac:dyDescent="0.3">
      <c r="D18370" s="25"/>
      <c r="F18370" s="21"/>
      <c r="G18370" s="16"/>
    </row>
    <row r="18371" spans="4:7" ht="15" x14ac:dyDescent="0.3">
      <c r="D18371" s="25"/>
      <c r="F18371" s="21"/>
      <c r="G18371" s="16"/>
    </row>
    <row r="18372" spans="4:7" ht="15" x14ac:dyDescent="0.3">
      <c r="D18372" s="25"/>
      <c r="F18372" s="21"/>
      <c r="G18372" s="16"/>
    </row>
    <row r="18373" spans="4:7" ht="15" x14ac:dyDescent="0.3">
      <c r="D18373" s="25"/>
      <c r="F18373" s="21"/>
      <c r="G18373" s="16"/>
    </row>
    <row r="18374" spans="4:7" ht="15" x14ac:dyDescent="0.3">
      <c r="D18374" s="25"/>
      <c r="F18374" s="21"/>
      <c r="G18374" s="16"/>
    </row>
    <row r="18375" spans="4:7" ht="15" x14ac:dyDescent="0.3">
      <c r="D18375" s="25"/>
      <c r="F18375" s="21"/>
      <c r="G18375" s="16"/>
    </row>
    <row r="18376" spans="4:7" ht="15" x14ac:dyDescent="0.3">
      <c r="D18376" s="25"/>
      <c r="F18376" s="21"/>
      <c r="G18376" s="16"/>
    </row>
    <row r="18377" spans="4:7" ht="15" x14ac:dyDescent="0.3">
      <c r="D18377" s="25"/>
      <c r="F18377" s="21"/>
      <c r="G18377" s="16"/>
    </row>
    <row r="18378" spans="4:7" ht="15" x14ac:dyDescent="0.3">
      <c r="D18378" s="25"/>
      <c r="F18378" s="21"/>
      <c r="G18378" s="16"/>
    </row>
    <row r="18379" spans="4:7" ht="15" x14ac:dyDescent="0.3">
      <c r="D18379" s="25"/>
      <c r="F18379" s="21"/>
      <c r="G18379" s="16"/>
    </row>
    <row r="18380" spans="4:7" ht="15" x14ac:dyDescent="0.3">
      <c r="D18380" s="25"/>
      <c r="F18380" s="21"/>
      <c r="G18380" s="16"/>
    </row>
    <row r="18381" spans="4:7" ht="15" x14ac:dyDescent="0.3">
      <c r="D18381" s="25"/>
      <c r="F18381" s="21"/>
      <c r="G18381" s="16"/>
    </row>
    <row r="18382" spans="4:7" ht="15" x14ac:dyDescent="0.3">
      <c r="D18382" s="25"/>
      <c r="F18382" s="21"/>
      <c r="G18382" s="16"/>
    </row>
    <row r="18383" spans="4:7" ht="15" x14ac:dyDescent="0.3">
      <c r="D18383" s="25"/>
      <c r="F18383" s="21"/>
      <c r="G18383" s="16"/>
    </row>
    <row r="18384" spans="4:7" ht="15" x14ac:dyDescent="0.3">
      <c r="D18384" s="25"/>
      <c r="F18384" s="21"/>
      <c r="G18384" s="16"/>
    </row>
    <row r="18385" spans="4:7" ht="15" x14ac:dyDescent="0.3">
      <c r="D18385" s="25"/>
      <c r="F18385" s="21"/>
      <c r="G18385" s="16"/>
    </row>
    <row r="18386" spans="4:7" ht="15" x14ac:dyDescent="0.3">
      <c r="D18386" s="25"/>
      <c r="F18386" s="21"/>
      <c r="G18386" s="16"/>
    </row>
    <row r="18387" spans="4:7" ht="15" x14ac:dyDescent="0.3">
      <c r="D18387" s="25"/>
      <c r="F18387" s="21"/>
      <c r="G18387" s="16"/>
    </row>
    <row r="18388" spans="4:7" ht="15" x14ac:dyDescent="0.3">
      <c r="D18388" s="25"/>
      <c r="F18388" s="21"/>
      <c r="G18388" s="16"/>
    </row>
    <row r="18389" spans="4:7" ht="15" x14ac:dyDescent="0.3">
      <c r="D18389" s="25"/>
      <c r="F18389" s="21"/>
      <c r="G18389" s="16"/>
    </row>
    <row r="18390" spans="4:7" ht="15" x14ac:dyDescent="0.3">
      <c r="D18390" s="25"/>
      <c r="F18390" s="21"/>
      <c r="G18390" s="16"/>
    </row>
    <row r="18391" spans="4:7" ht="15" x14ac:dyDescent="0.3">
      <c r="D18391" s="25"/>
      <c r="F18391" s="21"/>
      <c r="G18391" s="16"/>
    </row>
    <row r="18392" spans="4:7" ht="15" x14ac:dyDescent="0.3">
      <c r="D18392" s="25"/>
      <c r="F18392" s="21"/>
      <c r="G18392" s="16"/>
    </row>
    <row r="18393" spans="4:7" ht="15" x14ac:dyDescent="0.3">
      <c r="D18393" s="25"/>
      <c r="F18393" s="21"/>
      <c r="G18393" s="16"/>
    </row>
    <row r="18394" spans="4:7" ht="15" x14ac:dyDescent="0.3">
      <c r="D18394" s="25"/>
      <c r="F18394" s="21"/>
      <c r="G18394" s="16"/>
    </row>
    <row r="18395" spans="4:7" ht="15" x14ac:dyDescent="0.3">
      <c r="D18395" s="25"/>
      <c r="F18395" s="21"/>
      <c r="G18395" s="16"/>
    </row>
    <row r="18396" spans="4:7" ht="15" x14ac:dyDescent="0.3">
      <c r="D18396" s="25"/>
      <c r="F18396" s="21"/>
      <c r="G18396" s="16"/>
    </row>
    <row r="18397" spans="4:7" ht="15" x14ac:dyDescent="0.3">
      <c r="D18397" s="25"/>
      <c r="F18397" s="21"/>
      <c r="G18397" s="16"/>
    </row>
    <row r="18398" spans="4:7" ht="15" x14ac:dyDescent="0.3">
      <c r="D18398" s="25"/>
      <c r="F18398" s="21"/>
      <c r="G18398" s="16"/>
    </row>
    <row r="18399" spans="4:7" ht="15" x14ac:dyDescent="0.3">
      <c r="D18399" s="25"/>
      <c r="F18399" s="21"/>
      <c r="G18399" s="16"/>
    </row>
    <row r="18400" spans="4:7" ht="15" x14ac:dyDescent="0.3">
      <c r="D18400" s="25"/>
      <c r="F18400" s="21"/>
      <c r="G18400" s="16"/>
    </row>
    <row r="18401" spans="4:7" ht="15" x14ac:dyDescent="0.3">
      <c r="D18401" s="25"/>
      <c r="F18401" s="21"/>
      <c r="G18401" s="16"/>
    </row>
    <row r="18402" spans="4:7" ht="15" x14ac:dyDescent="0.3">
      <c r="D18402" s="25"/>
      <c r="F18402" s="21"/>
      <c r="G18402" s="16"/>
    </row>
    <row r="18403" spans="4:7" ht="15" x14ac:dyDescent="0.3">
      <c r="D18403" s="25"/>
      <c r="F18403" s="21"/>
      <c r="G18403" s="16"/>
    </row>
    <row r="18404" spans="4:7" ht="15" x14ac:dyDescent="0.3">
      <c r="D18404" s="25"/>
      <c r="F18404" s="21"/>
      <c r="G18404" s="16"/>
    </row>
    <row r="18405" spans="4:7" ht="15" x14ac:dyDescent="0.3">
      <c r="D18405" s="25"/>
      <c r="F18405" s="21"/>
      <c r="G18405" s="16"/>
    </row>
    <row r="18406" spans="4:7" ht="15" x14ac:dyDescent="0.3">
      <c r="D18406" s="25"/>
      <c r="F18406" s="21"/>
      <c r="G18406" s="16"/>
    </row>
    <row r="18407" spans="4:7" ht="15" x14ac:dyDescent="0.3">
      <c r="D18407" s="25"/>
      <c r="F18407" s="21"/>
      <c r="G18407" s="16"/>
    </row>
    <row r="18408" spans="4:7" ht="15" x14ac:dyDescent="0.3">
      <c r="D18408" s="25"/>
      <c r="F18408" s="21"/>
      <c r="G18408" s="16"/>
    </row>
    <row r="18409" spans="4:7" ht="15" x14ac:dyDescent="0.3">
      <c r="D18409" s="25"/>
      <c r="F18409" s="21"/>
      <c r="G18409" s="16"/>
    </row>
    <row r="18410" spans="4:7" ht="15" x14ac:dyDescent="0.3">
      <c r="D18410" s="25"/>
      <c r="F18410" s="21"/>
      <c r="G18410" s="16"/>
    </row>
    <row r="18411" spans="4:7" ht="15" x14ac:dyDescent="0.3">
      <c r="D18411" s="25"/>
      <c r="F18411" s="21"/>
      <c r="G18411" s="16"/>
    </row>
    <row r="18412" spans="4:7" ht="15" x14ac:dyDescent="0.3">
      <c r="D18412" s="25"/>
      <c r="F18412" s="21"/>
      <c r="G18412" s="16"/>
    </row>
    <row r="18413" spans="4:7" ht="15" x14ac:dyDescent="0.3">
      <c r="D18413" s="25"/>
      <c r="F18413" s="21"/>
      <c r="G18413" s="16"/>
    </row>
    <row r="18414" spans="4:7" ht="15" x14ac:dyDescent="0.3">
      <c r="D18414" s="25"/>
      <c r="F18414" s="21"/>
      <c r="G18414" s="16"/>
    </row>
    <row r="18415" spans="4:7" ht="15" x14ac:dyDescent="0.3">
      <c r="D18415" s="25"/>
      <c r="F18415" s="21"/>
      <c r="G18415" s="16"/>
    </row>
    <row r="18416" spans="4:7" ht="15" x14ac:dyDescent="0.3">
      <c r="D18416" s="25"/>
      <c r="F18416" s="21"/>
      <c r="G18416" s="16"/>
    </row>
    <row r="18417" spans="4:7" ht="15" x14ac:dyDescent="0.3">
      <c r="D18417" s="25"/>
      <c r="F18417" s="21"/>
      <c r="G18417" s="16"/>
    </row>
    <row r="18418" spans="4:7" ht="15" x14ac:dyDescent="0.3">
      <c r="D18418" s="25"/>
      <c r="F18418" s="21"/>
      <c r="G18418" s="16"/>
    </row>
    <row r="18419" spans="4:7" ht="15" x14ac:dyDescent="0.3">
      <c r="D18419" s="25"/>
      <c r="F18419" s="21"/>
      <c r="G18419" s="16"/>
    </row>
    <row r="18420" spans="4:7" ht="15" x14ac:dyDescent="0.3">
      <c r="D18420" s="25"/>
      <c r="F18420" s="21"/>
      <c r="G18420" s="16"/>
    </row>
    <row r="18421" spans="4:7" ht="15" x14ac:dyDescent="0.3">
      <c r="D18421" s="25"/>
      <c r="F18421" s="21"/>
      <c r="G18421" s="16"/>
    </row>
    <row r="18422" spans="4:7" ht="15" x14ac:dyDescent="0.3">
      <c r="D18422" s="25"/>
      <c r="F18422" s="21"/>
      <c r="G18422" s="16"/>
    </row>
    <row r="18423" spans="4:7" ht="15" x14ac:dyDescent="0.3">
      <c r="D18423" s="25"/>
      <c r="F18423" s="21"/>
      <c r="G18423" s="16"/>
    </row>
    <row r="18424" spans="4:7" ht="15" x14ac:dyDescent="0.3">
      <c r="D18424" s="25"/>
      <c r="F18424" s="21"/>
      <c r="G18424" s="16"/>
    </row>
    <row r="18425" spans="4:7" ht="15" x14ac:dyDescent="0.3">
      <c r="D18425" s="25"/>
      <c r="F18425" s="21"/>
      <c r="G18425" s="16"/>
    </row>
    <row r="18426" spans="4:7" ht="15" x14ac:dyDescent="0.3">
      <c r="D18426" s="25"/>
      <c r="F18426" s="21"/>
      <c r="G18426" s="16"/>
    </row>
    <row r="18427" spans="4:7" ht="15" x14ac:dyDescent="0.3">
      <c r="D18427" s="25"/>
      <c r="F18427" s="21"/>
      <c r="G18427" s="16"/>
    </row>
    <row r="18428" spans="4:7" ht="15" x14ac:dyDescent="0.3">
      <c r="D18428" s="25"/>
      <c r="F18428" s="21"/>
      <c r="G18428" s="16"/>
    </row>
    <row r="18429" spans="4:7" ht="15" x14ac:dyDescent="0.3">
      <c r="D18429" s="25"/>
      <c r="F18429" s="21"/>
      <c r="G18429" s="16"/>
    </row>
    <row r="18430" spans="4:7" ht="15" x14ac:dyDescent="0.3">
      <c r="D18430" s="25"/>
      <c r="F18430" s="21"/>
      <c r="G18430" s="16"/>
    </row>
    <row r="18431" spans="4:7" ht="15" x14ac:dyDescent="0.3">
      <c r="D18431" s="25"/>
      <c r="F18431" s="21"/>
      <c r="G18431" s="16"/>
    </row>
    <row r="18432" spans="4:7" ht="15" x14ac:dyDescent="0.3">
      <c r="D18432" s="25"/>
      <c r="F18432" s="21"/>
      <c r="G18432" s="16"/>
    </row>
    <row r="18433" spans="4:7" ht="15" x14ac:dyDescent="0.3">
      <c r="D18433" s="25"/>
      <c r="F18433" s="21"/>
      <c r="G18433" s="16"/>
    </row>
    <row r="18434" spans="4:7" ht="15" x14ac:dyDescent="0.3">
      <c r="D18434" s="25"/>
      <c r="F18434" s="21"/>
      <c r="G18434" s="16"/>
    </row>
    <row r="18435" spans="4:7" ht="15" x14ac:dyDescent="0.3">
      <c r="D18435" s="25"/>
      <c r="F18435" s="21"/>
      <c r="G18435" s="16"/>
    </row>
    <row r="18436" spans="4:7" ht="15" x14ac:dyDescent="0.3">
      <c r="D18436" s="25"/>
      <c r="F18436" s="21"/>
      <c r="G18436" s="16"/>
    </row>
    <row r="18437" spans="4:7" ht="15" x14ac:dyDescent="0.3">
      <c r="D18437" s="25"/>
      <c r="F18437" s="21"/>
      <c r="G18437" s="16"/>
    </row>
    <row r="18438" spans="4:7" ht="15" x14ac:dyDescent="0.3">
      <c r="D18438" s="25"/>
      <c r="F18438" s="21"/>
      <c r="G18438" s="16"/>
    </row>
    <row r="18439" spans="4:7" ht="15" x14ac:dyDescent="0.3">
      <c r="D18439" s="25"/>
      <c r="F18439" s="21"/>
      <c r="G18439" s="16"/>
    </row>
    <row r="18440" spans="4:7" ht="15" x14ac:dyDescent="0.3">
      <c r="D18440" s="25"/>
      <c r="F18440" s="21"/>
      <c r="G18440" s="16"/>
    </row>
    <row r="18441" spans="4:7" ht="15" x14ac:dyDescent="0.3">
      <c r="D18441" s="25"/>
      <c r="F18441" s="21"/>
      <c r="G18441" s="16"/>
    </row>
    <row r="18442" spans="4:7" ht="15" x14ac:dyDescent="0.3">
      <c r="D18442" s="25"/>
      <c r="F18442" s="21"/>
      <c r="G18442" s="16"/>
    </row>
    <row r="18443" spans="4:7" ht="15" x14ac:dyDescent="0.3">
      <c r="D18443" s="25"/>
      <c r="F18443" s="21"/>
      <c r="G18443" s="16"/>
    </row>
    <row r="18444" spans="4:7" ht="15" x14ac:dyDescent="0.3">
      <c r="D18444" s="25"/>
      <c r="F18444" s="21"/>
      <c r="G18444" s="16"/>
    </row>
    <row r="18445" spans="4:7" ht="15" x14ac:dyDescent="0.3">
      <c r="D18445" s="25"/>
      <c r="F18445" s="21"/>
      <c r="G18445" s="16"/>
    </row>
    <row r="18446" spans="4:7" ht="15" x14ac:dyDescent="0.3">
      <c r="D18446" s="25"/>
      <c r="F18446" s="21"/>
      <c r="G18446" s="16"/>
    </row>
    <row r="18447" spans="4:7" ht="15" x14ac:dyDescent="0.3">
      <c r="D18447" s="25"/>
      <c r="F18447" s="21"/>
      <c r="G18447" s="16"/>
    </row>
    <row r="18448" spans="4:7" ht="15" x14ac:dyDescent="0.3">
      <c r="D18448" s="25"/>
      <c r="F18448" s="21"/>
      <c r="G18448" s="16"/>
    </row>
    <row r="18449" spans="4:7" ht="15" x14ac:dyDescent="0.3">
      <c r="D18449" s="25"/>
      <c r="F18449" s="21"/>
      <c r="G18449" s="16"/>
    </row>
    <row r="18450" spans="4:7" ht="15" x14ac:dyDescent="0.3">
      <c r="D18450" s="25"/>
      <c r="F18450" s="21"/>
      <c r="G18450" s="16"/>
    </row>
    <row r="18451" spans="4:7" ht="15" x14ac:dyDescent="0.3">
      <c r="D18451" s="25"/>
      <c r="F18451" s="21"/>
      <c r="G18451" s="16"/>
    </row>
    <row r="18452" spans="4:7" ht="15" x14ac:dyDescent="0.3">
      <c r="D18452" s="25"/>
      <c r="F18452" s="21"/>
      <c r="G18452" s="16"/>
    </row>
    <row r="18453" spans="4:7" ht="15" x14ac:dyDescent="0.3">
      <c r="D18453" s="25"/>
      <c r="F18453" s="21"/>
      <c r="G18453" s="16"/>
    </row>
    <row r="18454" spans="4:7" ht="15" x14ac:dyDescent="0.3">
      <c r="D18454" s="25"/>
      <c r="F18454" s="21"/>
      <c r="G18454" s="16"/>
    </row>
    <row r="18455" spans="4:7" ht="15" x14ac:dyDescent="0.3">
      <c r="D18455" s="25"/>
      <c r="F18455" s="21"/>
      <c r="G18455" s="16"/>
    </row>
    <row r="18456" spans="4:7" ht="15" x14ac:dyDescent="0.3">
      <c r="D18456" s="25"/>
      <c r="F18456" s="21"/>
      <c r="G18456" s="16"/>
    </row>
    <row r="18457" spans="4:7" ht="15" x14ac:dyDescent="0.3">
      <c r="D18457" s="25"/>
      <c r="F18457" s="21"/>
      <c r="G18457" s="16"/>
    </row>
    <row r="18458" spans="4:7" ht="15" x14ac:dyDescent="0.3">
      <c r="D18458" s="25"/>
      <c r="F18458" s="21"/>
      <c r="G18458" s="16"/>
    </row>
    <row r="18459" spans="4:7" ht="15" x14ac:dyDescent="0.3">
      <c r="D18459" s="25"/>
      <c r="F18459" s="21"/>
      <c r="G18459" s="16"/>
    </row>
    <row r="18460" spans="4:7" ht="15" x14ac:dyDescent="0.3">
      <c r="D18460" s="25"/>
      <c r="F18460" s="21"/>
      <c r="G18460" s="16"/>
    </row>
    <row r="18461" spans="4:7" ht="15" x14ac:dyDescent="0.3">
      <c r="D18461" s="25"/>
      <c r="F18461" s="21"/>
      <c r="G18461" s="16"/>
    </row>
    <row r="18462" spans="4:7" ht="15" x14ac:dyDescent="0.3">
      <c r="D18462" s="25"/>
      <c r="F18462" s="21"/>
      <c r="G18462" s="16"/>
    </row>
    <row r="18463" spans="4:7" ht="15" x14ac:dyDescent="0.3">
      <c r="D18463" s="25"/>
      <c r="F18463" s="21"/>
      <c r="G18463" s="16"/>
    </row>
    <row r="18464" spans="4:7" ht="15" x14ac:dyDescent="0.3">
      <c r="D18464" s="25"/>
      <c r="F18464" s="21"/>
      <c r="G18464" s="16"/>
    </row>
    <row r="18465" spans="4:7" ht="15" x14ac:dyDescent="0.3">
      <c r="D18465" s="25"/>
      <c r="F18465" s="21"/>
      <c r="G18465" s="16"/>
    </row>
    <row r="18466" spans="4:7" ht="15" x14ac:dyDescent="0.3">
      <c r="D18466" s="25"/>
      <c r="F18466" s="21"/>
      <c r="G18466" s="16"/>
    </row>
    <row r="18467" spans="4:7" ht="15" x14ac:dyDescent="0.3">
      <c r="D18467" s="25"/>
      <c r="F18467" s="21"/>
      <c r="G18467" s="16"/>
    </row>
    <row r="18468" spans="4:7" ht="15" x14ac:dyDescent="0.3">
      <c r="D18468" s="25"/>
      <c r="F18468" s="21"/>
      <c r="G18468" s="16"/>
    </row>
    <row r="18469" spans="4:7" ht="15" x14ac:dyDescent="0.3">
      <c r="D18469" s="25"/>
      <c r="F18469" s="21"/>
      <c r="G18469" s="16"/>
    </row>
    <row r="18470" spans="4:7" ht="15" x14ac:dyDescent="0.3">
      <c r="D18470" s="25"/>
      <c r="F18470" s="21"/>
      <c r="G18470" s="16"/>
    </row>
    <row r="18471" spans="4:7" ht="15" x14ac:dyDescent="0.3">
      <c r="D18471" s="25"/>
      <c r="F18471" s="21"/>
      <c r="G18471" s="16"/>
    </row>
    <row r="18472" spans="4:7" ht="15" x14ac:dyDescent="0.3">
      <c r="D18472" s="25"/>
      <c r="F18472" s="21"/>
      <c r="G18472" s="16"/>
    </row>
    <row r="18473" spans="4:7" ht="15" x14ac:dyDescent="0.3">
      <c r="D18473" s="25"/>
      <c r="F18473" s="21"/>
      <c r="G18473" s="16"/>
    </row>
    <row r="18474" spans="4:7" ht="15" x14ac:dyDescent="0.3">
      <c r="D18474" s="25"/>
      <c r="F18474" s="21"/>
      <c r="G18474" s="16"/>
    </row>
    <row r="18475" spans="4:7" ht="15" x14ac:dyDescent="0.3">
      <c r="D18475" s="25"/>
      <c r="F18475" s="21"/>
      <c r="G18475" s="16"/>
    </row>
    <row r="18476" spans="4:7" ht="15" x14ac:dyDescent="0.3">
      <c r="D18476" s="25"/>
      <c r="F18476" s="21"/>
      <c r="G18476" s="16"/>
    </row>
    <row r="18477" spans="4:7" ht="15" x14ac:dyDescent="0.3">
      <c r="D18477" s="25"/>
      <c r="F18477" s="21"/>
      <c r="G18477" s="16"/>
    </row>
    <row r="18478" spans="4:7" ht="15" x14ac:dyDescent="0.3">
      <c r="D18478" s="25"/>
      <c r="F18478" s="21"/>
      <c r="G18478" s="16"/>
    </row>
    <row r="18479" spans="4:7" ht="15" x14ac:dyDescent="0.3">
      <c r="D18479" s="25"/>
      <c r="F18479" s="21"/>
      <c r="G18479" s="16"/>
    </row>
    <row r="18480" spans="4:7" ht="15" x14ac:dyDescent="0.3">
      <c r="D18480" s="25"/>
      <c r="F18480" s="21"/>
      <c r="G18480" s="16"/>
    </row>
    <row r="18481" spans="4:7" ht="15" x14ac:dyDescent="0.3">
      <c r="D18481" s="25"/>
      <c r="F18481" s="21"/>
      <c r="G18481" s="16"/>
    </row>
    <row r="18482" spans="4:7" ht="15" x14ac:dyDescent="0.3">
      <c r="D18482" s="25"/>
      <c r="F18482" s="21"/>
      <c r="G18482" s="16"/>
    </row>
    <row r="18483" spans="4:7" ht="15" x14ac:dyDescent="0.3">
      <c r="D18483" s="25"/>
      <c r="F18483" s="21"/>
      <c r="G18483" s="16"/>
    </row>
    <row r="18484" spans="4:7" ht="15" x14ac:dyDescent="0.3">
      <c r="D18484" s="25"/>
      <c r="F18484" s="21"/>
      <c r="G18484" s="16"/>
    </row>
    <row r="18485" spans="4:7" ht="15" x14ac:dyDescent="0.3">
      <c r="D18485" s="25"/>
      <c r="F18485" s="21"/>
      <c r="G18485" s="16"/>
    </row>
    <row r="18486" spans="4:7" ht="15" x14ac:dyDescent="0.3">
      <c r="D18486" s="25"/>
      <c r="F18486" s="21"/>
      <c r="G18486" s="16"/>
    </row>
    <row r="18487" spans="4:7" ht="15" x14ac:dyDescent="0.3">
      <c r="D18487" s="25"/>
      <c r="F18487" s="21"/>
      <c r="G18487" s="16"/>
    </row>
    <row r="18488" spans="4:7" ht="15" x14ac:dyDescent="0.3">
      <c r="D18488" s="25"/>
      <c r="F18488" s="21"/>
      <c r="G18488" s="16"/>
    </row>
    <row r="18489" spans="4:7" ht="15" x14ac:dyDescent="0.3">
      <c r="D18489" s="25"/>
      <c r="F18489" s="21"/>
      <c r="G18489" s="16"/>
    </row>
    <row r="18490" spans="4:7" ht="15" x14ac:dyDescent="0.3">
      <c r="D18490" s="25"/>
      <c r="F18490" s="21"/>
      <c r="G18490" s="16"/>
    </row>
    <row r="18491" spans="4:7" ht="15" x14ac:dyDescent="0.3">
      <c r="D18491" s="25"/>
      <c r="F18491" s="21"/>
      <c r="G18491" s="16"/>
    </row>
    <row r="18492" spans="4:7" ht="15" x14ac:dyDescent="0.3">
      <c r="D18492" s="25"/>
      <c r="F18492" s="21"/>
      <c r="G18492" s="16"/>
    </row>
    <row r="18493" spans="4:7" ht="15" x14ac:dyDescent="0.3">
      <c r="D18493" s="25"/>
      <c r="F18493" s="21"/>
      <c r="G18493" s="16"/>
    </row>
    <row r="18494" spans="4:7" ht="15" x14ac:dyDescent="0.3">
      <c r="D18494" s="25"/>
      <c r="F18494" s="21"/>
      <c r="G18494" s="16"/>
    </row>
    <row r="18495" spans="4:7" ht="15" x14ac:dyDescent="0.3">
      <c r="D18495" s="25"/>
      <c r="F18495" s="21"/>
      <c r="G18495" s="16"/>
    </row>
    <row r="18496" spans="4:7" ht="15" x14ac:dyDescent="0.3">
      <c r="D18496" s="25"/>
      <c r="F18496" s="21"/>
      <c r="G18496" s="16"/>
    </row>
    <row r="18497" spans="4:7" ht="15" x14ac:dyDescent="0.3">
      <c r="D18497" s="25"/>
      <c r="F18497" s="21"/>
      <c r="G18497" s="16"/>
    </row>
    <row r="18498" spans="4:7" ht="15" x14ac:dyDescent="0.3">
      <c r="D18498" s="25"/>
      <c r="F18498" s="21"/>
      <c r="G18498" s="16"/>
    </row>
    <row r="18499" spans="4:7" ht="15" x14ac:dyDescent="0.3">
      <c r="D18499" s="25"/>
      <c r="F18499" s="21"/>
      <c r="G18499" s="16"/>
    </row>
    <row r="18500" spans="4:7" ht="15" x14ac:dyDescent="0.3">
      <c r="D18500" s="25"/>
      <c r="F18500" s="21"/>
      <c r="G18500" s="16"/>
    </row>
    <row r="18501" spans="4:7" ht="15" x14ac:dyDescent="0.3">
      <c r="D18501" s="25"/>
      <c r="F18501" s="21"/>
      <c r="G18501" s="16"/>
    </row>
    <row r="18502" spans="4:7" ht="15" x14ac:dyDescent="0.3">
      <c r="D18502" s="25"/>
      <c r="F18502" s="21"/>
      <c r="G18502" s="16"/>
    </row>
    <row r="18503" spans="4:7" ht="15" x14ac:dyDescent="0.3">
      <c r="D18503" s="25"/>
      <c r="F18503" s="21"/>
      <c r="G18503" s="16"/>
    </row>
    <row r="18504" spans="4:7" ht="15" x14ac:dyDescent="0.3">
      <c r="D18504" s="25"/>
      <c r="F18504" s="21"/>
      <c r="G18504" s="16"/>
    </row>
    <row r="18505" spans="4:7" ht="15" x14ac:dyDescent="0.3">
      <c r="D18505" s="25"/>
      <c r="F18505" s="21"/>
      <c r="G18505" s="16"/>
    </row>
    <row r="18506" spans="4:7" ht="15" x14ac:dyDescent="0.3">
      <c r="D18506" s="25"/>
      <c r="F18506" s="21"/>
      <c r="G18506" s="16"/>
    </row>
    <row r="18507" spans="4:7" ht="15" x14ac:dyDescent="0.3">
      <c r="D18507" s="25"/>
      <c r="F18507" s="21"/>
      <c r="G18507" s="16"/>
    </row>
    <row r="18508" spans="4:7" ht="15" x14ac:dyDescent="0.3">
      <c r="D18508" s="25"/>
      <c r="F18508" s="21"/>
      <c r="G18508" s="16"/>
    </row>
    <row r="18509" spans="4:7" ht="15" x14ac:dyDescent="0.3">
      <c r="D18509" s="25"/>
      <c r="F18509" s="21"/>
      <c r="G18509" s="16"/>
    </row>
    <row r="18510" spans="4:7" ht="15" x14ac:dyDescent="0.3">
      <c r="D18510" s="25"/>
      <c r="F18510" s="21"/>
      <c r="G18510" s="16"/>
    </row>
    <row r="18511" spans="4:7" ht="15" x14ac:dyDescent="0.3">
      <c r="D18511" s="25"/>
      <c r="F18511" s="21"/>
      <c r="G18511" s="16"/>
    </row>
    <row r="18512" spans="4:7" ht="15" x14ac:dyDescent="0.3">
      <c r="D18512" s="25"/>
      <c r="F18512" s="21"/>
      <c r="G18512" s="16"/>
    </row>
    <row r="18513" spans="4:7" ht="15" x14ac:dyDescent="0.3">
      <c r="D18513" s="25"/>
      <c r="F18513" s="21"/>
      <c r="G18513" s="16"/>
    </row>
    <row r="18514" spans="4:7" ht="15" x14ac:dyDescent="0.3">
      <c r="D18514" s="25"/>
      <c r="F18514" s="21"/>
      <c r="G18514" s="16"/>
    </row>
    <row r="18515" spans="4:7" ht="15" x14ac:dyDescent="0.3">
      <c r="D18515" s="25"/>
      <c r="F18515" s="21"/>
      <c r="G18515" s="16"/>
    </row>
    <row r="18516" spans="4:7" ht="15" x14ac:dyDescent="0.3">
      <c r="D18516" s="25"/>
      <c r="F18516" s="21"/>
      <c r="G18516" s="16"/>
    </row>
    <row r="18517" spans="4:7" ht="15" x14ac:dyDescent="0.3">
      <c r="D18517" s="25"/>
      <c r="F18517" s="21"/>
      <c r="G18517" s="16"/>
    </row>
    <row r="18518" spans="4:7" ht="15" x14ac:dyDescent="0.3">
      <c r="D18518" s="25"/>
      <c r="F18518" s="21"/>
      <c r="G18518" s="16"/>
    </row>
    <row r="18519" spans="4:7" ht="15" x14ac:dyDescent="0.3">
      <c r="D18519" s="25"/>
      <c r="F18519" s="21"/>
      <c r="G18519" s="16"/>
    </row>
    <row r="18520" spans="4:7" ht="15" x14ac:dyDescent="0.3">
      <c r="D18520" s="25"/>
      <c r="F18520" s="21"/>
      <c r="G18520" s="16"/>
    </row>
    <row r="18521" spans="4:7" ht="15" x14ac:dyDescent="0.3">
      <c r="D18521" s="25"/>
      <c r="F18521" s="21"/>
      <c r="G18521" s="16"/>
    </row>
    <row r="18522" spans="4:7" ht="15" x14ac:dyDescent="0.3">
      <c r="D18522" s="25"/>
      <c r="F18522" s="21"/>
      <c r="G18522" s="16"/>
    </row>
    <row r="18523" spans="4:7" ht="15" x14ac:dyDescent="0.3">
      <c r="D18523" s="25"/>
      <c r="F18523" s="21"/>
      <c r="G18523" s="16"/>
    </row>
    <row r="18524" spans="4:7" ht="15" x14ac:dyDescent="0.3">
      <c r="D18524" s="25"/>
      <c r="F18524" s="21"/>
      <c r="G18524" s="16"/>
    </row>
    <row r="18525" spans="4:7" ht="15" x14ac:dyDescent="0.3">
      <c r="D18525" s="25"/>
      <c r="F18525" s="21"/>
      <c r="G18525" s="16"/>
    </row>
    <row r="18526" spans="4:7" ht="15" x14ac:dyDescent="0.3">
      <c r="D18526" s="25"/>
      <c r="F18526" s="21"/>
      <c r="G18526" s="16"/>
    </row>
    <row r="18527" spans="4:7" ht="15" x14ac:dyDescent="0.3">
      <c r="D18527" s="25"/>
      <c r="F18527" s="21"/>
      <c r="G18527" s="16"/>
    </row>
    <row r="18528" spans="4:7" ht="15" x14ac:dyDescent="0.3">
      <c r="D18528" s="25"/>
      <c r="F18528" s="21"/>
      <c r="G18528" s="16"/>
    </row>
    <row r="18529" spans="4:7" ht="15" x14ac:dyDescent="0.3">
      <c r="D18529" s="25"/>
      <c r="F18529" s="21"/>
      <c r="G18529" s="16"/>
    </row>
    <row r="18530" spans="4:7" ht="15" x14ac:dyDescent="0.3">
      <c r="D18530" s="25"/>
      <c r="F18530" s="21"/>
      <c r="G18530" s="16"/>
    </row>
    <row r="18531" spans="4:7" ht="15" x14ac:dyDescent="0.3">
      <c r="D18531" s="25"/>
      <c r="F18531" s="21"/>
      <c r="G18531" s="16"/>
    </row>
    <row r="18532" spans="4:7" ht="15" x14ac:dyDescent="0.3">
      <c r="D18532" s="25"/>
      <c r="F18532" s="21"/>
      <c r="G18532" s="16"/>
    </row>
    <row r="18533" spans="4:7" ht="15" x14ac:dyDescent="0.3">
      <c r="D18533" s="25"/>
      <c r="F18533" s="21"/>
      <c r="G18533" s="16"/>
    </row>
    <row r="18534" spans="4:7" ht="15" x14ac:dyDescent="0.3">
      <c r="D18534" s="25"/>
      <c r="F18534" s="21"/>
      <c r="G18534" s="16"/>
    </row>
    <row r="18535" spans="4:7" ht="15" x14ac:dyDescent="0.3">
      <c r="D18535" s="25"/>
      <c r="F18535" s="21"/>
      <c r="G18535" s="16"/>
    </row>
    <row r="18536" spans="4:7" ht="15" x14ac:dyDescent="0.3">
      <c r="D18536" s="25"/>
      <c r="F18536" s="21"/>
      <c r="G18536" s="16"/>
    </row>
    <row r="18537" spans="4:7" ht="15" x14ac:dyDescent="0.3">
      <c r="D18537" s="25"/>
      <c r="F18537" s="21"/>
      <c r="G18537" s="16"/>
    </row>
    <row r="18538" spans="4:7" ht="15" x14ac:dyDescent="0.3">
      <c r="D18538" s="25"/>
      <c r="F18538" s="21"/>
      <c r="G18538" s="16"/>
    </row>
    <row r="18539" spans="4:7" ht="15" x14ac:dyDescent="0.3">
      <c r="D18539" s="25"/>
      <c r="F18539" s="21"/>
      <c r="G18539" s="16"/>
    </row>
    <row r="18540" spans="4:7" ht="15" x14ac:dyDescent="0.3">
      <c r="D18540" s="25"/>
      <c r="F18540" s="21"/>
      <c r="G18540" s="16"/>
    </row>
    <row r="18541" spans="4:7" ht="15" x14ac:dyDescent="0.3">
      <c r="D18541" s="25"/>
      <c r="F18541" s="21"/>
      <c r="G18541" s="16"/>
    </row>
    <row r="18542" spans="4:7" ht="15" x14ac:dyDescent="0.3">
      <c r="D18542" s="25"/>
      <c r="F18542" s="21"/>
      <c r="G18542" s="16"/>
    </row>
    <row r="18543" spans="4:7" ht="15" x14ac:dyDescent="0.3">
      <c r="D18543" s="25"/>
      <c r="F18543" s="21"/>
      <c r="G18543" s="16"/>
    </row>
    <row r="18544" spans="4:7" ht="15" x14ac:dyDescent="0.3">
      <c r="D18544" s="25"/>
      <c r="F18544" s="21"/>
      <c r="G18544" s="16"/>
    </row>
    <row r="18545" spans="4:7" ht="15" x14ac:dyDescent="0.3">
      <c r="D18545" s="25"/>
      <c r="F18545" s="21"/>
      <c r="G18545" s="16"/>
    </row>
    <row r="18546" spans="4:7" ht="15" x14ac:dyDescent="0.3">
      <c r="D18546" s="25"/>
      <c r="F18546" s="21"/>
      <c r="G18546" s="16"/>
    </row>
    <row r="18547" spans="4:7" ht="15" x14ac:dyDescent="0.3">
      <c r="D18547" s="25"/>
      <c r="F18547" s="21"/>
      <c r="G18547" s="16"/>
    </row>
    <row r="18548" spans="4:7" ht="15" x14ac:dyDescent="0.3">
      <c r="D18548" s="25"/>
      <c r="F18548" s="21"/>
      <c r="G18548" s="16"/>
    </row>
    <row r="18549" spans="4:7" ht="15" x14ac:dyDescent="0.3">
      <c r="D18549" s="25"/>
      <c r="F18549" s="21"/>
      <c r="G18549" s="16"/>
    </row>
    <row r="18550" spans="4:7" ht="15" x14ac:dyDescent="0.3">
      <c r="D18550" s="25"/>
      <c r="F18550" s="21"/>
      <c r="G18550" s="16"/>
    </row>
    <row r="18551" spans="4:7" ht="15" x14ac:dyDescent="0.3">
      <c r="D18551" s="25"/>
      <c r="F18551" s="21"/>
      <c r="G18551" s="16"/>
    </row>
    <row r="18552" spans="4:7" ht="15" x14ac:dyDescent="0.3">
      <c r="D18552" s="25"/>
      <c r="F18552" s="21"/>
      <c r="G18552" s="16"/>
    </row>
    <row r="18553" spans="4:7" ht="15" x14ac:dyDescent="0.3">
      <c r="D18553" s="25"/>
      <c r="F18553" s="21"/>
      <c r="G18553" s="16"/>
    </row>
    <row r="18554" spans="4:7" ht="15" x14ac:dyDescent="0.3">
      <c r="D18554" s="25"/>
      <c r="F18554" s="21"/>
      <c r="G18554" s="16"/>
    </row>
    <row r="18555" spans="4:7" ht="15" x14ac:dyDescent="0.3">
      <c r="D18555" s="25"/>
      <c r="F18555" s="21"/>
      <c r="G18555" s="16"/>
    </row>
    <row r="18556" spans="4:7" ht="15" x14ac:dyDescent="0.3">
      <c r="D18556" s="25"/>
      <c r="F18556" s="21"/>
      <c r="G18556" s="16"/>
    </row>
    <row r="18557" spans="4:7" ht="15" x14ac:dyDescent="0.3">
      <c r="D18557" s="25"/>
      <c r="F18557" s="21"/>
      <c r="G18557" s="16"/>
    </row>
    <row r="18558" spans="4:7" ht="15" x14ac:dyDescent="0.3">
      <c r="D18558" s="25"/>
      <c r="F18558" s="21"/>
      <c r="G18558" s="16"/>
    </row>
    <row r="18559" spans="4:7" ht="15" x14ac:dyDescent="0.3">
      <c r="D18559" s="25"/>
      <c r="F18559" s="21"/>
      <c r="G18559" s="16"/>
    </row>
    <row r="18560" spans="4:7" ht="15" x14ac:dyDescent="0.3">
      <c r="D18560" s="25"/>
      <c r="F18560" s="21"/>
      <c r="G18560" s="16"/>
    </row>
    <row r="18561" spans="4:7" ht="15" x14ac:dyDescent="0.3">
      <c r="D18561" s="25"/>
      <c r="F18561" s="21"/>
      <c r="G18561" s="16"/>
    </row>
    <row r="18562" spans="4:7" ht="15" x14ac:dyDescent="0.3">
      <c r="D18562" s="25"/>
      <c r="F18562" s="21"/>
      <c r="G18562" s="16"/>
    </row>
    <row r="18563" spans="4:7" ht="15" x14ac:dyDescent="0.3">
      <c r="D18563" s="25"/>
      <c r="F18563" s="21"/>
      <c r="G18563" s="16"/>
    </row>
    <row r="18564" spans="4:7" ht="15" x14ac:dyDescent="0.3">
      <c r="D18564" s="25"/>
      <c r="F18564" s="21"/>
      <c r="G18564" s="16"/>
    </row>
    <row r="18565" spans="4:7" ht="15" x14ac:dyDescent="0.3">
      <c r="D18565" s="25"/>
      <c r="F18565" s="21"/>
      <c r="G18565" s="16"/>
    </row>
    <row r="18566" spans="4:7" ht="15" x14ac:dyDescent="0.3">
      <c r="D18566" s="25"/>
      <c r="F18566" s="21"/>
      <c r="G18566" s="16"/>
    </row>
    <row r="18567" spans="4:7" ht="15" x14ac:dyDescent="0.3">
      <c r="D18567" s="25"/>
      <c r="F18567" s="21"/>
      <c r="G18567" s="16"/>
    </row>
    <row r="18568" spans="4:7" ht="15" x14ac:dyDescent="0.3">
      <c r="D18568" s="25"/>
      <c r="F18568" s="21"/>
      <c r="G18568" s="16"/>
    </row>
    <row r="18569" spans="4:7" ht="15" x14ac:dyDescent="0.3">
      <c r="D18569" s="25"/>
      <c r="F18569" s="21"/>
      <c r="G18569" s="16"/>
    </row>
    <row r="18570" spans="4:7" ht="15" x14ac:dyDescent="0.3">
      <c r="D18570" s="25"/>
      <c r="F18570" s="21"/>
      <c r="G18570" s="16"/>
    </row>
    <row r="18571" spans="4:7" ht="15" x14ac:dyDescent="0.3">
      <c r="D18571" s="25"/>
      <c r="F18571" s="21"/>
      <c r="G18571" s="16"/>
    </row>
    <row r="18572" spans="4:7" ht="15" x14ac:dyDescent="0.3">
      <c r="D18572" s="25"/>
      <c r="F18572" s="21"/>
      <c r="G18572" s="16"/>
    </row>
    <row r="18573" spans="4:7" ht="15" x14ac:dyDescent="0.3">
      <c r="D18573" s="25"/>
      <c r="F18573" s="21"/>
      <c r="G18573" s="16"/>
    </row>
    <row r="18574" spans="4:7" ht="15" x14ac:dyDescent="0.3">
      <c r="D18574" s="25"/>
      <c r="F18574" s="21"/>
      <c r="G18574" s="16"/>
    </row>
    <row r="18575" spans="4:7" ht="15" x14ac:dyDescent="0.3">
      <c r="D18575" s="25"/>
      <c r="F18575" s="21"/>
      <c r="G18575" s="16"/>
    </row>
    <row r="18576" spans="4:7" ht="15" x14ac:dyDescent="0.3">
      <c r="D18576" s="25"/>
      <c r="F18576" s="21"/>
      <c r="G18576" s="16"/>
    </row>
    <row r="18577" spans="4:7" ht="15" x14ac:dyDescent="0.3">
      <c r="D18577" s="25"/>
      <c r="F18577" s="21"/>
      <c r="G18577" s="16"/>
    </row>
    <row r="18578" spans="4:7" ht="15" x14ac:dyDescent="0.3">
      <c r="D18578" s="25"/>
      <c r="F18578" s="21"/>
      <c r="G18578" s="16"/>
    </row>
    <row r="18579" spans="4:7" ht="15" x14ac:dyDescent="0.3">
      <c r="D18579" s="25"/>
      <c r="F18579" s="21"/>
      <c r="G18579" s="16"/>
    </row>
    <row r="18580" spans="4:7" ht="15" x14ac:dyDescent="0.3">
      <c r="D18580" s="25"/>
      <c r="F18580" s="21"/>
      <c r="G18580" s="16"/>
    </row>
    <row r="18581" spans="4:7" ht="15" x14ac:dyDescent="0.3">
      <c r="D18581" s="25"/>
      <c r="F18581" s="21"/>
      <c r="G18581" s="16"/>
    </row>
    <row r="18582" spans="4:7" ht="15" x14ac:dyDescent="0.3">
      <c r="D18582" s="25"/>
      <c r="F18582" s="21"/>
      <c r="G18582" s="16"/>
    </row>
    <row r="18583" spans="4:7" ht="15" x14ac:dyDescent="0.3">
      <c r="D18583" s="25"/>
      <c r="F18583" s="21"/>
      <c r="G18583" s="16"/>
    </row>
    <row r="18584" spans="4:7" ht="15" x14ac:dyDescent="0.3">
      <c r="D18584" s="25"/>
      <c r="F18584" s="21"/>
      <c r="G18584" s="16"/>
    </row>
    <row r="18585" spans="4:7" ht="15" x14ac:dyDescent="0.3">
      <c r="D18585" s="25"/>
      <c r="F18585" s="21"/>
      <c r="G18585" s="16"/>
    </row>
    <row r="18586" spans="4:7" ht="15" x14ac:dyDescent="0.3">
      <c r="D18586" s="25"/>
      <c r="F18586" s="21"/>
      <c r="G18586" s="16"/>
    </row>
    <row r="18587" spans="4:7" ht="15" x14ac:dyDescent="0.3">
      <c r="D18587" s="25"/>
      <c r="F18587" s="21"/>
      <c r="G18587" s="16"/>
    </row>
    <row r="18588" spans="4:7" ht="15" x14ac:dyDescent="0.3">
      <c r="D18588" s="25"/>
      <c r="F18588" s="21"/>
      <c r="G18588" s="16"/>
    </row>
    <row r="18589" spans="4:7" ht="15" x14ac:dyDescent="0.3">
      <c r="D18589" s="25"/>
      <c r="F18589" s="21"/>
      <c r="G18589" s="16"/>
    </row>
    <row r="18590" spans="4:7" ht="15" x14ac:dyDescent="0.3">
      <c r="D18590" s="25"/>
      <c r="F18590" s="21"/>
      <c r="G18590" s="16"/>
    </row>
    <row r="18591" spans="4:7" ht="15" x14ac:dyDescent="0.3">
      <c r="D18591" s="25"/>
      <c r="F18591" s="21"/>
      <c r="G18591" s="16"/>
    </row>
    <row r="18592" spans="4:7" ht="15" x14ac:dyDescent="0.3">
      <c r="D18592" s="25"/>
      <c r="F18592" s="21"/>
      <c r="G18592" s="16"/>
    </row>
    <row r="18593" spans="4:7" ht="15" x14ac:dyDescent="0.3">
      <c r="D18593" s="25"/>
      <c r="F18593" s="21"/>
      <c r="G18593" s="16"/>
    </row>
    <row r="18594" spans="4:7" ht="15" x14ac:dyDescent="0.3">
      <c r="D18594" s="25"/>
      <c r="F18594" s="21"/>
      <c r="G18594" s="16"/>
    </row>
    <row r="18595" spans="4:7" ht="15" x14ac:dyDescent="0.3">
      <c r="D18595" s="25"/>
      <c r="F18595" s="21"/>
      <c r="G18595" s="16"/>
    </row>
    <row r="18596" spans="4:7" ht="15" x14ac:dyDescent="0.3">
      <c r="D18596" s="25"/>
      <c r="F18596" s="21"/>
      <c r="G18596" s="16"/>
    </row>
    <row r="18597" spans="4:7" ht="15" x14ac:dyDescent="0.3">
      <c r="D18597" s="25"/>
      <c r="F18597" s="21"/>
      <c r="G18597" s="16"/>
    </row>
    <row r="18598" spans="4:7" ht="15" x14ac:dyDescent="0.3">
      <c r="D18598" s="25"/>
      <c r="F18598" s="21"/>
      <c r="G18598" s="16"/>
    </row>
    <row r="18599" spans="4:7" ht="15" x14ac:dyDescent="0.3">
      <c r="D18599" s="25"/>
      <c r="F18599" s="21"/>
      <c r="G18599" s="16"/>
    </row>
    <row r="18600" spans="4:7" ht="15" x14ac:dyDescent="0.3">
      <c r="D18600" s="25"/>
      <c r="F18600" s="21"/>
      <c r="G18600" s="16"/>
    </row>
    <row r="18601" spans="4:7" ht="15" x14ac:dyDescent="0.3">
      <c r="D18601" s="25"/>
      <c r="F18601" s="21"/>
      <c r="G18601" s="16"/>
    </row>
    <row r="18602" spans="4:7" ht="15" x14ac:dyDescent="0.3">
      <c r="D18602" s="25"/>
      <c r="F18602" s="21"/>
      <c r="G18602" s="16"/>
    </row>
    <row r="18603" spans="4:7" ht="15" x14ac:dyDescent="0.3">
      <c r="D18603" s="25"/>
      <c r="F18603" s="21"/>
      <c r="G18603" s="16"/>
    </row>
    <row r="18604" spans="4:7" ht="15" x14ac:dyDescent="0.3">
      <c r="D18604" s="25"/>
      <c r="F18604" s="21"/>
      <c r="G18604" s="16"/>
    </row>
    <row r="18605" spans="4:7" ht="15" x14ac:dyDescent="0.3">
      <c r="D18605" s="25"/>
      <c r="F18605" s="21"/>
      <c r="G18605" s="16"/>
    </row>
    <row r="18606" spans="4:7" ht="15" x14ac:dyDescent="0.3">
      <c r="D18606" s="25"/>
      <c r="F18606" s="21"/>
      <c r="G18606" s="16"/>
    </row>
    <row r="18607" spans="4:7" ht="15" x14ac:dyDescent="0.3">
      <c r="D18607" s="25"/>
      <c r="F18607" s="21"/>
      <c r="G18607" s="16"/>
    </row>
    <row r="18608" spans="4:7" ht="15" x14ac:dyDescent="0.3">
      <c r="D18608" s="25"/>
      <c r="F18608" s="21"/>
      <c r="G18608" s="16"/>
    </row>
    <row r="18609" spans="4:7" ht="15" x14ac:dyDescent="0.3">
      <c r="D18609" s="25"/>
      <c r="F18609" s="21"/>
      <c r="G18609" s="16"/>
    </row>
    <row r="18610" spans="4:7" ht="15" x14ac:dyDescent="0.3">
      <c r="D18610" s="25"/>
      <c r="F18610" s="21"/>
      <c r="G18610" s="16"/>
    </row>
    <row r="18611" spans="4:7" ht="15" x14ac:dyDescent="0.3">
      <c r="D18611" s="25"/>
      <c r="F18611" s="21"/>
      <c r="G18611" s="16"/>
    </row>
    <row r="18612" spans="4:7" ht="15" x14ac:dyDescent="0.3">
      <c r="D18612" s="25"/>
      <c r="F18612" s="21"/>
      <c r="G18612" s="16"/>
    </row>
    <row r="18613" spans="4:7" ht="15" x14ac:dyDescent="0.3">
      <c r="D18613" s="25"/>
      <c r="F18613" s="21"/>
      <c r="G18613" s="16"/>
    </row>
    <row r="18614" spans="4:7" ht="15" x14ac:dyDescent="0.3">
      <c r="D18614" s="25"/>
      <c r="F18614" s="21"/>
      <c r="G18614" s="16"/>
    </row>
    <row r="18615" spans="4:7" ht="15" x14ac:dyDescent="0.3">
      <c r="D18615" s="25"/>
      <c r="F18615" s="21"/>
      <c r="G18615" s="16"/>
    </row>
    <row r="18616" spans="4:7" ht="15" x14ac:dyDescent="0.3">
      <c r="D18616" s="25"/>
      <c r="F18616" s="21"/>
      <c r="G18616" s="16"/>
    </row>
    <row r="18617" spans="4:7" ht="15" x14ac:dyDescent="0.3">
      <c r="D18617" s="25"/>
      <c r="F18617" s="21"/>
      <c r="G18617" s="16"/>
    </row>
    <row r="18618" spans="4:7" ht="15" x14ac:dyDescent="0.3">
      <c r="D18618" s="25"/>
      <c r="F18618" s="21"/>
      <c r="G18618" s="16"/>
    </row>
    <row r="18619" spans="4:7" ht="15" x14ac:dyDescent="0.3">
      <c r="D18619" s="25"/>
      <c r="F18619" s="21"/>
      <c r="G18619" s="16"/>
    </row>
    <row r="18620" spans="4:7" ht="15" x14ac:dyDescent="0.3">
      <c r="D18620" s="25"/>
      <c r="F18620" s="21"/>
      <c r="G18620" s="16"/>
    </row>
    <row r="18621" spans="4:7" ht="15" x14ac:dyDescent="0.3">
      <c r="D18621" s="25"/>
      <c r="F18621" s="21"/>
      <c r="G18621" s="16"/>
    </row>
    <row r="18622" spans="4:7" ht="15" x14ac:dyDescent="0.3">
      <c r="D18622" s="25"/>
      <c r="F18622" s="21"/>
      <c r="G18622" s="16"/>
    </row>
    <row r="18623" spans="4:7" ht="15" x14ac:dyDescent="0.3">
      <c r="D18623" s="25"/>
      <c r="F18623" s="21"/>
      <c r="G18623" s="16"/>
    </row>
    <row r="18624" spans="4:7" ht="15" x14ac:dyDescent="0.3">
      <c r="D18624" s="25"/>
      <c r="F18624" s="21"/>
      <c r="G18624" s="16"/>
    </row>
    <row r="18625" spans="4:7" ht="15" x14ac:dyDescent="0.3">
      <c r="D18625" s="25"/>
      <c r="F18625" s="21"/>
      <c r="G18625" s="16"/>
    </row>
    <row r="18626" spans="4:7" ht="15" x14ac:dyDescent="0.3">
      <c r="D18626" s="25"/>
      <c r="F18626" s="21"/>
      <c r="G18626" s="16"/>
    </row>
    <row r="18627" spans="4:7" ht="15" x14ac:dyDescent="0.3">
      <c r="D18627" s="25"/>
      <c r="F18627" s="21"/>
      <c r="G18627" s="16"/>
    </row>
    <row r="18628" spans="4:7" ht="15" x14ac:dyDescent="0.3">
      <c r="D18628" s="25"/>
      <c r="F18628" s="21"/>
      <c r="G18628" s="16"/>
    </row>
    <row r="18629" spans="4:7" ht="15" x14ac:dyDescent="0.3">
      <c r="D18629" s="25"/>
      <c r="F18629" s="21"/>
      <c r="G18629" s="16"/>
    </row>
    <row r="18630" spans="4:7" ht="15" x14ac:dyDescent="0.3">
      <c r="D18630" s="25"/>
      <c r="F18630" s="21"/>
      <c r="G18630" s="16"/>
    </row>
    <row r="18631" spans="4:7" ht="15" x14ac:dyDescent="0.3">
      <c r="D18631" s="25"/>
      <c r="F18631" s="21"/>
      <c r="G18631" s="16"/>
    </row>
    <row r="18632" spans="4:7" ht="15" x14ac:dyDescent="0.3">
      <c r="D18632" s="25"/>
      <c r="F18632" s="21"/>
      <c r="G18632" s="16"/>
    </row>
    <row r="18633" spans="4:7" ht="15" x14ac:dyDescent="0.3">
      <c r="D18633" s="25"/>
      <c r="F18633" s="21"/>
      <c r="G18633" s="16"/>
    </row>
    <row r="18634" spans="4:7" ht="15" x14ac:dyDescent="0.3">
      <c r="D18634" s="25"/>
      <c r="F18634" s="21"/>
      <c r="G18634" s="16"/>
    </row>
    <row r="18635" spans="4:7" ht="15" x14ac:dyDescent="0.3">
      <c r="D18635" s="25"/>
      <c r="F18635" s="21"/>
      <c r="G18635" s="16"/>
    </row>
    <row r="18636" spans="4:7" ht="15" x14ac:dyDescent="0.3">
      <c r="D18636" s="25"/>
      <c r="F18636" s="21"/>
      <c r="G18636" s="16"/>
    </row>
    <row r="18637" spans="4:7" ht="15" x14ac:dyDescent="0.3">
      <c r="D18637" s="25"/>
      <c r="F18637" s="21"/>
      <c r="G18637" s="16"/>
    </row>
    <row r="18638" spans="4:7" ht="15" x14ac:dyDescent="0.3">
      <c r="D18638" s="25"/>
      <c r="F18638" s="21"/>
      <c r="G18638" s="16"/>
    </row>
    <row r="18639" spans="4:7" ht="15" x14ac:dyDescent="0.3">
      <c r="D18639" s="25"/>
      <c r="F18639" s="21"/>
      <c r="G18639" s="16"/>
    </row>
    <row r="18640" spans="4:7" ht="15" x14ac:dyDescent="0.3">
      <c r="D18640" s="25"/>
      <c r="F18640" s="21"/>
      <c r="G18640" s="16"/>
    </row>
    <row r="18641" spans="4:7" ht="15" x14ac:dyDescent="0.3">
      <c r="D18641" s="25"/>
      <c r="F18641" s="21"/>
      <c r="G18641" s="16"/>
    </row>
    <row r="18642" spans="4:7" ht="15" x14ac:dyDescent="0.3">
      <c r="D18642" s="25"/>
      <c r="F18642" s="21"/>
      <c r="G18642" s="16"/>
    </row>
    <row r="18643" spans="4:7" ht="15" x14ac:dyDescent="0.3">
      <c r="D18643" s="25"/>
      <c r="F18643" s="21"/>
      <c r="G18643" s="16"/>
    </row>
    <row r="18644" spans="4:7" ht="15" x14ac:dyDescent="0.3">
      <c r="D18644" s="25"/>
      <c r="F18644" s="21"/>
      <c r="G18644" s="16"/>
    </row>
    <row r="18645" spans="4:7" ht="15" x14ac:dyDescent="0.3">
      <c r="D18645" s="25"/>
      <c r="F18645" s="21"/>
      <c r="G18645" s="16"/>
    </row>
    <row r="18646" spans="4:7" ht="15" x14ac:dyDescent="0.3">
      <c r="D18646" s="25"/>
      <c r="F18646" s="21"/>
      <c r="G18646" s="16"/>
    </row>
    <row r="18647" spans="4:7" ht="15" x14ac:dyDescent="0.3">
      <c r="D18647" s="25"/>
      <c r="F18647" s="21"/>
      <c r="G18647" s="16"/>
    </row>
    <row r="18648" spans="4:7" ht="15" x14ac:dyDescent="0.3">
      <c r="D18648" s="25"/>
      <c r="F18648" s="21"/>
      <c r="G18648" s="16"/>
    </row>
    <row r="18649" spans="4:7" ht="15" x14ac:dyDescent="0.3">
      <c r="D18649" s="25"/>
      <c r="F18649" s="21"/>
      <c r="G18649" s="16"/>
    </row>
    <row r="18650" spans="4:7" ht="15" x14ac:dyDescent="0.3">
      <c r="D18650" s="25"/>
      <c r="F18650" s="21"/>
      <c r="G18650" s="16"/>
    </row>
    <row r="18651" spans="4:7" ht="15" x14ac:dyDescent="0.3">
      <c r="D18651" s="25"/>
      <c r="F18651" s="21"/>
      <c r="G18651" s="16"/>
    </row>
    <row r="18652" spans="4:7" ht="15" x14ac:dyDescent="0.3">
      <c r="D18652" s="25"/>
      <c r="F18652" s="21"/>
      <c r="G18652" s="16"/>
    </row>
    <row r="18653" spans="4:7" ht="15" x14ac:dyDescent="0.3">
      <c r="D18653" s="25"/>
      <c r="F18653" s="21"/>
      <c r="G18653" s="16"/>
    </row>
    <row r="18654" spans="4:7" ht="15" x14ac:dyDescent="0.3">
      <c r="D18654" s="25"/>
      <c r="F18654" s="21"/>
      <c r="G18654" s="16"/>
    </row>
    <row r="18655" spans="4:7" ht="15" x14ac:dyDescent="0.3">
      <c r="D18655" s="25"/>
      <c r="F18655" s="21"/>
      <c r="G18655" s="16"/>
    </row>
    <row r="18656" spans="4:7" ht="15" x14ac:dyDescent="0.3">
      <c r="D18656" s="25"/>
      <c r="F18656" s="21"/>
      <c r="G18656" s="16"/>
    </row>
    <row r="18657" spans="4:7" ht="15" x14ac:dyDescent="0.3">
      <c r="D18657" s="25"/>
      <c r="F18657" s="21"/>
      <c r="G18657" s="16"/>
    </row>
    <row r="18658" spans="4:7" ht="15" x14ac:dyDescent="0.3">
      <c r="D18658" s="25"/>
      <c r="F18658" s="21"/>
      <c r="G18658" s="16"/>
    </row>
    <row r="18659" spans="4:7" ht="15" x14ac:dyDescent="0.3">
      <c r="D18659" s="25"/>
      <c r="F18659" s="21"/>
      <c r="G18659" s="16"/>
    </row>
    <row r="18660" spans="4:7" ht="15" x14ac:dyDescent="0.3">
      <c r="D18660" s="25"/>
      <c r="F18660" s="21"/>
      <c r="G18660" s="16"/>
    </row>
    <row r="18661" spans="4:7" ht="15" x14ac:dyDescent="0.3">
      <c r="D18661" s="25"/>
      <c r="F18661" s="21"/>
      <c r="G18661" s="16"/>
    </row>
    <row r="18662" spans="4:7" ht="15" x14ac:dyDescent="0.3">
      <c r="D18662" s="25"/>
      <c r="F18662" s="21"/>
      <c r="G18662" s="16"/>
    </row>
    <row r="18663" spans="4:7" ht="15" x14ac:dyDescent="0.3">
      <c r="D18663" s="25"/>
      <c r="F18663" s="21"/>
      <c r="G18663" s="16"/>
    </row>
    <row r="18664" spans="4:7" ht="15" x14ac:dyDescent="0.3">
      <c r="D18664" s="25"/>
      <c r="F18664" s="21"/>
      <c r="G18664" s="16"/>
    </row>
    <row r="18665" spans="4:7" ht="15" x14ac:dyDescent="0.3">
      <c r="D18665" s="25"/>
      <c r="F18665" s="21"/>
      <c r="G18665" s="16"/>
    </row>
    <row r="18666" spans="4:7" ht="15" x14ac:dyDescent="0.3">
      <c r="D18666" s="25"/>
      <c r="F18666" s="21"/>
      <c r="G18666" s="16"/>
    </row>
    <row r="18667" spans="4:7" ht="15" x14ac:dyDescent="0.3">
      <c r="D18667" s="25"/>
      <c r="F18667" s="21"/>
      <c r="G18667" s="16"/>
    </row>
    <row r="18668" spans="4:7" ht="15" x14ac:dyDescent="0.3">
      <c r="D18668" s="25"/>
      <c r="F18668" s="21"/>
      <c r="G18668" s="16"/>
    </row>
    <row r="18669" spans="4:7" ht="15" x14ac:dyDescent="0.3">
      <c r="D18669" s="25"/>
      <c r="F18669" s="21"/>
      <c r="G18669" s="16"/>
    </row>
    <row r="18670" spans="4:7" ht="15" x14ac:dyDescent="0.3">
      <c r="D18670" s="25"/>
      <c r="F18670" s="21"/>
      <c r="G18670" s="16"/>
    </row>
    <row r="18671" spans="4:7" ht="15" x14ac:dyDescent="0.3">
      <c r="D18671" s="25"/>
      <c r="F18671" s="21"/>
      <c r="G18671" s="16"/>
    </row>
    <row r="18672" spans="4:7" ht="15" x14ac:dyDescent="0.3">
      <c r="D18672" s="25"/>
      <c r="F18672" s="21"/>
      <c r="G18672" s="16"/>
    </row>
    <row r="18673" spans="4:7" ht="15" x14ac:dyDescent="0.3">
      <c r="D18673" s="25"/>
      <c r="F18673" s="21"/>
      <c r="G18673" s="16"/>
    </row>
    <row r="18674" spans="4:7" ht="15" x14ac:dyDescent="0.3">
      <c r="D18674" s="25"/>
      <c r="F18674" s="21"/>
      <c r="G18674" s="16"/>
    </row>
    <row r="18675" spans="4:7" ht="15" x14ac:dyDescent="0.3">
      <c r="D18675" s="25"/>
      <c r="F18675" s="21"/>
      <c r="G18675" s="16"/>
    </row>
    <row r="18676" spans="4:7" ht="15" x14ac:dyDescent="0.3">
      <c r="D18676" s="25"/>
      <c r="F18676" s="21"/>
      <c r="G18676" s="16"/>
    </row>
    <row r="18677" spans="4:7" ht="15" x14ac:dyDescent="0.3">
      <c r="D18677" s="25"/>
      <c r="F18677" s="21"/>
      <c r="G18677" s="16"/>
    </row>
    <row r="18678" spans="4:7" ht="15" x14ac:dyDescent="0.3">
      <c r="D18678" s="25"/>
      <c r="F18678" s="21"/>
      <c r="G18678" s="16"/>
    </row>
    <row r="18679" spans="4:7" ht="15" x14ac:dyDescent="0.3">
      <c r="D18679" s="25"/>
      <c r="F18679" s="21"/>
      <c r="G18679" s="16"/>
    </row>
    <row r="18680" spans="4:7" ht="15" x14ac:dyDescent="0.3">
      <c r="D18680" s="25"/>
      <c r="F18680" s="21"/>
      <c r="G18680" s="16"/>
    </row>
    <row r="18681" spans="4:7" ht="15" x14ac:dyDescent="0.3">
      <c r="D18681" s="25"/>
      <c r="F18681" s="21"/>
      <c r="G18681" s="16"/>
    </row>
    <row r="18682" spans="4:7" ht="15" x14ac:dyDescent="0.3">
      <c r="D18682" s="25"/>
      <c r="F18682" s="21"/>
      <c r="G18682" s="16"/>
    </row>
    <row r="18683" spans="4:7" ht="15" x14ac:dyDescent="0.3">
      <c r="D18683" s="25"/>
      <c r="F18683" s="21"/>
      <c r="G18683" s="16"/>
    </row>
    <row r="18684" spans="4:7" ht="15" x14ac:dyDescent="0.3">
      <c r="D18684" s="25"/>
      <c r="F18684" s="21"/>
      <c r="G18684" s="16"/>
    </row>
    <row r="18685" spans="4:7" ht="15" x14ac:dyDescent="0.3">
      <c r="D18685" s="25"/>
      <c r="F18685" s="21"/>
      <c r="G18685" s="16"/>
    </row>
    <row r="18686" spans="4:7" ht="15" x14ac:dyDescent="0.3">
      <c r="D18686" s="25"/>
      <c r="F18686" s="21"/>
      <c r="G18686" s="16"/>
    </row>
    <row r="18687" spans="4:7" ht="15" x14ac:dyDescent="0.3">
      <c r="D18687" s="25"/>
      <c r="F18687" s="21"/>
      <c r="G18687" s="16"/>
    </row>
    <row r="18688" spans="4:7" ht="15" x14ac:dyDescent="0.3">
      <c r="D18688" s="25"/>
      <c r="F18688" s="21"/>
      <c r="G18688" s="16"/>
    </row>
    <row r="18689" spans="4:7" ht="15" x14ac:dyDescent="0.3">
      <c r="D18689" s="25"/>
      <c r="F18689" s="21"/>
      <c r="G18689" s="16"/>
    </row>
    <row r="18690" spans="4:7" ht="15" x14ac:dyDescent="0.3">
      <c r="D18690" s="25"/>
      <c r="F18690" s="21"/>
      <c r="G18690" s="16"/>
    </row>
    <row r="18691" spans="4:7" ht="15" x14ac:dyDescent="0.3">
      <c r="D18691" s="25"/>
      <c r="F18691" s="21"/>
      <c r="G18691" s="16"/>
    </row>
    <row r="18692" spans="4:7" ht="15" x14ac:dyDescent="0.3">
      <c r="D18692" s="25"/>
      <c r="F18692" s="21"/>
      <c r="G18692" s="16"/>
    </row>
    <row r="18693" spans="4:7" ht="15" x14ac:dyDescent="0.3">
      <c r="D18693" s="25"/>
      <c r="F18693" s="21"/>
      <c r="G18693" s="16"/>
    </row>
    <row r="18694" spans="4:7" ht="15" x14ac:dyDescent="0.3">
      <c r="D18694" s="25"/>
      <c r="F18694" s="21"/>
      <c r="G18694" s="16"/>
    </row>
    <row r="18695" spans="4:7" ht="15" x14ac:dyDescent="0.3">
      <c r="D18695" s="25"/>
      <c r="F18695" s="21"/>
      <c r="G18695" s="16"/>
    </row>
    <row r="18696" spans="4:7" ht="15" x14ac:dyDescent="0.3">
      <c r="D18696" s="25"/>
      <c r="F18696" s="21"/>
      <c r="G18696" s="16"/>
    </row>
    <row r="18697" spans="4:7" ht="15" x14ac:dyDescent="0.3">
      <c r="D18697" s="25"/>
      <c r="F18697" s="21"/>
      <c r="G18697" s="16"/>
    </row>
    <row r="18698" spans="4:7" ht="15" x14ac:dyDescent="0.3">
      <c r="D18698" s="25"/>
      <c r="F18698" s="21"/>
      <c r="G18698" s="16"/>
    </row>
    <row r="18699" spans="4:7" ht="15" x14ac:dyDescent="0.3">
      <c r="D18699" s="25"/>
      <c r="F18699" s="21"/>
      <c r="G18699" s="16"/>
    </row>
    <row r="18700" spans="4:7" ht="15" x14ac:dyDescent="0.3">
      <c r="D18700" s="25"/>
      <c r="F18700" s="21"/>
      <c r="G18700" s="16"/>
    </row>
    <row r="18701" spans="4:7" ht="15" x14ac:dyDescent="0.3">
      <c r="D18701" s="25"/>
      <c r="F18701" s="21"/>
      <c r="G18701" s="16"/>
    </row>
    <row r="18702" spans="4:7" ht="15" x14ac:dyDescent="0.3">
      <c r="D18702" s="25"/>
      <c r="F18702" s="21"/>
      <c r="G18702" s="16"/>
    </row>
    <row r="18703" spans="4:7" ht="15" x14ac:dyDescent="0.3">
      <c r="D18703" s="25"/>
      <c r="F18703" s="21"/>
      <c r="G18703" s="16"/>
    </row>
    <row r="18704" spans="4:7" ht="15" x14ac:dyDescent="0.3">
      <c r="D18704" s="25"/>
      <c r="F18704" s="21"/>
      <c r="G18704" s="16"/>
    </row>
    <row r="18705" spans="4:7" ht="15" x14ac:dyDescent="0.3">
      <c r="D18705" s="25"/>
      <c r="F18705" s="21"/>
      <c r="G18705" s="16"/>
    </row>
    <row r="18706" spans="4:7" ht="15" x14ac:dyDescent="0.3">
      <c r="D18706" s="25"/>
      <c r="F18706" s="21"/>
      <c r="G18706" s="16"/>
    </row>
    <row r="18707" spans="4:7" ht="15" x14ac:dyDescent="0.3">
      <c r="D18707" s="25"/>
      <c r="F18707" s="21"/>
      <c r="G18707" s="16"/>
    </row>
    <row r="18708" spans="4:7" ht="15" x14ac:dyDescent="0.3">
      <c r="D18708" s="25"/>
      <c r="F18708" s="21"/>
      <c r="G18708" s="16"/>
    </row>
    <row r="18709" spans="4:7" ht="15" x14ac:dyDescent="0.3">
      <c r="D18709" s="25"/>
      <c r="F18709" s="21"/>
      <c r="G18709" s="16"/>
    </row>
    <row r="18710" spans="4:7" ht="15" x14ac:dyDescent="0.3">
      <c r="D18710" s="25"/>
      <c r="F18710" s="21"/>
      <c r="G18710" s="16"/>
    </row>
    <row r="18711" spans="4:7" ht="15" x14ac:dyDescent="0.3">
      <c r="D18711" s="25"/>
      <c r="F18711" s="21"/>
      <c r="G18711" s="16"/>
    </row>
    <row r="18712" spans="4:7" ht="15" x14ac:dyDescent="0.3">
      <c r="D18712" s="25"/>
      <c r="F18712" s="21"/>
      <c r="G18712" s="16"/>
    </row>
    <row r="18713" spans="4:7" ht="15" x14ac:dyDescent="0.3">
      <c r="D18713" s="25"/>
      <c r="F18713" s="21"/>
      <c r="G18713" s="16"/>
    </row>
    <row r="18714" spans="4:7" ht="15" x14ac:dyDescent="0.3">
      <c r="D18714" s="25"/>
      <c r="F18714" s="21"/>
      <c r="G18714" s="16"/>
    </row>
    <row r="18715" spans="4:7" ht="15" x14ac:dyDescent="0.3">
      <c r="D18715" s="25"/>
      <c r="F18715" s="21"/>
      <c r="G18715" s="16"/>
    </row>
    <row r="18716" spans="4:7" ht="15" x14ac:dyDescent="0.3">
      <c r="D18716" s="25"/>
      <c r="F18716" s="21"/>
      <c r="G18716" s="16"/>
    </row>
    <row r="18717" spans="4:7" ht="15" x14ac:dyDescent="0.3">
      <c r="D18717" s="25"/>
      <c r="F18717" s="21"/>
      <c r="G18717" s="16"/>
    </row>
    <row r="18718" spans="4:7" ht="15" x14ac:dyDescent="0.3">
      <c r="D18718" s="25"/>
      <c r="F18718" s="21"/>
      <c r="G18718" s="16"/>
    </row>
    <row r="18719" spans="4:7" ht="15" x14ac:dyDescent="0.3">
      <c r="D18719" s="25"/>
      <c r="F18719" s="21"/>
      <c r="G18719" s="16"/>
    </row>
    <row r="18720" spans="4:7" ht="15" x14ac:dyDescent="0.3">
      <c r="D18720" s="25"/>
      <c r="F18720" s="21"/>
      <c r="G18720" s="16"/>
    </row>
    <row r="18721" spans="4:7" ht="15" x14ac:dyDescent="0.3">
      <c r="D18721" s="25"/>
      <c r="F18721" s="21"/>
      <c r="G18721" s="16"/>
    </row>
    <row r="18722" spans="4:7" ht="15" x14ac:dyDescent="0.3">
      <c r="D18722" s="25"/>
      <c r="F18722" s="21"/>
      <c r="G18722" s="16"/>
    </row>
    <row r="18723" spans="4:7" ht="15" x14ac:dyDescent="0.3">
      <c r="D18723" s="25"/>
      <c r="F18723" s="21"/>
      <c r="G18723" s="16"/>
    </row>
    <row r="18724" spans="4:7" ht="15" x14ac:dyDescent="0.3">
      <c r="D18724" s="25"/>
      <c r="F18724" s="21"/>
      <c r="G18724" s="16"/>
    </row>
    <row r="18725" spans="4:7" ht="15" x14ac:dyDescent="0.3">
      <c r="D18725" s="25"/>
      <c r="F18725" s="21"/>
      <c r="G18725" s="16"/>
    </row>
    <row r="18726" spans="4:7" ht="15" x14ac:dyDescent="0.3">
      <c r="D18726" s="25"/>
      <c r="F18726" s="21"/>
      <c r="G18726" s="16"/>
    </row>
    <row r="18727" spans="4:7" ht="15" x14ac:dyDescent="0.3">
      <c r="D18727" s="25"/>
      <c r="F18727" s="21"/>
      <c r="G18727" s="16"/>
    </row>
    <row r="18728" spans="4:7" ht="15" x14ac:dyDescent="0.3">
      <c r="D18728" s="25"/>
      <c r="F18728" s="21"/>
      <c r="G18728" s="16"/>
    </row>
    <row r="18729" spans="4:7" ht="15" x14ac:dyDescent="0.3">
      <c r="D18729" s="25"/>
      <c r="F18729" s="21"/>
      <c r="G18729" s="16"/>
    </row>
    <row r="18730" spans="4:7" ht="15" x14ac:dyDescent="0.3">
      <c r="D18730" s="25"/>
      <c r="F18730" s="21"/>
      <c r="G18730" s="16"/>
    </row>
    <row r="18731" spans="4:7" ht="15" x14ac:dyDescent="0.3">
      <c r="D18731" s="25"/>
      <c r="F18731" s="21"/>
      <c r="G18731" s="16"/>
    </row>
    <row r="18732" spans="4:7" ht="15" x14ac:dyDescent="0.3">
      <c r="D18732" s="25"/>
      <c r="F18732" s="21"/>
      <c r="G18732" s="16"/>
    </row>
    <row r="18733" spans="4:7" ht="15" x14ac:dyDescent="0.3">
      <c r="D18733" s="25"/>
      <c r="F18733" s="21"/>
      <c r="G18733" s="16"/>
    </row>
    <row r="18734" spans="4:7" ht="15" x14ac:dyDescent="0.3">
      <c r="D18734" s="25"/>
      <c r="F18734" s="21"/>
      <c r="G18734" s="16"/>
    </row>
    <row r="18735" spans="4:7" ht="15" x14ac:dyDescent="0.3">
      <c r="D18735" s="25"/>
      <c r="F18735" s="21"/>
      <c r="G18735" s="16"/>
    </row>
    <row r="18736" spans="4:7" ht="15" x14ac:dyDescent="0.3">
      <c r="D18736" s="25"/>
      <c r="F18736" s="21"/>
      <c r="G18736" s="16"/>
    </row>
    <row r="18737" spans="4:7" ht="15" x14ac:dyDescent="0.3">
      <c r="D18737" s="25"/>
      <c r="F18737" s="21"/>
      <c r="G18737" s="16"/>
    </row>
    <row r="18738" spans="4:7" ht="15" x14ac:dyDescent="0.3">
      <c r="D18738" s="25"/>
      <c r="F18738" s="21"/>
      <c r="G18738" s="16"/>
    </row>
    <row r="18739" spans="4:7" ht="15" x14ac:dyDescent="0.3">
      <c r="D18739" s="25"/>
      <c r="F18739" s="21"/>
      <c r="G18739" s="16"/>
    </row>
    <row r="18740" spans="4:7" ht="15" x14ac:dyDescent="0.3">
      <c r="D18740" s="25"/>
      <c r="F18740" s="21"/>
      <c r="G18740" s="16"/>
    </row>
    <row r="18741" spans="4:7" ht="15" x14ac:dyDescent="0.3">
      <c r="D18741" s="25"/>
      <c r="F18741" s="21"/>
      <c r="G18741" s="16"/>
    </row>
    <row r="18742" spans="4:7" ht="15" x14ac:dyDescent="0.3">
      <c r="D18742" s="25"/>
      <c r="F18742" s="21"/>
      <c r="G18742" s="16"/>
    </row>
    <row r="18743" spans="4:7" ht="15" x14ac:dyDescent="0.3">
      <c r="D18743" s="25"/>
      <c r="F18743" s="21"/>
      <c r="G18743" s="16"/>
    </row>
    <row r="18744" spans="4:7" ht="15" x14ac:dyDescent="0.3">
      <c r="D18744" s="25"/>
      <c r="F18744" s="21"/>
      <c r="G18744" s="16"/>
    </row>
    <row r="18745" spans="4:7" ht="15" x14ac:dyDescent="0.3">
      <c r="D18745" s="25"/>
      <c r="F18745" s="21"/>
      <c r="G18745" s="16"/>
    </row>
    <row r="18746" spans="4:7" ht="15" x14ac:dyDescent="0.3">
      <c r="D18746" s="25"/>
      <c r="F18746" s="21"/>
      <c r="G18746" s="16"/>
    </row>
    <row r="18747" spans="4:7" ht="15" x14ac:dyDescent="0.3">
      <c r="D18747" s="25"/>
      <c r="F18747" s="21"/>
      <c r="G18747" s="16"/>
    </row>
    <row r="18748" spans="4:7" ht="15" x14ac:dyDescent="0.3">
      <c r="D18748" s="25"/>
      <c r="F18748" s="21"/>
      <c r="G18748" s="16"/>
    </row>
    <row r="18749" spans="4:7" ht="15" x14ac:dyDescent="0.3">
      <c r="D18749" s="25"/>
      <c r="F18749" s="21"/>
      <c r="G18749" s="16"/>
    </row>
    <row r="18750" spans="4:7" ht="15" x14ac:dyDescent="0.3">
      <c r="D18750" s="25"/>
      <c r="F18750" s="21"/>
      <c r="G18750" s="16"/>
    </row>
    <row r="18751" spans="4:7" ht="15" x14ac:dyDescent="0.3">
      <c r="D18751" s="25"/>
      <c r="F18751" s="21"/>
      <c r="G18751" s="16"/>
    </row>
    <row r="18752" spans="4:7" ht="15" x14ac:dyDescent="0.3">
      <c r="D18752" s="25"/>
      <c r="F18752" s="21"/>
      <c r="G18752" s="16"/>
    </row>
    <row r="18753" spans="4:7" ht="15" x14ac:dyDescent="0.3">
      <c r="D18753" s="25"/>
      <c r="F18753" s="21"/>
      <c r="G18753" s="16"/>
    </row>
    <row r="18754" spans="4:7" ht="15" x14ac:dyDescent="0.3">
      <c r="D18754" s="25"/>
      <c r="F18754" s="21"/>
      <c r="G18754" s="16"/>
    </row>
    <row r="18755" spans="4:7" ht="15" x14ac:dyDescent="0.3">
      <c r="D18755" s="25"/>
      <c r="F18755" s="21"/>
      <c r="G18755" s="16"/>
    </row>
    <row r="18756" spans="4:7" ht="15" x14ac:dyDescent="0.3">
      <c r="D18756" s="25"/>
      <c r="F18756" s="21"/>
      <c r="G18756" s="16"/>
    </row>
    <row r="18757" spans="4:7" ht="15" x14ac:dyDescent="0.3">
      <c r="D18757" s="25"/>
      <c r="F18757" s="21"/>
      <c r="G18757" s="16"/>
    </row>
    <row r="18758" spans="4:7" ht="15" x14ac:dyDescent="0.3">
      <c r="D18758" s="25"/>
      <c r="F18758" s="21"/>
      <c r="G18758" s="16"/>
    </row>
    <row r="18759" spans="4:7" ht="15" x14ac:dyDescent="0.3">
      <c r="D18759" s="25"/>
      <c r="F18759" s="21"/>
      <c r="G18759" s="16"/>
    </row>
    <row r="18760" spans="4:7" ht="15" x14ac:dyDescent="0.3">
      <c r="D18760" s="25"/>
      <c r="F18760" s="21"/>
      <c r="G18760" s="16"/>
    </row>
    <row r="18761" spans="4:7" ht="15" x14ac:dyDescent="0.3">
      <c r="D18761" s="25"/>
      <c r="F18761" s="21"/>
      <c r="G18761" s="16"/>
    </row>
    <row r="18762" spans="4:7" ht="15" x14ac:dyDescent="0.3">
      <c r="D18762" s="25"/>
      <c r="F18762" s="21"/>
      <c r="G18762" s="16"/>
    </row>
    <row r="18763" spans="4:7" ht="15" x14ac:dyDescent="0.3">
      <c r="D18763" s="25"/>
      <c r="F18763" s="21"/>
      <c r="G18763" s="16"/>
    </row>
    <row r="18764" spans="4:7" ht="15" x14ac:dyDescent="0.3">
      <c r="D18764" s="25"/>
      <c r="F18764" s="21"/>
      <c r="G18764" s="16"/>
    </row>
    <row r="18765" spans="4:7" ht="15" x14ac:dyDescent="0.3">
      <c r="D18765" s="25"/>
      <c r="F18765" s="21"/>
      <c r="G18765" s="16"/>
    </row>
    <row r="18766" spans="4:7" ht="15" x14ac:dyDescent="0.3">
      <c r="D18766" s="25"/>
      <c r="F18766" s="21"/>
      <c r="G18766" s="16"/>
    </row>
    <row r="18767" spans="4:7" ht="15" x14ac:dyDescent="0.3">
      <c r="D18767" s="25"/>
      <c r="F18767" s="21"/>
      <c r="G18767" s="16"/>
    </row>
    <row r="18768" spans="4:7" ht="15" x14ac:dyDescent="0.3">
      <c r="D18768" s="25"/>
      <c r="F18768" s="21"/>
      <c r="G18768" s="16"/>
    </row>
    <row r="18769" spans="4:7" ht="15" x14ac:dyDescent="0.3">
      <c r="D18769" s="25"/>
      <c r="F18769" s="21"/>
      <c r="G18769" s="16"/>
    </row>
    <row r="18770" spans="4:7" ht="15" x14ac:dyDescent="0.3">
      <c r="D18770" s="25"/>
      <c r="F18770" s="21"/>
      <c r="G18770" s="16"/>
    </row>
    <row r="18771" spans="4:7" ht="15" x14ac:dyDescent="0.3">
      <c r="D18771" s="25"/>
      <c r="F18771" s="21"/>
      <c r="G18771" s="16"/>
    </row>
    <row r="18772" spans="4:7" ht="15" x14ac:dyDescent="0.3">
      <c r="D18772" s="25"/>
      <c r="F18772" s="21"/>
      <c r="G18772" s="16"/>
    </row>
    <row r="18773" spans="4:7" ht="15" x14ac:dyDescent="0.3">
      <c r="D18773" s="25"/>
      <c r="F18773" s="21"/>
      <c r="G18773" s="16"/>
    </row>
    <row r="18774" spans="4:7" ht="15" x14ac:dyDescent="0.3">
      <c r="D18774" s="25"/>
      <c r="F18774" s="21"/>
      <c r="G18774" s="16"/>
    </row>
    <row r="18775" spans="4:7" ht="15" x14ac:dyDescent="0.3">
      <c r="D18775" s="25"/>
      <c r="F18775" s="21"/>
      <c r="G18775" s="16"/>
    </row>
    <row r="18776" spans="4:7" ht="15" x14ac:dyDescent="0.3">
      <c r="D18776" s="25"/>
      <c r="F18776" s="21"/>
      <c r="G18776" s="16"/>
    </row>
    <row r="18777" spans="4:7" ht="15" x14ac:dyDescent="0.3">
      <c r="D18777" s="25"/>
      <c r="F18777" s="21"/>
      <c r="G18777" s="16"/>
    </row>
    <row r="18778" spans="4:7" ht="15" x14ac:dyDescent="0.3">
      <c r="D18778" s="25"/>
      <c r="F18778" s="21"/>
      <c r="G18778" s="16"/>
    </row>
    <row r="18779" spans="4:7" ht="15" x14ac:dyDescent="0.3">
      <c r="D18779" s="25"/>
      <c r="F18779" s="21"/>
      <c r="G18779" s="16"/>
    </row>
    <row r="18780" spans="4:7" ht="15" x14ac:dyDescent="0.3">
      <c r="D18780" s="25"/>
      <c r="F18780" s="21"/>
      <c r="G18780" s="16"/>
    </row>
    <row r="18781" spans="4:7" ht="15" x14ac:dyDescent="0.3">
      <c r="D18781" s="25"/>
      <c r="F18781" s="21"/>
      <c r="G18781" s="16"/>
    </row>
    <row r="18782" spans="4:7" ht="15" x14ac:dyDescent="0.3">
      <c r="D18782" s="25"/>
      <c r="F18782" s="21"/>
      <c r="G18782" s="16"/>
    </row>
    <row r="18783" spans="4:7" ht="15" x14ac:dyDescent="0.3">
      <c r="D18783" s="25"/>
      <c r="F18783" s="21"/>
      <c r="G18783" s="16"/>
    </row>
    <row r="18784" spans="4:7" ht="15" x14ac:dyDescent="0.3">
      <c r="D18784" s="25"/>
      <c r="F18784" s="21"/>
      <c r="G18784" s="16"/>
    </row>
    <row r="18785" spans="4:7" ht="15" x14ac:dyDescent="0.3">
      <c r="D18785" s="25"/>
      <c r="F18785" s="21"/>
      <c r="G18785" s="16"/>
    </row>
    <row r="18786" spans="4:7" ht="15" x14ac:dyDescent="0.3">
      <c r="D18786" s="25"/>
      <c r="F18786" s="21"/>
      <c r="G18786" s="16"/>
    </row>
    <row r="18787" spans="4:7" ht="15" x14ac:dyDescent="0.3">
      <c r="D18787" s="25"/>
      <c r="F18787" s="21"/>
      <c r="G18787" s="16"/>
    </row>
    <row r="18788" spans="4:7" ht="15" x14ac:dyDescent="0.3">
      <c r="D18788" s="25"/>
      <c r="F18788" s="21"/>
      <c r="G18788" s="16"/>
    </row>
    <row r="18789" spans="4:7" ht="15" x14ac:dyDescent="0.3">
      <c r="D18789" s="25"/>
      <c r="F18789" s="21"/>
      <c r="G18789" s="16"/>
    </row>
    <row r="18790" spans="4:7" ht="15" x14ac:dyDescent="0.3">
      <c r="D18790" s="25"/>
      <c r="F18790" s="21"/>
      <c r="G18790" s="16"/>
    </row>
    <row r="18791" spans="4:7" ht="15" x14ac:dyDescent="0.3">
      <c r="D18791" s="25"/>
      <c r="F18791" s="21"/>
      <c r="G18791" s="16"/>
    </row>
    <row r="18792" spans="4:7" ht="15" x14ac:dyDescent="0.3">
      <c r="D18792" s="25"/>
      <c r="F18792" s="21"/>
      <c r="G18792" s="16"/>
    </row>
    <row r="18793" spans="4:7" ht="15" x14ac:dyDescent="0.3">
      <c r="D18793" s="25"/>
      <c r="F18793" s="21"/>
      <c r="G18793" s="16"/>
    </row>
    <row r="18794" spans="4:7" ht="15" x14ac:dyDescent="0.3">
      <c r="D18794" s="25"/>
      <c r="F18794" s="21"/>
      <c r="G18794" s="16"/>
    </row>
    <row r="18795" spans="4:7" ht="15" x14ac:dyDescent="0.3">
      <c r="D18795" s="25"/>
      <c r="F18795" s="21"/>
      <c r="G18795" s="16"/>
    </row>
    <row r="18796" spans="4:7" ht="15" x14ac:dyDescent="0.3">
      <c r="D18796" s="25"/>
      <c r="F18796" s="21"/>
      <c r="G18796" s="16"/>
    </row>
    <row r="18797" spans="4:7" ht="15" x14ac:dyDescent="0.3">
      <c r="D18797" s="25"/>
      <c r="F18797" s="21"/>
      <c r="G18797" s="16"/>
    </row>
    <row r="18798" spans="4:7" ht="15" x14ac:dyDescent="0.3">
      <c r="D18798" s="25"/>
      <c r="F18798" s="21"/>
      <c r="G18798" s="16"/>
    </row>
    <row r="18799" spans="4:7" ht="15" x14ac:dyDescent="0.3">
      <c r="D18799" s="25"/>
      <c r="F18799" s="21"/>
      <c r="G18799" s="16"/>
    </row>
    <row r="18800" spans="4:7" ht="15" x14ac:dyDescent="0.3">
      <c r="D18800" s="25"/>
      <c r="F18800" s="21"/>
      <c r="G18800" s="16"/>
    </row>
    <row r="18801" spans="4:7" ht="15" x14ac:dyDescent="0.3">
      <c r="D18801" s="25"/>
      <c r="F18801" s="21"/>
      <c r="G18801" s="16"/>
    </row>
    <row r="18802" spans="4:7" ht="15" x14ac:dyDescent="0.3">
      <c r="D18802" s="25"/>
      <c r="F18802" s="21"/>
      <c r="G18802" s="16"/>
    </row>
    <row r="18803" spans="4:7" ht="15" x14ac:dyDescent="0.3">
      <c r="D18803" s="25"/>
      <c r="F18803" s="21"/>
      <c r="G18803" s="16"/>
    </row>
    <row r="18804" spans="4:7" ht="15" x14ac:dyDescent="0.3">
      <c r="D18804" s="25"/>
      <c r="F18804" s="21"/>
      <c r="G18804" s="16"/>
    </row>
    <row r="18805" spans="4:7" ht="15" x14ac:dyDescent="0.3">
      <c r="D18805" s="25"/>
      <c r="F18805" s="21"/>
      <c r="G18805" s="16"/>
    </row>
    <row r="18806" spans="4:7" ht="15" x14ac:dyDescent="0.3">
      <c r="D18806" s="25"/>
      <c r="F18806" s="21"/>
      <c r="G18806" s="16"/>
    </row>
    <row r="18807" spans="4:7" ht="15" x14ac:dyDescent="0.3">
      <c r="D18807" s="25"/>
      <c r="F18807" s="21"/>
      <c r="G18807" s="16"/>
    </row>
    <row r="18808" spans="4:7" ht="15" x14ac:dyDescent="0.3">
      <c r="D18808" s="25"/>
      <c r="F18808" s="21"/>
      <c r="G18808" s="16"/>
    </row>
    <row r="18809" spans="4:7" ht="15" x14ac:dyDescent="0.3">
      <c r="D18809" s="25"/>
      <c r="F18809" s="21"/>
      <c r="G18809" s="16"/>
    </row>
    <row r="18810" spans="4:7" ht="15" x14ac:dyDescent="0.3">
      <c r="D18810" s="25"/>
      <c r="F18810" s="21"/>
      <c r="G18810" s="16"/>
    </row>
    <row r="18811" spans="4:7" ht="15" x14ac:dyDescent="0.3">
      <c r="D18811" s="25"/>
      <c r="F18811" s="21"/>
      <c r="G18811" s="16"/>
    </row>
    <row r="18812" spans="4:7" ht="15" x14ac:dyDescent="0.3">
      <c r="D18812" s="25"/>
      <c r="F18812" s="21"/>
      <c r="G18812" s="16"/>
    </row>
    <row r="18813" spans="4:7" ht="15" x14ac:dyDescent="0.3">
      <c r="D18813" s="25"/>
      <c r="F18813" s="21"/>
      <c r="G18813" s="16"/>
    </row>
    <row r="18814" spans="4:7" ht="15" x14ac:dyDescent="0.3">
      <c r="D18814" s="25"/>
      <c r="F18814" s="21"/>
      <c r="G18814" s="16"/>
    </row>
    <row r="18815" spans="4:7" ht="15" x14ac:dyDescent="0.3">
      <c r="D18815" s="25"/>
      <c r="F18815" s="21"/>
      <c r="G18815" s="16"/>
    </row>
    <row r="18816" spans="4:7" ht="15" x14ac:dyDescent="0.3">
      <c r="D18816" s="25"/>
      <c r="F18816" s="21"/>
      <c r="G18816" s="16"/>
    </row>
    <row r="18817" spans="4:7" ht="15" x14ac:dyDescent="0.3">
      <c r="D18817" s="25"/>
      <c r="F18817" s="21"/>
      <c r="G18817" s="16"/>
    </row>
    <row r="18818" spans="4:7" ht="15" x14ac:dyDescent="0.3">
      <c r="D18818" s="25"/>
      <c r="F18818" s="21"/>
      <c r="G18818" s="16"/>
    </row>
    <row r="18819" spans="4:7" ht="15" x14ac:dyDescent="0.3">
      <c r="D18819" s="25"/>
      <c r="F18819" s="21"/>
      <c r="G18819" s="16"/>
    </row>
    <row r="18820" spans="4:7" ht="15" x14ac:dyDescent="0.3">
      <c r="D18820" s="25"/>
      <c r="F18820" s="21"/>
      <c r="G18820" s="16"/>
    </row>
    <row r="18821" spans="4:7" ht="15" x14ac:dyDescent="0.3">
      <c r="D18821" s="25"/>
      <c r="F18821" s="21"/>
      <c r="G18821" s="16"/>
    </row>
    <row r="18822" spans="4:7" ht="15" x14ac:dyDescent="0.3">
      <c r="D18822" s="25"/>
      <c r="F18822" s="21"/>
      <c r="G18822" s="16"/>
    </row>
    <row r="18823" spans="4:7" ht="15" x14ac:dyDescent="0.3">
      <c r="D18823" s="25"/>
      <c r="F18823" s="21"/>
      <c r="G18823" s="16"/>
    </row>
    <row r="18824" spans="4:7" ht="15" x14ac:dyDescent="0.3">
      <c r="D18824" s="25"/>
      <c r="F18824" s="21"/>
      <c r="G18824" s="16"/>
    </row>
    <row r="18825" spans="4:7" ht="15" x14ac:dyDescent="0.3">
      <c r="D18825" s="25"/>
      <c r="F18825" s="21"/>
      <c r="G18825" s="16"/>
    </row>
    <row r="18826" spans="4:7" ht="15" x14ac:dyDescent="0.3">
      <c r="D18826" s="25"/>
      <c r="F18826" s="21"/>
      <c r="G18826" s="16"/>
    </row>
    <row r="18827" spans="4:7" ht="15" x14ac:dyDescent="0.3">
      <c r="D18827" s="25"/>
      <c r="F18827" s="21"/>
      <c r="G18827" s="16"/>
    </row>
    <row r="18828" spans="4:7" ht="15" x14ac:dyDescent="0.3">
      <c r="D18828" s="25"/>
      <c r="F18828" s="21"/>
      <c r="G18828" s="16"/>
    </row>
    <row r="18829" spans="4:7" ht="15" x14ac:dyDescent="0.3">
      <c r="D18829" s="25"/>
      <c r="F18829" s="21"/>
      <c r="G18829" s="16"/>
    </row>
    <row r="18830" spans="4:7" ht="15" x14ac:dyDescent="0.3">
      <c r="D18830" s="25"/>
      <c r="F18830" s="21"/>
      <c r="G18830" s="16"/>
    </row>
    <row r="18831" spans="4:7" ht="15" x14ac:dyDescent="0.3">
      <c r="D18831" s="25"/>
      <c r="F18831" s="21"/>
      <c r="G18831" s="16"/>
    </row>
    <row r="18832" spans="4:7" ht="15" x14ac:dyDescent="0.3">
      <c r="D18832" s="25"/>
      <c r="F18832" s="21"/>
      <c r="G18832" s="16"/>
    </row>
    <row r="18833" spans="4:7" ht="15" x14ac:dyDescent="0.3">
      <c r="D18833" s="25"/>
      <c r="F18833" s="21"/>
      <c r="G18833" s="16"/>
    </row>
    <row r="18834" spans="4:7" ht="15" x14ac:dyDescent="0.3">
      <c r="D18834" s="25"/>
      <c r="F18834" s="21"/>
      <c r="G18834" s="16"/>
    </row>
    <row r="18835" spans="4:7" ht="15" x14ac:dyDescent="0.3">
      <c r="D18835" s="25"/>
      <c r="F18835" s="21"/>
      <c r="G18835" s="16"/>
    </row>
    <row r="18836" spans="4:7" ht="15" x14ac:dyDescent="0.3">
      <c r="D18836" s="25"/>
      <c r="F18836" s="21"/>
      <c r="G18836" s="16"/>
    </row>
    <row r="18837" spans="4:7" ht="15" x14ac:dyDescent="0.3">
      <c r="D18837" s="25"/>
      <c r="F18837" s="21"/>
      <c r="G18837" s="16"/>
    </row>
    <row r="18838" spans="4:7" ht="15" x14ac:dyDescent="0.3">
      <c r="D18838" s="25"/>
      <c r="F18838" s="21"/>
      <c r="G18838" s="16"/>
    </row>
    <row r="18839" spans="4:7" ht="15" x14ac:dyDescent="0.3">
      <c r="D18839" s="25"/>
      <c r="F18839" s="21"/>
      <c r="G18839" s="16"/>
    </row>
    <row r="18840" spans="4:7" ht="15" x14ac:dyDescent="0.3">
      <c r="D18840" s="25"/>
      <c r="F18840" s="21"/>
      <c r="G18840" s="16"/>
    </row>
    <row r="18841" spans="4:7" ht="15" x14ac:dyDescent="0.3">
      <c r="D18841" s="25"/>
      <c r="F18841" s="21"/>
      <c r="G18841" s="16"/>
    </row>
    <row r="18842" spans="4:7" ht="15" x14ac:dyDescent="0.3">
      <c r="D18842" s="25"/>
      <c r="F18842" s="21"/>
      <c r="G18842" s="16"/>
    </row>
    <row r="18843" spans="4:7" ht="15" x14ac:dyDescent="0.3">
      <c r="D18843" s="25"/>
      <c r="F18843" s="21"/>
      <c r="G18843" s="16"/>
    </row>
    <row r="18844" spans="4:7" ht="15" x14ac:dyDescent="0.3">
      <c r="D18844" s="25"/>
      <c r="F18844" s="21"/>
      <c r="G18844" s="16"/>
    </row>
    <row r="18845" spans="4:7" ht="15" x14ac:dyDescent="0.3">
      <c r="D18845" s="25"/>
      <c r="F18845" s="21"/>
      <c r="G18845" s="16"/>
    </row>
    <row r="18846" spans="4:7" ht="15" x14ac:dyDescent="0.3">
      <c r="D18846" s="25"/>
      <c r="F18846" s="21"/>
      <c r="G18846" s="16"/>
    </row>
    <row r="18847" spans="4:7" ht="15" x14ac:dyDescent="0.3">
      <c r="D18847" s="25"/>
      <c r="F18847" s="21"/>
      <c r="G18847" s="16"/>
    </row>
    <row r="18848" spans="4:7" ht="15" x14ac:dyDescent="0.3">
      <c r="D18848" s="25"/>
      <c r="F18848" s="21"/>
      <c r="G18848" s="16"/>
    </row>
    <row r="18849" spans="4:7" ht="15" x14ac:dyDescent="0.3">
      <c r="D18849" s="25"/>
      <c r="F18849" s="21"/>
      <c r="G18849" s="16"/>
    </row>
    <row r="18850" spans="4:7" ht="15" x14ac:dyDescent="0.3">
      <c r="D18850" s="25"/>
      <c r="F18850" s="21"/>
      <c r="G18850" s="16"/>
    </row>
    <row r="18851" spans="4:7" ht="15" x14ac:dyDescent="0.3">
      <c r="D18851" s="25"/>
      <c r="F18851" s="21"/>
      <c r="G18851" s="16"/>
    </row>
    <row r="18852" spans="4:7" ht="15" x14ac:dyDescent="0.3">
      <c r="D18852" s="25"/>
      <c r="F18852" s="21"/>
      <c r="G18852" s="16"/>
    </row>
    <row r="18853" spans="4:7" ht="15" x14ac:dyDescent="0.3">
      <c r="D18853" s="25"/>
      <c r="F18853" s="21"/>
      <c r="G18853" s="16"/>
    </row>
    <row r="18854" spans="4:7" ht="15" x14ac:dyDescent="0.3">
      <c r="D18854" s="25"/>
      <c r="F18854" s="21"/>
      <c r="G18854" s="16"/>
    </row>
    <row r="18855" spans="4:7" ht="15" x14ac:dyDescent="0.3">
      <c r="D18855" s="25"/>
      <c r="F18855" s="21"/>
      <c r="G18855" s="16"/>
    </row>
    <row r="18856" spans="4:7" ht="15" x14ac:dyDescent="0.3">
      <c r="D18856" s="25"/>
      <c r="F18856" s="21"/>
      <c r="G18856" s="16"/>
    </row>
    <row r="18857" spans="4:7" ht="15" x14ac:dyDescent="0.3">
      <c r="D18857" s="25"/>
      <c r="F18857" s="21"/>
      <c r="G18857" s="16"/>
    </row>
    <row r="18858" spans="4:7" ht="15" x14ac:dyDescent="0.3">
      <c r="D18858" s="25"/>
      <c r="F18858" s="21"/>
      <c r="G18858" s="16"/>
    </row>
    <row r="18859" spans="4:7" ht="15" x14ac:dyDescent="0.3">
      <c r="D18859" s="25"/>
      <c r="F18859" s="21"/>
      <c r="G18859" s="16"/>
    </row>
    <row r="18860" spans="4:7" ht="15" x14ac:dyDescent="0.3">
      <c r="D18860" s="25"/>
      <c r="F18860" s="21"/>
      <c r="G18860" s="16"/>
    </row>
    <row r="18861" spans="4:7" ht="15" x14ac:dyDescent="0.3">
      <c r="D18861" s="25"/>
      <c r="F18861" s="21"/>
      <c r="G18861" s="16"/>
    </row>
    <row r="18862" spans="4:7" ht="15" x14ac:dyDescent="0.3">
      <c r="D18862" s="25"/>
      <c r="F18862" s="21"/>
      <c r="G18862" s="16"/>
    </row>
    <row r="18863" spans="4:7" ht="15" x14ac:dyDescent="0.3">
      <c r="D18863" s="25"/>
      <c r="F18863" s="21"/>
      <c r="G18863" s="16"/>
    </row>
    <row r="18864" spans="4:7" ht="15" x14ac:dyDescent="0.3">
      <c r="D18864" s="25"/>
      <c r="F18864" s="21"/>
      <c r="G18864" s="16"/>
    </row>
    <row r="18865" spans="4:7" ht="15" x14ac:dyDescent="0.3">
      <c r="D18865" s="25"/>
      <c r="F18865" s="21"/>
      <c r="G18865" s="16"/>
    </row>
    <row r="18866" spans="4:7" ht="15" x14ac:dyDescent="0.3">
      <c r="D18866" s="25"/>
      <c r="F18866" s="21"/>
      <c r="G18866" s="16"/>
    </row>
    <row r="18867" spans="4:7" ht="15" x14ac:dyDescent="0.3">
      <c r="D18867" s="25"/>
      <c r="F18867" s="21"/>
      <c r="G18867" s="16"/>
    </row>
    <row r="18868" spans="4:7" ht="15" x14ac:dyDescent="0.3">
      <c r="D18868" s="25"/>
      <c r="F18868" s="21"/>
      <c r="G18868" s="16"/>
    </row>
    <row r="18869" spans="4:7" ht="15" x14ac:dyDescent="0.3">
      <c r="D18869" s="25"/>
      <c r="F18869" s="21"/>
      <c r="G18869" s="16"/>
    </row>
    <row r="18870" spans="4:7" ht="15" x14ac:dyDescent="0.3">
      <c r="D18870" s="25"/>
      <c r="F18870" s="21"/>
      <c r="G18870" s="16"/>
    </row>
    <row r="18871" spans="4:7" ht="15" x14ac:dyDescent="0.3">
      <c r="D18871" s="25"/>
      <c r="F18871" s="21"/>
      <c r="G18871" s="16"/>
    </row>
    <row r="18872" spans="4:7" ht="15" x14ac:dyDescent="0.3">
      <c r="D18872" s="25"/>
      <c r="F18872" s="21"/>
      <c r="G18872" s="16"/>
    </row>
    <row r="18873" spans="4:7" ht="15" x14ac:dyDescent="0.3">
      <c r="D18873" s="25"/>
      <c r="F18873" s="21"/>
      <c r="G18873" s="16"/>
    </row>
    <row r="18874" spans="4:7" ht="15" x14ac:dyDescent="0.3">
      <c r="D18874" s="25"/>
      <c r="F18874" s="21"/>
      <c r="G18874" s="16"/>
    </row>
    <row r="18875" spans="4:7" ht="15" x14ac:dyDescent="0.3">
      <c r="D18875" s="25"/>
      <c r="F18875" s="21"/>
      <c r="G18875" s="16"/>
    </row>
    <row r="18876" spans="4:7" ht="15" x14ac:dyDescent="0.3">
      <c r="D18876" s="25"/>
      <c r="F18876" s="21"/>
      <c r="G18876" s="16"/>
    </row>
    <row r="18877" spans="4:7" ht="15" x14ac:dyDescent="0.3">
      <c r="D18877" s="25"/>
      <c r="F18877" s="21"/>
      <c r="G18877" s="16"/>
    </row>
    <row r="18878" spans="4:7" ht="15" x14ac:dyDescent="0.3">
      <c r="D18878" s="25"/>
      <c r="F18878" s="21"/>
      <c r="G18878" s="16"/>
    </row>
    <row r="18879" spans="4:7" ht="15" x14ac:dyDescent="0.3">
      <c r="D18879" s="25"/>
      <c r="F18879" s="21"/>
      <c r="G18879" s="16"/>
    </row>
    <row r="18880" spans="4:7" ht="15" x14ac:dyDescent="0.3">
      <c r="D18880" s="25"/>
      <c r="F18880" s="21"/>
      <c r="G18880" s="16"/>
    </row>
    <row r="18881" spans="4:7" ht="15" x14ac:dyDescent="0.3">
      <c r="D18881" s="25"/>
      <c r="F18881" s="21"/>
      <c r="G18881" s="16"/>
    </row>
    <row r="18882" spans="4:7" ht="15" x14ac:dyDescent="0.3">
      <c r="D18882" s="25"/>
      <c r="F18882" s="21"/>
      <c r="G18882" s="16"/>
    </row>
    <row r="18883" spans="4:7" ht="15" x14ac:dyDescent="0.3">
      <c r="D18883" s="25"/>
      <c r="F18883" s="21"/>
      <c r="G18883" s="16"/>
    </row>
    <row r="18884" spans="4:7" ht="15" x14ac:dyDescent="0.3">
      <c r="D18884" s="25"/>
      <c r="F18884" s="21"/>
      <c r="G18884" s="16"/>
    </row>
    <row r="18885" spans="4:7" ht="15" x14ac:dyDescent="0.3">
      <c r="D18885" s="25"/>
      <c r="F18885" s="21"/>
      <c r="G18885" s="16"/>
    </row>
    <row r="18886" spans="4:7" ht="15" x14ac:dyDescent="0.3">
      <c r="D18886" s="25"/>
      <c r="F18886" s="21"/>
      <c r="G18886" s="16"/>
    </row>
    <row r="18887" spans="4:7" ht="15" x14ac:dyDescent="0.3">
      <c r="D18887" s="25"/>
      <c r="F18887" s="21"/>
      <c r="G18887" s="16"/>
    </row>
    <row r="18888" spans="4:7" ht="15" x14ac:dyDescent="0.3">
      <c r="D18888" s="25"/>
      <c r="F18888" s="21"/>
      <c r="G18888" s="16"/>
    </row>
    <row r="18889" spans="4:7" ht="15" x14ac:dyDescent="0.3">
      <c r="D18889" s="25"/>
      <c r="F18889" s="21"/>
      <c r="G18889" s="16"/>
    </row>
    <row r="18890" spans="4:7" ht="15" x14ac:dyDescent="0.3">
      <c r="D18890" s="25"/>
      <c r="F18890" s="21"/>
      <c r="G18890" s="16"/>
    </row>
    <row r="18891" spans="4:7" ht="15" x14ac:dyDescent="0.3">
      <c r="D18891" s="25"/>
      <c r="F18891" s="21"/>
      <c r="G18891" s="16"/>
    </row>
    <row r="18892" spans="4:7" ht="15" x14ac:dyDescent="0.3">
      <c r="D18892" s="25"/>
      <c r="F18892" s="21"/>
      <c r="G18892" s="16"/>
    </row>
    <row r="18893" spans="4:7" ht="15" x14ac:dyDescent="0.3">
      <c r="D18893" s="25"/>
      <c r="F18893" s="21"/>
      <c r="G18893" s="16"/>
    </row>
    <row r="18894" spans="4:7" ht="15" x14ac:dyDescent="0.3">
      <c r="D18894" s="25"/>
      <c r="F18894" s="21"/>
      <c r="G18894" s="16"/>
    </row>
    <row r="18895" spans="4:7" ht="15" x14ac:dyDescent="0.3">
      <c r="D18895" s="25"/>
      <c r="F18895" s="21"/>
      <c r="G18895" s="16"/>
    </row>
    <row r="18896" spans="4:7" ht="15" x14ac:dyDescent="0.3">
      <c r="D18896" s="25"/>
      <c r="F18896" s="21"/>
      <c r="G18896" s="16"/>
    </row>
    <row r="18897" spans="4:7" ht="15" x14ac:dyDescent="0.3">
      <c r="D18897" s="25"/>
      <c r="F18897" s="21"/>
      <c r="G18897" s="16"/>
    </row>
    <row r="18898" spans="4:7" ht="15" x14ac:dyDescent="0.3">
      <c r="D18898" s="25"/>
      <c r="F18898" s="21"/>
      <c r="G18898" s="16"/>
    </row>
    <row r="18899" spans="4:7" ht="15" x14ac:dyDescent="0.3">
      <c r="D18899" s="25"/>
      <c r="F18899" s="21"/>
      <c r="G18899" s="16"/>
    </row>
    <row r="18900" spans="4:7" ht="15" x14ac:dyDescent="0.3">
      <c r="D18900" s="25"/>
      <c r="F18900" s="21"/>
      <c r="G18900" s="16"/>
    </row>
    <row r="18901" spans="4:7" ht="15" x14ac:dyDescent="0.3">
      <c r="D18901" s="25"/>
      <c r="F18901" s="21"/>
      <c r="G18901" s="16"/>
    </row>
    <row r="18902" spans="4:7" ht="15" x14ac:dyDescent="0.3">
      <c r="D18902" s="25"/>
      <c r="F18902" s="21"/>
      <c r="G18902" s="16"/>
    </row>
    <row r="18903" spans="4:7" ht="15" x14ac:dyDescent="0.3">
      <c r="D18903" s="25"/>
      <c r="F18903" s="21"/>
      <c r="G18903" s="16"/>
    </row>
    <row r="18904" spans="4:7" ht="15" x14ac:dyDescent="0.3">
      <c r="D18904" s="25"/>
      <c r="F18904" s="21"/>
      <c r="G18904" s="16"/>
    </row>
    <row r="18905" spans="4:7" ht="15" x14ac:dyDescent="0.3">
      <c r="D18905" s="25"/>
      <c r="F18905" s="21"/>
      <c r="G18905" s="16"/>
    </row>
    <row r="18906" spans="4:7" ht="15" x14ac:dyDescent="0.3">
      <c r="D18906" s="25"/>
      <c r="F18906" s="21"/>
      <c r="G18906" s="16"/>
    </row>
    <row r="18907" spans="4:7" ht="15" x14ac:dyDescent="0.3">
      <c r="D18907" s="25"/>
      <c r="F18907" s="21"/>
      <c r="G18907" s="16"/>
    </row>
    <row r="18908" spans="4:7" ht="15" x14ac:dyDescent="0.3">
      <c r="D18908" s="25"/>
      <c r="F18908" s="21"/>
      <c r="G18908" s="16"/>
    </row>
    <row r="18909" spans="4:7" ht="15" x14ac:dyDescent="0.3">
      <c r="D18909" s="25"/>
      <c r="F18909" s="21"/>
      <c r="G18909" s="16"/>
    </row>
    <row r="18910" spans="4:7" ht="15" x14ac:dyDescent="0.3">
      <c r="D18910" s="25"/>
      <c r="F18910" s="21"/>
      <c r="G18910" s="16"/>
    </row>
    <row r="18911" spans="4:7" ht="15" x14ac:dyDescent="0.3">
      <c r="D18911" s="25"/>
      <c r="F18911" s="21"/>
      <c r="G18911" s="16"/>
    </row>
    <row r="18912" spans="4:7" ht="15" x14ac:dyDescent="0.3">
      <c r="D18912" s="25"/>
      <c r="F18912" s="21"/>
      <c r="G18912" s="16"/>
    </row>
    <row r="18913" spans="4:7" ht="15" x14ac:dyDescent="0.3">
      <c r="D18913" s="25"/>
      <c r="F18913" s="21"/>
      <c r="G18913" s="16"/>
    </row>
    <row r="18914" spans="4:7" ht="15" x14ac:dyDescent="0.3">
      <c r="D18914" s="25"/>
      <c r="F18914" s="21"/>
      <c r="G18914" s="16"/>
    </row>
    <row r="18915" spans="4:7" ht="15" x14ac:dyDescent="0.3">
      <c r="D18915" s="25"/>
      <c r="F18915" s="21"/>
      <c r="G18915" s="16"/>
    </row>
    <row r="18916" spans="4:7" ht="15" x14ac:dyDescent="0.3">
      <c r="D18916" s="25"/>
      <c r="F18916" s="21"/>
      <c r="G18916" s="16"/>
    </row>
    <row r="18917" spans="4:7" ht="15" x14ac:dyDescent="0.3">
      <c r="D18917" s="25"/>
      <c r="F18917" s="21"/>
      <c r="G18917" s="16"/>
    </row>
    <row r="18918" spans="4:7" ht="15" x14ac:dyDescent="0.3">
      <c r="D18918" s="25"/>
      <c r="F18918" s="21"/>
      <c r="G18918" s="16"/>
    </row>
    <row r="18919" spans="4:7" ht="15" x14ac:dyDescent="0.3">
      <c r="D18919" s="25"/>
      <c r="F18919" s="21"/>
      <c r="G18919" s="16"/>
    </row>
    <row r="18920" spans="4:7" ht="15" x14ac:dyDescent="0.3">
      <c r="D18920" s="25"/>
      <c r="F18920" s="21"/>
      <c r="G18920" s="16"/>
    </row>
    <row r="18921" spans="4:7" ht="15" x14ac:dyDescent="0.3">
      <c r="D18921" s="25"/>
      <c r="F18921" s="21"/>
      <c r="G18921" s="16"/>
    </row>
    <row r="18922" spans="4:7" ht="15" x14ac:dyDescent="0.3">
      <c r="D18922" s="25"/>
      <c r="F18922" s="21"/>
      <c r="G18922" s="16"/>
    </row>
    <row r="18923" spans="4:7" ht="15" x14ac:dyDescent="0.3">
      <c r="D18923" s="25"/>
      <c r="F18923" s="21"/>
      <c r="G18923" s="16"/>
    </row>
    <row r="18924" spans="4:7" ht="15" x14ac:dyDescent="0.3">
      <c r="D18924" s="25"/>
      <c r="F18924" s="21"/>
      <c r="G18924" s="16"/>
    </row>
    <row r="18925" spans="4:7" ht="15" x14ac:dyDescent="0.3">
      <c r="D18925" s="25"/>
      <c r="F18925" s="21"/>
      <c r="G18925" s="16"/>
    </row>
    <row r="18926" spans="4:7" ht="15" x14ac:dyDescent="0.3">
      <c r="D18926" s="25"/>
      <c r="F18926" s="21"/>
      <c r="G18926" s="16"/>
    </row>
    <row r="18927" spans="4:7" ht="15" x14ac:dyDescent="0.3">
      <c r="D18927" s="25"/>
      <c r="F18927" s="21"/>
      <c r="G18927" s="16"/>
    </row>
    <row r="18928" spans="4:7" ht="15" x14ac:dyDescent="0.3">
      <c r="D18928" s="25"/>
      <c r="F18928" s="21"/>
      <c r="G18928" s="16"/>
    </row>
    <row r="18929" spans="4:7" ht="15" x14ac:dyDescent="0.3">
      <c r="D18929" s="25"/>
      <c r="F18929" s="21"/>
      <c r="G18929" s="16"/>
    </row>
    <row r="18930" spans="4:7" ht="15" x14ac:dyDescent="0.3">
      <c r="D18930" s="25"/>
      <c r="F18930" s="21"/>
      <c r="G18930" s="16"/>
    </row>
    <row r="18931" spans="4:7" ht="15" x14ac:dyDescent="0.3">
      <c r="D18931" s="25"/>
      <c r="F18931" s="21"/>
      <c r="G18931" s="16"/>
    </row>
    <row r="18932" spans="4:7" ht="15" x14ac:dyDescent="0.3">
      <c r="D18932" s="25"/>
      <c r="F18932" s="21"/>
      <c r="G18932" s="16"/>
    </row>
    <row r="18933" spans="4:7" ht="15" x14ac:dyDescent="0.3">
      <c r="D18933" s="25"/>
      <c r="F18933" s="21"/>
      <c r="G18933" s="16"/>
    </row>
    <row r="18934" spans="4:7" ht="15" x14ac:dyDescent="0.3">
      <c r="D18934" s="25"/>
      <c r="F18934" s="21"/>
      <c r="G18934" s="16"/>
    </row>
    <row r="18935" spans="4:7" ht="15" x14ac:dyDescent="0.3">
      <c r="D18935" s="25"/>
      <c r="F18935" s="21"/>
      <c r="G18935" s="16"/>
    </row>
    <row r="18936" spans="4:7" ht="15" x14ac:dyDescent="0.3">
      <c r="D18936" s="25"/>
      <c r="F18936" s="21"/>
      <c r="G18936" s="16"/>
    </row>
    <row r="18937" spans="4:7" ht="15" x14ac:dyDescent="0.3">
      <c r="D18937" s="25"/>
      <c r="F18937" s="21"/>
      <c r="G18937" s="16"/>
    </row>
    <row r="18938" spans="4:7" ht="15" x14ac:dyDescent="0.3">
      <c r="D18938" s="25"/>
      <c r="F18938" s="21"/>
      <c r="G18938" s="16"/>
    </row>
    <row r="18939" spans="4:7" ht="15" x14ac:dyDescent="0.3">
      <c r="D18939" s="25"/>
      <c r="F18939" s="21"/>
      <c r="G18939" s="16"/>
    </row>
    <row r="18940" spans="4:7" ht="15" x14ac:dyDescent="0.3">
      <c r="D18940" s="25"/>
      <c r="F18940" s="21"/>
      <c r="G18940" s="16"/>
    </row>
    <row r="18941" spans="4:7" ht="15" x14ac:dyDescent="0.3">
      <c r="D18941" s="25"/>
      <c r="F18941" s="21"/>
      <c r="G18941" s="16"/>
    </row>
    <row r="18942" spans="4:7" ht="15" x14ac:dyDescent="0.3">
      <c r="D18942" s="25"/>
      <c r="F18942" s="21"/>
      <c r="G18942" s="16"/>
    </row>
    <row r="18943" spans="4:7" ht="15" x14ac:dyDescent="0.3">
      <c r="D18943" s="25"/>
      <c r="F18943" s="21"/>
      <c r="G18943" s="16"/>
    </row>
    <row r="18944" spans="4:7" ht="15" x14ac:dyDescent="0.3">
      <c r="D18944" s="25"/>
      <c r="F18944" s="21"/>
      <c r="G18944" s="16"/>
    </row>
    <row r="18945" spans="4:7" ht="15" x14ac:dyDescent="0.3">
      <c r="D18945" s="25"/>
      <c r="F18945" s="21"/>
      <c r="G18945" s="16"/>
    </row>
    <row r="18946" spans="4:7" ht="15" x14ac:dyDescent="0.3">
      <c r="D18946" s="25"/>
      <c r="F18946" s="21"/>
      <c r="G18946" s="16"/>
    </row>
    <row r="18947" spans="4:7" ht="15" x14ac:dyDescent="0.3">
      <c r="D18947" s="25"/>
      <c r="F18947" s="21"/>
      <c r="G18947" s="16"/>
    </row>
    <row r="18948" spans="4:7" ht="15" x14ac:dyDescent="0.3">
      <c r="D18948" s="25"/>
      <c r="F18948" s="21"/>
      <c r="G18948" s="16"/>
    </row>
    <row r="18949" spans="4:7" ht="15" x14ac:dyDescent="0.3">
      <c r="D18949" s="25"/>
      <c r="F18949" s="21"/>
      <c r="G18949" s="16"/>
    </row>
    <row r="18950" spans="4:7" ht="15" x14ac:dyDescent="0.3">
      <c r="D18950" s="25"/>
      <c r="F18950" s="21"/>
      <c r="G18950" s="16"/>
    </row>
    <row r="18951" spans="4:7" ht="15" x14ac:dyDescent="0.3">
      <c r="D18951" s="25"/>
      <c r="F18951" s="21"/>
      <c r="G18951" s="16"/>
    </row>
    <row r="18952" spans="4:7" ht="15" x14ac:dyDescent="0.3">
      <c r="D18952" s="25"/>
      <c r="F18952" s="21"/>
      <c r="G18952" s="16"/>
    </row>
    <row r="18953" spans="4:7" ht="15" x14ac:dyDescent="0.3">
      <c r="D18953" s="25"/>
      <c r="F18953" s="21"/>
      <c r="G18953" s="16"/>
    </row>
    <row r="18954" spans="4:7" ht="15" x14ac:dyDescent="0.3">
      <c r="D18954" s="25"/>
      <c r="F18954" s="21"/>
      <c r="G18954" s="16"/>
    </row>
    <row r="18955" spans="4:7" ht="15" x14ac:dyDescent="0.3">
      <c r="D18955" s="25"/>
      <c r="F18955" s="21"/>
      <c r="G18955" s="16"/>
    </row>
    <row r="18956" spans="4:7" ht="15" x14ac:dyDescent="0.3">
      <c r="D18956" s="25"/>
      <c r="F18956" s="21"/>
      <c r="G18956" s="16"/>
    </row>
    <row r="18957" spans="4:7" ht="15" x14ac:dyDescent="0.3">
      <c r="D18957" s="25"/>
      <c r="F18957" s="21"/>
      <c r="G18957" s="16"/>
    </row>
    <row r="18958" spans="4:7" ht="15" x14ac:dyDescent="0.3">
      <c r="D18958" s="25"/>
      <c r="F18958" s="21"/>
      <c r="G18958" s="16"/>
    </row>
    <row r="18959" spans="4:7" ht="15" x14ac:dyDescent="0.3">
      <c r="D18959" s="25"/>
      <c r="F18959" s="21"/>
      <c r="G18959" s="16"/>
    </row>
    <row r="18960" spans="4:7" ht="15" x14ac:dyDescent="0.3">
      <c r="D18960" s="25"/>
      <c r="F18960" s="21"/>
      <c r="G18960" s="16"/>
    </row>
    <row r="18961" spans="4:7" ht="15" x14ac:dyDescent="0.3">
      <c r="D18961" s="25"/>
      <c r="F18961" s="21"/>
      <c r="G18961" s="16"/>
    </row>
    <row r="18962" spans="4:7" ht="15" x14ac:dyDescent="0.3">
      <c r="D18962" s="25"/>
      <c r="F18962" s="21"/>
      <c r="G18962" s="16"/>
    </row>
    <row r="18963" spans="4:7" ht="15" x14ac:dyDescent="0.3">
      <c r="D18963" s="25"/>
      <c r="F18963" s="21"/>
      <c r="G18963" s="16"/>
    </row>
    <row r="18964" spans="4:7" ht="15" x14ac:dyDescent="0.3">
      <c r="D18964" s="25"/>
      <c r="F18964" s="21"/>
      <c r="G18964" s="16"/>
    </row>
    <row r="18965" spans="4:7" ht="15" x14ac:dyDescent="0.3">
      <c r="D18965" s="25"/>
      <c r="F18965" s="21"/>
      <c r="G18965" s="16"/>
    </row>
    <row r="18966" spans="4:7" ht="15" x14ac:dyDescent="0.3">
      <c r="D18966" s="25"/>
      <c r="F18966" s="21"/>
      <c r="G18966" s="16"/>
    </row>
    <row r="18967" spans="4:7" ht="15" x14ac:dyDescent="0.3">
      <c r="D18967" s="25"/>
      <c r="F18967" s="21"/>
      <c r="G18967" s="16"/>
    </row>
    <row r="18968" spans="4:7" ht="15" x14ac:dyDescent="0.3">
      <c r="D18968" s="25"/>
      <c r="F18968" s="21"/>
      <c r="G18968" s="16"/>
    </row>
    <row r="18969" spans="4:7" ht="15" x14ac:dyDescent="0.3">
      <c r="D18969" s="25"/>
      <c r="F18969" s="21"/>
      <c r="G18969" s="16"/>
    </row>
    <row r="18970" spans="4:7" ht="15" x14ac:dyDescent="0.3">
      <c r="D18970" s="25"/>
      <c r="F18970" s="21"/>
      <c r="G18970" s="16"/>
    </row>
    <row r="18971" spans="4:7" ht="15" x14ac:dyDescent="0.3">
      <c r="D18971" s="25"/>
      <c r="F18971" s="21"/>
      <c r="G18971" s="16"/>
    </row>
    <row r="18972" spans="4:7" ht="15" x14ac:dyDescent="0.3">
      <c r="D18972" s="25"/>
      <c r="F18972" s="21"/>
      <c r="G18972" s="16"/>
    </row>
    <row r="18973" spans="4:7" ht="15" x14ac:dyDescent="0.3">
      <c r="D18973" s="25"/>
      <c r="F18973" s="21"/>
      <c r="G18973" s="16"/>
    </row>
    <row r="18974" spans="4:7" ht="15" x14ac:dyDescent="0.3">
      <c r="D18974" s="25"/>
      <c r="F18974" s="21"/>
      <c r="G18974" s="16"/>
    </row>
    <row r="18975" spans="4:7" ht="15" x14ac:dyDescent="0.3">
      <c r="D18975" s="25"/>
      <c r="F18975" s="21"/>
      <c r="G18975" s="16"/>
    </row>
    <row r="18976" spans="4:7" ht="15" x14ac:dyDescent="0.3">
      <c r="D18976" s="25"/>
      <c r="F18976" s="21"/>
      <c r="G18976" s="16"/>
    </row>
    <row r="18977" spans="4:7" ht="15" x14ac:dyDescent="0.3">
      <c r="D18977" s="25"/>
      <c r="F18977" s="21"/>
      <c r="G18977" s="16"/>
    </row>
    <row r="18978" spans="4:7" ht="15" x14ac:dyDescent="0.3">
      <c r="D18978" s="25"/>
      <c r="F18978" s="21"/>
      <c r="G18978" s="16"/>
    </row>
    <row r="18979" spans="4:7" ht="15" x14ac:dyDescent="0.3">
      <c r="D18979" s="25"/>
      <c r="F18979" s="21"/>
      <c r="G18979" s="16"/>
    </row>
    <row r="18980" spans="4:7" ht="15" x14ac:dyDescent="0.3">
      <c r="D18980" s="25"/>
      <c r="F18980" s="21"/>
      <c r="G18980" s="16"/>
    </row>
    <row r="18981" spans="4:7" ht="15" x14ac:dyDescent="0.3">
      <c r="D18981" s="25"/>
      <c r="F18981" s="21"/>
      <c r="G18981" s="16"/>
    </row>
    <row r="18982" spans="4:7" ht="15" x14ac:dyDescent="0.3">
      <c r="D18982" s="25"/>
      <c r="F18982" s="21"/>
      <c r="G18982" s="16"/>
    </row>
    <row r="18983" spans="4:7" ht="15" x14ac:dyDescent="0.3">
      <c r="D18983" s="25"/>
      <c r="F18983" s="21"/>
      <c r="G18983" s="16"/>
    </row>
    <row r="18984" spans="4:7" ht="15" x14ac:dyDescent="0.3">
      <c r="D18984" s="25"/>
      <c r="F18984" s="21"/>
      <c r="G18984" s="16"/>
    </row>
    <row r="18985" spans="4:7" ht="15" x14ac:dyDescent="0.3">
      <c r="D18985" s="25"/>
      <c r="F18985" s="21"/>
      <c r="G18985" s="16"/>
    </row>
    <row r="18986" spans="4:7" ht="15" x14ac:dyDescent="0.3">
      <c r="D18986" s="25"/>
      <c r="F18986" s="21"/>
      <c r="G18986" s="16"/>
    </row>
    <row r="18987" spans="4:7" ht="15" x14ac:dyDescent="0.3">
      <c r="D18987" s="25"/>
      <c r="F18987" s="21"/>
      <c r="G18987" s="16"/>
    </row>
    <row r="18988" spans="4:7" ht="15" x14ac:dyDescent="0.3">
      <c r="D18988" s="25"/>
      <c r="F18988" s="21"/>
      <c r="G18988" s="16"/>
    </row>
    <row r="18989" spans="4:7" ht="15" x14ac:dyDescent="0.3">
      <c r="D18989" s="25"/>
      <c r="F18989" s="21"/>
      <c r="G18989" s="16"/>
    </row>
    <row r="18990" spans="4:7" ht="15" x14ac:dyDescent="0.3">
      <c r="D18990" s="25"/>
      <c r="F18990" s="21"/>
      <c r="G18990" s="16"/>
    </row>
    <row r="18991" spans="4:7" ht="15" x14ac:dyDescent="0.3">
      <c r="D18991" s="25"/>
      <c r="F18991" s="21"/>
      <c r="G18991" s="16"/>
    </row>
    <row r="18992" spans="4:7" ht="15" x14ac:dyDescent="0.3">
      <c r="D18992" s="25"/>
      <c r="F18992" s="21"/>
      <c r="G18992" s="16"/>
    </row>
    <row r="18993" spans="4:7" ht="15" x14ac:dyDescent="0.3">
      <c r="D18993" s="25"/>
      <c r="F18993" s="21"/>
      <c r="G18993" s="16"/>
    </row>
    <row r="18994" spans="4:7" ht="15" x14ac:dyDescent="0.3">
      <c r="D18994" s="25"/>
      <c r="F18994" s="21"/>
      <c r="G18994" s="16"/>
    </row>
    <row r="18995" spans="4:7" ht="15" x14ac:dyDescent="0.3">
      <c r="D18995" s="25"/>
      <c r="F18995" s="21"/>
      <c r="G18995" s="16"/>
    </row>
    <row r="18996" spans="4:7" ht="15" x14ac:dyDescent="0.3">
      <c r="D18996" s="25"/>
      <c r="F18996" s="21"/>
      <c r="G18996" s="16"/>
    </row>
    <row r="18997" spans="4:7" ht="15" x14ac:dyDescent="0.3">
      <c r="D18997" s="25"/>
      <c r="F18997" s="21"/>
      <c r="G18997" s="16"/>
    </row>
    <row r="18998" spans="4:7" ht="15" x14ac:dyDescent="0.3">
      <c r="D18998" s="25"/>
      <c r="F18998" s="21"/>
      <c r="G18998" s="16"/>
    </row>
    <row r="18999" spans="4:7" ht="15" x14ac:dyDescent="0.3">
      <c r="D18999" s="25"/>
      <c r="F18999" s="21"/>
      <c r="G18999" s="16"/>
    </row>
    <row r="19000" spans="4:7" ht="15" x14ac:dyDescent="0.3">
      <c r="D19000" s="25"/>
      <c r="F19000" s="21"/>
      <c r="G19000" s="16"/>
    </row>
    <row r="19001" spans="4:7" ht="15" x14ac:dyDescent="0.3">
      <c r="D19001" s="25"/>
      <c r="F19001" s="21"/>
      <c r="G19001" s="16"/>
    </row>
    <row r="19002" spans="4:7" ht="15" x14ac:dyDescent="0.3">
      <c r="D19002" s="25"/>
      <c r="F19002" s="21"/>
      <c r="G19002" s="16"/>
    </row>
    <row r="19003" spans="4:7" ht="15" x14ac:dyDescent="0.3">
      <c r="D19003" s="25"/>
      <c r="F19003" s="21"/>
      <c r="G19003" s="16"/>
    </row>
    <row r="19004" spans="4:7" ht="15" x14ac:dyDescent="0.3">
      <c r="D19004" s="25"/>
      <c r="F19004" s="21"/>
      <c r="G19004" s="16"/>
    </row>
    <row r="19005" spans="4:7" ht="15" x14ac:dyDescent="0.3">
      <c r="D19005" s="25"/>
      <c r="F19005" s="21"/>
      <c r="G19005" s="16"/>
    </row>
    <row r="19006" spans="4:7" ht="15" x14ac:dyDescent="0.3">
      <c r="D19006" s="25"/>
      <c r="F19006" s="21"/>
      <c r="G19006" s="16"/>
    </row>
    <row r="19007" spans="4:7" ht="15" x14ac:dyDescent="0.3">
      <c r="D19007" s="25"/>
      <c r="F19007" s="21"/>
      <c r="G19007" s="16"/>
    </row>
    <row r="19008" spans="4:7" ht="15" x14ac:dyDescent="0.3">
      <c r="D19008" s="25"/>
      <c r="F19008" s="21"/>
      <c r="G19008" s="16"/>
    </row>
    <row r="19009" spans="4:7" ht="15" x14ac:dyDescent="0.3">
      <c r="D19009" s="25"/>
      <c r="F19009" s="21"/>
      <c r="G19009" s="16"/>
    </row>
    <row r="19010" spans="4:7" ht="15" x14ac:dyDescent="0.3">
      <c r="D19010" s="25"/>
      <c r="F19010" s="21"/>
      <c r="G19010" s="16"/>
    </row>
    <row r="19011" spans="4:7" ht="15" x14ac:dyDescent="0.3">
      <c r="D19011" s="25"/>
      <c r="F19011" s="21"/>
      <c r="G19011" s="16"/>
    </row>
    <row r="19012" spans="4:7" ht="15" x14ac:dyDescent="0.3">
      <c r="D19012" s="25"/>
      <c r="F19012" s="21"/>
      <c r="G19012" s="16"/>
    </row>
    <row r="19013" spans="4:7" ht="15" x14ac:dyDescent="0.3">
      <c r="D19013" s="25"/>
      <c r="F19013" s="21"/>
      <c r="G19013" s="16"/>
    </row>
    <row r="19014" spans="4:7" ht="15" x14ac:dyDescent="0.3">
      <c r="D19014" s="25"/>
      <c r="F19014" s="21"/>
      <c r="G19014" s="16"/>
    </row>
    <row r="19015" spans="4:7" ht="15" x14ac:dyDescent="0.3">
      <c r="D19015" s="25"/>
      <c r="F19015" s="21"/>
      <c r="G19015" s="16"/>
    </row>
    <row r="19016" spans="4:7" ht="15" x14ac:dyDescent="0.3">
      <c r="D19016" s="25"/>
      <c r="F19016" s="21"/>
      <c r="G19016" s="16"/>
    </row>
    <row r="19017" spans="4:7" ht="15" x14ac:dyDescent="0.3">
      <c r="D19017" s="25"/>
      <c r="F19017" s="21"/>
      <c r="G19017" s="16"/>
    </row>
    <row r="19018" spans="4:7" ht="15" x14ac:dyDescent="0.3">
      <c r="D19018" s="25"/>
      <c r="F19018" s="21"/>
      <c r="G19018" s="16"/>
    </row>
    <row r="19019" spans="4:7" ht="15" x14ac:dyDescent="0.3">
      <c r="D19019" s="25"/>
      <c r="F19019" s="21"/>
      <c r="G19019" s="16"/>
    </row>
    <row r="19020" spans="4:7" ht="15" x14ac:dyDescent="0.3">
      <c r="D19020" s="25"/>
      <c r="F19020" s="21"/>
      <c r="G19020" s="16"/>
    </row>
    <row r="19021" spans="4:7" ht="15" x14ac:dyDescent="0.3">
      <c r="D19021" s="25"/>
      <c r="F19021" s="21"/>
      <c r="G19021" s="16"/>
    </row>
    <row r="19022" spans="4:7" ht="15" x14ac:dyDescent="0.3">
      <c r="D19022" s="25"/>
      <c r="F19022" s="21"/>
      <c r="G19022" s="16"/>
    </row>
    <row r="19023" spans="4:7" ht="15" x14ac:dyDescent="0.3">
      <c r="D19023" s="25"/>
      <c r="F19023" s="21"/>
      <c r="G19023" s="16"/>
    </row>
    <row r="19024" spans="4:7" ht="15" x14ac:dyDescent="0.3">
      <c r="D19024" s="25"/>
      <c r="F19024" s="21"/>
      <c r="G19024" s="16"/>
    </row>
    <row r="19025" spans="4:7" ht="15" x14ac:dyDescent="0.3">
      <c r="D19025" s="25"/>
      <c r="F19025" s="21"/>
      <c r="G19025" s="16"/>
    </row>
    <row r="19026" spans="4:7" ht="15" x14ac:dyDescent="0.3">
      <c r="D19026" s="25"/>
      <c r="F19026" s="21"/>
      <c r="G19026" s="16"/>
    </row>
    <row r="19027" spans="4:7" ht="15" x14ac:dyDescent="0.3">
      <c r="D19027" s="25"/>
      <c r="F19027" s="21"/>
      <c r="G19027" s="16"/>
    </row>
    <row r="19028" spans="4:7" ht="15" x14ac:dyDescent="0.3">
      <c r="D19028" s="25"/>
      <c r="F19028" s="21"/>
      <c r="G19028" s="16"/>
    </row>
    <row r="19029" spans="4:7" ht="15" x14ac:dyDescent="0.3">
      <c r="D19029" s="25"/>
      <c r="F19029" s="21"/>
      <c r="G19029" s="16"/>
    </row>
    <row r="19030" spans="4:7" ht="15" x14ac:dyDescent="0.3">
      <c r="D19030" s="25"/>
      <c r="F19030" s="21"/>
      <c r="G19030" s="16"/>
    </row>
    <row r="19031" spans="4:7" ht="15" x14ac:dyDescent="0.3">
      <c r="D19031" s="25"/>
      <c r="F19031" s="21"/>
      <c r="G19031" s="16"/>
    </row>
    <row r="19032" spans="4:7" ht="15" x14ac:dyDescent="0.3">
      <c r="D19032" s="25"/>
      <c r="F19032" s="21"/>
      <c r="G19032" s="16"/>
    </row>
    <row r="19033" spans="4:7" ht="15" x14ac:dyDescent="0.3">
      <c r="D19033" s="25"/>
      <c r="F19033" s="21"/>
      <c r="G19033" s="16"/>
    </row>
    <row r="19034" spans="4:7" ht="15" x14ac:dyDescent="0.3">
      <c r="D19034" s="25"/>
      <c r="F19034" s="21"/>
      <c r="G19034" s="16"/>
    </row>
    <row r="19035" spans="4:7" ht="15" x14ac:dyDescent="0.3">
      <c r="D19035" s="25"/>
      <c r="F19035" s="21"/>
      <c r="G19035" s="16"/>
    </row>
    <row r="19036" spans="4:7" ht="15" x14ac:dyDescent="0.3">
      <c r="D19036" s="25"/>
      <c r="F19036" s="21"/>
      <c r="G19036" s="16"/>
    </row>
    <row r="19037" spans="4:7" ht="15" x14ac:dyDescent="0.3">
      <c r="D19037" s="25"/>
      <c r="F19037" s="21"/>
      <c r="G19037" s="16"/>
    </row>
    <row r="19038" spans="4:7" ht="15" x14ac:dyDescent="0.3">
      <c r="D19038" s="25"/>
      <c r="F19038" s="21"/>
      <c r="G19038" s="16"/>
    </row>
    <row r="19039" spans="4:7" ht="15" x14ac:dyDescent="0.3">
      <c r="D19039" s="25"/>
      <c r="F19039" s="21"/>
      <c r="G19039" s="16"/>
    </row>
    <row r="19040" spans="4:7" ht="15" x14ac:dyDescent="0.3">
      <c r="D19040" s="25"/>
      <c r="F19040" s="21"/>
      <c r="G19040" s="16"/>
    </row>
    <row r="19041" spans="4:7" ht="15" x14ac:dyDescent="0.3">
      <c r="D19041" s="25"/>
      <c r="F19041" s="21"/>
      <c r="G19041" s="16"/>
    </row>
    <row r="19042" spans="4:7" ht="15" x14ac:dyDescent="0.3">
      <c r="D19042" s="25"/>
      <c r="F19042" s="21"/>
      <c r="G19042" s="16"/>
    </row>
    <row r="19043" spans="4:7" ht="15" x14ac:dyDescent="0.3">
      <c r="D19043" s="25"/>
      <c r="F19043" s="21"/>
      <c r="G19043" s="16"/>
    </row>
    <row r="19044" spans="4:7" ht="15" x14ac:dyDescent="0.3">
      <c r="D19044" s="25"/>
      <c r="F19044" s="21"/>
      <c r="G19044" s="16"/>
    </row>
    <row r="19045" spans="4:7" ht="15" x14ac:dyDescent="0.3">
      <c r="D19045" s="25"/>
      <c r="F19045" s="21"/>
      <c r="G19045" s="16"/>
    </row>
    <row r="19046" spans="4:7" ht="15" x14ac:dyDescent="0.3">
      <c r="D19046" s="25"/>
      <c r="F19046" s="21"/>
      <c r="G19046" s="16"/>
    </row>
    <row r="19047" spans="4:7" ht="15" x14ac:dyDescent="0.3">
      <c r="D19047" s="25"/>
      <c r="F19047" s="21"/>
      <c r="G19047" s="16"/>
    </row>
    <row r="19048" spans="4:7" ht="15" x14ac:dyDescent="0.3">
      <c r="D19048" s="25"/>
      <c r="F19048" s="21"/>
      <c r="G19048" s="16"/>
    </row>
    <row r="19049" spans="4:7" ht="15" x14ac:dyDescent="0.3">
      <c r="D19049" s="25"/>
      <c r="F19049" s="21"/>
      <c r="G19049" s="16"/>
    </row>
    <row r="19050" spans="4:7" ht="15" x14ac:dyDescent="0.3">
      <c r="D19050" s="25"/>
      <c r="F19050" s="21"/>
      <c r="G19050" s="16"/>
    </row>
    <row r="19051" spans="4:7" ht="15" x14ac:dyDescent="0.3">
      <c r="D19051" s="25"/>
      <c r="F19051" s="21"/>
      <c r="G19051" s="16"/>
    </row>
    <row r="19052" spans="4:7" ht="15" x14ac:dyDescent="0.3">
      <c r="D19052" s="25"/>
      <c r="F19052" s="21"/>
      <c r="G19052" s="16"/>
    </row>
    <row r="19053" spans="4:7" ht="15" x14ac:dyDescent="0.3">
      <c r="D19053" s="25"/>
      <c r="F19053" s="21"/>
      <c r="G19053" s="16"/>
    </row>
    <row r="19054" spans="4:7" ht="15" x14ac:dyDescent="0.3">
      <c r="D19054" s="25"/>
      <c r="F19054" s="21"/>
      <c r="G19054" s="16"/>
    </row>
    <row r="19055" spans="4:7" ht="15" x14ac:dyDescent="0.3">
      <c r="D19055" s="25"/>
      <c r="F19055" s="21"/>
      <c r="G19055" s="16"/>
    </row>
    <row r="19056" spans="4:7" ht="15" x14ac:dyDescent="0.3">
      <c r="D19056" s="25"/>
      <c r="F19056" s="21"/>
      <c r="G19056" s="16"/>
    </row>
    <row r="19057" spans="4:7" ht="15" x14ac:dyDescent="0.3">
      <c r="D19057" s="25"/>
      <c r="F19057" s="21"/>
      <c r="G19057" s="16"/>
    </row>
    <row r="19058" spans="4:7" ht="15" x14ac:dyDescent="0.3">
      <c r="D19058" s="25"/>
      <c r="F19058" s="21"/>
      <c r="G19058" s="16"/>
    </row>
    <row r="19059" spans="4:7" ht="15" x14ac:dyDescent="0.3">
      <c r="D19059" s="25"/>
      <c r="F19059" s="21"/>
      <c r="G19059" s="16"/>
    </row>
    <row r="19060" spans="4:7" ht="15" x14ac:dyDescent="0.3">
      <c r="D19060" s="25"/>
      <c r="F19060" s="21"/>
      <c r="G19060" s="16"/>
    </row>
    <row r="19061" spans="4:7" ht="15" x14ac:dyDescent="0.3">
      <c r="D19061" s="25"/>
      <c r="F19061" s="21"/>
      <c r="G19061" s="16"/>
    </row>
    <row r="19062" spans="4:7" ht="15" x14ac:dyDescent="0.3">
      <c r="D19062" s="25"/>
      <c r="F19062" s="21"/>
      <c r="G19062" s="16"/>
    </row>
    <row r="19063" spans="4:7" ht="15" x14ac:dyDescent="0.3">
      <c r="D19063" s="25"/>
      <c r="F19063" s="21"/>
      <c r="G19063" s="16"/>
    </row>
    <row r="19064" spans="4:7" ht="15" x14ac:dyDescent="0.3">
      <c r="D19064" s="25"/>
      <c r="F19064" s="21"/>
      <c r="G19064" s="16"/>
    </row>
    <row r="19065" spans="4:7" ht="15" x14ac:dyDescent="0.3">
      <c r="D19065" s="25"/>
      <c r="F19065" s="21"/>
      <c r="G19065" s="16"/>
    </row>
    <row r="19066" spans="4:7" ht="15" x14ac:dyDescent="0.3">
      <c r="D19066" s="25"/>
      <c r="F19066" s="21"/>
      <c r="G19066" s="16"/>
    </row>
    <row r="19067" spans="4:7" ht="15" x14ac:dyDescent="0.3">
      <c r="D19067" s="25"/>
      <c r="F19067" s="21"/>
      <c r="G19067" s="16"/>
    </row>
    <row r="19068" spans="4:7" ht="15" x14ac:dyDescent="0.3">
      <c r="D19068" s="25"/>
      <c r="F19068" s="21"/>
      <c r="G19068" s="16"/>
    </row>
    <row r="19069" spans="4:7" ht="15" x14ac:dyDescent="0.3">
      <c r="D19069" s="25"/>
      <c r="F19069" s="21"/>
      <c r="G19069" s="16"/>
    </row>
    <row r="19070" spans="4:7" ht="15" x14ac:dyDescent="0.3">
      <c r="D19070" s="25"/>
      <c r="F19070" s="21"/>
      <c r="G19070" s="16"/>
    </row>
    <row r="19071" spans="4:7" ht="15" x14ac:dyDescent="0.3">
      <c r="D19071" s="25"/>
      <c r="F19071" s="21"/>
      <c r="G19071" s="16"/>
    </row>
    <row r="19072" spans="4:7" ht="15" x14ac:dyDescent="0.3">
      <c r="D19072" s="25"/>
      <c r="F19072" s="21"/>
      <c r="G19072" s="16"/>
    </row>
    <row r="19073" spans="4:7" ht="15" x14ac:dyDescent="0.3">
      <c r="D19073" s="25"/>
      <c r="F19073" s="21"/>
      <c r="G19073" s="16"/>
    </row>
    <row r="19074" spans="4:7" ht="15" x14ac:dyDescent="0.3">
      <c r="D19074" s="25"/>
      <c r="F19074" s="21"/>
      <c r="G19074" s="16"/>
    </row>
    <row r="19075" spans="4:7" ht="15" x14ac:dyDescent="0.3">
      <c r="D19075" s="25"/>
      <c r="F19075" s="21"/>
      <c r="G19075" s="16"/>
    </row>
    <row r="19076" spans="4:7" ht="15" x14ac:dyDescent="0.3">
      <c r="D19076" s="25"/>
      <c r="F19076" s="21"/>
      <c r="G19076" s="16"/>
    </row>
    <row r="19077" spans="4:7" ht="15" x14ac:dyDescent="0.3">
      <c r="D19077" s="25"/>
      <c r="F19077" s="21"/>
      <c r="G19077" s="16"/>
    </row>
    <row r="19078" spans="4:7" ht="15" x14ac:dyDescent="0.3">
      <c r="D19078" s="25"/>
      <c r="F19078" s="21"/>
      <c r="G19078" s="16"/>
    </row>
    <row r="19079" spans="4:7" ht="15" x14ac:dyDescent="0.3">
      <c r="D19079" s="25"/>
      <c r="F19079" s="21"/>
      <c r="G19079" s="16"/>
    </row>
    <row r="19080" spans="4:7" ht="15" x14ac:dyDescent="0.3">
      <c r="D19080" s="25"/>
      <c r="F19080" s="21"/>
      <c r="G19080" s="16"/>
    </row>
    <row r="19081" spans="4:7" ht="15" x14ac:dyDescent="0.3">
      <c r="D19081" s="25"/>
      <c r="F19081" s="21"/>
      <c r="G19081" s="16"/>
    </row>
    <row r="19082" spans="4:7" ht="15" x14ac:dyDescent="0.3">
      <c r="D19082" s="25"/>
      <c r="F19082" s="21"/>
      <c r="G19082" s="16"/>
    </row>
    <row r="19083" spans="4:7" ht="15" x14ac:dyDescent="0.3">
      <c r="D19083" s="25"/>
      <c r="F19083" s="21"/>
      <c r="G19083" s="16"/>
    </row>
    <row r="19084" spans="4:7" ht="15" x14ac:dyDescent="0.3">
      <c r="D19084" s="25"/>
      <c r="F19084" s="21"/>
      <c r="G19084" s="16"/>
    </row>
    <row r="19085" spans="4:7" ht="15" x14ac:dyDescent="0.3">
      <c r="D19085" s="25"/>
      <c r="F19085" s="21"/>
      <c r="G19085" s="16"/>
    </row>
    <row r="19086" spans="4:7" ht="15" x14ac:dyDescent="0.3">
      <c r="D19086" s="25"/>
      <c r="F19086" s="21"/>
      <c r="G19086" s="16"/>
    </row>
    <row r="19087" spans="4:7" ht="15" x14ac:dyDescent="0.3">
      <c r="D19087" s="25"/>
      <c r="F19087" s="21"/>
      <c r="G19087" s="16"/>
    </row>
    <row r="19088" spans="4:7" ht="15" x14ac:dyDescent="0.3">
      <c r="D19088" s="25"/>
      <c r="F19088" s="21"/>
      <c r="G19088" s="16"/>
    </row>
    <row r="19089" spans="4:7" ht="15" x14ac:dyDescent="0.3">
      <c r="D19089" s="25"/>
      <c r="F19089" s="21"/>
      <c r="G19089" s="16"/>
    </row>
    <row r="19090" spans="4:7" ht="15" x14ac:dyDescent="0.3">
      <c r="D19090" s="25"/>
      <c r="F19090" s="21"/>
      <c r="G19090" s="16"/>
    </row>
    <row r="19091" spans="4:7" ht="15" x14ac:dyDescent="0.3">
      <c r="D19091" s="25"/>
      <c r="F19091" s="21"/>
      <c r="G19091" s="16"/>
    </row>
    <row r="19092" spans="4:7" ht="15" x14ac:dyDescent="0.3">
      <c r="D19092" s="25"/>
      <c r="F19092" s="21"/>
      <c r="G19092" s="16"/>
    </row>
    <row r="19093" spans="4:7" ht="15" x14ac:dyDescent="0.3">
      <c r="D19093" s="25"/>
      <c r="F19093" s="21"/>
      <c r="G19093" s="16"/>
    </row>
    <row r="19094" spans="4:7" ht="15" x14ac:dyDescent="0.3">
      <c r="D19094" s="25"/>
      <c r="F19094" s="21"/>
      <c r="G19094" s="16"/>
    </row>
    <row r="19095" spans="4:7" ht="15" x14ac:dyDescent="0.3">
      <c r="D19095" s="25"/>
      <c r="F19095" s="21"/>
      <c r="G19095" s="16"/>
    </row>
    <row r="19096" spans="4:7" ht="15" x14ac:dyDescent="0.3">
      <c r="D19096" s="25"/>
      <c r="F19096" s="21"/>
      <c r="G19096" s="16"/>
    </row>
    <row r="19097" spans="4:7" ht="15" x14ac:dyDescent="0.3">
      <c r="D19097" s="25"/>
      <c r="F19097" s="21"/>
      <c r="G19097" s="16"/>
    </row>
    <row r="19098" spans="4:7" ht="15" x14ac:dyDescent="0.3">
      <c r="D19098" s="25"/>
      <c r="F19098" s="21"/>
      <c r="G19098" s="16"/>
    </row>
    <row r="19099" spans="4:7" ht="15" x14ac:dyDescent="0.3">
      <c r="D19099" s="25"/>
      <c r="F19099" s="21"/>
      <c r="G19099" s="16"/>
    </row>
    <row r="19100" spans="4:7" ht="15" x14ac:dyDescent="0.3">
      <c r="D19100" s="25"/>
      <c r="F19100" s="21"/>
      <c r="G19100" s="16"/>
    </row>
    <row r="19101" spans="4:7" ht="15" x14ac:dyDescent="0.3">
      <c r="D19101" s="25"/>
      <c r="F19101" s="21"/>
      <c r="G19101" s="16"/>
    </row>
    <row r="19102" spans="4:7" ht="15" x14ac:dyDescent="0.3">
      <c r="D19102" s="25"/>
      <c r="F19102" s="21"/>
      <c r="G19102" s="16"/>
    </row>
    <row r="19103" spans="4:7" ht="15" x14ac:dyDescent="0.3">
      <c r="D19103" s="25"/>
      <c r="F19103" s="21"/>
      <c r="G19103" s="16"/>
    </row>
    <row r="19104" spans="4:7" ht="15" x14ac:dyDescent="0.3">
      <c r="D19104" s="25"/>
      <c r="F19104" s="21"/>
      <c r="G19104" s="16"/>
    </row>
    <row r="19105" spans="4:7" ht="15" x14ac:dyDescent="0.3">
      <c r="D19105" s="25"/>
      <c r="F19105" s="21"/>
      <c r="G19105" s="16"/>
    </row>
    <row r="19106" spans="4:7" ht="15" x14ac:dyDescent="0.3">
      <c r="D19106" s="25"/>
      <c r="F19106" s="21"/>
      <c r="G19106" s="16"/>
    </row>
    <row r="19107" spans="4:7" ht="15" x14ac:dyDescent="0.3">
      <c r="D19107" s="25"/>
      <c r="F19107" s="21"/>
      <c r="G19107" s="16"/>
    </row>
    <row r="19108" spans="4:7" ht="15" x14ac:dyDescent="0.3">
      <c r="D19108" s="25"/>
      <c r="F19108" s="21"/>
      <c r="G19108" s="16"/>
    </row>
    <row r="19109" spans="4:7" ht="15" x14ac:dyDescent="0.3">
      <c r="D19109" s="25"/>
      <c r="F19109" s="21"/>
      <c r="G19109" s="16"/>
    </row>
    <row r="19110" spans="4:7" ht="15" x14ac:dyDescent="0.3">
      <c r="D19110" s="25"/>
      <c r="F19110" s="21"/>
      <c r="G19110" s="16"/>
    </row>
    <row r="19111" spans="4:7" ht="15" x14ac:dyDescent="0.3">
      <c r="D19111" s="25"/>
      <c r="F19111" s="21"/>
      <c r="G19111" s="16"/>
    </row>
    <row r="19112" spans="4:7" ht="15" x14ac:dyDescent="0.3">
      <c r="D19112" s="25"/>
      <c r="F19112" s="21"/>
      <c r="G19112" s="16"/>
    </row>
    <row r="19113" spans="4:7" ht="15" x14ac:dyDescent="0.3">
      <c r="D19113" s="25"/>
      <c r="F19113" s="21"/>
      <c r="G19113" s="16"/>
    </row>
    <row r="19114" spans="4:7" ht="15" x14ac:dyDescent="0.3">
      <c r="D19114" s="25"/>
      <c r="F19114" s="21"/>
      <c r="G19114" s="16"/>
    </row>
    <row r="19115" spans="4:7" ht="15" x14ac:dyDescent="0.3">
      <c r="D19115" s="25"/>
      <c r="F19115" s="21"/>
      <c r="G19115" s="16"/>
    </row>
    <row r="19116" spans="4:7" ht="15" x14ac:dyDescent="0.3">
      <c r="D19116" s="25"/>
      <c r="F19116" s="21"/>
      <c r="G19116" s="16"/>
    </row>
    <row r="19117" spans="4:7" ht="15" x14ac:dyDescent="0.3">
      <c r="D19117" s="25"/>
      <c r="F19117" s="21"/>
      <c r="G19117" s="16"/>
    </row>
    <row r="19118" spans="4:7" ht="15" x14ac:dyDescent="0.3">
      <c r="D19118" s="25"/>
      <c r="F19118" s="21"/>
      <c r="G19118" s="16"/>
    </row>
    <row r="19119" spans="4:7" ht="15" x14ac:dyDescent="0.3">
      <c r="D19119" s="25"/>
      <c r="F19119" s="21"/>
      <c r="G19119" s="16"/>
    </row>
    <row r="19120" spans="4:7" ht="15" x14ac:dyDescent="0.3">
      <c r="D19120" s="25"/>
      <c r="F19120" s="21"/>
      <c r="G19120" s="16"/>
    </row>
    <row r="19121" spans="4:7" ht="15" x14ac:dyDescent="0.3">
      <c r="D19121" s="25"/>
      <c r="F19121" s="21"/>
      <c r="G19121" s="16"/>
    </row>
    <row r="19122" spans="4:7" ht="15" x14ac:dyDescent="0.3">
      <c r="D19122" s="25"/>
      <c r="F19122" s="21"/>
      <c r="G19122" s="16"/>
    </row>
    <row r="19123" spans="4:7" ht="15" x14ac:dyDescent="0.3">
      <c r="D19123" s="25"/>
      <c r="F19123" s="21"/>
      <c r="G19123" s="16"/>
    </row>
    <row r="19124" spans="4:7" ht="15" x14ac:dyDescent="0.3">
      <c r="D19124" s="25"/>
      <c r="F19124" s="21"/>
      <c r="G19124" s="16"/>
    </row>
    <row r="19125" spans="4:7" ht="15" x14ac:dyDescent="0.3">
      <c r="D19125" s="25"/>
      <c r="F19125" s="21"/>
      <c r="G19125" s="16"/>
    </row>
    <row r="19126" spans="4:7" ht="15" x14ac:dyDescent="0.3">
      <c r="D19126" s="25"/>
      <c r="F19126" s="21"/>
      <c r="G19126" s="16"/>
    </row>
    <row r="19127" spans="4:7" ht="15" x14ac:dyDescent="0.3">
      <c r="D19127" s="25"/>
      <c r="F19127" s="21"/>
      <c r="G19127" s="16"/>
    </row>
    <row r="19128" spans="4:7" ht="15" x14ac:dyDescent="0.3">
      <c r="D19128" s="25"/>
      <c r="F19128" s="21"/>
      <c r="G19128" s="16"/>
    </row>
    <row r="19129" spans="4:7" ht="15" x14ac:dyDescent="0.3">
      <c r="D19129" s="25"/>
      <c r="F19129" s="21"/>
      <c r="G19129" s="16"/>
    </row>
    <row r="19130" spans="4:7" ht="15" x14ac:dyDescent="0.3">
      <c r="D19130" s="25"/>
      <c r="F19130" s="21"/>
      <c r="G19130" s="16"/>
    </row>
    <row r="19131" spans="4:7" ht="15" x14ac:dyDescent="0.3">
      <c r="D19131" s="25"/>
      <c r="F19131" s="21"/>
      <c r="G19131" s="16"/>
    </row>
    <row r="19132" spans="4:7" ht="15" x14ac:dyDescent="0.3">
      <c r="D19132" s="25"/>
      <c r="F19132" s="21"/>
      <c r="G19132" s="16"/>
    </row>
    <row r="19133" spans="4:7" ht="15" x14ac:dyDescent="0.3">
      <c r="D19133" s="25"/>
      <c r="F19133" s="21"/>
      <c r="G19133" s="16"/>
    </row>
    <row r="19134" spans="4:7" ht="15" x14ac:dyDescent="0.3">
      <c r="D19134" s="25"/>
      <c r="F19134" s="21"/>
      <c r="G19134" s="16"/>
    </row>
    <row r="19135" spans="4:7" ht="15" x14ac:dyDescent="0.3">
      <c r="D19135" s="25"/>
      <c r="F19135" s="21"/>
      <c r="G19135" s="16"/>
    </row>
    <row r="19136" spans="4:7" ht="15" x14ac:dyDescent="0.3">
      <c r="D19136" s="25"/>
      <c r="F19136" s="21"/>
      <c r="G19136" s="16"/>
    </row>
    <row r="19137" spans="4:7" ht="15" x14ac:dyDescent="0.3">
      <c r="D19137" s="25"/>
      <c r="F19137" s="21"/>
      <c r="G19137" s="16"/>
    </row>
    <row r="19138" spans="4:7" ht="15" x14ac:dyDescent="0.3">
      <c r="D19138" s="25"/>
      <c r="F19138" s="21"/>
      <c r="G19138" s="16"/>
    </row>
    <row r="19139" spans="4:7" ht="15" x14ac:dyDescent="0.3">
      <c r="D19139" s="25"/>
      <c r="F19139" s="21"/>
      <c r="G19139" s="16"/>
    </row>
    <row r="19140" spans="4:7" ht="15" x14ac:dyDescent="0.3">
      <c r="D19140" s="25"/>
      <c r="F19140" s="21"/>
      <c r="G19140" s="16"/>
    </row>
    <row r="19141" spans="4:7" ht="15" x14ac:dyDescent="0.3">
      <c r="D19141" s="25"/>
      <c r="F19141" s="21"/>
      <c r="G19141" s="16"/>
    </row>
    <row r="19142" spans="4:7" ht="15" x14ac:dyDescent="0.3">
      <c r="D19142" s="25"/>
      <c r="F19142" s="21"/>
      <c r="G19142" s="16"/>
    </row>
    <row r="19143" spans="4:7" ht="15" x14ac:dyDescent="0.3">
      <c r="D19143" s="25"/>
      <c r="F19143" s="21"/>
      <c r="G19143" s="16"/>
    </row>
    <row r="19144" spans="4:7" ht="15" x14ac:dyDescent="0.3">
      <c r="D19144" s="25"/>
      <c r="F19144" s="21"/>
      <c r="G19144" s="16"/>
    </row>
    <row r="19145" spans="4:7" ht="15" x14ac:dyDescent="0.3">
      <c r="D19145" s="25"/>
      <c r="F19145" s="21"/>
      <c r="G19145" s="16"/>
    </row>
    <row r="19146" spans="4:7" ht="15" x14ac:dyDescent="0.3">
      <c r="D19146" s="25"/>
      <c r="F19146" s="21"/>
      <c r="G19146" s="16"/>
    </row>
    <row r="19147" spans="4:7" ht="15" x14ac:dyDescent="0.3">
      <c r="D19147" s="25"/>
      <c r="F19147" s="21"/>
      <c r="G19147" s="16"/>
    </row>
    <row r="19148" spans="4:7" ht="15" x14ac:dyDescent="0.3">
      <c r="D19148" s="25"/>
      <c r="F19148" s="21"/>
      <c r="G19148" s="16"/>
    </row>
    <row r="19149" spans="4:7" ht="15" x14ac:dyDescent="0.3">
      <c r="D19149" s="25"/>
      <c r="F19149" s="21"/>
      <c r="G19149" s="16"/>
    </row>
    <row r="19150" spans="4:7" ht="15" x14ac:dyDescent="0.3">
      <c r="D19150" s="25"/>
      <c r="F19150" s="21"/>
      <c r="G19150" s="16"/>
    </row>
    <row r="19151" spans="4:7" ht="15" x14ac:dyDescent="0.3">
      <c r="D19151" s="25"/>
      <c r="F19151" s="21"/>
      <c r="G19151" s="16"/>
    </row>
    <row r="19152" spans="4:7" ht="15" x14ac:dyDescent="0.3">
      <c r="D19152" s="25"/>
      <c r="F19152" s="21"/>
      <c r="G19152" s="16"/>
    </row>
    <row r="19153" spans="4:7" ht="15" x14ac:dyDescent="0.3">
      <c r="D19153" s="25"/>
      <c r="F19153" s="21"/>
      <c r="G19153" s="16"/>
    </row>
    <row r="19154" spans="4:7" ht="15" x14ac:dyDescent="0.3">
      <c r="D19154" s="25"/>
      <c r="F19154" s="21"/>
      <c r="G19154" s="16"/>
    </row>
    <row r="19155" spans="4:7" ht="15" x14ac:dyDescent="0.3">
      <c r="D19155" s="25"/>
      <c r="F19155" s="21"/>
      <c r="G19155" s="16"/>
    </row>
    <row r="19156" spans="4:7" ht="15" x14ac:dyDescent="0.3">
      <c r="D19156" s="25"/>
      <c r="F19156" s="21"/>
      <c r="G19156" s="16"/>
    </row>
    <row r="19157" spans="4:7" ht="15" x14ac:dyDescent="0.3">
      <c r="D19157" s="25"/>
      <c r="F19157" s="21"/>
      <c r="G19157" s="16"/>
    </row>
    <row r="19158" spans="4:7" ht="15" x14ac:dyDescent="0.3">
      <c r="D19158" s="25"/>
      <c r="F19158" s="21"/>
      <c r="G19158" s="16"/>
    </row>
    <row r="19159" spans="4:7" ht="15" x14ac:dyDescent="0.3">
      <c r="D19159" s="25"/>
      <c r="F19159" s="21"/>
      <c r="G19159" s="16"/>
    </row>
    <row r="19160" spans="4:7" ht="15" x14ac:dyDescent="0.3">
      <c r="D19160" s="25"/>
      <c r="F19160" s="21"/>
      <c r="G19160" s="16"/>
    </row>
    <row r="19161" spans="4:7" ht="15" x14ac:dyDescent="0.3">
      <c r="D19161" s="25"/>
      <c r="F19161" s="21"/>
      <c r="G19161" s="16"/>
    </row>
    <row r="19162" spans="4:7" ht="15" x14ac:dyDescent="0.3">
      <c r="D19162" s="25"/>
      <c r="F19162" s="21"/>
      <c r="G19162" s="16"/>
    </row>
    <row r="19163" spans="4:7" ht="15" x14ac:dyDescent="0.3">
      <c r="D19163" s="25"/>
      <c r="F19163" s="21"/>
      <c r="G19163" s="16"/>
    </row>
    <row r="19164" spans="4:7" ht="15" x14ac:dyDescent="0.3">
      <c r="D19164" s="25"/>
      <c r="F19164" s="21"/>
      <c r="G19164" s="16"/>
    </row>
    <row r="19165" spans="4:7" ht="15" x14ac:dyDescent="0.3">
      <c r="D19165" s="25"/>
      <c r="F19165" s="21"/>
      <c r="G19165" s="16"/>
    </row>
    <row r="19166" spans="4:7" ht="15" x14ac:dyDescent="0.3">
      <c r="D19166" s="25"/>
      <c r="F19166" s="21"/>
      <c r="G19166" s="16"/>
    </row>
    <row r="19167" spans="4:7" ht="15" x14ac:dyDescent="0.3">
      <c r="D19167" s="25"/>
      <c r="F19167" s="21"/>
      <c r="G19167" s="16"/>
    </row>
    <row r="19168" spans="4:7" ht="15" x14ac:dyDescent="0.3">
      <c r="D19168" s="25"/>
      <c r="F19168" s="21"/>
      <c r="G19168" s="16"/>
    </row>
    <row r="19169" spans="4:7" ht="15" x14ac:dyDescent="0.3">
      <c r="D19169" s="25"/>
      <c r="F19169" s="21"/>
      <c r="G19169" s="16"/>
    </row>
    <row r="19170" spans="4:7" ht="15" x14ac:dyDescent="0.3">
      <c r="D19170" s="25"/>
      <c r="F19170" s="21"/>
      <c r="G19170" s="16"/>
    </row>
    <row r="19171" spans="4:7" ht="15" x14ac:dyDescent="0.3">
      <c r="D19171" s="25"/>
      <c r="F19171" s="21"/>
      <c r="G19171" s="16"/>
    </row>
    <row r="19172" spans="4:7" ht="15" x14ac:dyDescent="0.3">
      <c r="D19172" s="25"/>
      <c r="F19172" s="21"/>
      <c r="G19172" s="16"/>
    </row>
    <row r="19173" spans="4:7" ht="15" x14ac:dyDescent="0.3">
      <c r="D19173" s="25"/>
      <c r="F19173" s="21"/>
      <c r="G19173" s="16"/>
    </row>
    <row r="19174" spans="4:7" ht="15" x14ac:dyDescent="0.3">
      <c r="D19174" s="25"/>
      <c r="F19174" s="21"/>
      <c r="G19174" s="16"/>
    </row>
    <row r="19175" spans="4:7" ht="15" x14ac:dyDescent="0.3">
      <c r="D19175" s="25"/>
      <c r="F19175" s="21"/>
      <c r="G19175" s="16"/>
    </row>
    <row r="19176" spans="4:7" ht="15" x14ac:dyDescent="0.3">
      <c r="D19176" s="25"/>
      <c r="F19176" s="21"/>
      <c r="G19176" s="16"/>
    </row>
    <row r="19177" spans="4:7" ht="15" x14ac:dyDescent="0.3">
      <c r="D19177" s="25"/>
      <c r="F19177" s="21"/>
      <c r="G19177" s="16"/>
    </row>
    <row r="19178" spans="4:7" ht="15" x14ac:dyDescent="0.3">
      <c r="D19178" s="25"/>
      <c r="F19178" s="21"/>
      <c r="G19178" s="16"/>
    </row>
    <row r="19179" spans="4:7" ht="15" x14ac:dyDescent="0.3">
      <c r="D19179" s="25"/>
      <c r="F19179" s="21"/>
      <c r="G19179" s="16"/>
    </row>
    <row r="19180" spans="4:7" ht="15" x14ac:dyDescent="0.3">
      <c r="D19180" s="25"/>
      <c r="F19180" s="21"/>
      <c r="G19180" s="16"/>
    </row>
    <row r="19181" spans="4:7" ht="15" x14ac:dyDescent="0.3">
      <c r="D19181" s="25"/>
      <c r="F19181" s="21"/>
      <c r="G19181" s="16"/>
    </row>
    <row r="19182" spans="4:7" ht="15" x14ac:dyDescent="0.3">
      <c r="D19182" s="25"/>
      <c r="F19182" s="21"/>
      <c r="G19182" s="16"/>
    </row>
    <row r="19183" spans="4:7" ht="15" x14ac:dyDescent="0.3">
      <c r="D19183" s="25"/>
      <c r="F19183" s="21"/>
      <c r="G19183" s="16"/>
    </row>
    <row r="19184" spans="4:7" ht="15" x14ac:dyDescent="0.3">
      <c r="D19184" s="25"/>
      <c r="F19184" s="21"/>
      <c r="G19184" s="16"/>
    </row>
    <row r="19185" spans="4:7" ht="15" x14ac:dyDescent="0.3">
      <c r="D19185" s="25"/>
      <c r="F19185" s="21"/>
      <c r="G19185" s="16"/>
    </row>
    <row r="19186" spans="4:7" ht="15" x14ac:dyDescent="0.3">
      <c r="D19186" s="25"/>
      <c r="F19186" s="21"/>
      <c r="G19186" s="16"/>
    </row>
    <row r="19187" spans="4:7" ht="15" x14ac:dyDescent="0.3">
      <c r="D19187" s="25"/>
      <c r="F19187" s="21"/>
      <c r="G19187" s="16"/>
    </row>
    <row r="19188" spans="4:7" ht="15" x14ac:dyDescent="0.3">
      <c r="D19188" s="25"/>
      <c r="F19188" s="21"/>
      <c r="G19188" s="16"/>
    </row>
    <row r="19189" spans="4:7" ht="15" x14ac:dyDescent="0.3">
      <c r="D19189" s="25"/>
      <c r="F19189" s="21"/>
      <c r="G19189" s="16"/>
    </row>
    <row r="19190" spans="4:7" ht="15" x14ac:dyDescent="0.3">
      <c r="D19190" s="25"/>
      <c r="F19190" s="21"/>
      <c r="G19190" s="16"/>
    </row>
    <row r="19191" spans="4:7" ht="15" x14ac:dyDescent="0.3">
      <c r="D19191" s="25"/>
      <c r="F19191" s="21"/>
      <c r="G19191" s="16"/>
    </row>
    <row r="19192" spans="4:7" ht="15" x14ac:dyDescent="0.3">
      <c r="D19192" s="25"/>
      <c r="F19192" s="21"/>
      <c r="G19192" s="16"/>
    </row>
    <row r="19193" spans="4:7" ht="15" x14ac:dyDescent="0.3">
      <c r="D19193" s="25"/>
      <c r="F19193" s="21"/>
      <c r="G19193" s="16"/>
    </row>
    <row r="19194" spans="4:7" ht="15" x14ac:dyDescent="0.3">
      <c r="D19194" s="25"/>
      <c r="F19194" s="21"/>
      <c r="G19194" s="16"/>
    </row>
    <row r="19195" spans="4:7" ht="15" x14ac:dyDescent="0.3">
      <c r="D19195" s="25"/>
      <c r="F19195" s="21"/>
      <c r="G19195" s="16"/>
    </row>
    <row r="19196" spans="4:7" ht="15" x14ac:dyDescent="0.3">
      <c r="D19196" s="25"/>
      <c r="F19196" s="21"/>
      <c r="G19196" s="16"/>
    </row>
    <row r="19197" spans="4:7" ht="15" x14ac:dyDescent="0.3">
      <c r="D19197" s="25"/>
      <c r="F19197" s="21"/>
      <c r="G19197" s="16"/>
    </row>
    <row r="19198" spans="4:7" ht="15" x14ac:dyDescent="0.3">
      <c r="D19198" s="25"/>
      <c r="F19198" s="21"/>
      <c r="G19198" s="16"/>
    </row>
    <row r="19199" spans="4:7" ht="15" x14ac:dyDescent="0.3">
      <c r="D19199" s="25"/>
      <c r="F19199" s="21"/>
      <c r="G19199" s="16"/>
    </row>
    <row r="19200" spans="4:7" ht="15" x14ac:dyDescent="0.3">
      <c r="D19200" s="25"/>
      <c r="F19200" s="21"/>
      <c r="G19200" s="16"/>
    </row>
    <row r="19201" spans="4:7" ht="15" x14ac:dyDescent="0.3">
      <c r="D19201" s="25"/>
      <c r="F19201" s="21"/>
      <c r="G19201" s="16"/>
    </row>
    <row r="19202" spans="4:7" ht="15" x14ac:dyDescent="0.3">
      <c r="D19202" s="25"/>
      <c r="F19202" s="21"/>
      <c r="G19202" s="16"/>
    </row>
    <row r="19203" spans="4:7" ht="15" x14ac:dyDescent="0.3">
      <c r="D19203" s="25"/>
      <c r="F19203" s="21"/>
      <c r="G19203" s="16"/>
    </row>
    <row r="19204" spans="4:7" ht="15" x14ac:dyDescent="0.3">
      <c r="D19204" s="25"/>
      <c r="F19204" s="21"/>
      <c r="G19204" s="16"/>
    </row>
    <row r="19205" spans="4:7" ht="15" x14ac:dyDescent="0.3">
      <c r="D19205" s="25"/>
      <c r="F19205" s="21"/>
      <c r="G19205" s="16"/>
    </row>
    <row r="19206" spans="4:7" ht="15" x14ac:dyDescent="0.3">
      <c r="D19206" s="25"/>
      <c r="F19206" s="21"/>
      <c r="G19206" s="16"/>
    </row>
    <row r="19207" spans="4:7" ht="15" x14ac:dyDescent="0.3">
      <c r="D19207" s="25"/>
      <c r="F19207" s="21"/>
      <c r="G19207" s="16"/>
    </row>
    <row r="19208" spans="4:7" ht="15" x14ac:dyDescent="0.3">
      <c r="D19208" s="25"/>
      <c r="F19208" s="21"/>
      <c r="G19208" s="16"/>
    </row>
    <row r="19209" spans="4:7" ht="15" x14ac:dyDescent="0.3">
      <c r="D19209" s="25"/>
      <c r="F19209" s="21"/>
      <c r="G19209" s="16"/>
    </row>
    <row r="19210" spans="4:7" ht="15" x14ac:dyDescent="0.3">
      <c r="D19210" s="25"/>
      <c r="F19210" s="21"/>
      <c r="G19210" s="16"/>
    </row>
    <row r="19211" spans="4:7" ht="15" x14ac:dyDescent="0.3">
      <c r="D19211" s="25"/>
      <c r="F19211" s="21"/>
      <c r="G19211" s="16"/>
    </row>
    <row r="19212" spans="4:7" ht="15" x14ac:dyDescent="0.3">
      <c r="D19212" s="25"/>
      <c r="F19212" s="21"/>
      <c r="G19212" s="16"/>
    </row>
    <row r="19213" spans="4:7" ht="15" x14ac:dyDescent="0.3">
      <c r="D19213" s="25"/>
      <c r="F19213" s="21"/>
      <c r="G19213" s="16"/>
    </row>
    <row r="19214" spans="4:7" ht="15" x14ac:dyDescent="0.3">
      <c r="D19214" s="25"/>
      <c r="F19214" s="21"/>
      <c r="G19214" s="16"/>
    </row>
    <row r="19215" spans="4:7" ht="15" x14ac:dyDescent="0.3">
      <c r="D19215" s="25"/>
      <c r="F19215" s="21"/>
      <c r="G19215" s="16"/>
    </row>
    <row r="19216" spans="4:7" ht="15" x14ac:dyDescent="0.3">
      <c r="D19216" s="25"/>
      <c r="F19216" s="21"/>
      <c r="G19216" s="16"/>
    </row>
    <row r="19217" spans="4:7" ht="15" x14ac:dyDescent="0.3">
      <c r="D19217" s="25"/>
      <c r="F19217" s="21"/>
      <c r="G19217" s="16"/>
    </row>
    <row r="19218" spans="4:7" ht="15" x14ac:dyDescent="0.3">
      <c r="D19218" s="25"/>
      <c r="F19218" s="21"/>
      <c r="G19218" s="16"/>
    </row>
    <row r="19219" spans="4:7" ht="15" x14ac:dyDescent="0.3">
      <c r="D19219" s="25"/>
      <c r="F19219" s="21"/>
      <c r="G19219" s="16"/>
    </row>
    <row r="19220" spans="4:7" ht="15" x14ac:dyDescent="0.3">
      <c r="D19220" s="25"/>
      <c r="F19220" s="21"/>
      <c r="G19220" s="16"/>
    </row>
    <row r="19221" spans="4:7" ht="15" x14ac:dyDescent="0.3">
      <c r="D19221" s="25"/>
      <c r="F19221" s="21"/>
      <c r="G19221" s="16"/>
    </row>
    <row r="19222" spans="4:7" ht="15" x14ac:dyDescent="0.3">
      <c r="D19222" s="25"/>
      <c r="F19222" s="21"/>
      <c r="G19222" s="16"/>
    </row>
    <row r="19223" spans="4:7" ht="15" x14ac:dyDescent="0.3">
      <c r="D19223" s="25"/>
      <c r="F19223" s="21"/>
      <c r="G19223" s="16"/>
    </row>
    <row r="19224" spans="4:7" ht="15" x14ac:dyDescent="0.3">
      <c r="D19224" s="25"/>
      <c r="F19224" s="21"/>
      <c r="G19224" s="16"/>
    </row>
    <row r="19225" spans="4:7" ht="15" x14ac:dyDescent="0.3">
      <c r="D19225" s="25"/>
      <c r="F19225" s="21"/>
      <c r="G19225" s="16"/>
    </row>
    <row r="19226" spans="4:7" ht="15" x14ac:dyDescent="0.3">
      <c r="D19226" s="25"/>
      <c r="F19226" s="21"/>
      <c r="G19226" s="16"/>
    </row>
    <row r="19227" spans="4:7" ht="15" x14ac:dyDescent="0.3">
      <c r="D19227" s="25"/>
      <c r="F19227" s="21"/>
      <c r="G19227" s="16"/>
    </row>
    <row r="19228" spans="4:7" ht="15" x14ac:dyDescent="0.3">
      <c r="D19228" s="25"/>
      <c r="F19228" s="21"/>
      <c r="G19228" s="16"/>
    </row>
    <row r="19229" spans="4:7" ht="15" x14ac:dyDescent="0.3">
      <c r="D19229" s="25"/>
      <c r="F19229" s="21"/>
      <c r="G19229" s="16"/>
    </row>
    <row r="19230" spans="4:7" ht="15" x14ac:dyDescent="0.3">
      <c r="D19230" s="25"/>
      <c r="F19230" s="21"/>
      <c r="G19230" s="16"/>
    </row>
    <row r="19231" spans="4:7" ht="15" x14ac:dyDescent="0.3">
      <c r="D19231" s="25"/>
      <c r="F19231" s="21"/>
      <c r="G19231" s="16"/>
    </row>
    <row r="19232" spans="4:7" ht="15" x14ac:dyDescent="0.3">
      <c r="D19232" s="25"/>
      <c r="F19232" s="21"/>
      <c r="G19232" s="16"/>
    </row>
    <row r="19233" spans="4:7" ht="15" x14ac:dyDescent="0.3">
      <c r="D19233" s="25"/>
      <c r="F19233" s="21"/>
      <c r="G19233" s="16"/>
    </row>
    <row r="19234" spans="4:7" ht="15" x14ac:dyDescent="0.3">
      <c r="D19234" s="25"/>
      <c r="F19234" s="21"/>
      <c r="G19234" s="16"/>
    </row>
    <row r="19235" spans="4:7" ht="15" x14ac:dyDescent="0.3">
      <c r="D19235" s="25"/>
      <c r="F19235" s="21"/>
      <c r="G19235" s="16"/>
    </row>
    <row r="19236" spans="4:7" ht="15" x14ac:dyDescent="0.3">
      <c r="D19236" s="25"/>
      <c r="F19236" s="21"/>
      <c r="G19236" s="16"/>
    </row>
    <row r="19237" spans="4:7" ht="15" x14ac:dyDescent="0.3">
      <c r="D19237" s="25"/>
      <c r="F19237" s="21"/>
      <c r="G19237" s="16"/>
    </row>
    <row r="19238" spans="4:7" ht="15" x14ac:dyDescent="0.3">
      <c r="D19238" s="25"/>
      <c r="F19238" s="21"/>
      <c r="G19238" s="16"/>
    </row>
    <row r="19239" spans="4:7" ht="15" x14ac:dyDescent="0.3">
      <c r="D19239" s="25"/>
      <c r="F19239" s="21"/>
      <c r="G19239" s="16"/>
    </row>
    <row r="19240" spans="4:7" ht="15" x14ac:dyDescent="0.3">
      <c r="D19240" s="25"/>
      <c r="F19240" s="21"/>
      <c r="G19240" s="16"/>
    </row>
    <row r="19241" spans="4:7" ht="15" x14ac:dyDescent="0.3">
      <c r="D19241" s="25"/>
      <c r="F19241" s="21"/>
      <c r="G19241" s="16"/>
    </row>
    <row r="19242" spans="4:7" ht="15" x14ac:dyDescent="0.3">
      <c r="D19242" s="25"/>
      <c r="F19242" s="21"/>
      <c r="G19242" s="16"/>
    </row>
    <row r="19243" spans="4:7" ht="15" x14ac:dyDescent="0.3">
      <c r="D19243" s="25"/>
      <c r="F19243" s="21"/>
      <c r="G19243" s="16"/>
    </row>
    <row r="19244" spans="4:7" ht="15" x14ac:dyDescent="0.3">
      <c r="D19244" s="25"/>
      <c r="F19244" s="21"/>
      <c r="G19244" s="16"/>
    </row>
    <row r="19245" spans="4:7" ht="15" x14ac:dyDescent="0.3">
      <c r="D19245" s="25"/>
      <c r="F19245" s="21"/>
      <c r="G19245" s="16"/>
    </row>
    <row r="19246" spans="4:7" ht="15" x14ac:dyDescent="0.3">
      <c r="D19246" s="25"/>
      <c r="F19246" s="21"/>
      <c r="G19246" s="16"/>
    </row>
    <row r="19247" spans="4:7" ht="15" x14ac:dyDescent="0.3">
      <c r="D19247" s="25"/>
      <c r="F19247" s="21"/>
      <c r="G19247" s="16"/>
    </row>
    <row r="19248" spans="4:7" ht="15" x14ac:dyDescent="0.3">
      <c r="D19248" s="25"/>
      <c r="F19248" s="21"/>
      <c r="G19248" s="16"/>
    </row>
    <row r="19249" spans="4:7" ht="15" x14ac:dyDescent="0.3">
      <c r="D19249" s="25"/>
      <c r="F19249" s="21"/>
      <c r="G19249" s="16"/>
    </row>
    <row r="19250" spans="4:7" ht="15" x14ac:dyDescent="0.3">
      <c r="D19250" s="25"/>
      <c r="F19250" s="21"/>
      <c r="G19250" s="16"/>
    </row>
    <row r="19251" spans="4:7" ht="15" x14ac:dyDescent="0.3">
      <c r="D19251" s="25"/>
      <c r="F19251" s="21"/>
      <c r="G19251" s="16"/>
    </row>
    <row r="19252" spans="4:7" ht="15" x14ac:dyDescent="0.3">
      <c r="D19252" s="25"/>
      <c r="F19252" s="21"/>
      <c r="G19252" s="16"/>
    </row>
    <row r="19253" spans="4:7" ht="15" x14ac:dyDescent="0.3">
      <c r="D19253" s="25"/>
      <c r="F19253" s="21"/>
      <c r="G19253" s="16"/>
    </row>
    <row r="19254" spans="4:7" ht="15" x14ac:dyDescent="0.3">
      <c r="D19254" s="25"/>
      <c r="F19254" s="21"/>
      <c r="G19254" s="16"/>
    </row>
    <row r="19255" spans="4:7" ht="15" x14ac:dyDescent="0.3">
      <c r="D19255" s="25"/>
      <c r="F19255" s="21"/>
      <c r="G19255" s="16"/>
    </row>
    <row r="19256" spans="4:7" ht="15" x14ac:dyDescent="0.3">
      <c r="D19256" s="25"/>
      <c r="F19256" s="21"/>
      <c r="G19256" s="16"/>
    </row>
    <row r="19257" spans="4:7" ht="15" x14ac:dyDescent="0.3">
      <c r="D19257" s="25"/>
      <c r="F19257" s="21"/>
      <c r="G19257" s="16"/>
    </row>
    <row r="19258" spans="4:7" ht="15" x14ac:dyDescent="0.3">
      <c r="D19258" s="25"/>
      <c r="F19258" s="21"/>
      <c r="G19258" s="16"/>
    </row>
    <row r="19259" spans="4:7" ht="15" x14ac:dyDescent="0.3">
      <c r="D19259" s="25"/>
      <c r="F19259" s="21"/>
      <c r="G19259" s="16"/>
    </row>
    <row r="19260" spans="4:7" ht="15" x14ac:dyDescent="0.3">
      <c r="D19260" s="25"/>
      <c r="F19260" s="21"/>
      <c r="G19260" s="16"/>
    </row>
    <row r="19261" spans="4:7" ht="15" x14ac:dyDescent="0.3">
      <c r="D19261" s="25"/>
      <c r="F19261" s="21"/>
      <c r="G19261" s="16"/>
    </row>
    <row r="19262" spans="4:7" ht="15" x14ac:dyDescent="0.3">
      <c r="D19262" s="25"/>
      <c r="F19262" s="21"/>
      <c r="G19262" s="16"/>
    </row>
    <row r="19263" spans="4:7" ht="15" x14ac:dyDescent="0.3">
      <c r="D19263" s="25"/>
      <c r="F19263" s="21"/>
      <c r="G19263" s="16"/>
    </row>
    <row r="19264" spans="4:7" ht="15" x14ac:dyDescent="0.3">
      <c r="D19264" s="25"/>
      <c r="F19264" s="21"/>
      <c r="G19264" s="16"/>
    </row>
    <row r="19265" spans="4:7" ht="15" x14ac:dyDescent="0.3">
      <c r="D19265" s="25"/>
      <c r="F19265" s="21"/>
      <c r="G19265" s="16"/>
    </row>
    <row r="19266" spans="4:7" ht="15" x14ac:dyDescent="0.3">
      <c r="D19266" s="25"/>
      <c r="F19266" s="21"/>
      <c r="G19266" s="16"/>
    </row>
    <row r="19267" spans="4:7" ht="15" x14ac:dyDescent="0.3">
      <c r="D19267" s="25"/>
      <c r="F19267" s="21"/>
      <c r="G19267" s="16"/>
    </row>
    <row r="19268" spans="4:7" ht="15" x14ac:dyDescent="0.3">
      <c r="D19268" s="25"/>
      <c r="F19268" s="21"/>
      <c r="G19268" s="16"/>
    </row>
    <row r="19269" spans="4:7" ht="15" x14ac:dyDescent="0.3">
      <c r="D19269" s="25"/>
      <c r="F19269" s="21"/>
      <c r="G19269" s="16"/>
    </row>
    <row r="19270" spans="4:7" ht="15" x14ac:dyDescent="0.3">
      <c r="D19270" s="25"/>
      <c r="F19270" s="21"/>
      <c r="G19270" s="16"/>
    </row>
    <row r="19271" spans="4:7" ht="15" x14ac:dyDescent="0.3">
      <c r="D19271" s="25"/>
      <c r="F19271" s="21"/>
      <c r="G19271" s="16"/>
    </row>
    <row r="19272" spans="4:7" ht="15" x14ac:dyDescent="0.3">
      <c r="D19272" s="25"/>
      <c r="F19272" s="21"/>
      <c r="G19272" s="16"/>
    </row>
    <row r="19273" spans="4:7" ht="15" x14ac:dyDescent="0.3">
      <c r="D19273" s="25"/>
      <c r="F19273" s="21"/>
      <c r="G19273" s="16"/>
    </row>
    <row r="19274" spans="4:7" ht="15" x14ac:dyDescent="0.3">
      <c r="D19274" s="25"/>
      <c r="F19274" s="21"/>
      <c r="G19274" s="16"/>
    </row>
    <row r="19275" spans="4:7" ht="15" x14ac:dyDescent="0.3">
      <c r="D19275" s="25"/>
      <c r="F19275" s="21"/>
      <c r="G19275" s="16"/>
    </row>
    <row r="19276" spans="4:7" ht="15" x14ac:dyDescent="0.3">
      <c r="D19276" s="25"/>
      <c r="F19276" s="21"/>
      <c r="G19276" s="16"/>
    </row>
    <row r="19277" spans="4:7" ht="15" x14ac:dyDescent="0.3">
      <c r="D19277" s="25"/>
      <c r="F19277" s="21"/>
      <c r="G19277" s="16"/>
    </row>
    <row r="19278" spans="4:7" ht="15" x14ac:dyDescent="0.3">
      <c r="D19278" s="25"/>
      <c r="F19278" s="21"/>
      <c r="G19278" s="16"/>
    </row>
    <row r="19279" spans="4:7" ht="15" x14ac:dyDescent="0.3">
      <c r="D19279" s="25"/>
      <c r="F19279" s="21"/>
      <c r="G19279" s="16"/>
    </row>
    <row r="19280" spans="4:7" ht="15" x14ac:dyDescent="0.3">
      <c r="D19280" s="25"/>
      <c r="F19280" s="21"/>
      <c r="G19280" s="16"/>
    </row>
    <row r="19281" spans="4:7" ht="15" x14ac:dyDescent="0.3">
      <c r="D19281" s="25"/>
      <c r="F19281" s="21"/>
      <c r="G19281" s="16"/>
    </row>
    <row r="19282" spans="4:7" ht="15" x14ac:dyDescent="0.3">
      <c r="D19282" s="25"/>
      <c r="F19282" s="21"/>
      <c r="G19282" s="16"/>
    </row>
    <row r="19283" spans="4:7" ht="15" x14ac:dyDescent="0.3">
      <c r="D19283" s="25"/>
      <c r="F19283" s="21"/>
      <c r="G19283" s="16"/>
    </row>
    <row r="19284" spans="4:7" ht="15" x14ac:dyDescent="0.3">
      <c r="D19284" s="25"/>
      <c r="F19284" s="21"/>
      <c r="G19284" s="16"/>
    </row>
    <row r="19285" spans="4:7" ht="15" x14ac:dyDescent="0.3">
      <c r="D19285" s="25"/>
      <c r="F19285" s="21"/>
      <c r="G19285" s="16"/>
    </row>
    <row r="19286" spans="4:7" ht="15" x14ac:dyDescent="0.3">
      <c r="D19286" s="25"/>
      <c r="F19286" s="21"/>
      <c r="G19286" s="16"/>
    </row>
    <row r="19287" spans="4:7" ht="15" x14ac:dyDescent="0.3">
      <c r="D19287" s="25"/>
      <c r="F19287" s="21"/>
      <c r="G19287" s="16"/>
    </row>
    <row r="19288" spans="4:7" ht="15" x14ac:dyDescent="0.3">
      <c r="D19288" s="25"/>
      <c r="F19288" s="21"/>
      <c r="G19288" s="16"/>
    </row>
    <row r="19289" spans="4:7" ht="15" x14ac:dyDescent="0.3">
      <c r="D19289" s="25"/>
      <c r="F19289" s="21"/>
      <c r="G19289" s="16"/>
    </row>
    <row r="19290" spans="4:7" ht="15" x14ac:dyDescent="0.3">
      <c r="D19290" s="25"/>
      <c r="F19290" s="21"/>
      <c r="G19290" s="16"/>
    </row>
    <row r="19291" spans="4:7" ht="15" x14ac:dyDescent="0.3">
      <c r="D19291" s="25"/>
      <c r="F19291" s="21"/>
      <c r="G19291" s="16"/>
    </row>
    <row r="19292" spans="4:7" ht="15" x14ac:dyDescent="0.3">
      <c r="D19292" s="25"/>
      <c r="F19292" s="21"/>
      <c r="G19292" s="16"/>
    </row>
    <row r="19293" spans="4:7" ht="15" x14ac:dyDescent="0.3">
      <c r="D19293" s="25"/>
      <c r="F19293" s="21"/>
      <c r="G19293" s="16"/>
    </row>
    <row r="19294" spans="4:7" ht="15" x14ac:dyDescent="0.3">
      <c r="D19294" s="25"/>
      <c r="F19294" s="21"/>
      <c r="G19294" s="16"/>
    </row>
    <row r="19295" spans="4:7" ht="15" x14ac:dyDescent="0.3">
      <c r="D19295" s="25"/>
      <c r="F19295" s="21"/>
      <c r="G19295" s="16"/>
    </row>
    <row r="19296" spans="4:7" ht="15" x14ac:dyDescent="0.3">
      <c r="D19296" s="25"/>
      <c r="F19296" s="21"/>
      <c r="G19296" s="16"/>
    </row>
    <row r="19297" spans="4:7" ht="15" x14ac:dyDescent="0.3">
      <c r="D19297" s="25"/>
      <c r="F19297" s="21"/>
      <c r="G19297" s="16"/>
    </row>
    <row r="19298" spans="4:7" ht="15" x14ac:dyDescent="0.3">
      <c r="D19298" s="25"/>
      <c r="F19298" s="21"/>
      <c r="G19298" s="16"/>
    </row>
    <row r="19299" spans="4:7" ht="15" x14ac:dyDescent="0.3">
      <c r="D19299" s="25"/>
      <c r="F19299" s="21"/>
      <c r="G19299" s="16"/>
    </row>
    <row r="19300" spans="4:7" ht="15" x14ac:dyDescent="0.3">
      <c r="D19300" s="25"/>
      <c r="F19300" s="21"/>
      <c r="G19300" s="16"/>
    </row>
    <row r="19301" spans="4:7" ht="15" x14ac:dyDescent="0.3">
      <c r="D19301" s="25"/>
      <c r="F19301" s="21"/>
      <c r="G19301" s="16"/>
    </row>
    <row r="19302" spans="4:7" ht="15" x14ac:dyDescent="0.3">
      <c r="D19302" s="25"/>
      <c r="F19302" s="21"/>
      <c r="G19302" s="16"/>
    </row>
    <row r="19303" spans="4:7" ht="15" x14ac:dyDescent="0.3">
      <c r="D19303" s="25"/>
      <c r="F19303" s="21"/>
      <c r="G19303" s="16"/>
    </row>
    <row r="19304" spans="4:7" ht="15" x14ac:dyDescent="0.3">
      <c r="D19304" s="25"/>
      <c r="F19304" s="21"/>
      <c r="G19304" s="16"/>
    </row>
    <row r="19305" spans="4:7" ht="15" x14ac:dyDescent="0.3">
      <c r="D19305" s="25"/>
      <c r="F19305" s="21"/>
      <c r="G19305" s="16"/>
    </row>
    <row r="19306" spans="4:7" ht="15" x14ac:dyDescent="0.3">
      <c r="D19306" s="25"/>
      <c r="F19306" s="21"/>
      <c r="G19306" s="16"/>
    </row>
    <row r="19307" spans="4:7" ht="15" x14ac:dyDescent="0.3">
      <c r="D19307" s="25"/>
      <c r="F19307" s="21"/>
      <c r="G19307" s="16"/>
    </row>
    <row r="19308" spans="4:7" ht="15" x14ac:dyDescent="0.3">
      <c r="D19308" s="25"/>
      <c r="F19308" s="21"/>
      <c r="G19308" s="16"/>
    </row>
    <row r="19309" spans="4:7" ht="15" x14ac:dyDescent="0.3">
      <c r="D19309" s="25"/>
      <c r="F19309" s="21"/>
      <c r="G19309" s="16"/>
    </row>
    <row r="19310" spans="4:7" ht="15" x14ac:dyDescent="0.3">
      <c r="D19310" s="25"/>
      <c r="F19310" s="21"/>
      <c r="G19310" s="16"/>
    </row>
    <row r="19311" spans="4:7" ht="15" x14ac:dyDescent="0.3">
      <c r="D19311" s="25"/>
      <c r="F19311" s="21"/>
      <c r="G19311" s="16"/>
    </row>
    <row r="19312" spans="4:7" ht="15" x14ac:dyDescent="0.3">
      <c r="D19312" s="25"/>
      <c r="F19312" s="21"/>
      <c r="G19312" s="16"/>
    </row>
    <row r="19313" spans="4:7" ht="15" x14ac:dyDescent="0.3">
      <c r="D19313" s="25"/>
      <c r="F19313" s="21"/>
      <c r="G19313" s="16"/>
    </row>
    <row r="19314" spans="4:7" ht="15" x14ac:dyDescent="0.3">
      <c r="D19314" s="25"/>
      <c r="F19314" s="21"/>
      <c r="G19314" s="16"/>
    </row>
    <row r="19315" spans="4:7" ht="15" x14ac:dyDescent="0.3">
      <c r="D19315" s="25"/>
      <c r="F19315" s="21"/>
      <c r="G19315" s="16"/>
    </row>
    <row r="19316" spans="4:7" ht="15" x14ac:dyDescent="0.3">
      <c r="D19316" s="25"/>
      <c r="F19316" s="21"/>
      <c r="G19316" s="16"/>
    </row>
    <row r="19317" spans="4:7" ht="15" x14ac:dyDescent="0.3">
      <c r="D19317" s="25"/>
      <c r="F19317" s="21"/>
      <c r="G19317" s="16"/>
    </row>
    <row r="19318" spans="4:7" ht="15" x14ac:dyDescent="0.3">
      <c r="D19318" s="25"/>
      <c r="F19318" s="21"/>
      <c r="G19318" s="16"/>
    </row>
    <row r="19319" spans="4:7" ht="15" x14ac:dyDescent="0.3">
      <c r="D19319" s="25"/>
      <c r="F19319" s="21"/>
      <c r="G19319" s="16"/>
    </row>
    <row r="19320" spans="4:7" ht="15" x14ac:dyDescent="0.3">
      <c r="D19320" s="25"/>
      <c r="F19320" s="21"/>
      <c r="G19320" s="16"/>
    </row>
    <row r="19321" spans="4:7" ht="15" x14ac:dyDescent="0.3">
      <c r="D19321" s="25"/>
      <c r="F19321" s="21"/>
      <c r="G19321" s="16"/>
    </row>
    <row r="19322" spans="4:7" ht="15" x14ac:dyDescent="0.3">
      <c r="D19322" s="25"/>
      <c r="F19322" s="21"/>
      <c r="G19322" s="16"/>
    </row>
    <row r="19323" spans="4:7" ht="15" x14ac:dyDescent="0.3">
      <c r="D19323" s="25"/>
      <c r="F19323" s="21"/>
      <c r="G19323" s="16"/>
    </row>
    <row r="19324" spans="4:7" ht="15" x14ac:dyDescent="0.3">
      <c r="D19324" s="25"/>
      <c r="F19324" s="21"/>
      <c r="G19324" s="16"/>
    </row>
    <row r="19325" spans="4:7" ht="15" x14ac:dyDescent="0.3">
      <c r="D19325" s="25"/>
      <c r="F19325" s="21"/>
      <c r="G19325" s="16"/>
    </row>
    <row r="19326" spans="4:7" ht="15" x14ac:dyDescent="0.3">
      <c r="D19326" s="25"/>
      <c r="F19326" s="21"/>
      <c r="G19326" s="16"/>
    </row>
    <row r="19327" spans="4:7" ht="15" x14ac:dyDescent="0.3">
      <c r="D19327" s="25"/>
      <c r="F19327" s="21"/>
      <c r="G19327" s="16"/>
    </row>
    <row r="19328" spans="4:7" ht="15" x14ac:dyDescent="0.3">
      <c r="D19328" s="25"/>
      <c r="F19328" s="21"/>
      <c r="G19328" s="16"/>
    </row>
    <row r="19329" spans="4:7" ht="15" x14ac:dyDescent="0.3">
      <c r="D19329" s="25"/>
      <c r="F19329" s="21"/>
      <c r="G19329" s="16"/>
    </row>
    <row r="19330" spans="4:7" ht="15" x14ac:dyDescent="0.3">
      <c r="D19330" s="25"/>
      <c r="F19330" s="21"/>
      <c r="G19330" s="16"/>
    </row>
    <row r="19331" spans="4:7" ht="15" x14ac:dyDescent="0.3">
      <c r="D19331" s="25"/>
      <c r="F19331" s="21"/>
      <c r="G19331" s="16"/>
    </row>
    <row r="19332" spans="4:7" ht="15" x14ac:dyDescent="0.3">
      <c r="D19332" s="25"/>
      <c r="F19332" s="21"/>
      <c r="G19332" s="16"/>
    </row>
    <row r="19333" spans="4:7" ht="15" x14ac:dyDescent="0.3">
      <c r="D19333" s="25"/>
      <c r="F19333" s="21"/>
      <c r="G19333" s="16"/>
    </row>
    <row r="19334" spans="4:7" ht="15" x14ac:dyDescent="0.3">
      <c r="D19334" s="25"/>
      <c r="F19334" s="21"/>
      <c r="G19334" s="16"/>
    </row>
    <row r="19335" spans="4:7" ht="15" x14ac:dyDescent="0.3">
      <c r="D19335" s="25"/>
      <c r="F19335" s="21"/>
      <c r="G19335" s="16"/>
    </row>
    <row r="19336" spans="4:7" ht="15" x14ac:dyDescent="0.3">
      <c r="D19336" s="25"/>
      <c r="F19336" s="21"/>
      <c r="G19336" s="16"/>
    </row>
    <row r="19337" spans="4:7" ht="15" x14ac:dyDescent="0.3">
      <c r="D19337" s="25"/>
      <c r="F19337" s="21"/>
      <c r="G19337" s="16"/>
    </row>
    <row r="19338" spans="4:7" ht="15" x14ac:dyDescent="0.3">
      <c r="D19338" s="25"/>
      <c r="F19338" s="21"/>
      <c r="G19338" s="16"/>
    </row>
    <row r="19339" spans="4:7" ht="15" x14ac:dyDescent="0.3">
      <c r="D19339" s="25"/>
      <c r="F19339" s="21"/>
      <c r="G19339" s="16"/>
    </row>
    <row r="19340" spans="4:7" ht="15" x14ac:dyDescent="0.3">
      <c r="D19340" s="25"/>
      <c r="F19340" s="21"/>
      <c r="G19340" s="16"/>
    </row>
    <row r="19341" spans="4:7" ht="15" x14ac:dyDescent="0.3">
      <c r="D19341" s="25"/>
      <c r="F19341" s="21"/>
      <c r="G19341" s="16"/>
    </row>
    <row r="19342" spans="4:7" ht="15" x14ac:dyDescent="0.3">
      <c r="D19342" s="25"/>
      <c r="F19342" s="21"/>
      <c r="G19342" s="16"/>
    </row>
    <row r="19343" spans="4:7" ht="15" x14ac:dyDescent="0.3">
      <c r="D19343" s="25"/>
      <c r="F19343" s="21"/>
      <c r="G19343" s="16"/>
    </row>
    <row r="19344" spans="4:7" ht="15" x14ac:dyDescent="0.3">
      <c r="D19344" s="25"/>
      <c r="F19344" s="21"/>
      <c r="G19344" s="16"/>
    </row>
    <row r="19345" spans="4:7" ht="15" x14ac:dyDescent="0.3">
      <c r="D19345" s="25"/>
      <c r="F19345" s="21"/>
      <c r="G19345" s="16"/>
    </row>
    <row r="19346" spans="4:7" ht="15" x14ac:dyDescent="0.3">
      <c r="D19346" s="25"/>
      <c r="F19346" s="21"/>
      <c r="G19346" s="16"/>
    </row>
    <row r="19347" spans="4:7" ht="15" x14ac:dyDescent="0.3">
      <c r="D19347" s="25"/>
      <c r="F19347" s="21"/>
      <c r="G19347" s="16"/>
    </row>
    <row r="19348" spans="4:7" ht="15" x14ac:dyDescent="0.3">
      <c r="D19348" s="25"/>
      <c r="F19348" s="21"/>
      <c r="G19348" s="16"/>
    </row>
    <row r="19349" spans="4:7" ht="15" x14ac:dyDescent="0.3">
      <c r="D19349" s="25"/>
      <c r="F19349" s="21"/>
      <c r="G19349" s="16"/>
    </row>
    <row r="19350" spans="4:7" ht="15" x14ac:dyDescent="0.3">
      <c r="D19350" s="25"/>
      <c r="F19350" s="21"/>
      <c r="G19350" s="16"/>
    </row>
    <row r="19351" spans="4:7" ht="15" x14ac:dyDescent="0.3">
      <c r="D19351" s="25"/>
      <c r="F19351" s="21"/>
      <c r="G19351" s="16"/>
    </row>
    <row r="19352" spans="4:7" ht="15" x14ac:dyDescent="0.3">
      <c r="D19352" s="25"/>
      <c r="F19352" s="21"/>
      <c r="G19352" s="16"/>
    </row>
    <row r="19353" spans="4:7" ht="15" x14ac:dyDescent="0.3">
      <c r="D19353" s="25"/>
      <c r="F19353" s="21"/>
      <c r="G19353" s="16"/>
    </row>
    <row r="19354" spans="4:7" ht="15" x14ac:dyDescent="0.3">
      <c r="D19354" s="25"/>
      <c r="F19354" s="21"/>
      <c r="G19354" s="16"/>
    </row>
    <row r="19355" spans="4:7" ht="15" x14ac:dyDescent="0.3">
      <c r="D19355" s="25"/>
      <c r="F19355" s="21"/>
      <c r="G19355" s="16"/>
    </row>
    <row r="19356" spans="4:7" ht="15" x14ac:dyDescent="0.3">
      <c r="D19356" s="25"/>
      <c r="F19356" s="21"/>
      <c r="G19356" s="16"/>
    </row>
    <row r="19357" spans="4:7" ht="15" x14ac:dyDescent="0.3">
      <c r="D19357" s="25"/>
      <c r="F19357" s="21"/>
      <c r="G19357" s="16"/>
    </row>
    <row r="19358" spans="4:7" ht="15" x14ac:dyDescent="0.3">
      <c r="D19358" s="25"/>
      <c r="F19358" s="21"/>
      <c r="G19358" s="16"/>
    </row>
    <row r="19359" spans="4:7" ht="15" x14ac:dyDescent="0.3">
      <c r="D19359" s="25"/>
      <c r="F19359" s="21"/>
      <c r="G19359" s="16"/>
    </row>
    <row r="19360" spans="4:7" ht="15" x14ac:dyDescent="0.3">
      <c r="D19360" s="25"/>
      <c r="F19360" s="21"/>
      <c r="G19360" s="16"/>
    </row>
    <row r="19361" spans="4:7" ht="15" x14ac:dyDescent="0.3">
      <c r="D19361" s="25"/>
      <c r="F19361" s="21"/>
      <c r="G19361" s="16"/>
    </row>
    <row r="19362" spans="4:7" ht="15" x14ac:dyDescent="0.3">
      <c r="D19362" s="25"/>
      <c r="F19362" s="21"/>
      <c r="G19362" s="16"/>
    </row>
    <row r="19363" spans="4:7" ht="15" x14ac:dyDescent="0.3">
      <c r="D19363" s="25"/>
      <c r="F19363" s="21"/>
      <c r="G19363" s="16"/>
    </row>
    <row r="19364" spans="4:7" ht="15" x14ac:dyDescent="0.3">
      <c r="D19364" s="25"/>
      <c r="F19364" s="21"/>
      <c r="G19364" s="16"/>
    </row>
    <row r="19365" spans="4:7" ht="15" x14ac:dyDescent="0.3">
      <c r="D19365" s="25"/>
      <c r="F19365" s="21"/>
      <c r="G19365" s="16"/>
    </row>
    <row r="19366" spans="4:7" ht="15" x14ac:dyDescent="0.3">
      <c r="D19366" s="25"/>
      <c r="F19366" s="21"/>
      <c r="G19366" s="16"/>
    </row>
    <row r="19367" spans="4:7" ht="15" x14ac:dyDescent="0.3">
      <c r="D19367" s="25"/>
      <c r="F19367" s="21"/>
      <c r="G19367" s="16"/>
    </row>
    <row r="19368" spans="4:7" ht="15" x14ac:dyDescent="0.3">
      <c r="D19368" s="25"/>
      <c r="F19368" s="21"/>
      <c r="G19368" s="16"/>
    </row>
    <row r="19369" spans="4:7" ht="15" x14ac:dyDescent="0.3">
      <c r="D19369" s="25"/>
      <c r="F19369" s="21"/>
      <c r="G19369" s="16"/>
    </row>
    <row r="19370" spans="4:7" ht="15" x14ac:dyDescent="0.3">
      <c r="D19370" s="25"/>
      <c r="F19370" s="21"/>
      <c r="G19370" s="16"/>
    </row>
    <row r="19371" spans="4:7" ht="15" x14ac:dyDescent="0.3">
      <c r="D19371" s="25"/>
      <c r="F19371" s="21"/>
      <c r="G19371" s="16"/>
    </row>
    <row r="19372" spans="4:7" ht="15" x14ac:dyDescent="0.3">
      <c r="D19372" s="25"/>
      <c r="F19372" s="21"/>
      <c r="G19372" s="16"/>
    </row>
    <row r="19373" spans="4:7" ht="15" x14ac:dyDescent="0.3">
      <c r="D19373" s="25"/>
      <c r="F19373" s="21"/>
      <c r="G19373" s="16"/>
    </row>
    <row r="19374" spans="4:7" ht="15" x14ac:dyDescent="0.3">
      <c r="D19374" s="25"/>
      <c r="F19374" s="21"/>
      <c r="G19374" s="16"/>
    </row>
    <row r="19375" spans="4:7" ht="15" x14ac:dyDescent="0.3">
      <c r="D19375" s="25"/>
      <c r="F19375" s="21"/>
      <c r="G19375" s="16"/>
    </row>
    <row r="19376" spans="4:7" ht="15" x14ac:dyDescent="0.3">
      <c r="D19376" s="25"/>
      <c r="F19376" s="21"/>
      <c r="G19376" s="16"/>
    </row>
    <row r="19377" spans="4:7" ht="15" x14ac:dyDescent="0.3">
      <c r="D19377" s="25"/>
      <c r="F19377" s="21"/>
      <c r="G19377" s="16"/>
    </row>
    <row r="19378" spans="4:7" ht="15" x14ac:dyDescent="0.3">
      <c r="D19378" s="25"/>
      <c r="F19378" s="21"/>
      <c r="G19378" s="16"/>
    </row>
    <row r="19379" spans="4:7" ht="15" x14ac:dyDescent="0.3">
      <c r="D19379" s="25"/>
      <c r="F19379" s="21"/>
      <c r="G19379" s="16"/>
    </row>
    <row r="19380" spans="4:7" ht="15" x14ac:dyDescent="0.3">
      <c r="D19380" s="25"/>
      <c r="F19380" s="21"/>
      <c r="G19380" s="16"/>
    </row>
    <row r="19381" spans="4:7" ht="15" x14ac:dyDescent="0.3">
      <c r="D19381" s="25"/>
      <c r="F19381" s="21"/>
      <c r="G19381" s="16"/>
    </row>
    <row r="19382" spans="4:7" ht="15" x14ac:dyDescent="0.3">
      <c r="D19382" s="25"/>
      <c r="F19382" s="21"/>
      <c r="G19382" s="16"/>
    </row>
    <row r="19383" spans="4:7" ht="15" x14ac:dyDescent="0.3">
      <c r="D19383" s="25"/>
      <c r="F19383" s="21"/>
      <c r="G19383" s="16"/>
    </row>
    <row r="19384" spans="4:7" ht="15" x14ac:dyDescent="0.3">
      <c r="D19384" s="25"/>
      <c r="F19384" s="21"/>
      <c r="G19384" s="16"/>
    </row>
    <row r="19385" spans="4:7" ht="15" x14ac:dyDescent="0.3">
      <c r="D19385" s="25"/>
      <c r="F19385" s="21"/>
      <c r="G19385" s="16"/>
    </row>
    <row r="19386" spans="4:7" ht="15" x14ac:dyDescent="0.3">
      <c r="D19386" s="25"/>
      <c r="F19386" s="21"/>
      <c r="G19386" s="16"/>
    </row>
    <row r="19387" spans="4:7" ht="15" x14ac:dyDescent="0.3">
      <c r="D19387" s="25"/>
      <c r="F19387" s="21"/>
      <c r="G19387" s="16"/>
    </row>
    <row r="19388" spans="4:7" ht="15" x14ac:dyDescent="0.3">
      <c r="D19388" s="25"/>
      <c r="F19388" s="21"/>
      <c r="G19388" s="16"/>
    </row>
    <row r="19389" spans="4:7" ht="15" x14ac:dyDescent="0.3">
      <c r="D19389" s="25"/>
      <c r="F19389" s="21"/>
      <c r="G19389" s="16"/>
    </row>
    <row r="19390" spans="4:7" ht="15" x14ac:dyDescent="0.3">
      <c r="D19390" s="25"/>
      <c r="F19390" s="21"/>
      <c r="G19390" s="16"/>
    </row>
    <row r="19391" spans="4:7" ht="15" x14ac:dyDescent="0.3">
      <c r="D19391" s="25"/>
      <c r="F19391" s="21"/>
      <c r="G19391" s="16"/>
    </row>
    <row r="19392" spans="4:7" ht="15" x14ac:dyDescent="0.3">
      <c r="D19392" s="25"/>
      <c r="F19392" s="21"/>
      <c r="G19392" s="16"/>
    </row>
    <row r="19393" spans="4:7" ht="15" x14ac:dyDescent="0.3">
      <c r="D19393" s="25"/>
      <c r="F19393" s="21"/>
      <c r="G19393" s="16"/>
    </row>
    <row r="19394" spans="4:7" ht="15" x14ac:dyDescent="0.3">
      <c r="D19394" s="25"/>
      <c r="F19394" s="21"/>
      <c r="G19394" s="16"/>
    </row>
    <row r="19395" spans="4:7" ht="15" x14ac:dyDescent="0.3">
      <c r="D19395" s="25"/>
      <c r="F19395" s="21"/>
      <c r="G19395" s="16"/>
    </row>
    <row r="19396" spans="4:7" ht="15" x14ac:dyDescent="0.3">
      <c r="D19396" s="25"/>
      <c r="F19396" s="21"/>
      <c r="G19396" s="16"/>
    </row>
    <row r="19397" spans="4:7" ht="15" x14ac:dyDescent="0.3">
      <c r="D19397" s="25"/>
      <c r="F19397" s="21"/>
      <c r="G19397" s="16"/>
    </row>
    <row r="19398" spans="4:7" ht="15" x14ac:dyDescent="0.3">
      <c r="D19398" s="25"/>
      <c r="F19398" s="21"/>
      <c r="G19398" s="16"/>
    </row>
    <row r="19399" spans="4:7" ht="15" x14ac:dyDescent="0.3">
      <c r="D19399" s="25"/>
      <c r="F19399" s="21"/>
      <c r="G19399" s="16"/>
    </row>
    <row r="19400" spans="4:7" ht="15" x14ac:dyDescent="0.3">
      <c r="D19400" s="25"/>
      <c r="F19400" s="21"/>
      <c r="G19400" s="16"/>
    </row>
    <row r="19401" spans="4:7" ht="15" x14ac:dyDescent="0.3">
      <c r="D19401" s="25"/>
      <c r="F19401" s="21"/>
      <c r="G19401" s="16"/>
    </row>
    <row r="19402" spans="4:7" ht="15" x14ac:dyDescent="0.3">
      <c r="D19402" s="25"/>
      <c r="F19402" s="21"/>
      <c r="G19402" s="16"/>
    </row>
    <row r="19403" spans="4:7" ht="15" x14ac:dyDescent="0.3">
      <c r="D19403" s="25"/>
      <c r="F19403" s="21"/>
      <c r="G19403" s="16"/>
    </row>
    <row r="19404" spans="4:7" ht="15" x14ac:dyDescent="0.3">
      <c r="D19404" s="25"/>
      <c r="F19404" s="21"/>
      <c r="G19404" s="16"/>
    </row>
    <row r="19405" spans="4:7" ht="15" x14ac:dyDescent="0.3">
      <c r="D19405" s="25"/>
      <c r="F19405" s="21"/>
      <c r="G19405" s="16"/>
    </row>
    <row r="19406" spans="4:7" ht="15" x14ac:dyDescent="0.3">
      <c r="D19406" s="25"/>
      <c r="F19406" s="21"/>
      <c r="G19406" s="16"/>
    </row>
    <row r="19407" spans="4:7" ht="15" x14ac:dyDescent="0.3">
      <c r="D19407" s="25"/>
      <c r="F19407" s="21"/>
      <c r="G19407" s="16"/>
    </row>
    <row r="19408" spans="4:7" ht="15" x14ac:dyDescent="0.3">
      <c r="D19408" s="25"/>
      <c r="F19408" s="21"/>
      <c r="G19408" s="16"/>
    </row>
    <row r="19409" spans="4:7" ht="15" x14ac:dyDescent="0.3">
      <c r="D19409" s="25"/>
      <c r="F19409" s="21"/>
      <c r="G19409" s="16"/>
    </row>
    <row r="19410" spans="4:7" ht="15" x14ac:dyDescent="0.3">
      <c r="D19410" s="25"/>
      <c r="F19410" s="21"/>
      <c r="G19410" s="16"/>
    </row>
    <row r="19411" spans="4:7" ht="15" x14ac:dyDescent="0.3">
      <c r="D19411" s="25"/>
      <c r="F19411" s="21"/>
      <c r="G19411" s="16"/>
    </row>
    <row r="19412" spans="4:7" ht="15" x14ac:dyDescent="0.3">
      <c r="D19412" s="25"/>
      <c r="F19412" s="21"/>
      <c r="G19412" s="16"/>
    </row>
    <row r="19413" spans="4:7" ht="15" x14ac:dyDescent="0.3">
      <c r="D19413" s="25"/>
      <c r="F19413" s="21"/>
      <c r="G19413" s="16"/>
    </row>
    <row r="19414" spans="4:7" ht="15" x14ac:dyDescent="0.3">
      <c r="D19414" s="25"/>
      <c r="F19414" s="21"/>
      <c r="G19414" s="16"/>
    </row>
    <row r="19415" spans="4:7" ht="15" x14ac:dyDescent="0.3">
      <c r="D19415" s="25"/>
      <c r="F19415" s="21"/>
      <c r="G19415" s="16"/>
    </row>
    <row r="19416" spans="4:7" ht="15" x14ac:dyDescent="0.3">
      <c r="D19416" s="25"/>
      <c r="F19416" s="21"/>
      <c r="G19416" s="16"/>
    </row>
    <row r="19417" spans="4:7" ht="15" x14ac:dyDescent="0.3">
      <c r="D19417" s="25"/>
      <c r="F19417" s="21"/>
      <c r="G19417" s="16"/>
    </row>
    <row r="19418" spans="4:7" ht="15" x14ac:dyDescent="0.3">
      <c r="D19418" s="25"/>
      <c r="F19418" s="21"/>
      <c r="G19418" s="16"/>
    </row>
    <row r="19419" spans="4:7" ht="15" x14ac:dyDescent="0.3">
      <c r="D19419" s="25"/>
      <c r="F19419" s="21"/>
      <c r="G19419" s="16"/>
    </row>
    <row r="19420" spans="4:7" ht="15" x14ac:dyDescent="0.3">
      <c r="D19420" s="25"/>
      <c r="F19420" s="21"/>
      <c r="G19420" s="16"/>
    </row>
    <row r="19421" spans="4:7" ht="15" x14ac:dyDescent="0.3">
      <c r="D19421" s="25"/>
      <c r="F19421" s="21"/>
      <c r="G19421" s="16"/>
    </row>
    <row r="19422" spans="4:7" ht="15" x14ac:dyDescent="0.3">
      <c r="D19422" s="25"/>
      <c r="F19422" s="21"/>
      <c r="G19422" s="16"/>
    </row>
    <row r="19423" spans="4:7" ht="15" x14ac:dyDescent="0.3">
      <c r="D19423" s="25"/>
      <c r="F19423" s="21"/>
      <c r="G19423" s="16"/>
    </row>
    <row r="19424" spans="4:7" ht="15" x14ac:dyDescent="0.3">
      <c r="D19424" s="25"/>
      <c r="F19424" s="21"/>
      <c r="G19424" s="16"/>
    </row>
    <row r="19425" spans="4:7" ht="15" x14ac:dyDescent="0.3">
      <c r="D19425" s="25"/>
      <c r="F19425" s="21"/>
      <c r="G19425" s="16"/>
    </row>
    <row r="19426" spans="4:7" ht="15" x14ac:dyDescent="0.3">
      <c r="D19426" s="25"/>
      <c r="F19426" s="21"/>
      <c r="G19426" s="16"/>
    </row>
    <row r="19427" spans="4:7" ht="15" x14ac:dyDescent="0.3">
      <c r="D19427" s="25"/>
      <c r="F19427" s="21"/>
      <c r="G19427" s="16"/>
    </row>
    <row r="19428" spans="4:7" ht="15" x14ac:dyDescent="0.3">
      <c r="D19428" s="25"/>
      <c r="F19428" s="21"/>
      <c r="G19428" s="16"/>
    </row>
    <row r="19429" spans="4:7" ht="15" x14ac:dyDescent="0.3">
      <c r="D19429" s="25"/>
      <c r="F19429" s="21"/>
      <c r="G19429" s="16"/>
    </row>
    <row r="19430" spans="4:7" ht="15" x14ac:dyDescent="0.3">
      <c r="D19430" s="25"/>
      <c r="F19430" s="21"/>
      <c r="G19430" s="16"/>
    </row>
    <row r="19431" spans="4:7" ht="15" x14ac:dyDescent="0.3">
      <c r="D19431" s="25"/>
      <c r="F19431" s="21"/>
      <c r="G19431" s="16"/>
    </row>
    <row r="19432" spans="4:7" ht="15" x14ac:dyDescent="0.3">
      <c r="D19432" s="25"/>
      <c r="F19432" s="21"/>
      <c r="G19432" s="16"/>
    </row>
    <row r="19433" spans="4:7" ht="15" x14ac:dyDescent="0.3">
      <c r="D19433" s="25"/>
      <c r="F19433" s="21"/>
      <c r="G19433" s="16"/>
    </row>
    <row r="19434" spans="4:7" ht="15" x14ac:dyDescent="0.3">
      <c r="D19434" s="25"/>
      <c r="F19434" s="21"/>
      <c r="G19434" s="16"/>
    </row>
    <row r="19435" spans="4:7" ht="15" x14ac:dyDescent="0.3">
      <c r="D19435" s="25"/>
      <c r="F19435" s="21"/>
      <c r="G19435" s="16"/>
    </row>
    <row r="19436" spans="4:7" ht="15" x14ac:dyDescent="0.3">
      <c r="D19436" s="25"/>
      <c r="F19436" s="21"/>
      <c r="G19436" s="16"/>
    </row>
    <row r="19437" spans="4:7" ht="15" x14ac:dyDescent="0.3">
      <c r="D19437" s="25"/>
      <c r="F19437" s="21"/>
      <c r="G19437" s="16"/>
    </row>
    <row r="19438" spans="4:7" ht="15" x14ac:dyDescent="0.3">
      <c r="D19438" s="25"/>
      <c r="F19438" s="21"/>
      <c r="G19438" s="16"/>
    </row>
    <row r="19439" spans="4:7" ht="15" x14ac:dyDescent="0.3">
      <c r="D19439" s="25"/>
      <c r="F19439" s="21"/>
      <c r="G19439" s="16"/>
    </row>
    <row r="19440" spans="4:7" ht="15" x14ac:dyDescent="0.3">
      <c r="D19440" s="25"/>
      <c r="F19440" s="21"/>
      <c r="G19440" s="16"/>
    </row>
    <row r="19441" spans="4:7" ht="15" x14ac:dyDescent="0.3">
      <c r="D19441" s="25"/>
      <c r="F19441" s="21"/>
      <c r="G19441" s="16"/>
    </row>
    <row r="19442" spans="4:7" ht="15" x14ac:dyDescent="0.3">
      <c r="D19442" s="25"/>
      <c r="F19442" s="21"/>
      <c r="G19442" s="16"/>
    </row>
    <row r="19443" spans="4:7" ht="15" x14ac:dyDescent="0.3">
      <c r="D19443" s="25"/>
      <c r="F19443" s="21"/>
      <c r="G19443" s="16"/>
    </row>
    <row r="19444" spans="4:7" ht="15" x14ac:dyDescent="0.3">
      <c r="D19444" s="25"/>
      <c r="F19444" s="21"/>
      <c r="G19444" s="16"/>
    </row>
    <row r="19445" spans="4:7" ht="15" x14ac:dyDescent="0.3">
      <c r="D19445" s="25"/>
      <c r="F19445" s="21"/>
      <c r="G19445" s="16"/>
    </row>
    <row r="19446" spans="4:7" ht="15" x14ac:dyDescent="0.3">
      <c r="D19446" s="25"/>
      <c r="F19446" s="21"/>
      <c r="G19446" s="16"/>
    </row>
    <row r="19447" spans="4:7" ht="15" x14ac:dyDescent="0.3">
      <c r="D19447" s="25"/>
      <c r="F19447" s="21"/>
      <c r="G19447" s="16"/>
    </row>
    <row r="19448" spans="4:7" ht="15" x14ac:dyDescent="0.3">
      <c r="D19448" s="25"/>
      <c r="F19448" s="21"/>
      <c r="G19448" s="16"/>
    </row>
    <row r="19449" spans="4:7" ht="15" x14ac:dyDescent="0.3">
      <c r="D19449" s="25"/>
      <c r="F19449" s="21"/>
      <c r="G19449" s="16"/>
    </row>
    <row r="19450" spans="4:7" ht="15" x14ac:dyDescent="0.3">
      <c r="D19450" s="25"/>
      <c r="F19450" s="21"/>
      <c r="G19450" s="16"/>
    </row>
    <row r="19451" spans="4:7" ht="15" x14ac:dyDescent="0.3">
      <c r="D19451" s="25"/>
      <c r="F19451" s="21"/>
      <c r="G19451" s="16"/>
    </row>
    <row r="19452" spans="4:7" ht="15" x14ac:dyDescent="0.3">
      <c r="D19452" s="25"/>
      <c r="F19452" s="21"/>
      <c r="G19452" s="16"/>
    </row>
    <row r="19453" spans="4:7" ht="15" x14ac:dyDescent="0.3">
      <c r="D19453" s="25"/>
      <c r="F19453" s="21"/>
      <c r="G19453" s="16"/>
    </row>
    <row r="19454" spans="4:7" ht="15" x14ac:dyDescent="0.3">
      <c r="D19454" s="25"/>
      <c r="F19454" s="21"/>
      <c r="G19454" s="16"/>
    </row>
    <row r="19455" spans="4:7" ht="15" x14ac:dyDescent="0.3">
      <c r="D19455" s="25"/>
      <c r="F19455" s="21"/>
      <c r="G19455" s="16"/>
    </row>
    <row r="19456" spans="4:7" ht="15" x14ac:dyDescent="0.3">
      <c r="D19456" s="25"/>
      <c r="F19456" s="21"/>
      <c r="G19456" s="16"/>
    </row>
    <row r="19457" spans="4:7" ht="15" x14ac:dyDescent="0.3">
      <c r="D19457" s="25"/>
      <c r="F19457" s="21"/>
      <c r="G19457" s="16"/>
    </row>
    <row r="19458" spans="4:7" ht="15" x14ac:dyDescent="0.3">
      <c r="D19458" s="25"/>
      <c r="F19458" s="21"/>
      <c r="G19458" s="16"/>
    </row>
    <row r="19459" spans="4:7" ht="15" x14ac:dyDescent="0.3">
      <c r="D19459" s="25"/>
      <c r="F19459" s="21"/>
      <c r="G19459" s="16"/>
    </row>
    <row r="19460" spans="4:7" ht="15" x14ac:dyDescent="0.3">
      <c r="D19460" s="25"/>
      <c r="F19460" s="21"/>
      <c r="G19460" s="16"/>
    </row>
    <row r="19461" spans="4:7" ht="15" x14ac:dyDescent="0.3">
      <c r="D19461" s="25"/>
      <c r="F19461" s="21"/>
      <c r="G19461" s="16"/>
    </row>
    <row r="19462" spans="4:7" ht="15" x14ac:dyDescent="0.3">
      <c r="D19462" s="25"/>
      <c r="F19462" s="21"/>
      <c r="G19462" s="16"/>
    </row>
    <row r="19463" spans="4:7" ht="15" x14ac:dyDescent="0.3">
      <c r="D19463" s="25"/>
      <c r="F19463" s="21"/>
      <c r="G19463" s="16"/>
    </row>
    <row r="19464" spans="4:7" ht="15" x14ac:dyDescent="0.3">
      <c r="D19464" s="25"/>
      <c r="F19464" s="21"/>
      <c r="G19464" s="16"/>
    </row>
    <row r="19465" spans="4:7" ht="15" x14ac:dyDescent="0.3">
      <c r="D19465" s="25"/>
      <c r="F19465" s="21"/>
      <c r="G19465" s="16"/>
    </row>
    <row r="19466" spans="4:7" ht="15" x14ac:dyDescent="0.3">
      <c r="D19466" s="25"/>
      <c r="F19466" s="21"/>
      <c r="G19466" s="16"/>
    </row>
    <row r="19467" spans="4:7" ht="15" x14ac:dyDescent="0.3">
      <c r="D19467" s="25"/>
      <c r="F19467" s="21"/>
      <c r="G19467" s="16"/>
    </row>
    <row r="19468" spans="4:7" ht="15" x14ac:dyDescent="0.3">
      <c r="D19468" s="25"/>
      <c r="F19468" s="21"/>
      <c r="G19468" s="16"/>
    </row>
    <row r="19469" spans="4:7" ht="15" x14ac:dyDescent="0.3">
      <c r="D19469" s="25"/>
      <c r="F19469" s="21"/>
      <c r="G19469" s="16"/>
    </row>
    <row r="19470" spans="4:7" ht="15" x14ac:dyDescent="0.3">
      <c r="D19470" s="25"/>
      <c r="F19470" s="21"/>
      <c r="G19470" s="16"/>
    </row>
    <row r="19471" spans="4:7" ht="15" x14ac:dyDescent="0.3">
      <c r="D19471" s="25"/>
      <c r="F19471" s="21"/>
      <c r="G19471" s="16"/>
    </row>
    <row r="19472" spans="4:7" ht="15" x14ac:dyDescent="0.3">
      <c r="D19472" s="25"/>
      <c r="F19472" s="21"/>
      <c r="G19472" s="16"/>
    </row>
    <row r="19473" spans="4:7" ht="15" x14ac:dyDescent="0.3">
      <c r="D19473" s="25"/>
      <c r="F19473" s="21"/>
      <c r="G19473" s="16"/>
    </row>
    <row r="19474" spans="4:7" ht="15" x14ac:dyDescent="0.3">
      <c r="D19474" s="25"/>
      <c r="F19474" s="21"/>
      <c r="G19474" s="16"/>
    </row>
    <row r="19475" spans="4:7" ht="15" x14ac:dyDescent="0.3">
      <c r="D19475" s="25"/>
      <c r="F19475" s="21"/>
      <c r="G19475" s="16"/>
    </row>
    <row r="19476" spans="4:7" ht="15" x14ac:dyDescent="0.3">
      <c r="D19476" s="25"/>
      <c r="F19476" s="21"/>
      <c r="G19476" s="16"/>
    </row>
    <row r="19477" spans="4:7" ht="15" x14ac:dyDescent="0.3">
      <c r="D19477" s="25"/>
      <c r="F19477" s="21"/>
      <c r="G19477" s="16"/>
    </row>
    <row r="19478" spans="4:7" ht="15" x14ac:dyDescent="0.3">
      <c r="D19478" s="25"/>
      <c r="F19478" s="21"/>
      <c r="G19478" s="16"/>
    </row>
    <row r="19479" spans="4:7" ht="15" x14ac:dyDescent="0.3">
      <c r="D19479" s="25"/>
      <c r="F19479" s="21"/>
      <c r="G19479" s="16"/>
    </row>
    <row r="19480" spans="4:7" ht="15" x14ac:dyDescent="0.3">
      <c r="D19480" s="25"/>
      <c r="F19480" s="21"/>
      <c r="G19480" s="16"/>
    </row>
    <row r="19481" spans="4:7" ht="15" x14ac:dyDescent="0.3">
      <c r="D19481" s="25"/>
      <c r="F19481" s="21"/>
      <c r="G19481" s="16"/>
    </row>
    <row r="19482" spans="4:7" ht="15" x14ac:dyDescent="0.3">
      <c r="D19482" s="25"/>
      <c r="F19482" s="21"/>
      <c r="G19482" s="16"/>
    </row>
    <row r="19483" spans="4:7" ht="15" x14ac:dyDescent="0.3">
      <c r="D19483" s="25"/>
      <c r="F19483" s="21"/>
      <c r="G19483" s="16"/>
    </row>
    <row r="19484" spans="4:7" ht="15" x14ac:dyDescent="0.3">
      <c r="D19484" s="25"/>
      <c r="F19484" s="21"/>
      <c r="G19484" s="16"/>
    </row>
    <row r="19485" spans="4:7" ht="15" x14ac:dyDescent="0.3">
      <c r="D19485" s="25"/>
      <c r="F19485" s="21"/>
      <c r="G19485" s="16"/>
    </row>
    <row r="19486" spans="4:7" ht="15" x14ac:dyDescent="0.3">
      <c r="D19486" s="25"/>
      <c r="F19486" s="21"/>
      <c r="G19486" s="16"/>
    </row>
    <row r="19487" spans="4:7" ht="15" x14ac:dyDescent="0.3">
      <c r="D19487" s="25"/>
      <c r="F19487" s="21"/>
      <c r="G19487" s="16"/>
    </row>
    <row r="19488" spans="4:7" ht="15" x14ac:dyDescent="0.3">
      <c r="D19488" s="25"/>
      <c r="F19488" s="21"/>
      <c r="G19488" s="16"/>
    </row>
    <row r="19489" spans="4:7" ht="15" x14ac:dyDescent="0.3">
      <c r="D19489" s="25"/>
      <c r="F19489" s="21"/>
      <c r="G19489" s="16"/>
    </row>
    <row r="19490" spans="4:7" ht="15" x14ac:dyDescent="0.3">
      <c r="D19490" s="25"/>
      <c r="F19490" s="21"/>
      <c r="G19490" s="16"/>
    </row>
    <row r="19491" spans="4:7" ht="15" x14ac:dyDescent="0.3">
      <c r="D19491" s="25"/>
      <c r="F19491" s="21"/>
      <c r="G19491" s="16"/>
    </row>
    <row r="19492" spans="4:7" ht="15" x14ac:dyDescent="0.3">
      <c r="D19492" s="25"/>
      <c r="F19492" s="21"/>
      <c r="G19492" s="16"/>
    </row>
    <row r="19493" spans="4:7" ht="15" x14ac:dyDescent="0.3">
      <c r="D19493" s="25"/>
      <c r="F19493" s="21"/>
      <c r="G19493" s="16"/>
    </row>
    <row r="19494" spans="4:7" ht="15" x14ac:dyDescent="0.3">
      <c r="D19494" s="25"/>
      <c r="F19494" s="21"/>
      <c r="G19494" s="16"/>
    </row>
    <row r="19495" spans="4:7" ht="15" x14ac:dyDescent="0.3">
      <c r="D19495" s="25"/>
      <c r="F19495" s="21"/>
      <c r="G19495" s="16"/>
    </row>
    <row r="19496" spans="4:7" ht="15" x14ac:dyDescent="0.3">
      <c r="D19496" s="25"/>
      <c r="F19496" s="21"/>
      <c r="G19496" s="16"/>
    </row>
    <row r="19497" spans="4:7" ht="15" x14ac:dyDescent="0.3">
      <c r="D19497" s="25"/>
      <c r="F19497" s="21"/>
      <c r="G19497" s="16"/>
    </row>
    <row r="19498" spans="4:7" ht="15" x14ac:dyDescent="0.3">
      <c r="D19498" s="25"/>
      <c r="F19498" s="21"/>
      <c r="G19498" s="16"/>
    </row>
    <row r="19499" spans="4:7" ht="15" x14ac:dyDescent="0.3">
      <c r="D19499" s="25"/>
      <c r="F19499" s="21"/>
      <c r="G19499" s="16"/>
    </row>
    <row r="19500" spans="4:7" ht="15" x14ac:dyDescent="0.3">
      <c r="D19500" s="25"/>
      <c r="F19500" s="21"/>
      <c r="G19500" s="16"/>
    </row>
    <row r="19501" spans="4:7" ht="15" x14ac:dyDescent="0.3">
      <c r="D19501" s="25"/>
      <c r="F19501" s="21"/>
      <c r="G19501" s="16"/>
    </row>
    <row r="19502" spans="4:7" ht="15" x14ac:dyDescent="0.3">
      <c r="D19502" s="25"/>
      <c r="F19502" s="21"/>
      <c r="G19502" s="16"/>
    </row>
    <row r="19503" spans="4:7" ht="15" x14ac:dyDescent="0.3">
      <c r="D19503" s="25"/>
      <c r="F19503" s="21"/>
      <c r="G19503" s="16"/>
    </row>
    <row r="19504" spans="4:7" ht="15" x14ac:dyDescent="0.3">
      <c r="D19504" s="25"/>
      <c r="F19504" s="21"/>
      <c r="G19504" s="16"/>
    </row>
    <row r="19505" spans="4:7" ht="15" x14ac:dyDescent="0.3">
      <c r="D19505" s="25"/>
      <c r="F19505" s="21"/>
      <c r="G19505" s="16"/>
    </row>
    <row r="19506" spans="4:7" ht="15" x14ac:dyDescent="0.3">
      <c r="D19506" s="25"/>
      <c r="F19506" s="21"/>
      <c r="G19506" s="16"/>
    </row>
    <row r="19507" spans="4:7" ht="15" x14ac:dyDescent="0.3">
      <c r="D19507" s="25"/>
      <c r="F19507" s="21"/>
      <c r="G19507" s="16"/>
    </row>
    <row r="19508" spans="4:7" ht="15" x14ac:dyDescent="0.3">
      <c r="D19508" s="25"/>
      <c r="F19508" s="21"/>
      <c r="G19508" s="16"/>
    </row>
    <row r="19509" spans="4:7" ht="15" x14ac:dyDescent="0.3">
      <c r="D19509" s="25"/>
      <c r="F19509" s="21"/>
      <c r="G19509" s="16"/>
    </row>
    <row r="19510" spans="4:7" ht="15" x14ac:dyDescent="0.3">
      <c r="D19510" s="25"/>
      <c r="F19510" s="21"/>
      <c r="G19510" s="16"/>
    </row>
    <row r="19511" spans="4:7" ht="15" x14ac:dyDescent="0.3">
      <c r="D19511" s="25"/>
      <c r="F19511" s="21"/>
      <c r="G19511" s="16"/>
    </row>
    <row r="19512" spans="4:7" ht="15" x14ac:dyDescent="0.3">
      <c r="D19512" s="25"/>
      <c r="F19512" s="21"/>
      <c r="G19512" s="16"/>
    </row>
    <row r="19513" spans="4:7" ht="15" x14ac:dyDescent="0.3">
      <c r="D19513" s="25"/>
      <c r="F19513" s="21"/>
      <c r="G19513" s="16"/>
    </row>
    <row r="19514" spans="4:7" ht="15" x14ac:dyDescent="0.3">
      <c r="D19514" s="25"/>
      <c r="F19514" s="21"/>
      <c r="G19514" s="16"/>
    </row>
    <row r="19515" spans="4:7" ht="15" x14ac:dyDescent="0.3">
      <c r="D19515" s="25"/>
      <c r="F19515" s="21"/>
      <c r="G19515" s="16"/>
    </row>
    <row r="19516" spans="4:7" ht="15" x14ac:dyDescent="0.3">
      <c r="D19516" s="25"/>
      <c r="F19516" s="21"/>
      <c r="G19516" s="16"/>
    </row>
    <row r="19517" spans="4:7" ht="15" x14ac:dyDescent="0.3">
      <c r="D19517" s="25"/>
      <c r="F19517" s="21"/>
      <c r="G19517" s="16"/>
    </row>
    <row r="19518" spans="4:7" ht="15" x14ac:dyDescent="0.3">
      <c r="D19518" s="25"/>
      <c r="F19518" s="21"/>
      <c r="G19518" s="16"/>
    </row>
    <row r="19519" spans="4:7" ht="15" x14ac:dyDescent="0.3">
      <c r="D19519" s="25"/>
      <c r="F19519" s="21"/>
      <c r="G19519" s="16"/>
    </row>
    <row r="19520" spans="4:7" ht="15" x14ac:dyDescent="0.3">
      <c r="D19520" s="25"/>
      <c r="F19520" s="21"/>
      <c r="G19520" s="16"/>
    </row>
    <row r="19521" spans="4:7" ht="15" x14ac:dyDescent="0.3">
      <c r="D19521" s="25"/>
      <c r="F19521" s="21"/>
      <c r="G19521" s="16"/>
    </row>
    <row r="19522" spans="4:7" ht="15" x14ac:dyDescent="0.3">
      <c r="D19522" s="25"/>
      <c r="F19522" s="21"/>
      <c r="G19522" s="16"/>
    </row>
    <row r="19523" spans="4:7" ht="15" x14ac:dyDescent="0.3">
      <c r="D19523" s="25"/>
      <c r="F19523" s="21"/>
      <c r="G19523" s="16"/>
    </row>
    <row r="19524" spans="4:7" ht="15" x14ac:dyDescent="0.3">
      <c r="D19524" s="25"/>
      <c r="F19524" s="21"/>
      <c r="G19524" s="16"/>
    </row>
    <row r="19525" spans="4:7" ht="15" x14ac:dyDescent="0.3">
      <c r="D19525" s="25"/>
      <c r="F19525" s="21"/>
      <c r="G19525" s="16"/>
    </row>
    <row r="19526" spans="4:7" ht="15" x14ac:dyDescent="0.3">
      <c r="D19526" s="25"/>
      <c r="F19526" s="21"/>
      <c r="G19526" s="16"/>
    </row>
    <row r="19527" spans="4:7" ht="15" x14ac:dyDescent="0.3">
      <c r="D19527" s="25"/>
      <c r="F19527" s="21"/>
      <c r="G19527" s="16"/>
    </row>
    <row r="19528" spans="4:7" ht="15" x14ac:dyDescent="0.3">
      <c r="D19528" s="25"/>
      <c r="F19528" s="21"/>
      <c r="G19528" s="16"/>
    </row>
    <row r="19529" spans="4:7" ht="15" x14ac:dyDescent="0.3">
      <c r="D19529" s="25"/>
      <c r="F19529" s="21"/>
      <c r="G19529" s="16"/>
    </row>
    <row r="19530" spans="4:7" ht="15" x14ac:dyDescent="0.3">
      <c r="D19530" s="25"/>
      <c r="F19530" s="21"/>
      <c r="G19530" s="16"/>
    </row>
    <row r="19531" spans="4:7" ht="15" x14ac:dyDescent="0.3">
      <c r="D19531" s="25"/>
      <c r="F19531" s="21"/>
      <c r="G19531" s="16"/>
    </row>
    <row r="19532" spans="4:7" ht="15" x14ac:dyDescent="0.3">
      <c r="D19532" s="25"/>
      <c r="F19532" s="21"/>
      <c r="G19532" s="16"/>
    </row>
    <row r="19533" spans="4:7" ht="15" x14ac:dyDescent="0.3">
      <c r="D19533" s="25"/>
      <c r="F19533" s="21"/>
      <c r="G19533" s="16"/>
    </row>
    <row r="19534" spans="4:7" ht="15" x14ac:dyDescent="0.3">
      <c r="D19534" s="25"/>
      <c r="F19534" s="21"/>
      <c r="G19534" s="16"/>
    </row>
    <row r="19535" spans="4:7" ht="15" x14ac:dyDescent="0.3">
      <c r="D19535" s="25"/>
      <c r="F19535" s="21"/>
      <c r="G19535" s="16"/>
    </row>
    <row r="19536" spans="4:7" ht="15" x14ac:dyDescent="0.3">
      <c r="D19536" s="25"/>
      <c r="F19536" s="21"/>
      <c r="G19536" s="16"/>
    </row>
    <row r="19537" spans="4:7" ht="15" x14ac:dyDescent="0.3">
      <c r="D19537" s="25"/>
      <c r="F19537" s="21"/>
      <c r="G19537" s="16"/>
    </row>
    <row r="19538" spans="4:7" ht="15" x14ac:dyDescent="0.3">
      <c r="D19538" s="25"/>
      <c r="F19538" s="21"/>
      <c r="G19538" s="16"/>
    </row>
    <row r="19539" spans="4:7" ht="15" x14ac:dyDescent="0.3">
      <c r="D19539" s="25"/>
      <c r="F19539" s="21"/>
      <c r="G19539" s="16"/>
    </row>
    <row r="19540" spans="4:7" ht="15" x14ac:dyDescent="0.3">
      <c r="D19540" s="25"/>
      <c r="F19540" s="21"/>
      <c r="G19540" s="16"/>
    </row>
    <row r="19541" spans="4:7" ht="15" x14ac:dyDescent="0.3">
      <c r="D19541" s="25"/>
      <c r="F19541" s="21"/>
      <c r="G19541" s="16"/>
    </row>
    <row r="19542" spans="4:7" ht="15" x14ac:dyDescent="0.3">
      <c r="D19542" s="25"/>
      <c r="F19542" s="21"/>
      <c r="G19542" s="16"/>
    </row>
    <row r="19543" spans="4:7" ht="15" x14ac:dyDescent="0.3">
      <c r="D19543" s="25"/>
      <c r="F19543" s="21"/>
      <c r="G19543" s="16"/>
    </row>
    <row r="19544" spans="4:7" ht="15" x14ac:dyDescent="0.3">
      <c r="D19544" s="25"/>
      <c r="F19544" s="21"/>
      <c r="G19544" s="16"/>
    </row>
    <row r="19545" spans="4:7" ht="15" x14ac:dyDescent="0.3">
      <c r="D19545" s="25"/>
      <c r="F19545" s="21"/>
      <c r="G19545" s="16"/>
    </row>
    <row r="19546" spans="4:7" ht="15" x14ac:dyDescent="0.3">
      <c r="D19546" s="25"/>
      <c r="F19546" s="21"/>
      <c r="G19546" s="16"/>
    </row>
    <row r="19547" spans="4:7" ht="15" x14ac:dyDescent="0.3">
      <c r="D19547" s="25"/>
      <c r="F19547" s="21"/>
      <c r="G19547" s="16"/>
    </row>
    <row r="19548" spans="4:7" ht="15" x14ac:dyDescent="0.3">
      <c r="D19548" s="25"/>
      <c r="F19548" s="21"/>
      <c r="G19548" s="16"/>
    </row>
    <row r="19549" spans="4:7" ht="15" x14ac:dyDescent="0.3">
      <c r="D19549" s="25"/>
      <c r="F19549" s="21"/>
      <c r="G19549" s="16"/>
    </row>
    <row r="19550" spans="4:7" ht="15" x14ac:dyDescent="0.3">
      <c r="D19550" s="25"/>
      <c r="F19550" s="21"/>
      <c r="G19550" s="16"/>
    </row>
    <row r="19551" spans="4:7" ht="15" x14ac:dyDescent="0.3">
      <c r="D19551" s="25"/>
      <c r="F19551" s="21"/>
      <c r="G19551" s="16"/>
    </row>
    <row r="19552" spans="4:7" ht="15" x14ac:dyDescent="0.3">
      <c r="D19552" s="25"/>
      <c r="F19552" s="21"/>
      <c r="G19552" s="16"/>
    </row>
    <row r="19553" spans="4:7" ht="15" x14ac:dyDescent="0.3">
      <c r="D19553" s="25"/>
      <c r="F19553" s="21"/>
      <c r="G19553" s="16"/>
    </row>
    <row r="19554" spans="4:7" ht="15" x14ac:dyDescent="0.3">
      <c r="D19554" s="25"/>
      <c r="F19554" s="21"/>
      <c r="G19554" s="16"/>
    </row>
    <row r="19555" spans="4:7" ht="15" x14ac:dyDescent="0.3">
      <c r="D19555" s="25"/>
      <c r="F19555" s="21"/>
      <c r="G19555" s="16"/>
    </row>
    <row r="19556" spans="4:7" ht="15" x14ac:dyDescent="0.3">
      <c r="D19556" s="25"/>
      <c r="F19556" s="21"/>
      <c r="G19556" s="16"/>
    </row>
    <row r="19557" spans="4:7" ht="15" x14ac:dyDescent="0.3">
      <c r="D19557" s="25"/>
      <c r="F19557" s="21"/>
      <c r="G19557" s="16"/>
    </row>
    <row r="19558" spans="4:7" ht="15" x14ac:dyDescent="0.3">
      <c r="D19558" s="25"/>
      <c r="F19558" s="21"/>
      <c r="G19558" s="16"/>
    </row>
    <row r="19559" spans="4:7" ht="15" x14ac:dyDescent="0.3">
      <c r="D19559" s="25"/>
      <c r="F19559" s="21"/>
      <c r="G19559" s="16"/>
    </row>
    <row r="19560" spans="4:7" ht="15" x14ac:dyDescent="0.3">
      <c r="D19560" s="25"/>
      <c r="F19560" s="21"/>
      <c r="G19560" s="16"/>
    </row>
    <row r="19561" spans="4:7" ht="15" x14ac:dyDescent="0.3">
      <c r="D19561" s="25"/>
      <c r="F19561" s="21"/>
      <c r="G19561" s="16"/>
    </row>
    <row r="19562" spans="4:7" ht="15" x14ac:dyDescent="0.3">
      <c r="D19562" s="25"/>
      <c r="F19562" s="21"/>
      <c r="G19562" s="16"/>
    </row>
    <row r="19563" spans="4:7" ht="15" x14ac:dyDescent="0.3">
      <c r="D19563" s="25"/>
      <c r="F19563" s="21"/>
      <c r="G19563" s="16"/>
    </row>
    <row r="19564" spans="4:7" ht="15" x14ac:dyDescent="0.3">
      <c r="D19564" s="25"/>
      <c r="F19564" s="21"/>
      <c r="G19564" s="16"/>
    </row>
    <row r="19565" spans="4:7" ht="15" x14ac:dyDescent="0.3">
      <c r="D19565" s="25"/>
      <c r="F19565" s="21"/>
      <c r="G19565" s="16"/>
    </row>
    <row r="19566" spans="4:7" ht="15" x14ac:dyDescent="0.3">
      <c r="D19566" s="25"/>
      <c r="F19566" s="21"/>
      <c r="G19566" s="16"/>
    </row>
    <row r="19567" spans="4:7" ht="15" x14ac:dyDescent="0.3">
      <c r="D19567" s="25"/>
      <c r="F19567" s="21"/>
      <c r="G19567" s="16"/>
    </row>
    <row r="19568" spans="4:7" ht="15" x14ac:dyDescent="0.3">
      <c r="D19568" s="25"/>
      <c r="F19568" s="21"/>
      <c r="G19568" s="16"/>
    </row>
    <row r="19569" spans="4:7" ht="15" x14ac:dyDescent="0.3">
      <c r="D19569" s="25"/>
      <c r="F19569" s="21"/>
      <c r="G19569" s="16"/>
    </row>
    <row r="19570" spans="4:7" ht="15" x14ac:dyDescent="0.3">
      <c r="D19570" s="25"/>
      <c r="F19570" s="21"/>
      <c r="G19570" s="16"/>
    </row>
    <row r="19571" spans="4:7" ht="15" x14ac:dyDescent="0.3">
      <c r="D19571" s="25"/>
      <c r="F19571" s="21"/>
      <c r="G19571" s="16"/>
    </row>
    <row r="19572" spans="4:7" ht="15" x14ac:dyDescent="0.3">
      <c r="D19572" s="25"/>
      <c r="F19572" s="21"/>
      <c r="G19572" s="16"/>
    </row>
    <row r="19573" spans="4:7" ht="15" x14ac:dyDescent="0.3">
      <c r="D19573" s="25"/>
      <c r="F19573" s="21"/>
      <c r="G19573" s="16"/>
    </row>
    <row r="19574" spans="4:7" ht="15" x14ac:dyDescent="0.3">
      <c r="D19574" s="25"/>
      <c r="F19574" s="21"/>
      <c r="G19574" s="16"/>
    </row>
    <row r="19575" spans="4:7" ht="15" x14ac:dyDescent="0.3">
      <c r="D19575" s="25"/>
      <c r="F19575" s="21"/>
      <c r="G19575" s="16"/>
    </row>
    <row r="19576" spans="4:7" ht="15" x14ac:dyDescent="0.3">
      <c r="D19576" s="25"/>
      <c r="F19576" s="21"/>
      <c r="G19576" s="16"/>
    </row>
    <row r="19577" spans="4:7" ht="15" x14ac:dyDescent="0.3">
      <c r="D19577" s="25"/>
      <c r="F19577" s="21"/>
      <c r="G19577" s="16"/>
    </row>
    <row r="19578" spans="4:7" ht="15" x14ac:dyDescent="0.3">
      <c r="D19578" s="25"/>
      <c r="F19578" s="21"/>
      <c r="G19578" s="16"/>
    </row>
    <row r="19579" spans="4:7" ht="15" x14ac:dyDescent="0.3">
      <c r="D19579" s="25"/>
      <c r="F19579" s="21"/>
      <c r="G19579" s="16"/>
    </row>
    <row r="19580" spans="4:7" ht="15" x14ac:dyDescent="0.3">
      <c r="D19580" s="25"/>
      <c r="F19580" s="21"/>
      <c r="G19580" s="16"/>
    </row>
    <row r="19581" spans="4:7" ht="15" x14ac:dyDescent="0.3">
      <c r="D19581" s="25"/>
      <c r="F19581" s="21"/>
      <c r="G19581" s="16"/>
    </row>
    <row r="19582" spans="4:7" ht="15" x14ac:dyDescent="0.3">
      <c r="D19582" s="25"/>
      <c r="F19582" s="21"/>
      <c r="G19582" s="16"/>
    </row>
    <row r="19583" spans="4:7" ht="15" x14ac:dyDescent="0.3">
      <c r="D19583" s="25"/>
      <c r="F19583" s="21"/>
      <c r="G19583" s="16"/>
    </row>
    <row r="19584" spans="4:7" ht="15" x14ac:dyDescent="0.3">
      <c r="D19584" s="25"/>
      <c r="F19584" s="21"/>
      <c r="G19584" s="16"/>
    </row>
    <row r="19585" spans="4:7" ht="15" x14ac:dyDescent="0.3">
      <c r="D19585" s="25"/>
      <c r="F19585" s="21"/>
      <c r="G19585" s="16"/>
    </row>
    <row r="19586" spans="4:7" ht="15" x14ac:dyDescent="0.3">
      <c r="D19586" s="25"/>
      <c r="F19586" s="21"/>
      <c r="G19586" s="16"/>
    </row>
    <row r="19587" spans="4:7" ht="15" x14ac:dyDescent="0.3">
      <c r="D19587" s="25"/>
      <c r="F19587" s="21"/>
      <c r="G19587" s="16"/>
    </row>
    <row r="19588" spans="4:7" ht="15" x14ac:dyDescent="0.3">
      <c r="D19588" s="25"/>
      <c r="F19588" s="21"/>
      <c r="G19588" s="16"/>
    </row>
    <row r="19589" spans="4:7" ht="15" x14ac:dyDescent="0.3">
      <c r="D19589" s="25"/>
      <c r="F19589" s="21"/>
      <c r="G19589" s="16"/>
    </row>
    <row r="19590" spans="4:7" ht="15" x14ac:dyDescent="0.3">
      <c r="D19590" s="25"/>
      <c r="F19590" s="21"/>
      <c r="G19590" s="16"/>
    </row>
    <row r="19591" spans="4:7" ht="15" x14ac:dyDescent="0.3">
      <c r="D19591" s="25"/>
      <c r="F19591" s="21"/>
      <c r="G19591" s="16"/>
    </row>
    <row r="19592" spans="4:7" ht="15" x14ac:dyDescent="0.3">
      <c r="D19592" s="25"/>
      <c r="F19592" s="21"/>
      <c r="G19592" s="16"/>
    </row>
    <row r="19593" spans="4:7" ht="15" x14ac:dyDescent="0.3">
      <c r="D19593" s="25"/>
      <c r="F19593" s="21"/>
      <c r="G19593" s="16"/>
    </row>
    <row r="19594" spans="4:7" ht="15" x14ac:dyDescent="0.3">
      <c r="D19594" s="25"/>
      <c r="F19594" s="21"/>
      <c r="G19594" s="16"/>
    </row>
    <row r="19595" spans="4:7" ht="15" x14ac:dyDescent="0.3">
      <c r="D19595" s="25"/>
      <c r="F19595" s="21"/>
      <c r="G19595" s="16"/>
    </row>
    <row r="19596" spans="4:7" ht="15" x14ac:dyDescent="0.3">
      <c r="D19596" s="25"/>
      <c r="F19596" s="21"/>
      <c r="G19596" s="16"/>
    </row>
    <row r="19597" spans="4:7" ht="15" x14ac:dyDescent="0.3">
      <c r="D19597" s="25"/>
      <c r="F19597" s="21"/>
      <c r="G19597" s="16"/>
    </row>
    <row r="19598" spans="4:7" ht="15" x14ac:dyDescent="0.3">
      <c r="D19598" s="25"/>
      <c r="F19598" s="21"/>
      <c r="G19598" s="16"/>
    </row>
    <row r="19599" spans="4:7" ht="15" x14ac:dyDescent="0.3">
      <c r="D19599" s="25"/>
      <c r="F19599" s="21"/>
      <c r="G19599" s="16"/>
    </row>
    <row r="19600" spans="4:7" ht="15" x14ac:dyDescent="0.3">
      <c r="D19600" s="25"/>
      <c r="F19600" s="21"/>
      <c r="G19600" s="16"/>
    </row>
    <row r="19601" spans="4:7" ht="15" x14ac:dyDescent="0.3">
      <c r="D19601" s="25"/>
      <c r="F19601" s="21"/>
      <c r="G19601" s="16"/>
    </row>
    <row r="19602" spans="4:7" ht="15" x14ac:dyDescent="0.3">
      <c r="D19602" s="25"/>
      <c r="F19602" s="21"/>
      <c r="G19602" s="16"/>
    </row>
    <row r="19603" spans="4:7" ht="15" x14ac:dyDescent="0.3">
      <c r="D19603" s="25"/>
      <c r="F19603" s="21"/>
      <c r="G19603" s="16"/>
    </row>
    <row r="19604" spans="4:7" ht="15" x14ac:dyDescent="0.3">
      <c r="D19604" s="25"/>
      <c r="F19604" s="21"/>
      <c r="G19604" s="16"/>
    </row>
    <row r="19605" spans="4:7" ht="15" x14ac:dyDescent="0.3">
      <c r="D19605" s="25"/>
      <c r="F19605" s="21"/>
      <c r="G19605" s="16"/>
    </row>
    <row r="19606" spans="4:7" ht="15" x14ac:dyDescent="0.3">
      <c r="D19606" s="25"/>
      <c r="F19606" s="21"/>
      <c r="G19606" s="16"/>
    </row>
    <row r="19607" spans="4:7" ht="15" x14ac:dyDescent="0.3">
      <c r="D19607" s="25"/>
      <c r="F19607" s="21"/>
      <c r="G19607" s="16"/>
    </row>
    <row r="19608" spans="4:7" ht="15" x14ac:dyDescent="0.3">
      <c r="D19608" s="25"/>
      <c r="F19608" s="21"/>
      <c r="G19608" s="16"/>
    </row>
    <row r="19609" spans="4:7" ht="15" x14ac:dyDescent="0.3">
      <c r="D19609" s="25"/>
      <c r="F19609" s="21"/>
      <c r="G19609" s="16"/>
    </row>
    <row r="19610" spans="4:7" ht="15" x14ac:dyDescent="0.3">
      <c r="D19610" s="25"/>
      <c r="F19610" s="21"/>
      <c r="G19610" s="16"/>
    </row>
    <row r="19611" spans="4:7" ht="15" x14ac:dyDescent="0.3">
      <c r="D19611" s="25"/>
      <c r="F19611" s="21"/>
      <c r="G19611" s="16"/>
    </row>
    <row r="19612" spans="4:7" ht="15" x14ac:dyDescent="0.3">
      <c r="D19612" s="25"/>
      <c r="F19612" s="21"/>
      <c r="G19612" s="16"/>
    </row>
    <row r="19613" spans="4:7" ht="15" x14ac:dyDescent="0.3">
      <c r="D19613" s="25"/>
      <c r="F19613" s="21"/>
      <c r="G19613" s="16"/>
    </row>
    <row r="19614" spans="4:7" ht="15" x14ac:dyDescent="0.3">
      <c r="D19614" s="25"/>
      <c r="F19614" s="21"/>
      <c r="G19614" s="16"/>
    </row>
    <row r="19615" spans="4:7" ht="15" x14ac:dyDescent="0.3">
      <c r="D19615" s="25"/>
      <c r="F19615" s="21"/>
      <c r="G19615" s="16"/>
    </row>
    <row r="19616" spans="4:7" ht="15" x14ac:dyDescent="0.3">
      <c r="D19616" s="25"/>
      <c r="F19616" s="21"/>
      <c r="G19616" s="16"/>
    </row>
    <row r="19617" spans="4:7" ht="15" x14ac:dyDescent="0.3">
      <c r="D19617" s="25"/>
      <c r="F19617" s="21"/>
      <c r="G19617" s="16"/>
    </row>
    <row r="19618" spans="4:7" ht="15" x14ac:dyDescent="0.3">
      <c r="D19618" s="25"/>
      <c r="F19618" s="21"/>
      <c r="G19618" s="16"/>
    </row>
    <row r="19619" spans="4:7" ht="15" x14ac:dyDescent="0.3">
      <c r="D19619" s="25"/>
      <c r="F19619" s="21"/>
      <c r="G19619" s="16"/>
    </row>
    <row r="19620" spans="4:7" ht="15" x14ac:dyDescent="0.3">
      <c r="D19620" s="25"/>
      <c r="F19620" s="21"/>
      <c r="G19620" s="16"/>
    </row>
    <row r="19621" spans="4:7" ht="15" x14ac:dyDescent="0.3">
      <c r="D19621" s="25"/>
      <c r="F19621" s="21"/>
      <c r="G19621" s="16"/>
    </row>
    <row r="19622" spans="4:7" ht="15" x14ac:dyDescent="0.3">
      <c r="D19622" s="25"/>
      <c r="F19622" s="21"/>
      <c r="G19622" s="16"/>
    </row>
    <row r="19623" spans="4:7" ht="15" x14ac:dyDescent="0.3">
      <c r="D19623" s="25"/>
      <c r="F19623" s="21"/>
      <c r="G19623" s="16"/>
    </row>
    <row r="19624" spans="4:7" ht="15" x14ac:dyDescent="0.3">
      <c r="D19624" s="25"/>
      <c r="F19624" s="21"/>
      <c r="G19624" s="16"/>
    </row>
    <row r="19625" spans="4:7" ht="15" x14ac:dyDescent="0.3">
      <c r="D19625" s="25"/>
      <c r="F19625" s="21"/>
      <c r="G19625" s="16"/>
    </row>
    <row r="19626" spans="4:7" ht="15" x14ac:dyDescent="0.3">
      <c r="D19626" s="25"/>
      <c r="F19626" s="21"/>
      <c r="G19626" s="16"/>
    </row>
    <row r="19627" spans="4:7" ht="15" x14ac:dyDescent="0.3">
      <c r="D19627" s="25"/>
      <c r="F19627" s="21"/>
      <c r="G19627" s="16"/>
    </row>
    <row r="19628" spans="4:7" ht="15" x14ac:dyDescent="0.3">
      <c r="D19628" s="25"/>
      <c r="F19628" s="21"/>
      <c r="G19628" s="16"/>
    </row>
    <row r="19629" spans="4:7" ht="15" x14ac:dyDescent="0.3">
      <c r="D19629" s="25"/>
      <c r="F19629" s="21"/>
      <c r="G19629" s="16"/>
    </row>
    <row r="19630" spans="4:7" ht="15" x14ac:dyDescent="0.3">
      <c r="D19630" s="25"/>
      <c r="F19630" s="21"/>
      <c r="G19630" s="16"/>
    </row>
    <row r="19631" spans="4:7" ht="15" x14ac:dyDescent="0.3">
      <c r="D19631" s="25"/>
      <c r="F19631" s="21"/>
      <c r="G19631" s="16"/>
    </row>
    <row r="19632" spans="4:7" ht="15" x14ac:dyDescent="0.3">
      <c r="D19632" s="25"/>
      <c r="F19632" s="21"/>
      <c r="G19632" s="16"/>
    </row>
    <row r="19633" spans="4:7" ht="15" x14ac:dyDescent="0.3">
      <c r="D19633" s="25"/>
      <c r="F19633" s="21"/>
      <c r="G19633" s="16"/>
    </row>
    <row r="19634" spans="4:7" ht="15" x14ac:dyDescent="0.3">
      <c r="D19634" s="25"/>
      <c r="F19634" s="21"/>
      <c r="G19634" s="16"/>
    </row>
    <row r="19635" spans="4:7" ht="15" x14ac:dyDescent="0.3">
      <c r="D19635" s="25"/>
      <c r="F19635" s="21"/>
      <c r="G19635" s="16"/>
    </row>
    <row r="19636" spans="4:7" ht="15" x14ac:dyDescent="0.3">
      <c r="D19636" s="25"/>
      <c r="F19636" s="21"/>
      <c r="G19636" s="16"/>
    </row>
    <row r="19637" spans="4:7" ht="15" x14ac:dyDescent="0.3">
      <c r="D19637" s="25"/>
      <c r="F19637" s="21"/>
      <c r="G19637" s="16"/>
    </row>
    <row r="19638" spans="4:7" ht="15" x14ac:dyDescent="0.3">
      <c r="D19638" s="25"/>
      <c r="F19638" s="21"/>
      <c r="G19638" s="16"/>
    </row>
    <row r="19639" spans="4:7" ht="15" x14ac:dyDescent="0.3">
      <c r="D19639" s="25"/>
      <c r="F19639" s="21"/>
      <c r="G19639" s="16"/>
    </row>
    <row r="19640" spans="4:7" ht="15" x14ac:dyDescent="0.3">
      <c r="D19640" s="25"/>
      <c r="F19640" s="21"/>
      <c r="G19640" s="16"/>
    </row>
    <row r="19641" spans="4:7" ht="15" x14ac:dyDescent="0.3">
      <c r="D19641" s="25"/>
      <c r="F19641" s="21"/>
      <c r="G19641" s="16"/>
    </row>
    <row r="19642" spans="4:7" ht="15" x14ac:dyDescent="0.3">
      <c r="D19642" s="25"/>
      <c r="F19642" s="21"/>
      <c r="G19642" s="16"/>
    </row>
    <row r="19643" spans="4:7" ht="15" x14ac:dyDescent="0.3">
      <c r="D19643" s="25"/>
      <c r="F19643" s="21"/>
      <c r="G19643" s="16"/>
    </row>
    <row r="19644" spans="4:7" ht="15" x14ac:dyDescent="0.3">
      <c r="D19644" s="25"/>
      <c r="F19644" s="21"/>
      <c r="G19644" s="16"/>
    </row>
    <row r="19645" spans="4:7" ht="15" x14ac:dyDescent="0.3">
      <c r="D19645" s="25"/>
      <c r="F19645" s="21"/>
      <c r="G19645" s="16"/>
    </row>
    <row r="19646" spans="4:7" ht="15" x14ac:dyDescent="0.3">
      <c r="D19646" s="25"/>
      <c r="F19646" s="21"/>
      <c r="G19646" s="16"/>
    </row>
    <row r="19647" spans="4:7" ht="15" x14ac:dyDescent="0.3">
      <c r="D19647" s="25"/>
      <c r="F19647" s="21"/>
      <c r="G19647" s="16"/>
    </row>
    <row r="19648" spans="4:7" ht="15" x14ac:dyDescent="0.3">
      <c r="D19648" s="25"/>
      <c r="F19648" s="21"/>
      <c r="G19648" s="16"/>
    </row>
    <row r="19649" spans="4:7" ht="15" x14ac:dyDescent="0.3">
      <c r="D19649" s="25"/>
      <c r="F19649" s="21"/>
      <c r="G19649" s="16"/>
    </row>
    <row r="19650" spans="4:7" ht="15" x14ac:dyDescent="0.3">
      <c r="D19650" s="25"/>
      <c r="F19650" s="21"/>
      <c r="G19650" s="16"/>
    </row>
    <row r="19651" spans="4:7" ht="15" x14ac:dyDescent="0.3">
      <c r="D19651" s="25"/>
      <c r="F19651" s="21"/>
      <c r="G19651" s="16"/>
    </row>
    <row r="19652" spans="4:7" ht="15" x14ac:dyDescent="0.3">
      <c r="D19652" s="25"/>
      <c r="F19652" s="21"/>
      <c r="G19652" s="16"/>
    </row>
    <row r="19653" spans="4:7" ht="15" x14ac:dyDescent="0.3">
      <c r="D19653" s="25"/>
      <c r="F19653" s="21"/>
      <c r="G19653" s="16"/>
    </row>
    <row r="19654" spans="4:7" ht="15" x14ac:dyDescent="0.3">
      <c r="D19654" s="25"/>
      <c r="F19654" s="21"/>
      <c r="G19654" s="16"/>
    </row>
    <row r="19655" spans="4:7" ht="15" x14ac:dyDescent="0.3">
      <c r="D19655" s="25"/>
      <c r="F19655" s="21"/>
      <c r="G19655" s="16"/>
    </row>
    <row r="19656" spans="4:7" ht="15" x14ac:dyDescent="0.3">
      <c r="D19656" s="25"/>
      <c r="F19656" s="21"/>
      <c r="G19656" s="16"/>
    </row>
    <row r="19657" spans="4:7" ht="15" x14ac:dyDescent="0.3">
      <c r="D19657" s="25"/>
      <c r="F19657" s="21"/>
      <c r="G19657" s="16"/>
    </row>
    <row r="19658" spans="4:7" ht="15" x14ac:dyDescent="0.3">
      <c r="D19658" s="25"/>
      <c r="F19658" s="21"/>
      <c r="G19658" s="16"/>
    </row>
    <row r="19659" spans="4:7" ht="15" x14ac:dyDescent="0.3">
      <c r="D19659" s="25"/>
      <c r="F19659" s="21"/>
      <c r="G19659" s="16"/>
    </row>
    <row r="19660" spans="4:7" ht="15" x14ac:dyDescent="0.3">
      <c r="D19660" s="25"/>
      <c r="F19660" s="21"/>
      <c r="G19660" s="16"/>
    </row>
    <row r="19661" spans="4:7" ht="15" x14ac:dyDescent="0.3">
      <c r="D19661" s="25"/>
      <c r="F19661" s="21"/>
      <c r="G19661" s="16"/>
    </row>
    <row r="19662" spans="4:7" ht="15" x14ac:dyDescent="0.3">
      <c r="D19662" s="25"/>
      <c r="F19662" s="21"/>
      <c r="G19662" s="16"/>
    </row>
    <row r="19663" spans="4:7" ht="15" x14ac:dyDescent="0.3">
      <c r="D19663" s="25"/>
      <c r="F19663" s="21"/>
      <c r="G19663" s="16"/>
    </row>
    <row r="19664" spans="4:7" ht="15" x14ac:dyDescent="0.3">
      <c r="D19664" s="25"/>
      <c r="F19664" s="21"/>
      <c r="G19664" s="16"/>
    </row>
    <row r="19665" spans="4:7" ht="15" x14ac:dyDescent="0.3">
      <c r="D19665" s="25"/>
      <c r="F19665" s="21"/>
      <c r="G19665" s="16"/>
    </row>
    <row r="19666" spans="4:7" ht="15" x14ac:dyDescent="0.3">
      <c r="D19666" s="25"/>
      <c r="F19666" s="21"/>
      <c r="G19666" s="16"/>
    </row>
    <row r="19667" spans="4:7" ht="15" x14ac:dyDescent="0.3">
      <c r="D19667" s="25"/>
      <c r="F19667" s="21"/>
      <c r="G19667" s="16"/>
    </row>
    <row r="19668" spans="4:7" ht="15" x14ac:dyDescent="0.3">
      <c r="D19668" s="25"/>
      <c r="F19668" s="21"/>
      <c r="G19668" s="16"/>
    </row>
    <row r="19669" spans="4:7" ht="15" x14ac:dyDescent="0.3">
      <c r="D19669" s="25"/>
      <c r="F19669" s="21"/>
      <c r="G19669" s="16"/>
    </row>
    <row r="19670" spans="4:7" ht="15" x14ac:dyDescent="0.3">
      <c r="D19670" s="25"/>
      <c r="F19670" s="21"/>
      <c r="G19670" s="16"/>
    </row>
    <row r="19671" spans="4:7" ht="15" x14ac:dyDescent="0.3">
      <c r="D19671" s="25"/>
      <c r="F19671" s="21"/>
      <c r="G19671" s="16"/>
    </row>
    <row r="19672" spans="4:7" ht="15" x14ac:dyDescent="0.3">
      <c r="D19672" s="25"/>
      <c r="F19672" s="21"/>
      <c r="G19672" s="16"/>
    </row>
    <row r="19673" spans="4:7" ht="15" x14ac:dyDescent="0.3">
      <c r="D19673" s="25"/>
      <c r="F19673" s="21"/>
      <c r="G19673" s="16"/>
    </row>
    <row r="19674" spans="4:7" ht="15" x14ac:dyDescent="0.3">
      <c r="D19674" s="25"/>
      <c r="F19674" s="21"/>
      <c r="G19674" s="16"/>
    </row>
    <row r="19675" spans="4:7" ht="15" x14ac:dyDescent="0.3">
      <c r="D19675" s="25"/>
      <c r="F19675" s="21"/>
      <c r="G19675" s="16"/>
    </row>
    <row r="19676" spans="4:7" ht="15" x14ac:dyDescent="0.3">
      <c r="D19676" s="25"/>
      <c r="F19676" s="21"/>
      <c r="G19676" s="16"/>
    </row>
    <row r="19677" spans="4:7" ht="15" x14ac:dyDescent="0.3">
      <c r="D19677" s="25"/>
      <c r="F19677" s="21"/>
      <c r="G19677" s="16"/>
    </row>
    <row r="19678" spans="4:7" ht="15" x14ac:dyDescent="0.3">
      <c r="D19678" s="25"/>
      <c r="F19678" s="21"/>
      <c r="G19678" s="16"/>
    </row>
    <row r="19679" spans="4:7" ht="15" x14ac:dyDescent="0.3">
      <c r="D19679" s="25"/>
      <c r="F19679" s="21"/>
      <c r="G19679" s="16"/>
    </row>
    <row r="19680" spans="4:7" ht="15" x14ac:dyDescent="0.3">
      <c r="D19680" s="25"/>
      <c r="F19680" s="21"/>
      <c r="G19680" s="16"/>
    </row>
    <row r="19681" spans="4:7" ht="15" x14ac:dyDescent="0.3">
      <c r="D19681" s="25"/>
      <c r="F19681" s="21"/>
      <c r="G19681" s="16"/>
    </row>
    <row r="19682" spans="4:7" ht="15" x14ac:dyDescent="0.3">
      <c r="D19682" s="25"/>
      <c r="F19682" s="21"/>
      <c r="G19682" s="16"/>
    </row>
    <row r="19683" spans="4:7" ht="15" x14ac:dyDescent="0.3">
      <c r="D19683" s="25"/>
      <c r="F19683" s="21"/>
      <c r="G19683" s="16"/>
    </row>
    <row r="19684" spans="4:7" ht="15" x14ac:dyDescent="0.3">
      <c r="D19684" s="25"/>
      <c r="F19684" s="21"/>
      <c r="G19684" s="16"/>
    </row>
    <row r="19685" spans="4:7" ht="15" x14ac:dyDescent="0.3">
      <c r="D19685" s="25"/>
      <c r="F19685" s="21"/>
      <c r="G19685" s="16"/>
    </row>
    <row r="19686" spans="4:7" ht="15" x14ac:dyDescent="0.3">
      <c r="D19686" s="25"/>
      <c r="F19686" s="21"/>
      <c r="G19686" s="16"/>
    </row>
    <row r="19687" spans="4:7" ht="15" x14ac:dyDescent="0.3">
      <c r="D19687" s="25"/>
      <c r="F19687" s="21"/>
      <c r="G19687" s="16"/>
    </row>
    <row r="19688" spans="4:7" ht="15" x14ac:dyDescent="0.3">
      <c r="D19688" s="25"/>
      <c r="F19688" s="21"/>
      <c r="G19688" s="16"/>
    </row>
    <row r="19689" spans="4:7" ht="15" x14ac:dyDescent="0.3">
      <c r="D19689" s="25"/>
      <c r="F19689" s="21"/>
      <c r="G19689" s="16"/>
    </row>
    <row r="19690" spans="4:7" ht="15" x14ac:dyDescent="0.3">
      <c r="D19690" s="25"/>
      <c r="F19690" s="21"/>
      <c r="G19690" s="16"/>
    </row>
    <row r="19691" spans="4:7" ht="15" x14ac:dyDescent="0.3">
      <c r="D19691" s="25"/>
      <c r="F19691" s="21"/>
      <c r="G19691" s="16"/>
    </row>
    <row r="19692" spans="4:7" ht="15" x14ac:dyDescent="0.3">
      <c r="D19692" s="25"/>
      <c r="F19692" s="21"/>
      <c r="G19692" s="16"/>
    </row>
    <row r="19693" spans="4:7" ht="15" x14ac:dyDescent="0.3">
      <c r="D19693" s="25"/>
      <c r="F19693" s="21"/>
      <c r="G19693" s="16"/>
    </row>
    <row r="19694" spans="4:7" ht="15" x14ac:dyDescent="0.3">
      <c r="D19694" s="25"/>
      <c r="F19694" s="21"/>
      <c r="G19694" s="16"/>
    </row>
    <row r="19695" spans="4:7" ht="15" x14ac:dyDescent="0.3">
      <c r="D19695" s="25"/>
      <c r="F19695" s="21"/>
      <c r="G19695" s="16"/>
    </row>
    <row r="19696" spans="4:7" ht="15" x14ac:dyDescent="0.3">
      <c r="D19696" s="25"/>
      <c r="F19696" s="21"/>
      <c r="G19696" s="16"/>
    </row>
    <row r="19697" spans="4:7" ht="15" x14ac:dyDescent="0.3">
      <c r="D19697" s="25"/>
      <c r="F19697" s="21"/>
      <c r="G19697" s="16"/>
    </row>
    <row r="19698" spans="4:7" ht="15" x14ac:dyDescent="0.3">
      <c r="D19698" s="25"/>
      <c r="F19698" s="21"/>
      <c r="G19698" s="16"/>
    </row>
    <row r="19699" spans="4:7" ht="15" x14ac:dyDescent="0.3">
      <c r="D19699" s="25"/>
      <c r="F19699" s="21"/>
      <c r="G19699" s="16"/>
    </row>
    <row r="19700" spans="4:7" ht="15" x14ac:dyDescent="0.3">
      <c r="D19700" s="25"/>
      <c r="F19700" s="21"/>
      <c r="G19700" s="16"/>
    </row>
    <row r="19701" spans="4:7" ht="15" x14ac:dyDescent="0.3">
      <c r="D19701" s="25"/>
      <c r="F19701" s="21"/>
      <c r="G19701" s="16"/>
    </row>
    <row r="19702" spans="4:7" ht="15" x14ac:dyDescent="0.3">
      <c r="D19702" s="25"/>
      <c r="F19702" s="21"/>
      <c r="G19702" s="16"/>
    </row>
    <row r="19703" spans="4:7" ht="15" x14ac:dyDescent="0.3">
      <c r="D19703" s="25"/>
      <c r="F19703" s="21"/>
      <c r="G19703" s="16"/>
    </row>
    <row r="19704" spans="4:7" ht="15" x14ac:dyDescent="0.3">
      <c r="D19704" s="25"/>
      <c r="F19704" s="21"/>
      <c r="G19704" s="16"/>
    </row>
    <row r="19705" spans="4:7" ht="15" x14ac:dyDescent="0.3">
      <c r="D19705" s="25"/>
      <c r="F19705" s="21"/>
      <c r="G19705" s="16"/>
    </row>
    <row r="19706" spans="4:7" ht="15" x14ac:dyDescent="0.3">
      <c r="D19706" s="25"/>
      <c r="F19706" s="21"/>
      <c r="G19706" s="16"/>
    </row>
    <row r="19707" spans="4:7" ht="15" x14ac:dyDescent="0.3">
      <c r="D19707" s="25"/>
      <c r="F19707" s="21"/>
      <c r="G19707" s="16"/>
    </row>
    <row r="19708" spans="4:7" ht="15" x14ac:dyDescent="0.3">
      <c r="D19708" s="25"/>
      <c r="F19708" s="21"/>
      <c r="G19708" s="16"/>
    </row>
    <row r="19709" spans="4:7" ht="15" x14ac:dyDescent="0.3">
      <c r="D19709" s="25"/>
      <c r="F19709" s="21"/>
      <c r="G19709" s="16"/>
    </row>
    <row r="19710" spans="4:7" ht="15" x14ac:dyDescent="0.3">
      <c r="D19710" s="25"/>
      <c r="F19710" s="21"/>
      <c r="G19710" s="16"/>
    </row>
    <row r="19711" spans="4:7" ht="15" x14ac:dyDescent="0.3">
      <c r="D19711" s="25"/>
      <c r="F19711" s="21"/>
      <c r="G19711" s="16"/>
    </row>
    <row r="19712" spans="4:7" ht="15" x14ac:dyDescent="0.3">
      <c r="D19712" s="25"/>
      <c r="F19712" s="21"/>
      <c r="G19712" s="16"/>
    </row>
    <row r="19713" spans="4:7" ht="15" x14ac:dyDescent="0.3">
      <c r="D19713" s="25"/>
      <c r="F19713" s="21"/>
      <c r="G19713" s="16"/>
    </row>
    <row r="19714" spans="4:7" ht="15" x14ac:dyDescent="0.3">
      <c r="D19714" s="25"/>
      <c r="F19714" s="21"/>
      <c r="G19714" s="16"/>
    </row>
    <row r="19715" spans="4:7" ht="15" x14ac:dyDescent="0.3">
      <c r="D19715" s="25"/>
      <c r="F19715" s="21"/>
      <c r="G19715" s="16"/>
    </row>
    <row r="19716" spans="4:7" ht="15" x14ac:dyDescent="0.3">
      <c r="D19716" s="25"/>
      <c r="F19716" s="21"/>
      <c r="G19716" s="16"/>
    </row>
    <row r="19717" spans="4:7" x14ac:dyDescent="0.2">
      <c r="D19717" s="25"/>
      <c r="F19717" s="21"/>
    </row>
    <row r="19718" spans="4:7" x14ac:dyDescent="0.2">
      <c r="D19718" s="25"/>
      <c r="F19718" s="21"/>
    </row>
    <row r="19719" spans="4:7" ht="15" x14ac:dyDescent="0.3">
      <c r="D19719" s="25"/>
      <c r="F19719" s="21"/>
      <c r="G19719" s="16"/>
    </row>
    <row r="19720" spans="4:7" ht="15" x14ac:dyDescent="0.3">
      <c r="D19720" s="25"/>
      <c r="F19720" s="21"/>
      <c r="G19720" s="16"/>
    </row>
    <row r="19721" spans="4:7" ht="15" x14ac:dyDescent="0.3">
      <c r="D19721" s="25"/>
      <c r="F19721" s="21"/>
      <c r="G19721" s="16"/>
    </row>
    <row r="19722" spans="4:7" ht="15" x14ac:dyDescent="0.3">
      <c r="D19722" s="25"/>
      <c r="F19722" s="21"/>
      <c r="G19722" s="16"/>
    </row>
    <row r="19723" spans="4:7" ht="15" x14ac:dyDescent="0.3">
      <c r="D19723" s="25"/>
      <c r="F19723" s="21"/>
      <c r="G19723" s="16"/>
    </row>
    <row r="19724" spans="4:7" ht="15" x14ac:dyDescent="0.3">
      <c r="D19724" s="25"/>
      <c r="F19724" s="21"/>
      <c r="G19724" s="16"/>
    </row>
    <row r="19725" spans="4:7" ht="15" x14ac:dyDescent="0.3">
      <c r="D19725" s="25"/>
      <c r="F19725" s="21"/>
      <c r="G19725" s="16"/>
    </row>
    <row r="19726" spans="4:7" ht="15" x14ac:dyDescent="0.3">
      <c r="D19726" s="25"/>
      <c r="F19726" s="21"/>
      <c r="G19726" s="16"/>
    </row>
    <row r="19727" spans="4:7" ht="15" x14ac:dyDescent="0.3">
      <c r="D19727" s="25"/>
      <c r="F19727" s="21"/>
      <c r="G19727" s="16"/>
    </row>
    <row r="19728" spans="4:7" ht="15" x14ac:dyDescent="0.3">
      <c r="D19728" s="25"/>
      <c r="F19728" s="21"/>
      <c r="G19728" s="16"/>
    </row>
    <row r="19729" spans="4:7" ht="15" x14ac:dyDescent="0.3">
      <c r="D19729" s="25"/>
      <c r="F19729" s="21"/>
      <c r="G19729" s="16"/>
    </row>
    <row r="19730" spans="4:7" ht="15" x14ac:dyDescent="0.3">
      <c r="D19730" s="25"/>
      <c r="F19730" s="21"/>
      <c r="G19730" s="16"/>
    </row>
    <row r="19731" spans="4:7" ht="15" x14ac:dyDescent="0.3">
      <c r="D19731" s="25"/>
      <c r="F19731" s="21"/>
      <c r="G19731" s="16"/>
    </row>
    <row r="19732" spans="4:7" ht="15" x14ac:dyDescent="0.3">
      <c r="D19732" s="25"/>
      <c r="F19732" s="21"/>
      <c r="G19732" s="16"/>
    </row>
    <row r="19733" spans="4:7" ht="15" x14ac:dyDescent="0.3">
      <c r="D19733" s="25"/>
      <c r="F19733" s="21"/>
      <c r="G19733" s="16"/>
    </row>
    <row r="19734" spans="4:7" ht="15" x14ac:dyDescent="0.3">
      <c r="D19734" s="25"/>
      <c r="F19734" s="21"/>
      <c r="G19734" s="16"/>
    </row>
    <row r="19735" spans="4:7" ht="15" x14ac:dyDescent="0.3">
      <c r="D19735" s="25"/>
      <c r="F19735" s="21"/>
      <c r="G19735" s="16"/>
    </row>
    <row r="19736" spans="4:7" ht="15" x14ac:dyDescent="0.3">
      <c r="D19736" s="25"/>
      <c r="F19736" s="21"/>
      <c r="G19736" s="16"/>
    </row>
    <row r="19737" spans="4:7" ht="15" x14ac:dyDescent="0.3">
      <c r="D19737" s="25"/>
      <c r="F19737" s="21"/>
      <c r="G19737" s="16"/>
    </row>
    <row r="19738" spans="4:7" ht="15" x14ac:dyDescent="0.3">
      <c r="D19738" s="25"/>
      <c r="F19738" s="21"/>
      <c r="G19738" s="16"/>
    </row>
    <row r="19739" spans="4:7" ht="15" x14ac:dyDescent="0.3">
      <c r="D19739" s="25"/>
      <c r="F19739" s="21"/>
      <c r="G19739" s="16"/>
    </row>
    <row r="19740" spans="4:7" ht="15" x14ac:dyDescent="0.3">
      <c r="D19740" s="25"/>
      <c r="F19740" s="21"/>
      <c r="G19740" s="16"/>
    </row>
    <row r="19741" spans="4:7" ht="15" x14ac:dyDescent="0.3">
      <c r="D19741" s="25"/>
      <c r="F19741" s="21"/>
      <c r="G19741" s="16"/>
    </row>
    <row r="19742" spans="4:7" ht="15" x14ac:dyDescent="0.3">
      <c r="D19742" s="25"/>
      <c r="F19742" s="21"/>
      <c r="G19742" s="16"/>
    </row>
    <row r="19743" spans="4:7" ht="15" x14ac:dyDescent="0.3">
      <c r="D19743" s="25"/>
      <c r="F19743" s="21"/>
      <c r="G19743" s="16"/>
    </row>
    <row r="19744" spans="4:7" ht="15" x14ac:dyDescent="0.3">
      <c r="D19744" s="25"/>
      <c r="F19744" s="21"/>
      <c r="G19744" s="16"/>
    </row>
    <row r="19745" spans="4:7" ht="15" x14ac:dyDescent="0.3">
      <c r="D19745" s="25"/>
      <c r="F19745" s="21"/>
      <c r="G19745" s="16"/>
    </row>
    <row r="19746" spans="4:7" ht="15" x14ac:dyDescent="0.3">
      <c r="D19746" s="25"/>
      <c r="F19746" s="21"/>
      <c r="G19746" s="16"/>
    </row>
    <row r="19747" spans="4:7" ht="15" x14ac:dyDescent="0.3">
      <c r="D19747" s="25"/>
      <c r="F19747" s="21"/>
      <c r="G19747" s="16"/>
    </row>
    <row r="19748" spans="4:7" ht="15" x14ac:dyDescent="0.3">
      <c r="D19748" s="25"/>
      <c r="F19748" s="21"/>
      <c r="G19748" s="16"/>
    </row>
    <row r="19749" spans="4:7" ht="15" x14ac:dyDescent="0.3">
      <c r="D19749" s="25"/>
      <c r="F19749" s="21"/>
      <c r="G19749" s="16"/>
    </row>
    <row r="19750" spans="4:7" ht="15" x14ac:dyDescent="0.3">
      <c r="D19750" s="25"/>
      <c r="F19750" s="21"/>
      <c r="G19750" s="16"/>
    </row>
    <row r="19751" spans="4:7" ht="15" x14ac:dyDescent="0.3">
      <c r="D19751" s="25"/>
      <c r="F19751" s="21"/>
      <c r="G19751" s="16"/>
    </row>
    <row r="19752" spans="4:7" ht="15" x14ac:dyDescent="0.3">
      <c r="D19752" s="25"/>
      <c r="F19752" s="21"/>
      <c r="G19752" s="16"/>
    </row>
    <row r="19753" spans="4:7" ht="15" x14ac:dyDescent="0.3">
      <c r="D19753" s="25"/>
      <c r="F19753" s="21"/>
      <c r="G19753" s="16"/>
    </row>
    <row r="19754" spans="4:7" ht="15" x14ac:dyDescent="0.3">
      <c r="D19754" s="25"/>
      <c r="F19754" s="21"/>
      <c r="G19754" s="16"/>
    </row>
    <row r="19755" spans="4:7" ht="15" x14ac:dyDescent="0.3">
      <c r="D19755" s="25"/>
      <c r="F19755" s="21"/>
      <c r="G19755" s="16"/>
    </row>
    <row r="19756" spans="4:7" ht="15" x14ac:dyDescent="0.3">
      <c r="D19756" s="25"/>
      <c r="F19756" s="21"/>
      <c r="G19756" s="16"/>
    </row>
    <row r="19757" spans="4:7" ht="15" x14ac:dyDescent="0.3">
      <c r="D19757" s="25"/>
      <c r="F19757" s="21"/>
      <c r="G19757" s="16"/>
    </row>
    <row r="19758" spans="4:7" ht="15" x14ac:dyDescent="0.3">
      <c r="D19758" s="25"/>
      <c r="F19758" s="21"/>
      <c r="G19758" s="16"/>
    </row>
    <row r="19759" spans="4:7" ht="15" x14ac:dyDescent="0.3">
      <c r="D19759" s="25"/>
      <c r="F19759" s="21"/>
      <c r="G19759" s="16"/>
    </row>
    <row r="19760" spans="4:7" ht="15" x14ac:dyDescent="0.3">
      <c r="D19760" s="25"/>
      <c r="F19760" s="21"/>
      <c r="G19760" s="16"/>
    </row>
    <row r="19761" spans="4:7" ht="15" x14ac:dyDescent="0.3">
      <c r="D19761" s="25"/>
      <c r="F19761" s="21"/>
      <c r="G19761" s="16"/>
    </row>
    <row r="19762" spans="4:7" ht="15" x14ac:dyDescent="0.3">
      <c r="D19762" s="25"/>
      <c r="F19762" s="21"/>
      <c r="G19762" s="16"/>
    </row>
    <row r="19763" spans="4:7" ht="15" x14ac:dyDescent="0.3">
      <c r="D19763" s="25"/>
      <c r="F19763" s="21"/>
      <c r="G19763" s="16"/>
    </row>
    <row r="19764" spans="4:7" ht="15" x14ac:dyDescent="0.3">
      <c r="D19764" s="25"/>
      <c r="F19764" s="21"/>
      <c r="G19764" s="16"/>
    </row>
    <row r="19765" spans="4:7" ht="15" x14ac:dyDescent="0.3">
      <c r="D19765" s="25"/>
      <c r="F19765" s="21"/>
      <c r="G19765" s="16"/>
    </row>
    <row r="19766" spans="4:7" ht="15" x14ac:dyDescent="0.3">
      <c r="D19766" s="25"/>
      <c r="F19766" s="21"/>
      <c r="G19766" s="16"/>
    </row>
    <row r="19767" spans="4:7" ht="15" x14ac:dyDescent="0.3">
      <c r="D19767" s="25"/>
      <c r="F19767" s="21"/>
      <c r="G19767" s="16"/>
    </row>
    <row r="19768" spans="4:7" ht="15" x14ac:dyDescent="0.3">
      <c r="D19768" s="25"/>
      <c r="F19768" s="21"/>
      <c r="G19768" s="16"/>
    </row>
    <row r="19769" spans="4:7" ht="15" x14ac:dyDescent="0.3">
      <c r="D19769" s="25"/>
      <c r="F19769" s="21"/>
      <c r="G19769" s="16"/>
    </row>
    <row r="19770" spans="4:7" ht="15" x14ac:dyDescent="0.3">
      <c r="D19770" s="25"/>
      <c r="F19770" s="21"/>
      <c r="G19770" s="16"/>
    </row>
    <row r="19771" spans="4:7" ht="15" x14ac:dyDescent="0.3">
      <c r="D19771" s="25"/>
      <c r="F19771" s="21"/>
      <c r="G19771" s="16"/>
    </row>
    <row r="19772" spans="4:7" ht="15" x14ac:dyDescent="0.3">
      <c r="D19772" s="25"/>
      <c r="F19772" s="21"/>
      <c r="G19772" s="16"/>
    </row>
    <row r="19773" spans="4:7" ht="15" x14ac:dyDescent="0.3">
      <c r="D19773" s="25"/>
      <c r="F19773" s="21"/>
      <c r="G19773" s="16"/>
    </row>
    <row r="19774" spans="4:7" ht="15" x14ac:dyDescent="0.3">
      <c r="D19774" s="25"/>
      <c r="F19774" s="21"/>
      <c r="G19774" s="16"/>
    </row>
    <row r="19775" spans="4:7" ht="15" x14ac:dyDescent="0.3">
      <c r="D19775" s="25"/>
      <c r="F19775" s="21"/>
      <c r="G19775" s="16"/>
    </row>
    <row r="19776" spans="4:7" ht="15" x14ac:dyDescent="0.3">
      <c r="D19776" s="25"/>
      <c r="F19776" s="21"/>
      <c r="G19776" s="16"/>
    </row>
    <row r="19777" spans="4:7" ht="15" x14ac:dyDescent="0.3">
      <c r="D19777" s="25"/>
      <c r="F19777" s="21"/>
      <c r="G19777" s="16"/>
    </row>
    <row r="19778" spans="4:7" ht="15" x14ac:dyDescent="0.3">
      <c r="D19778" s="25"/>
      <c r="F19778" s="21"/>
      <c r="G19778" s="16"/>
    </row>
    <row r="19779" spans="4:7" ht="15" x14ac:dyDescent="0.3">
      <c r="D19779" s="25"/>
      <c r="F19779" s="21"/>
      <c r="G19779" s="16"/>
    </row>
    <row r="19780" spans="4:7" ht="15" x14ac:dyDescent="0.3">
      <c r="D19780" s="25"/>
      <c r="F19780" s="21"/>
      <c r="G19780" s="16"/>
    </row>
    <row r="19781" spans="4:7" ht="15" x14ac:dyDescent="0.3">
      <c r="D19781" s="25"/>
      <c r="F19781" s="21"/>
      <c r="G19781" s="16"/>
    </row>
    <row r="19782" spans="4:7" ht="15" x14ac:dyDescent="0.3">
      <c r="D19782" s="25"/>
      <c r="F19782" s="21"/>
      <c r="G19782" s="16"/>
    </row>
    <row r="19783" spans="4:7" ht="15" x14ac:dyDescent="0.3">
      <c r="D19783" s="25"/>
      <c r="F19783" s="21"/>
      <c r="G19783" s="16"/>
    </row>
    <row r="19784" spans="4:7" ht="15" x14ac:dyDescent="0.3">
      <c r="D19784" s="25"/>
      <c r="F19784" s="21"/>
      <c r="G19784" s="16"/>
    </row>
    <row r="19785" spans="4:7" ht="15" x14ac:dyDescent="0.3">
      <c r="D19785" s="25"/>
      <c r="F19785" s="21"/>
      <c r="G19785" s="16"/>
    </row>
    <row r="19786" spans="4:7" ht="15" x14ac:dyDescent="0.3">
      <c r="D19786" s="25"/>
      <c r="F19786" s="21"/>
      <c r="G19786" s="16"/>
    </row>
    <row r="19787" spans="4:7" ht="15" x14ac:dyDescent="0.3">
      <c r="D19787" s="25"/>
      <c r="F19787" s="21"/>
      <c r="G19787" s="16"/>
    </row>
    <row r="19788" spans="4:7" ht="15" x14ac:dyDescent="0.3">
      <c r="D19788" s="25"/>
      <c r="F19788" s="21"/>
      <c r="G19788" s="16"/>
    </row>
    <row r="19789" spans="4:7" ht="15" x14ac:dyDescent="0.3">
      <c r="D19789" s="25"/>
      <c r="F19789" s="21"/>
      <c r="G19789" s="16"/>
    </row>
    <row r="19790" spans="4:7" ht="15" x14ac:dyDescent="0.3">
      <c r="D19790" s="25"/>
      <c r="F19790" s="21"/>
      <c r="G19790" s="16"/>
    </row>
    <row r="19791" spans="4:7" ht="15" x14ac:dyDescent="0.3">
      <c r="D19791" s="25"/>
      <c r="F19791" s="21"/>
      <c r="G19791" s="16"/>
    </row>
    <row r="19792" spans="4:7" ht="15" x14ac:dyDescent="0.3">
      <c r="D19792" s="25"/>
      <c r="F19792" s="21"/>
      <c r="G19792" s="16"/>
    </row>
    <row r="19793" spans="4:7" ht="15" x14ac:dyDescent="0.3">
      <c r="D19793" s="25"/>
      <c r="F19793" s="21"/>
      <c r="G19793" s="16"/>
    </row>
    <row r="19794" spans="4:7" ht="15" x14ac:dyDescent="0.3">
      <c r="D19794" s="25"/>
      <c r="F19794" s="21"/>
      <c r="G19794" s="16"/>
    </row>
    <row r="19795" spans="4:7" ht="15" x14ac:dyDescent="0.3">
      <c r="D19795" s="25"/>
      <c r="F19795" s="21"/>
      <c r="G19795" s="16"/>
    </row>
    <row r="19796" spans="4:7" ht="15" x14ac:dyDescent="0.3">
      <c r="D19796" s="25"/>
      <c r="F19796" s="21"/>
      <c r="G19796" s="16"/>
    </row>
    <row r="19797" spans="4:7" ht="15" x14ac:dyDescent="0.3">
      <c r="D19797" s="25"/>
      <c r="F19797" s="21"/>
      <c r="G19797" s="16"/>
    </row>
    <row r="19798" spans="4:7" ht="15" x14ac:dyDescent="0.3">
      <c r="D19798" s="25"/>
      <c r="F19798" s="21"/>
      <c r="G19798" s="16"/>
    </row>
    <row r="19799" spans="4:7" ht="15" x14ac:dyDescent="0.3">
      <c r="D19799" s="25"/>
      <c r="F19799" s="21"/>
      <c r="G19799" s="16"/>
    </row>
    <row r="19800" spans="4:7" ht="15" x14ac:dyDescent="0.3">
      <c r="D19800" s="25"/>
      <c r="F19800" s="21"/>
      <c r="G19800" s="16"/>
    </row>
    <row r="19801" spans="4:7" ht="15" x14ac:dyDescent="0.3">
      <c r="D19801" s="25"/>
      <c r="F19801" s="21"/>
      <c r="G19801" s="16"/>
    </row>
    <row r="19802" spans="4:7" ht="15" x14ac:dyDescent="0.3">
      <c r="D19802" s="25"/>
      <c r="F19802" s="21"/>
      <c r="G19802" s="16"/>
    </row>
    <row r="19803" spans="4:7" ht="15" x14ac:dyDescent="0.3">
      <c r="D19803" s="25"/>
      <c r="F19803" s="21"/>
      <c r="G19803" s="16"/>
    </row>
    <row r="19804" spans="4:7" ht="15" x14ac:dyDescent="0.3">
      <c r="D19804" s="25"/>
      <c r="F19804" s="21"/>
      <c r="G19804" s="16"/>
    </row>
    <row r="19805" spans="4:7" ht="15" x14ac:dyDescent="0.3">
      <c r="D19805" s="25"/>
      <c r="F19805" s="21"/>
      <c r="G19805" s="16"/>
    </row>
    <row r="19806" spans="4:7" ht="15" x14ac:dyDescent="0.3">
      <c r="D19806" s="25"/>
      <c r="F19806" s="21"/>
      <c r="G19806" s="16"/>
    </row>
    <row r="19807" spans="4:7" ht="15" x14ac:dyDescent="0.3">
      <c r="D19807" s="25"/>
      <c r="F19807" s="21"/>
      <c r="G19807" s="16"/>
    </row>
    <row r="19808" spans="4:7" ht="15" x14ac:dyDescent="0.3">
      <c r="D19808" s="25"/>
      <c r="F19808" s="21"/>
      <c r="G19808" s="16"/>
    </row>
    <row r="19809" spans="4:7" ht="15" x14ac:dyDescent="0.3">
      <c r="D19809" s="25"/>
      <c r="F19809" s="21"/>
      <c r="G19809" s="16"/>
    </row>
    <row r="19810" spans="4:7" ht="15" x14ac:dyDescent="0.3">
      <c r="D19810" s="25"/>
      <c r="F19810" s="21"/>
      <c r="G19810" s="16"/>
    </row>
    <row r="19811" spans="4:7" ht="15" x14ac:dyDescent="0.3">
      <c r="D19811" s="25"/>
      <c r="F19811" s="21"/>
      <c r="G19811" s="16"/>
    </row>
    <row r="19812" spans="4:7" ht="15" x14ac:dyDescent="0.3">
      <c r="D19812" s="25"/>
      <c r="F19812" s="21"/>
      <c r="G19812" s="16"/>
    </row>
    <row r="19813" spans="4:7" ht="15" x14ac:dyDescent="0.3">
      <c r="D19813" s="25"/>
      <c r="F19813" s="21"/>
      <c r="G19813" s="16"/>
    </row>
    <row r="19814" spans="4:7" ht="15" x14ac:dyDescent="0.3">
      <c r="D19814" s="25"/>
      <c r="F19814" s="21"/>
      <c r="G19814" s="16"/>
    </row>
    <row r="19815" spans="4:7" ht="15" x14ac:dyDescent="0.3">
      <c r="D19815" s="25"/>
      <c r="F19815" s="21"/>
      <c r="G19815" s="16"/>
    </row>
    <row r="19816" spans="4:7" ht="15" x14ac:dyDescent="0.3">
      <c r="D19816" s="25"/>
      <c r="F19816" s="21"/>
      <c r="G19816" s="16"/>
    </row>
    <row r="19817" spans="4:7" ht="15" x14ac:dyDescent="0.3">
      <c r="D19817" s="25"/>
      <c r="F19817" s="21"/>
      <c r="G19817" s="16"/>
    </row>
    <row r="19818" spans="4:7" x14ac:dyDescent="0.2">
      <c r="D19818" s="25"/>
      <c r="F19818" s="21"/>
    </row>
    <row r="19819" spans="4:7" ht="15" x14ac:dyDescent="0.3">
      <c r="D19819" s="25"/>
      <c r="F19819" s="21"/>
      <c r="G19819" s="16"/>
    </row>
    <row r="19820" spans="4:7" ht="15" x14ac:dyDescent="0.3">
      <c r="D19820" s="25"/>
      <c r="F19820" s="21"/>
      <c r="G19820" s="16"/>
    </row>
    <row r="19821" spans="4:7" ht="15" x14ac:dyDescent="0.3">
      <c r="D19821" s="25"/>
      <c r="F19821" s="21"/>
      <c r="G19821" s="16"/>
    </row>
    <row r="19822" spans="4:7" ht="15" x14ac:dyDescent="0.3">
      <c r="D19822" s="25"/>
      <c r="F19822" s="21"/>
      <c r="G19822" s="16"/>
    </row>
    <row r="19823" spans="4:7" ht="15" x14ac:dyDescent="0.3">
      <c r="D19823" s="25"/>
      <c r="F19823" s="21"/>
      <c r="G19823" s="16"/>
    </row>
    <row r="19824" spans="4:7" ht="15" x14ac:dyDescent="0.3">
      <c r="D19824" s="25"/>
      <c r="F19824" s="21"/>
      <c r="G19824" s="16"/>
    </row>
    <row r="19825" spans="4:7" ht="15" x14ac:dyDescent="0.3">
      <c r="D19825" s="25"/>
      <c r="F19825" s="21"/>
      <c r="G19825" s="16"/>
    </row>
    <row r="19826" spans="4:7" ht="15" x14ac:dyDescent="0.3">
      <c r="D19826" s="25"/>
      <c r="F19826" s="21"/>
      <c r="G19826" s="16"/>
    </row>
    <row r="19827" spans="4:7" ht="15" x14ac:dyDescent="0.3">
      <c r="D19827" s="25"/>
      <c r="F19827" s="21"/>
      <c r="G19827" s="16"/>
    </row>
    <row r="19828" spans="4:7" ht="15" x14ac:dyDescent="0.3">
      <c r="D19828" s="25"/>
      <c r="F19828" s="21"/>
      <c r="G19828" s="16"/>
    </row>
    <row r="19829" spans="4:7" ht="15" x14ac:dyDescent="0.3">
      <c r="D19829" s="25"/>
      <c r="F19829" s="21"/>
      <c r="G19829" s="16"/>
    </row>
    <row r="19830" spans="4:7" ht="15" x14ac:dyDescent="0.3">
      <c r="D19830" s="25"/>
      <c r="F19830" s="21"/>
      <c r="G19830" s="16"/>
    </row>
    <row r="19831" spans="4:7" ht="15" x14ac:dyDescent="0.3">
      <c r="D19831" s="25"/>
      <c r="F19831" s="21"/>
      <c r="G19831" s="16"/>
    </row>
    <row r="19832" spans="4:7" ht="15" x14ac:dyDescent="0.3">
      <c r="D19832" s="25"/>
      <c r="F19832" s="21"/>
      <c r="G19832" s="16"/>
    </row>
    <row r="19833" spans="4:7" ht="15" x14ac:dyDescent="0.3">
      <c r="D19833" s="25"/>
      <c r="F19833" s="21"/>
      <c r="G19833" s="16"/>
    </row>
    <row r="19834" spans="4:7" ht="15" x14ac:dyDescent="0.3">
      <c r="D19834" s="25"/>
      <c r="F19834" s="21"/>
      <c r="G19834" s="16"/>
    </row>
    <row r="19835" spans="4:7" ht="15" x14ac:dyDescent="0.3">
      <c r="D19835" s="25"/>
      <c r="F19835" s="21"/>
      <c r="G19835" s="16"/>
    </row>
    <row r="19836" spans="4:7" ht="15" x14ac:dyDescent="0.3">
      <c r="D19836" s="25"/>
      <c r="F19836" s="21"/>
      <c r="G19836" s="16"/>
    </row>
    <row r="19837" spans="4:7" ht="15" x14ac:dyDescent="0.3">
      <c r="D19837" s="25"/>
      <c r="F19837" s="21"/>
      <c r="G19837" s="16"/>
    </row>
    <row r="19838" spans="4:7" ht="15" x14ac:dyDescent="0.3">
      <c r="D19838" s="25"/>
      <c r="F19838" s="21"/>
      <c r="G19838" s="16"/>
    </row>
    <row r="19839" spans="4:7" ht="15" x14ac:dyDescent="0.3">
      <c r="D19839" s="25"/>
      <c r="F19839" s="21"/>
      <c r="G19839" s="16"/>
    </row>
    <row r="19840" spans="4:7" ht="15" x14ac:dyDescent="0.3">
      <c r="D19840" s="25"/>
      <c r="F19840" s="21"/>
      <c r="G19840" s="16"/>
    </row>
    <row r="19841" spans="4:7" ht="15" x14ac:dyDescent="0.3">
      <c r="D19841" s="25"/>
      <c r="F19841" s="21"/>
      <c r="G19841" s="16"/>
    </row>
    <row r="19842" spans="4:7" ht="15" x14ac:dyDescent="0.3">
      <c r="D19842" s="25"/>
      <c r="F19842" s="21"/>
      <c r="G19842" s="16"/>
    </row>
    <row r="19843" spans="4:7" ht="15" x14ac:dyDescent="0.3">
      <c r="D19843" s="25"/>
      <c r="F19843" s="21"/>
      <c r="G19843" s="16"/>
    </row>
    <row r="19844" spans="4:7" ht="15" x14ac:dyDescent="0.3">
      <c r="D19844" s="25"/>
      <c r="F19844" s="21"/>
      <c r="G19844" s="16"/>
    </row>
    <row r="19845" spans="4:7" ht="15" x14ac:dyDescent="0.3">
      <c r="D19845" s="25"/>
      <c r="F19845" s="21"/>
      <c r="G19845" s="16"/>
    </row>
    <row r="19846" spans="4:7" ht="15" x14ac:dyDescent="0.3">
      <c r="D19846" s="25"/>
      <c r="F19846" s="21"/>
      <c r="G19846" s="16"/>
    </row>
    <row r="19847" spans="4:7" ht="15" x14ac:dyDescent="0.3">
      <c r="D19847" s="25"/>
      <c r="F19847" s="21"/>
      <c r="G19847" s="16"/>
    </row>
    <row r="19848" spans="4:7" ht="15" x14ac:dyDescent="0.3">
      <c r="D19848" s="25"/>
      <c r="F19848" s="21"/>
      <c r="G19848" s="16"/>
    </row>
    <row r="19849" spans="4:7" ht="15" x14ac:dyDescent="0.3">
      <c r="D19849" s="25"/>
      <c r="F19849" s="21"/>
      <c r="G19849" s="16"/>
    </row>
    <row r="19850" spans="4:7" ht="15" x14ac:dyDescent="0.3">
      <c r="D19850" s="25"/>
      <c r="F19850" s="21"/>
      <c r="G19850" s="16"/>
    </row>
    <row r="19851" spans="4:7" ht="15" x14ac:dyDescent="0.3">
      <c r="D19851" s="25"/>
      <c r="F19851" s="21"/>
      <c r="G19851" s="16"/>
    </row>
    <row r="19852" spans="4:7" ht="15" x14ac:dyDescent="0.3">
      <c r="D19852" s="25"/>
      <c r="F19852" s="21"/>
      <c r="G19852" s="16"/>
    </row>
    <row r="19853" spans="4:7" ht="15" x14ac:dyDescent="0.3">
      <c r="D19853" s="25"/>
      <c r="F19853" s="21"/>
      <c r="G19853" s="16"/>
    </row>
    <row r="19854" spans="4:7" ht="15" x14ac:dyDescent="0.3">
      <c r="D19854" s="25"/>
      <c r="F19854" s="21"/>
      <c r="G19854" s="16"/>
    </row>
    <row r="19855" spans="4:7" ht="15" x14ac:dyDescent="0.3">
      <c r="D19855" s="25"/>
      <c r="F19855" s="21"/>
      <c r="G19855" s="16"/>
    </row>
    <row r="19856" spans="4:7" ht="15" x14ac:dyDescent="0.3">
      <c r="D19856" s="25"/>
      <c r="F19856" s="21"/>
      <c r="G19856" s="16"/>
    </row>
    <row r="19857" spans="4:7" ht="15" x14ac:dyDescent="0.3">
      <c r="D19857" s="25"/>
      <c r="F19857" s="21"/>
      <c r="G19857" s="16"/>
    </row>
    <row r="19858" spans="4:7" ht="15" x14ac:dyDescent="0.3">
      <c r="D19858" s="25"/>
      <c r="F19858" s="21"/>
      <c r="G19858" s="16"/>
    </row>
    <row r="19859" spans="4:7" ht="15" x14ac:dyDescent="0.3">
      <c r="D19859" s="25"/>
      <c r="F19859" s="21"/>
      <c r="G19859" s="16"/>
    </row>
    <row r="19860" spans="4:7" ht="15" x14ac:dyDescent="0.3">
      <c r="D19860" s="25"/>
      <c r="F19860" s="21"/>
      <c r="G19860" s="16"/>
    </row>
    <row r="19861" spans="4:7" ht="15" x14ac:dyDescent="0.3">
      <c r="D19861" s="25"/>
      <c r="F19861" s="21"/>
      <c r="G19861" s="16"/>
    </row>
    <row r="19862" spans="4:7" ht="15" x14ac:dyDescent="0.3">
      <c r="D19862" s="25"/>
      <c r="F19862" s="21"/>
      <c r="G19862" s="16"/>
    </row>
    <row r="19863" spans="4:7" ht="15" x14ac:dyDescent="0.3">
      <c r="D19863" s="25"/>
      <c r="F19863" s="21"/>
      <c r="G19863" s="16"/>
    </row>
    <row r="19864" spans="4:7" ht="15" x14ac:dyDescent="0.3">
      <c r="D19864" s="25"/>
      <c r="F19864" s="21"/>
      <c r="G19864" s="16"/>
    </row>
    <row r="19865" spans="4:7" ht="15" x14ac:dyDescent="0.3">
      <c r="D19865" s="25"/>
      <c r="F19865" s="21"/>
      <c r="G19865" s="16"/>
    </row>
    <row r="19866" spans="4:7" ht="15" x14ac:dyDescent="0.3">
      <c r="D19866" s="25"/>
      <c r="F19866" s="21"/>
      <c r="G19866" s="16"/>
    </row>
    <row r="19867" spans="4:7" ht="15" x14ac:dyDescent="0.3">
      <c r="D19867" s="25"/>
      <c r="F19867" s="21"/>
      <c r="G19867" s="16"/>
    </row>
    <row r="19868" spans="4:7" ht="15" x14ac:dyDescent="0.3">
      <c r="D19868" s="25"/>
      <c r="F19868" s="21"/>
      <c r="G19868" s="16"/>
    </row>
    <row r="19869" spans="4:7" ht="15" x14ac:dyDescent="0.3">
      <c r="D19869" s="25"/>
      <c r="F19869" s="21"/>
      <c r="G19869" s="16"/>
    </row>
    <row r="19870" spans="4:7" ht="15" x14ac:dyDescent="0.3">
      <c r="D19870" s="25"/>
      <c r="F19870" s="21"/>
      <c r="G19870" s="16"/>
    </row>
    <row r="19871" spans="4:7" ht="15" x14ac:dyDescent="0.3">
      <c r="D19871" s="25"/>
      <c r="F19871" s="21"/>
      <c r="G19871" s="16"/>
    </row>
    <row r="19872" spans="4:7" ht="15" x14ac:dyDescent="0.3">
      <c r="D19872" s="25"/>
      <c r="F19872" s="21"/>
      <c r="G19872" s="16"/>
    </row>
    <row r="19873" spans="4:7" ht="15" x14ac:dyDescent="0.3">
      <c r="D19873" s="25"/>
      <c r="F19873" s="21"/>
      <c r="G19873" s="16"/>
    </row>
    <row r="19874" spans="4:7" ht="15" x14ac:dyDescent="0.3">
      <c r="D19874" s="25"/>
      <c r="F19874" s="21"/>
      <c r="G19874" s="16"/>
    </row>
    <row r="19875" spans="4:7" ht="15" x14ac:dyDescent="0.3">
      <c r="D19875" s="25"/>
      <c r="F19875" s="21"/>
      <c r="G19875" s="16"/>
    </row>
    <row r="19876" spans="4:7" ht="15" x14ac:dyDescent="0.3">
      <c r="D19876" s="25"/>
      <c r="F19876" s="21"/>
      <c r="G19876" s="16"/>
    </row>
    <row r="19877" spans="4:7" ht="15" x14ac:dyDescent="0.3">
      <c r="D19877" s="25"/>
      <c r="F19877" s="21"/>
      <c r="G19877" s="16"/>
    </row>
    <row r="19878" spans="4:7" ht="15" x14ac:dyDescent="0.3">
      <c r="D19878" s="25"/>
      <c r="F19878" s="21"/>
      <c r="G19878" s="16"/>
    </row>
    <row r="19879" spans="4:7" ht="15" x14ac:dyDescent="0.3">
      <c r="D19879" s="25"/>
      <c r="F19879" s="21"/>
      <c r="G19879" s="16"/>
    </row>
    <row r="19880" spans="4:7" ht="15" x14ac:dyDescent="0.3">
      <c r="D19880" s="25"/>
      <c r="F19880" s="21"/>
      <c r="G19880" s="16"/>
    </row>
    <row r="19881" spans="4:7" ht="15" x14ac:dyDescent="0.3">
      <c r="D19881" s="25"/>
      <c r="F19881" s="21"/>
      <c r="G19881" s="16"/>
    </row>
    <row r="19882" spans="4:7" ht="15" x14ac:dyDescent="0.3">
      <c r="D19882" s="25"/>
      <c r="F19882" s="21"/>
      <c r="G19882" s="16"/>
    </row>
    <row r="19883" spans="4:7" ht="15" x14ac:dyDescent="0.3">
      <c r="D19883" s="25"/>
      <c r="F19883" s="21"/>
      <c r="G19883" s="16"/>
    </row>
    <row r="19884" spans="4:7" ht="15" x14ac:dyDescent="0.3">
      <c r="D19884" s="25"/>
      <c r="F19884" s="21"/>
      <c r="G19884" s="16"/>
    </row>
    <row r="19885" spans="4:7" ht="15" x14ac:dyDescent="0.3">
      <c r="D19885" s="25"/>
      <c r="F19885" s="21"/>
      <c r="G19885" s="16"/>
    </row>
    <row r="19886" spans="4:7" ht="15" x14ac:dyDescent="0.3">
      <c r="D19886" s="25"/>
      <c r="F19886" s="21"/>
      <c r="G19886" s="16"/>
    </row>
    <row r="19887" spans="4:7" ht="15" x14ac:dyDescent="0.3">
      <c r="D19887" s="25"/>
      <c r="F19887" s="21"/>
      <c r="G19887" s="16"/>
    </row>
    <row r="19888" spans="4:7" ht="15" x14ac:dyDescent="0.3">
      <c r="D19888" s="25"/>
      <c r="F19888" s="21"/>
      <c r="G19888" s="16"/>
    </row>
    <row r="19889" spans="4:7" ht="15" x14ac:dyDescent="0.3">
      <c r="D19889" s="25"/>
      <c r="F19889" s="21"/>
      <c r="G19889" s="16"/>
    </row>
    <row r="19890" spans="4:7" ht="15" x14ac:dyDescent="0.3">
      <c r="D19890" s="25"/>
      <c r="F19890" s="21"/>
      <c r="G19890" s="16"/>
    </row>
    <row r="19891" spans="4:7" ht="15" x14ac:dyDescent="0.3">
      <c r="D19891" s="25"/>
      <c r="F19891" s="21"/>
      <c r="G19891" s="16"/>
    </row>
    <row r="19892" spans="4:7" ht="15" x14ac:dyDescent="0.3">
      <c r="D19892" s="25"/>
      <c r="F19892" s="21"/>
      <c r="G19892" s="16"/>
    </row>
    <row r="19893" spans="4:7" ht="15" x14ac:dyDescent="0.3">
      <c r="D19893" s="25"/>
      <c r="F19893" s="21"/>
      <c r="G19893" s="16"/>
    </row>
    <row r="19894" spans="4:7" ht="15" x14ac:dyDescent="0.3">
      <c r="D19894" s="25"/>
      <c r="F19894" s="21"/>
      <c r="G19894" s="16"/>
    </row>
    <row r="19895" spans="4:7" ht="15" x14ac:dyDescent="0.3">
      <c r="D19895" s="25"/>
      <c r="F19895" s="21"/>
      <c r="G19895" s="16"/>
    </row>
    <row r="19896" spans="4:7" ht="15" x14ac:dyDescent="0.3">
      <c r="D19896" s="25"/>
      <c r="F19896" s="21"/>
      <c r="G19896" s="16"/>
    </row>
    <row r="19897" spans="4:7" ht="15" x14ac:dyDescent="0.3">
      <c r="D19897" s="25"/>
      <c r="F19897" s="21"/>
      <c r="G19897" s="16"/>
    </row>
    <row r="19898" spans="4:7" ht="15" x14ac:dyDescent="0.3">
      <c r="D19898" s="25"/>
      <c r="F19898" s="21"/>
      <c r="G19898" s="16"/>
    </row>
    <row r="19899" spans="4:7" ht="15" x14ac:dyDescent="0.3">
      <c r="D19899" s="25"/>
      <c r="F19899" s="21"/>
      <c r="G19899" s="16"/>
    </row>
    <row r="19900" spans="4:7" ht="15" x14ac:dyDescent="0.3">
      <c r="D19900" s="25"/>
      <c r="F19900" s="21"/>
      <c r="G19900" s="16"/>
    </row>
    <row r="19901" spans="4:7" ht="15" x14ac:dyDescent="0.3">
      <c r="D19901" s="25"/>
      <c r="F19901" s="21"/>
      <c r="G19901" s="16"/>
    </row>
    <row r="19902" spans="4:7" ht="15" x14ac:dyDescent="0.3">
      <c r="D19902" s="25"/>
      <c r="F19902" s="21"/>
      <c r="G19902" s="16"/>
    </row>
    <row r="19903" spans="4:7" ht="15" x14ac:dyDescent="0.3">
      <c r="D19903" s="25"/>
      <c r="F19903" s="21"/>
      <c r="G19903" s="16"/>
    </row>
    <row r="19904" spans="4:7" ht="15" x14ac:dyDescent="0.3">
      <c r="D19904" s="25"/>
      <c r="F19904" s="21"/>
      <c r="G19904" s="16"/>
    </row>
    <row r="19905" spans="4:7" ht="15" x14ac:dyDescent="0.3">
      <c r="D19905" s="25"/>
      <c r="F19905" s="21"/>
      <c r="G19905" s="16"/>
    </row>
    <row r="19906" spans="4:7" ht="15" x14ac:dyDescent="0.3">
      <c r="D19906" s="25"/>
      <c r="F19906" s="21"/>
      <c r="G19906" s="16"/>
    </row>
    <row r="19907" spans="4:7" ht="15" x14ac:dyDescent="0.3">
      <c r="D19907" s="25"/>
      <c r="F19907" s="21"/>
      <c r="G19907" s="16"/>
    </row>
    <row r="19908" spans="4:7" ht="15" x14ac:dyDescent="0.3">
      <c r="D19908" s="25"/>
      <c r="F19908" s="21"/>
      <c r="G19908" s="16"/>
    </row>
    <row r="19909" spans="4:7" ht="15" x14ac:dyDescent="0.3">
      <c r="D19909" s="25"/>
      <c r="F19909" s="21"/>
      <c r="G19909" s="16"/>
    </row>
    <row r="19910" spans="4:7" ht="15" x14ac:dyDescent="0.3">
      <c r="D19910" s="25"/>
      <c r="F19910" s="21"/>
      <c r="G19910" s="16"/>
    </row>
    <row r="19911" spans="4:7" ht="15" x14ac:dyDescent="0.3">
      <c r="D19911" s="25"/>
      <c r="F19911" s="21"/>
      <c r="G19911" s="16"/>
    </row>
    <row r="19912" spans="4:7" ht="15" x14ac:dyDescent="0.3">
      <c r="D19912" s="25"/>
      <c r="F19912" s="21"/>
      <c r="G19912" s="16"/>
    </row>
    <row r="19913" spans="4:7" ht="15" x14ac:dyDescent="0.3">
      <c r="D19913" s="25"/>
      <c r="F19913" s="21"/>
      <c r="G19913" s="16"/>
    </row>
    <row r="19914" spans="4:7" ht="15" x14ac:dyDescent="0.3">
      <c r="D19914" s="25"/>
      <c r="F19914" s="21"/>
      <c r="G19914" s="16"/>
    </row>
    <row r="19915" spans="4:7" ht="15" x14ac:dyDescent="0.3">
      <c r="D19915" s="25"/>
      <c r="F19915" s="21"/>
      <c r="G19915" s="16"/>
    </row>
    <row r="19916" spans="4:7" ht="15" x14ac:dyDescent="0.3">
      <c r="D19916" s="25"/>
      <c r="F19916" s="21"/>
      <c r="G19916" s="16"/>
    </row>
    <row r="19917" spans="4:7" ht="15" x14ac:dyDescent="0.3">
      <c r="D19917" s="25"/>
      <c r="F19917" s="21"/>
      <c r="G19917" s="16"/>
    </row>
    <row r="19918" spans="4:7" ht="15" x14ac:dyDescent="0.3">
      <c r="D19918" s="25"/>
      <c r="F19918" s="21"/>
      <c r="G19918" s="16"/>
    </row>
    <row r="19919" spans="4:7" ht="15" x14ac:dyDescent="0.3">
      <c r="D19919" s="25"/>
      <c r="F19919" s="21"/>
      <c r="G19919" s="16"/>
    </row>
    <row r="19920" spans="4:7" ht="15" x14ac:dyDescent="0.3">
      <c r="D19920" s="25"/>
      <c r="F19920" s="21"/>
      <c r="G19920" s="16"/>
    </row>
    <row r="19921" spans="4:7" ht="15" x14ac:dyDescent="0.3">
      <c r="D19921" s="25"/>
      <c r="F19921" s="21"/>
      <c r="G19921" s="16"/>
    </row>
    <row r="19922" spans="4:7" ht="15" x14ac:dyDescent="0.3">
      <c r="D19922" s="25"/>
      <c r="F19922" s="21"/>
      <c r="G19922" s="16"/>
    </row>
    <row r="19923" spans="4:7" ht="15" x14ac:dyDescent="0.3">
      <c r="D19923" s="25"/>
      <c r="F19923" s="21"/>
      <c r="G19923" s="16"/>
    </row>
    <row r="19924" spans="4:7" ht="15" x14ac:dyDescent="0.3">
      <c r="D19924" s="25"/>
      <c r="F19924" s="21"/>
      <c r="G19924" s="16"/>
    </row>
    <row r="19925" spans="4:7" ht="15" x14ac:dyDescent="0.3">
      <c r="D19925" s="25"/>
      <c r="F19925" s="21"/>
      <c r="G19925" s="16"/>
    </row>
    <row r="19926" spans="4:7" ht="15" x14ac:dyDescent="0.3">
      <c r="D19926" s="25"/>
      <c r="F19926" s="21"/>
      <c r="G19926" s="16"/>
    </row>
    <row r="19927" spans="4:7" ht="15" x14ac:dyDescent="0.3">
      <c r="D19927" s="25"/>
      <c r="F19927" s="21"/>
      <c r="G19927" s="16"/>
    </row>
    <row r="19928" spans="4:7" ht="15" x14ac:dyDescent="0.3">
      <c r="D19928" s="25"/>
      <c r="F19928" s="21"/>
      <c r="G19928" s="16"/>
    </row>
    <row r="19929" spans="4:7" ht="15" x14ac:dyDescent="0.3">
      <c r="D19929" s="25"/>
      <c r="F19929" s="21"/>
      <c r="G19929" s="16"/>
    </row>
    <row r="19930" spans="4:7" ht="15" x14ac:dyDescent="0.3">
      <c r="D19930" s="25"/>
      <c r="F19930" s="21"/>
      <c r="G19930" s="16"/>
    </row>
    <row r="19931" spans="4:7" ht="15" x14ac:dyDescent="0.3">
      <c r="D19931" s="25"/>
      <c r="F19931" s="21"/>
      <c r="G19931" s="16"/>
    </row>
    <row r="19932" spans="4:7" ht="15" x14ac:dyDescent="0.3">
      <c r="D19932" s="25"/>
      <c r="F19932" s="21"/>
      <c r="G19932" s="16"/>
    </row>
    <row r="19933" spans="4:7" ht="15" x14ac:dyDescent="0.3">
      <c r="D19933" s="25"/>
      <c r="F19933" s="21"/>
      <c r="G19933" s="16"/>
    </row>
    <row r="19934" spans="4:7" ht="15" x14ac:dyDescent="0.3">
      <c r="D19934" s="25"/>
      <c r="F19934" s="21"/>
      <c r="G19934" s="16"/>
    </row>
    <row r="19935" spans="4:7" ht="15" x14ac:dyDescent="0.3">
      <c r="D19935" s="25"/>
      <c r="F19935" s="21"/>
      <c r="G19935" s="16"/>
    </row>
    <row r="19936" spans="4:7" ht="15" x14ac:dyDescent="0.3">
      <c r="D19936" s="25"/>
      <c r="F19936" s="21"/>
      <c r="G19936" s="16"/>
    </row>
    <row r="19937" spans="4:7" ht="15" x14ac:dyDescent="0.3">
      <c r="D19937" s="25"/>
      <c r="F19937" s="21"/>
      <c r="G19937" s="16"/>
    </row>
    <row r="19938" spans="4:7" ht="15" x14ac:dyDescent="0.3">
      <c r="D19938" s="25"/>
      <c r="F19938" s="21"/>
      <c r="G19938" s="16"/>
    </row>
    <row r="19939" spans="4:7" ht="15" x14ac:dyDescent="0.3">
      <c r="D19939" s="25"/>
      <c r="F19939" s="21"/>
      <c r="G19939" s="16"/>
    </row>
    <row r="19940" spans="4:7" ht="15" x14ac:dyDescent="0.3">
      <c r="D19940" s="25"/>
      <c r="F19940" s="21"/>
      <c r="G19940" s="16"/>
    </row>
    <row r="19941" spans="4:7" ht="15" x14ac:dyDescent="0.3">
      <c r="D19941" s="25"/>
      <c r="F19941" s="21"/>
      <c r="G19941" s="16"/>
    </row>
    <row r="19942" spans="4:7" ht="15" x14ac:dyDescent="0.3">
      <c r="D19942" s="25"/>
      <c r="F19942" s="21"/>
      <c r="G19942" s="16"/>
    </row>
    <row r="19943" spans="4:7" ht="15" x14ac:dyDescent="0.3">
      <c r="D19943" s="25"/>
      <c r="F19943" s="21"/>
      <c r="G19943" s="16"/>
    </row>
    <row r="19944" spans="4:7" ht="15" x14ac:dyDescent="0.3">
      <c r="D19944" s="25"/>
      <c r="F19944" s="21"/>
      <c r="G19944" s="16"/>
    </row>
    <row r="19945" spans="4:7" ht="15" x14ac:dyDescent="0.3">
      <c r="D19945" s="25"/>
      <c r="F19945" s="21"/>
      <c r="G19945" s="16"/>
    </row>
    <row r="19946" spans="4:7" ht="15" x14ac:dyDescent="0.3">
      <c r="D19946" s="25"/>
      <c r="F19946" s="21"/>
      <c r="G19946" s="16"/>
    </row>
    <row r="19947" spans="4:7" ht="15" x14ac:dyDescent="0.3">
      <c r="D19947" s="25"/>
      <c r="F19947" s="21"/>
      <c r="G19947" s="16"/>
    </row>
    <row r="19948" spans="4:7" ht="15" x14ac:dyDescent="0.3">
      <c r="D19948" s="25"/>
      <c r="F19948" s="21"/>
      <c r="G19948" s="16"/>
    </row>
    <row r="19949" spans="4:7" ht="15" x14ac:dyDescent="0.3">
      <c r="D19949" s="25"/>
      <c r="F19949" s="21"/>
      <c r="G19949" s="16"/>
    </row>
    <row r="19950" spans="4:7" ht="15" x14ac:dyDescent="0.3">
      <c r="D19950" s="25"/>
      <c r="F19950" s="21"/>
      <c r="G19950" s="16"/>
    </row>
    <row r="19951" spans="4:7" ht="15" x14ac:dyDescent="0.3">
      <c r="D19951" s="25"/>
      <c r="F19951" s="21"/>
      <c r="G19951" s="16"/>
    </row>
    <row r="19952" spans="4:7" ht="15" x14ac:dyDescent="0.3">
      <c r="D19952" s="25"/>
      <c r="F19952" s="21"/>
      <c r="G19952" s="16"/>
    </row>
    <row r="19953" spans="4:7" ht="15" x14ac:dyDescent="0.3">
      <c r="D19953" s="25"/>
      <c r="F19953" s="21"/>
      <c r="G19953" s="16"/>
    </row>
    <row r="19954" spans="4:7" ht="15" x14ac:dyDescent="0.3">
      <c r="D19954" s="25"/>
      <c r="F19954" s="21"/>
      <c r="G19954" s="16"/>
    </row>
    <row r="19955" spans="4:7" ht="15" x14ac:dyDescent="0.3">
      <c r="D19955" s="25"/>
      <c r="F19955" s="21"/>
      <c r="G19955" s="16"/>
    </row>
    <row r="19956" spans="4:7" ht="15" x14ac:dyDescent="0.3">
      <c r="D19956" s="25"/>
      <c r="F19956" s="21"/>
      <c r="G19956" s="16"/>
    </row>
    <row r="19957" spans="4:7" ht="15" x14ac:dyDescent="0.3">
      <c r="D19957" s="25"/>
      <c r="F19957" s="21"/>
      <c r="G19957" s="16"/>
    </row>
    <row r="19958" spans="4:7" ht="15" x14ac:dyDescent="0.3">
      <c r="D19958" s="25"/>
      <c r="F19958" s="21"/>
      <c r="G19958" s="16"/>
    </row>
    <row r="19959" spans="4:7" ht="15" x14ac:dyDescent="0.3">
      <c r="D19959" s="25"/>
      <c r="F19959" s="21"/>
      <c r="G19959" s="16"/>
    </row>
    <row r="19960" spans="4:7" ht="15" x14ac:dyDescent="0.3">
      <c r="D19960" s="25"/>
      <c r="F19960" s="21"/>
      <c r="G19960" s="16"/>
    </row>
    <row r="19961" spans="4:7" ht="15" x14ac:dyDescent="0.3">
      <c r="D19961" s="25"/>
      <c r="F19961" s="21"/>
      <c r="G19961" s="16"/>
    </row>
    <row r="19962" spans="4:7" ht="15" x14ac:dyDescent="0.3">
      <c r="D19962" s="25"/>
      <c r="F19962" s="21"/>
      <c r="G19962" s="16"/>
    </row>
    <row r="19963" spans="4:7" ht="15" x14ac:dyDescent="0.3">
      <c r="D19963" s="25"/>
      <c r="F19963" s="21"/>
      <c r="G19963" s="16"/>
    </row>
    <row r="19964" spans="4:7" ht="15" x14ac:dyDescent="0.3">
      <c r="D19964" s="25"/>
      <c r="F19964" s="21"/>
      <c r="G19964" s="16"/>
    </row>
    <row r="19965" spans="4:7" ht="15" x14ac:dyDescent="0.3">
      <c r="D19965" s="25"/>
      <c r="F19965" s="21"/>
      <c r="G19965" s="16"/>
    </row>
    <row r="19966" spans="4:7" ht="15" x14ac:dyDescent="0.3">
      <c r="D19966" s="25"/>
      <c r="F19966" s="21"/>
      <c r="G19966" s="16"/>
    </row>
    <row r="19967" spans="4:7" ht="15" x14ac:dyDescent="0.3">
      <c r="D19967" s="25"/>
      <c r="F19967" s="21"/>
      <c r="G19967" s="16"/>
    </row>
    <row r="19968" spans="4:7" ht="15" x14ac:dyDescent="0.3">
      <c r="D19968" s="25"/>
      <c r="F19968" s="21"/>
      <c r="G19968" s="16"/>
    </row>
    <row r="19969" spans="4:7" ht="15" x14ac:dyDescent="0.3">
      <c r="D19969" s="25"/>
      <c r="F19969" s="21"/>
      <c r="G19969" s="16"/>
    </row>
    <row r="19970" spans="4:7" ht="15" x14ac:dyDescent="0.3">
      <c r="D19970" s="25"/>
      <c r="F19970" s="21"/>
      <c r="G19970" s="16"/>
    </row>
    <row r="19971" spans="4:7" ht="15" x14ac:dyDescent="0.3">
      <c r="D19971" s="25"/>
      <c r="F19971" s="21"/>
      <c r="G19971" s="16"/>
    </row>
    <row r="19972" spans="4:7" ht="15" x14ac:dyDescent="0.3">
      <c r="D19972" s="25"/>
      <c r="F19972" s="21"/>
      <c r="G19972" s="16"/>
    </row>
    <row r="19973" spans="4:7" ht="15" x14ac:dyDescent="0.3">
      <c r="D19973" s="25"/>
      <c r="F19973" s="21"/>
      <c r="G19973" s="16"/>
    </row>
    <row r="19974" spans="4:7" ht="15" x14ac:dyDescent="0.3">
      <c r="D19974" s="25"/>
      <c r="F19974" s="21"/>
      <c r="G19974" s="16"/>
    </row>
    <row r="19975" spans="4:7" ht="15" x14ac:dyDescent="0.3">
      <c r="D19975" s="25"/>
      <c r="F19975" s="21"/>
      <c r="G19975" s="16"/>
    </row>
    <row r="19976" spans="4:7" ht="15" x14ac:dyDescent="0.3">
      <c r="D19976" s="25"/>
      <c r="F19976" s="21"/>
      <c r="G19976" s="16"/>
    </row>
    <row r="19977" spans="4:7" ht="15" x14ac:dyDescent="0.3">
      <c r="D19977" s="25"/>
      <c r="F19977" s="21"/>
      <c r="G19977" s="16"/>
    </row>
    <row r="19978" spans="4:7" ht="15" x14ac:dyDescent="0.3">
      <c r="D19978" s="25"/>
      <c r="F19978" s="21"/>
      <c r="G19978" s="16"/>
    </row>
    <row r="19979" spans="4:7" ht="15" x14ac:dyDescent="0.3">
      <c r="D19979" s="25"/>
      <c r="F19979" s="21"/>
      <c r="G19979" s="16"/>
    </row>
    <row r="19980" spans="4:7" ht="15" x14ac:dyDescent="0.3">
      <c r="D19980" s="25"/>
      <c r="F19980" s="21"/>
      <c r="G19980" s="16"/>
    </row>
    <row r="19981" spans="4:7" ht="15" x14ac:dyDescent="0.3">
      <c r="D19981" s="25"/>
      <c r="F19981" s="21"/>
      <c r="G19981" s="16"/>
    </row>
    <row r="19982" spans="4:7" ht="15" x14ac:dyDescent="0.3">
      <c r="D19982" s="25"/>
      <c r="F19982" s="21"/>
      <c r="G19982" s="16"/>
    </row>
    <row r="19983" spans="4:7" ht="15" x14ac:dyDescent="0.3">
      <c r="D19983" s="25"/>
      <c r="F19983" s="21"/>
      <c r="G19983" s="16"/>
    </row>
    <row r="19984" spans="4:7" ht="15" x14ac:dyDescent="0.3">
      <c r="D19984" s="25"/>
      <c r="F19984" s="21"/>
      <c r="G19984" s="16"/>
    </row>
    <row r="19985" spans="4:7" ht="15" x14ac:dyDescent="0.3">
      <c r="D19985" s="25"/>
      <c r="F19985" s="21"/>
      <c r="G19985" s="16"/>
    </row>
    <row r="19986" spans="4:7" ht="15" x14ac:dyDescent="0.3">
      <c r="D19986" s="25"/>
      <c r="F19986" s="21"/>
      <c r="G19986" s="16"/>
    </row>
    <row r="19987" spans="4:7" ht="15" x14ac:dyDescent="0.3">
      <c r="D19987" s="25"/>
      <c r="F19987" s="21"/>
      <c r="G19987" s="16"/>
    </row>
    <row r="19988" spans="4:7" ht="15" x14ac:dyDescent="0.3">
      <c r="D19988" s="25"/>
      <c r="F19988" s="21"/>
      <c r="G19988" s="16"/>
    </row>
    <row r="19989" spans="4:7" ht="15" x14ac:dyDescent="0.3">
      <c r="D19989" s="25"/>
      <c r="F19989" s="21"/>
      <c r="G19989" s="16"/>
    </row>
    <row r="19990" spans="4:7" ht="15" x14ac:dyDescent="0.3">
      <c r="D19990" s="25"/>
      <c r="F19990" s="21"/>
      <c r="G19990" s="16"/>
    </row>
    <row r="19991" spans="4:7" ht="15" x14ac:dyDescent="0.3">
      <c r="D19991" s="25"/>
      <c r="F19991" s="21"/>
      <c r="G19991" s="16"/>
    </row>
    <row r="19992" spans="4:7" ht="15" x14ac:dyDescent="0.3">
      <c r="D19992" s="25"/>
      <c r="F19992" s="21"/>
      <c r="G19992" s="16"/>
    </row>
    <row r="19993" spans="4:7" ht="15" x14ac:dyDescent="0.3">
      <c r="D19993" s="25"/>
      <c r="F19993" s="21"/>
      <c r="G19993" s="16"/>
    </row>
    <row r="19994" spans="4:7" ht="15" x14ac:dyDescent="0.3">
      <c r="D19994" s="25"/>
      <c r="F19994" s="21"/>
      <c r="G19994" s="16"/>
    </row>
    <row r="19995" spans="4:7" ht="15" x14ac:dyDescent="0.3">
      <c r="D19995" s="25"/>
      <c r="F19995" s="21"/>
      <c r="G19995" s="16"/>
    </row>
    <row r="19996" spans="4:7" ht="15" x14ac:dyDescent="0.3">
      <c r="D19996" s="25"/>
      <c r="F19996" s="21"/>
      <c r="G19996" s="16"/>
    </row>
    <row r="19997" spans="4:7" ht="15" x14ac:dyDescent="0.3">
      <c r="D19997" s="25"/>
      <c r="F19997" s="21"/>
      <c r="G19997" s="16"/>
    </row>
    <row r="19998" spans="4:7" ht="15" x14ac:dyDescent="0.3">
      <c r="D19998" s="25"/>
      <c r="F19998" s="21"/>
      <c r="G19998" s="16"/>
    </row>
    <row r="19999" spans="4:7" ht="15" x14ac:dyDescent="0.3">
      <c r="D19999" s="25"/>
      <c r="F19999" s="21"/>
      <c r="G19999" s="16"/>
    </row>
    <row r="20000" spans="4:7" ht="15" x14ac:dyDescent="0.3">
      <c r="D20000" s="25"/>
      <c r="F20000" s="21"/>
      <c r="G20000" s="16"/>
    </row>
    <row r="20001" spans="4:7" ht="15" x14ac:dyDescent="0.3">
      <c r="D20001" s="25"/>
      <c r="F20001" s="21"/>
      <c r="G20001" s="16"/>
    </row>
    <row r="20002" spans="4:7" ht="15" x14ac:dyDescent="0.3">
      <c r="D20002" s="25"/>
      <c r="F20002" s="21"/>
      <c r="G20002" s="16"/>
    </row>
    <row r="20003" spans="4:7" ht="15" x14ac:dyDescent="0.3">
      <c r="D20003" s="25"/>
      <c r="F20003" s="21"/>
      <c r="G20003" s="16"/>
    </row>
    <row r="20004" spans="4:7" ht="15" x14ac:dyDescent="0.3">
      <c r="D20004" s="25"/>
      <c r="F20004" s="21"/>
      <c r="G20004" s="16"/>
    </row>
    <row r="20005" spans="4:7" ht="15" x14ac:dyDescent="0.3">
      <c r="D20005" s="25"/>
      <c r="F20005" s="21"/>
      <c r="G20005" s="16"/>
    </row>
    <row r="20006" spans="4:7" ht="15" x14ac:dyDescent="0.3">
      <c r="D20006" s="25"/>
      <c r="F20006" s="21"/>
      <c r="G20006" s="16"/>
    </row>
    <row r="20007" spans="4:7" ht="15" x14ac:dyDescent="0.3">
      <c r="D20007" s="25"/>
      <c r="F20007" s="21"/>
      <c r="G20007" s="16"/>
    </row>
    <row r="20008" spans="4:7" ht="15" x14ac:dyDescent="0.3">
      <c r="D20008" s="25"/>
      <c r="F20008" s="21"/>
      <c r="G20008" s="16"/>
    </row>
    <row r="20009" spans="4:7" ht="15" x14ac:dyDescent="0.3">
      <c r="D20009" s="25"/>
      <c r="F20009" s="21"/>
      <c r="G20009" s="16"/>
    </row>
    <row r="20010" spans="4:7" ht="15" x14ac:dyDescent="0.3">
      <c r="D20010" s="25"/>
      <c r="F20010" s="21"/>
      <c r="G20010" s="16"/>
    </row>
    <row r="20011" spans="4:7" ht="15" x14ac:dyDescent="0.3">
      <c r="D20011" s="25"/>
      <c r="F20011" s="21"/>
      <c r="G20011" s="16"/>
    </row>
    <row r="20012" spans="4:7" ht="15" x14ac:dyDescent="0.3">
      <c r="D20012" s="25"/>
      <c r="F20012" s="21"/>
      <c r="G20012" s="16"/>
    </row>
    <row r="20013" spans="4:7" ht="15" x14ac:dyDescent="0.3">
      <c r="D20013" s="25"/>
      <c r="F20013" s="21"/>
      <c r="G20013" s="16"/>
    </row>
    <row r="20014" spans="4:7" ht="15" x14ac:dyDescent="0.3">
      <c r="D20014" s="25"/>
      <c r="F20014" s="21"/>
      <c r="G20014" s="16"/>
    </row>
    <row r="20015" spans="4:7" ht="15" x14ac:dyDescent="0.3">
      <c r="D20015" s="25"/>
      <c r="F20015" s="21"/>
      <c r="G20015" s="16"/>
    </row>
    <row r="20016" spans="4:7" ht="15" x14ac:dyDescent="0.3">
      <c r="D20016" s="25"/>
      <c r="F20016" s="21"/>
      <c r="G20016" s="16"/>
    </row>
    <row r="20017" spans="4:7" ht="15" x14ac:dyDescent="0.3">
      <c r="D20017" s="25"/>
      <c r="F20017" s="21"/>
      <c r="G20017" s="16"/>
    </row>
    <row r="20018" spans="4:7" ht="15" x14ac:dyDescent="0.3">
      <c r="D20018" s="25"/>
      <c r="F20018" s="21"/>
      <c r="G20018" s="16"/>
    </row>
    <row r="20019" spans="4:7" ht="15" x14ac:dyDescent="0.3">
      <c r="D20019" s="25"/>
      <c r="F20019" s="21"/>
      <c r="G20019" s="16"/>
    </row>
    <row r="20020" spans="4:7" ht="15" x14ac:dyDescent="0.3">
      <c r="D20020" s="25"/>
      <c r="F20020" s="21"/>
      <c r="G20020" s="16"/>
    </row>
    <row r="20021" spans="4:7" ht="15" x14ac:dyDescent="0.3">
      <c r="D20021" s="25"/>
      <c r="F20021" s="21"/>
      <c r="G20021" s="16"/>
    </row>
    <row r="20022" spans="4:7" ht="15" x14ac:dyDescent="0.3">
      <c r="D20022" s="25"/>
      <c r="F20022" s="21"/>
      <c r="G20022" s="16"/>
    </row>
    <row r="20023" spans="4:7" ht="15" x14ac:dyDescent="0.3">
      <c r="D20023" s="25"/>
      <c r="F20023" s="21"/>
      <c r="G20023" s="16"/>
    </row>
    <row r="20024" spans="4:7" ht="15" x14ac:dyDescent="0.3">
      <c r="D20024" s="25"/>
      <c r="F20024" s="21"/>
      <c r="G20024" s="16"/>
    </row>
    <row r="20025" spans="4:7" ht="15" x14ac:dyDescent="0.3">
      <c r="D20025" s="25"/>
      <c r="F20025" s="21"/>
      <c r="G20025" s="16"/>
    </row>
    <row r="20026" spans="4:7" ht="15" x14ac:dyDescent="0.3">
      <c r="D20026" s="25"/>
      <c r="F20026" s="21"/>
      <c r="G20026" s="16"/>
    </row>
    <row r="20027" spans="4:7" ht="15" x14ac:dyDescent="0.3">
      <c r="D20027" s="25"/>
      <c r="F20027" s="21"/>
      <c r="G20027" s="16"/>
    </row>
    <row r="20028" spans="4:7" ht="15" x14ac:dyDescent="0.3">
      <c r="D20028" s="25"/>
      <c r="F20028" s="21"/>
      <c r="G20028" s="16"/>
    </row>
    <row r="20029" spans="4:7" ht="15" x14ac:dyDescent="0.3">
      <c r="D20029" s="25"/>
      <c r="F20029" s="21"/>
      <c r="G20029" s="16"/>
    </row>
    <row r="20030" spans="4:7" ht="15" x14ac:dyDescent="0.3">
      <c r="D20030" s="25"/>
      <c r="F20030" s="21"/>
      <c r="G20030" s="16"/>
    </row>
    <row r="20031" spans="4:7" ht="15" x14ac:dyDescent="0.3">
      <c r="D20031" s="25"/>
      <c r="F20031" s="21"/>
      <c r="G20031" s="16"/>
    </row>
    <row r="20032" spans="4:7" ht="15" x14ac:dyDescent="0.3">
      <c r="D20032" s="25"/>
      <c r="F20032" s="21"/>
      <c r="G20032" s="16"/>
    </row>
    <row r="20033" spans="4:7" ht="15" x14ac:dyDescent="0.3">
      <c r="D20033" s="25"/>
      <c r="F20033" s="21"/>
      <c r="G20033" s="16"/>
    </row>
    <row r="20034" spans="4:7" ht="15" x14ac:dyDescent="0.3">
      <c r="D20034" s="25"/>
      <c r="F20034" s="21"/>
      <c r="G20034" s="16"/>
    </row>
    <row r="20035" spans="4:7" ht="15" x14ac:dyDescent="0.3">
      <c r="D20035" s="25"/>
      <c r="F20035" s="21"/>
      <c r="G20035" s="16"/>
    </row>
    <row r="20036" spans="4:7" ht="15" x14ac:dyDescent="0.3">
      <c r="D20036" s="25"/>
      <c r="F20036" s="21"/>
      <c r="G20036" s="16"/>
    </row>
    <row r="20037" spans="4:7" ht="15" x14ac:dyDescent="0.3">
      <c r="D20037" s="25"/>
      <c r="F20037" s="21"/>
      <c r="G20037" s="16"/>
    </row>
    <row r="20038" spans="4:7" ht="15" x14ac:dyDescent="0.3">
      <c r="D20038" s="25"/>
      <c r="F20038" s="21"/>
      <c r="G20038" s="16"/>
    </row>
    <row r="20039" spans="4:7" ht="15" x14ac:dyDescent="0.3">
      <c r="D20039" s="25"/>
      <c r="F20039" s="21"/>
      <c r="G20039" s="16"/>
    </row>
    <row r="20040" spans="4:7" ht="15" x14ac:dyDescent="0.3">
      <c r="D20040" s="25"/>
      <c r="F20040" s="21"/>
      <c r="G20040" s="16"/>
    </row>
    <row r="20041" spans="4:7" ht="15" x14ac:dyDescent="0.3">
      <c r="D20041" s="25"/>
      <c r="F20041" s="21"/>
      <c r="G20041" s="16"/>
    </row>
    <row r="20042" spans="4:7" ht="15" x14ac:dyDescent="0.3">
      <c r="D20042" s="25"/>
      <c r="F20042" s="21"/>
      <c r="G20042" s="16"/>
    </row>
    <row r="20043" spans="4:7" ht="15" x14ac:dyDescent="0.3">
      <c r="D20043" s="25"/>
      <c r="F20043" s="21"/>
      <c r="G20043" s="16"/>
    </row>
    <row r="20044" spans="4:7" ht="15" x14ac:dyDescent="0.3">
      <c r="D20044" s="25"/>
      <c r="F20044" s="21"/>
      <c r="G20044" s="16"/>
    </row>
    <row r="20045" spans="4:7" ht="15" x14ac:dyDescent="0.3">
      <c r="D20045" s="25"/>
      <c r="F20045" s="21"/>
      <c r="G20045" s="16"/>
    </row>
    <row r="20046" spans="4:7" ht="15" x14ac:dyDescent="0.3">
      <c r="D20046" s="25"/>
      <c r="F20046" s="21"/>
      <c r="G20046" s="16"/>
    </row>
    <row r="20047" spans="4:7" ht="15" x14ac:dyDescent="0.3">
      <c r="D20047" s="25"/>
      <c r="F20047" s="21"/>
      <c r="G20047" s="16"/>
    </row>
    <row r="20048" spans="4:7" ht="15" x14ac:dyDescent="0.3">
      <c r="D20048" s="25"/>
      <c r="F20048" s="21"/>
      <c r="G20048" s="16"/>
    </row>
    <row r="20049" spans="4:7" ht="15" x14ac:dyDescent="0.3">
      <c r="D20049" s="25"/>
      <c r="F20049" s="21"/>
      <c r="G20049" s="16"/>
    </row>
    <row r="20050" spans="4:7" ht="15" x14ac:dyDescent="0.3">
      <c r="D20050" s="25"/>
      <c r="F20050" s="21"/>
      <c r="G20050" s="16"/>
    </row>
    <row r="20051" spans="4:7" ht="15" x14ac:dyDescent="0.3">
      <c r="D20051" s="25"/>
      <c r="F20051" s="21"/>
      <c r="G20051" s="16"/>
    </row>
    <row r="20052" spans="4:7" ht="15" x14ac:dyDescent="0.3">
      <c r="D20052" s="25"/>
      <c r="F20052" s="21"/>
      <c r="G20052" s="16"/>
    </row>
    <row r="20053" spans="4:7" ht="15" x14ac:dyDescent="0.3">
      <c r="D20053" s="25"/>
      <c r="F20053" s="21"/>
      <c r="G20053" s="16"/>
    </row>
    <row r="20054" spans="4:7" ht="15" x14ac:dyDescent="0.3">
      <c r="D20054" s="25"/>
      <c r="F20054" s="21"/>
      <c r="G20054" s="16"/>
    </row>
    <row r="20055" spans="4:7" ht="15" x14ac:dyDescent="0.3">
      <c r="D20055" s="25"/>
      <c r="F20055" s="21"/>
      <c r="G20055" s="16"/>
    </row>
    <row r="20056" spans="4:7" ht="15" x14ac:dyDescent="0.3">
      <c r="D20056" s="25"/>
      <c r="F20056" s="21"/>
      <c r="G20056" s="16"/>
    </row>
    <row r="20057" spans="4:7" ht="15" x14ac:dyDescent="0.3">
      <c r="D20057" s="25"/>
      <c r="F20057" s="21"/>
      <c r="G20057" s="16"/>
    </row>
    <row r="20058" spans="4:7" ht="15" x14ac:dyDescent="0.3">
      <c r="D20058" s="25"/>
      <c r="F20058" s="21"/>
      <c r="G20058" s="16"/>
    </row>
    <row r="20059" spans="4:7" ht="15" x14ac:dyDescent="0.3">
      <c r="D20059" s="25"/>
      <c r="F20059" s="21"/>
      <c r="G20059" s="16"/>
    </row>
    <row r="20060" spans="4:7" ht="15" x14ac:dyDescent="0.3">
      <c r="D20060" s="25"/>
      <c r="F20060" s="21"/>
      <c r="G20060" s="16"/>
    </row>
    <row r="20061" spans="4:7" ht="15" x14ac:dyDescent="0.3">
      <c r="D20061" s="25"/>
      <c r="F20061" s="21"/>
      <c r="G20061" s="16"/>
    </row>
    <row r="20062" spans="4:7" ht="15" x14ac:dyDescent="0.3">
      <c r="D20062" s="25"/>
      <c r="F20062" s="21"/>
      <c r="G20062" s="16"/>
    </row>
    <row r="20063" spans="4:7" ht="15" x14ac:dyDescent="0.3">
      <c r="D20063" s="25"/>
      <c r="F20063" s="21"/>
      <c r="G20063" s="16"/>
    </row>
    <row r="20064" spans="4:7" ht="15" x14ac:dyDescent="0.3">
      <c r="D20064" s="25"/>
      <c r="F20064" s="21"/>
      <c r="G20064" s="16"/>
    </row>
    <row r="20065" spans="4:7" ht="15" x14ac:dyDescent="0.3">
      <c r="D20065" s="25"/>
      <c r="F20065" s="21"/>
      <c r="G20065" s="16"/>
    </row>
    <row r="20066" spans="4:7" ht="15" x14ac:dyDescent="0.3">
      <c r="D20066" s="25"/>
      <c r="F20066" s="21"/>
      <c r="G20066" s="16"/>
    </row>
    <row r="20067" spans="4:7" ht="15" x14ac:dyDescent="0.3">
      <c r="D20067" s="25"/>
      <c r="F20067" s="21"/>
      <c r="G20067" s="16"/>
    </row>
    <row r="20068" spans="4:7" ht="15" x14ac:dyDescent="0.3">
      <c r="D20068" s="25"/>
      <c r="F20068" s="21"/>
      <c r="G20068" s="16"/>
    </row>
    <row r="20069" spans="4:7" ht="15" x14ac:dyDescent="0.3">
      <c r="D20069" s="25"/>
      <c r="F20069" s="21"/>
      <c r="G20069" s="16"/>
    </row>
    <row r="20070" spans="4:7" ht="15" x14ac:dyDescent="0.3">
      <c r="D20070" s="25"/>
      <c r="F20070" s="21"/>
      <c r="G20070" s="16"/>
    </row>
    <row r="20071" spans="4:7" ht="15" x14ac:dyDescent="0.3">
      <c r="D20071" s="25"/>
      <c r="F20071" s="21"/>
      <c r="G20071" s="16"/>
    </row>
    <row r="20072" spans="4:7" ht="15" x14ac:dyDescent="0.3">
      <c r="D20072" s="25"/>
      <c r="F20072" s="21"/>
      <c r="G20072" s="16"/>
    </row>
    <row r="20073" spans="4:7" ht="15" x14ac:dyDescent="0.3">
      <c r="D20073" s="25"/>
      <c r="F20073" s="21"/>
      <c r="G20073" s="16"/>
    </row>
    <row r="20074" spans="4:7" ht="15" x14ac:dyDescent="0.3">
      <c r="D20074" s="25"/>
      <c r="F20074" s="21"/>
      <c r="G20074" s="16"/>
    </row>
    <row r="20075" spans="4:7" ht="15" x14ac:dyDescent="0.3">
      <c r="D20075" s="25"/>
      <c r="F20075" s="21"/>
      <c r="G20075" s="16"/>
    </row>
    <row r="20076" spans="4:7" ht="15" x14ac:dyDescent="0.3">
      <c r="D20076" s="25"/>
      <c r="F20076" s="21"/>
      <c r="G20076" s="16"/>
    </row>
    <row r="20077" spans="4:7" ht="15" x14ac:dyDescent="0.3">
      <c r="D20077" s="25"/>
      <c r="F20077" s="21"/>
      <c r="G20077" s="16"/>
    </row>
    <row r="20078" spans="4:7" ht="15" x14ac:dyDescent="0.3">
      <c r="D20078" s="25"/>
      <c r="F20078" s="21"/>
      <c r="G20078" s="16"/>
    </row>
    <row r="20079" spans="4:7" ht="15" x14ac:dyDescent="0.3">
      <c r="D20079" s="25"/>
      <c r="F20079" s="21"/>
      <c r="G20079" s="16"/>
    </row>
    <row r="20080" spans="4:7" ht="15" x14ac:dyDescent="0.3">
      <c r="D20080" s="25"/>
      <c r="F20080" s="21"/>
      <c r="G20080" s="16"/>
    </row>
    <row r="20081" spans="4:7" ht="15" x14ac:dyDescent="0.3">
      <c r="D20081" s="25"/>
      <c r="F20081" s="21"/>
      <c r="G20081" s="16"/>
    </row>
    <row r="20082" spans="4:7" ht="15" x14ac:dyDescent="0.3">
      <c r="D20082" s="25"/>
      <c r="F20082" s="21"/>
      <c r="G20082" s="16"/>
    </row>
    <row r="20083" spans="4:7" ht="15" x14ac:dyDescent="0.3">
      <c r="D20083" s="25"/>
      <c r="F20083" s="21"/>
      <c r="G20083" s="16"/>
    </row>
    <row r="20084" spans="4:7" ht="15" x14ac:dyDescent="0.3">
      <c r="D20084" s="25"/>
      <c r="F20084" s="21"/>
      <c r="G20084" s="16"/>
    </row>
    <row r="20085" spans="4:7" ht="15" x14ac:dyDescent="0.3">
      <c r="D20085" s="25"/>
      <c r="F20085" s="21"/>
      <c r="G20085" s="16"/>
    </row>
    <row r="20086" spans="4:7" ht="15" x14ac:dyDescent="0.3">
      <c r="D20086" s="25"/>
      <c r="F20086" s="21"/>
      <c r="G20086" s="16"/>
    </row>
    <row r="20087" spans="4:7" ht="15" x14ac:dyDescent="0.3">
      <c r="D20087" s="25"/>
      <c r="F20087" s="21"/>
      <c r="G20087" s="16"/>
    </row>
    <row r="20088" spans="4:7" ht="15" x14ac:dyDescent="0.3">
      <c r="D20088" s="25"/>
      <c r="F20088" s="21"/>
      <c r="G20088" s="16"/>
    </row>
    <row r="20089" spans="4:7" ht="15" x14ac:dyDescent="0.3">
      <c r="D20089" s="25"/>
      <c r="F20089" s="21"/>
      <c r="G20089" s="16"/>
    </row>
    <row r="20090" spans="4:7" ht="15" x14ac:dyDescent="0.3">
      <c r="D20090" s="25"/>
      <c r="F20090" s="21"/>
      <c r="G20090" s="16"/>
    </row>
    <row r="20091" spans="4:7" ht="15" x14ac:dyDescent="0.3">
      <c r="D20091" s="25"/>
      <c r="F20091" s="21"/>
      <c r="G20091" s="16"/>
    </row>
    <row r="20092" spans="4:7" ht="15" x14ac:dyDescent="0.3">
      <c r="D20092" s="25"/>
      <c r="F20092" s="21"/>
      <c r="G20092" s="16"/>
    </row>
    <row r="20093" spans="4:7" ht="15" x14ac:dyDescent="0.3">
      <c r="D20093" s="25"/>
      <c r="F20093" s="21"/>
      <c r="G20093" s="16"/>
    </row>
    <row r="20094" spans="4:7" ht="15" x14ac:dyDescent="0.3">
      <c r="D20094" s="25"/>
      <c r="F20094" s="21"/>
      <c r="G20094" s="16"/>
    </row>
    <row r="20095" spans="4:7" ht="15" x14ac:dyDescent="0.3">
      <c r="D20095" s="25"/>
      <c r="F20095" s="21"/>
      <c r="G20095" s="16"/>
    </row>
    <row r="20096" spans="4:7" ht="15" x14ac:dyDescent="0.3">
      <c r="D20096" s="25"/>
      <c r="F20096" s="21"/>
      <c r="G20096" s="16"/>
    </row>
    <row r="20097" spans="4:7" ht="15" x14ac:dyDescent="0.3">
      <c r="D20097" s="25"/>
      <c r="F20097" s="21"/>
      <c r="G20097" s="16"/>
    </row>
    <row r="20098" spans="4:7" ht="15" x14ac:dyDescent="0.3">
      <c r="D20098" s="25"/>
      <c r="F20098" s="21"/>
      <c r="G20098" s="16"/>
    </row>
    <row r="20099" spans="4:7" ht="15" x14ac:dyDescent="0.3">
      <c r="D20099" s="25"/>
      <c r="F20099" s="21"/>
      <c r="G20099" s="16"/>
    </row>
    <row r="20100" spans="4:7" ht="15" x14ac:dyDescent="0.3">
      <c r="D20100" s="25"/>
      <c r="F20100" s="21"/>
      <c r="G20100" s="16"/>
    </row>
    <row r="20101" spans="4:7" ht="15" x14ac:dyDescent="0.3">
      <c r="D20101" s="25"/>
      <c r="F20101" s="21"/>
      <c r="G20101" s="16"/>
    </row>
    <row r="20102" spans="4:7" ht="15" x14ac:dyDescent="0.3">
      <c r="D20102" s="25"/>
      <c r="F20102" s="21"/>
      <c r="G20102" s="16"/>
    </row>
    <row r="20103" spans="4:7" ht="15" x14ac:dyDescent="0.3">
      <c r="D20103" s="25"/>
      <c r="F20103" s="21"/>
      <c r="G20103" s="16"/>
    </row>
    <row r="20104" spans="4:7" ht="15" x14ac:dyDescent="0.3">
      <c r="D20104" s="25"/>
      <c r="F20104" s="21"/>
      <c r="G20104" s="16"/>
    </row>
    <row r="20105" spans="4:7" ht="15" x14ac:dyDescent="0.3">
      <c r="D20105" s="25"/>
      <c r="F20105" s="21"/>
      <c r="G20105" s="16"/>
    </row>
    <row r="20106" spans="4:7" ht="15" x14ac:dyDescent="0.3">
      <c r="D20106" s="25"/>
      <c r="F20106" s="21"/>
      <c r="G20106" s="16"/>
    </row>
    <row r="20107" spans="4:7" ht="15" x14ac:dyDescent="0.3">
      <c r="D20107" s="25"/>
      <c r="F20107" s="21"/>
      <c r="G20107" s="16"/>
    </row>
    <row r="20108" spans="4:7" ht="15" x14ac:dyDescent="0.3">
      <c r="D20108" s="25"/>
      <c r="F20108" s="21"/>
      <c r="G20108" s="16"/>
    </row>
    <row r="20109" spans="4:7" ht="15" x14ac:dyDescent="0.3">
      <c r="D20109" s="25"/>
      <c r="F20109" s="21"/>
      <c r="G20109" s="16"/>
    </row>
    <row r="20110" spans="4:7" ht="15" x14ac:dyDescent="0.3">
      <c r="D20110" s="25"/>
      <c r="F20110" s="21"/>
      <c r="G20110" s="16"/>
    </row>
    <row r="20111" spans="4:7" ht="15" x14ac:dyDescent="0.3">
      <c r="D20111" s="25"/>
      <c r="F20111" s="21"/>
      <c r="G20111" s="16"/>
    </row>
    <row r="20112" spans="4:7" ht="15" x14ac:dyDescent="0.3">
      <c r="D20112" s="25"/>
      <c r="F20112" s="21"/>
      <c r="G20112" s="16"/>
    </row>
    <row r="20113" spans="4:7" ht="15" x14ac:dyDescent="0.3">
      <c r="D20113" s="25"/>
      <c r="F20113" s="21"/>
      <c r="G20113" s="16"/>
    </row>
    <row r="20114" spans="4:7" ht="15" x14ac:dyDescent="0.3">
      <c r="D20114" s="25"/>
      <c r="F20114" s="21"/>
      <c r="G20114" s="16"/>
    </row>
    <row r="20115" spans="4:7" ht="15" x14ac:dyDescent="0.3">
      <c r="D20115" s="25"/>
      <c r="F20115" s="21"/>
      <c r="G20115" s="16"/>
    </row>
    <row r="20116" spans="4:7" ht="15" x14ac:dyDescent="0.3">
      <c r="D20116" s="25"/>
      <c r="F20116" s="21"/>
      <c r="G20116" s="16"/>
    </row>
    <row r="20117" spans="4:7" ht="15" x14ac:dyDescent="0.3">
      <c r="D20117" s="25"/>
      <c r="F20117" s="21"/>
      <c r="G20117" s="16"/>
    </row>
    <row r="20118" spans="4:7" ht="15" x14ac:dyDescent="0.3">
      <c r="D20118" s="25"/>
      <c r="F20118" s="21"/>
      <c r="G20118" s="16"/>
    </row>
    <row r="20119" spans="4:7" ht="15" x14ac:dyDescent="0.3">
      <c r="D20119" s="25"/>
      <c r="F20119" s="21"/>
      <c r="G20119" s="16"/>
    </row>
    <row r="20120" spans="4:7" ht="15" x14ac:dyDescent="0.3">
      <c r="D20120" s="25"/>
      <c r="F20120" s="21"/>
      <c r="G20120" s="16"/>
    </row>
    <row r="20121" spans="4:7" ht="15" x14ac:dyDescent="0.3">
      <c r="D20121" s="25"/>
      <c r="F20121" s="21"/>
      <c r="G20121" s="16"/>
    </row>
    <row r="20122" spans="4:7" ht="15" x14ac:dyDescent="0.3">
      <c r="D20122" s="25"/>
      <c r="F20122" s="21"/>
      <c r="G20122" s="16"/>
    </row>
    <row r="20123" spans="4:7" ht="15" x14ac:dyDescent="0.3">
      <c r="D20123" s="25"/>
      <c r="F20123" s="21"/>
      <c r="G20123" s="16"/>
    </row>
    <row r="20124" spans="4:7" ht="15" x14ac:dyDescent="0.3">
      <c r="D20124" s="25"/>
      <c r="F20124" s="21"/>
      <c r="G20124" s="16"/>
    </row>
    <row r="20125" spans="4:7" ht="15" x14ac:dyDescent="0.3">
      <c r="D20125" s="25"/>
      <c r="F20125" s="21"/>
      <c r="G20125" s="16"/>
    </row>
    <row r="20126" spans="4:7" ht="15" x14ac:dyDescent="0.3">
      <c r="D20126" s="25"/>
      <c r="F20126" s="21"/>
      <c r="G20126" s="16"/>
    </row>
    <row r="20127" spans="4:7" ht="15" x14ac:dyDescent="0.3">
      <c r="D20127" s="25"/>
      <c r="F20127" s="21"/>
      <c r="G20127" s="16"/>
    </row>
    <row r="20128" spans="4:7" ht="15" x14ac:dyDescent="0.3">
      <c r="D20128" s="25"/>
      <c r="F20128" s="21"/>
      <c r="G20128" s="16"/>
    </row>
    <row r="20129" spans="4:7" ht="15" x14ac:dyDescent="0.3">
      <c r="D20129" s="25"/>
      <c r="F20129" s="21"/>
      <c r="G20129" s="16"/>
    </row>
    <row r="20130" spans="4:7" ht="15" x14ac:dyDescent="0.3">
      <c r="D20130" s="25"/>
      <c r="F20130" s="21"/>
      <c r="G20130" s="16"/>
    </row>
    <row r="20131" spans="4:7" ht="15" x14ac:dyDescent="0.3">
      <c r="D20131" s="25"/>
      <c r="F20131" s="21"/>
      <c r="G20131" s="16"/>
    </row>
    <row r="20132" spans="4:7" ht="15" x14ac:dyDescent="0.3">
      <c r="D20132" s="25"/>
      <c r="F20132" s="21"/>
      <c r="G20132" s="16"/>
    </row>
    <row r="20133" spans="4:7" ht="15" x14ac:dyDescent="0.3">
      <c r="D20133" s="25"/>
      <c r="F20133" s="21"/>
      <c r="G20133" s="16"/>
    </row>
    <row r="20134" spans="4:7" ht="15" x14ac:dyDescent="0.3">
      <c r="D20134" s="25"/>
      <c r="F20134" s="21"/>
      <c r="G20134" s="16"/>
    </row>
    <row r="20135" spans="4:7" ht="15" x14ac:dyDescent="0.3">
      <c r="D20135" s="25"/>
      <c r="F20135" s="21"/>
      <c r="G20135" s="16"/>
    </row>
    <row r="20136" spans="4:7" ht="15" x14ac:dyDescent="0.3">
      <c r="D20136" s="25"/>
      <c r="F20136" s="21"/>
      <c r="G20136" s="16"/>
    </row>
    <row r="20137" spans="4:7" ht="15" x14ac:dyDescent="0.3">
      <c r="D20137" s="25"/>
      <c r="F20137" s="21"/>
      <c r="G20137" s="16"/>
    </row>
    <row r="20138" spans="4:7" ht="15" x14ac:dyDescent="0.3">
      <c r="D20138" s="25"/>
      <c r="F20138" s="21"/>
      <c r="G20138" s="16"/>
    </row>
    <row r="20139" spans="4:7" ht="15" x14ac:dyDescent="0.3">
      <c r="D20139" s="25"/>
      <c r="F20139" s="21"/>
      <c r="G20139" s="16"/>
    </row>
    <row r="20140" spans="4:7" ht="15" x14ac:dyDescent="0.3">
      <c r="D20140" s="25"/>
      <c r="F20140" s="21"/>
      <c r="G20140" s="16"/>
    </row>
    <row r="20141" spans="4:7" ht="15" x14ac:dyDescent="0.3">
      <c r="D20141" s="25"/>
      <c r="F20141" s="21"/>
      <c r="G20141" s="16"/>
    </row>
    <row r="20142" spans="4:7" ht="15" x14ac:dyDescent="0.3">
      <c r="D20142" s="25"/>
      <c r="F20142" s="21"/>
      <c r="G20142" s="16"/>
    </row>
    <row r="20143" spans="4:7" ht="15" x14ac:dyDescent="0.3">
      <c r="D20143" s="25"/>
      <c r="F20143" s="21"/>
      <c r="G20143" s="16"/>
    </row>
    <row r="20144" spans="4:7" ht="15" x14ac:dyDescent="0.3">
      <c r="D20144" s="25"/>
      <c r="F20144" s="21"/>
      <c r="G20144" s="16"/>
    </row>
    <row r="20145" spans="4:7" ht="15" x14ac:dyDescent="0.3">
      <c r="D20145" s="25"/>
      <c r="F20145" s="21"/>
      <c r="G20145" s="16"/>
    </row>
    <row r="20146" spans="4:7" ht="15" x14ac:dyDescent="0.3">
      <c r="D20146" s="25"/>
      <c r="F20146" s="21"/>
      <c r="G20146" s="16"/>
    </row>
    <row r="20147" spans="4:7" ht="15" x14ac:dyDescent="0.3">
      <c r="D20147" s="25"/>
      <c r="F20147" s="21"/>
      <c r="G20147" s="16"/>
    </row>
    <row r="20148" spans="4:7" ht="15" x14ac:dyDescent="0.3">
      <c r="D20148" s="25"/>
      <c r="F20148" s="21"/>
      <c r="G20148" s="16"/>
    </row>
    <row r="20149" spans="4:7" ht="15" x14ac:dyDescent="0.3">
      <c r="D20149" s="25"/>
      <c r="F20149" s="21"/>
      <c r="G20149" s="16"/>
    </row>
    <row r="20150" spans="4:7" ht="15" x14ac:dyDescent="0.3">
      <c r="D20150" s="25"/>
      <c r="F20150" s="21"/>
      <c r="G20150" s="16"/>
    </row>
    <row r="20151" spans="4:7" ht="15" x14ac:dyDescent="0.3">
      <c r="D20151" s="25"/>
      <c r="F20151" s="21"/>
      <c r="G20151" s="16"/>
    </row>
    <row r="20152" spans="4:7" ht="15" x14ac:dyDescent="0.3">
      <c r="D20152" s="25"/>
      <c r="F20152" s="21"/>
      <c r="G20152" s="16"/>
    </row>
    <row r="20153" spans="4:7" ht="15" x14ac:dyDescent="0.3">
      <c r="D20153" s="25"/>
      <c r="F20153" s="21"/>
      <c r="G20153" s="16"/>
    </row>
    <row r="20154" spans="4:7" ht="15" x14ac:dyDescent="0.3">
      <c r="D20154" s="25"/>
      <c r="F20154" s="21"/>
      <c r="G20154" s="16"/>
    </row>
    <row r="20155" spans="4:7" ht="15" x14ac:dyDescent="0.3">
      <c r="D20155" s="25"/>
      <c r="F20155" s="21"/>
      <c r="G20155" s="16"/>
    </row>
    <row r="20156" spans="4:7" ht="15" x14ac:dyDescent="0.3">
      <c r="D20156" s="25"/>
      <c r="F20156" s="21"/>
      <c r="G20156" s="16"/>
    </row>
    <row r="20157" spans="4:7" ht="15" x14ac:dyDescent="0.3">
      <c r="D20157" s="25"/>
      <c r="F20157" s="21"/>
      <c r="G20157" s="16"/>
    </row>
    <row r="20158" spans="4:7" ht="15" x14ac:dyDescent="0.3">
      <c r="D20158" s="25"/>
      <c r="F20158" s="21"/>
      <c r="G20158" s="16"/>
    </row>
    <row r="20159" spans="4:7" ht="15" x14ac:dyDescent="0.3">
      <c r="D20159" s="25"/>
      <c r="F20159" s="21"/>
      <c r="G20159" s="16"/>
    </row>
    <row r="20160" spans="4:7" ht="15" x14ac:dyDescent="0.3">
      <c r="D20160" s="25"/>
      <c r="F20160" s="21"/>
      <c r="G20160" s="16"/>
    </row>
    <row r="20161" spans="4:7" ht="15" x14ac:dyDescent="0.3">
      <c r="D20161" s="25"/>
      <c r="F20161" s="21"/>
      <c r="G20161" s="16"/>
    </row>
    <row r="20162" spans="4:7" ht="15" x14ac:dyDescent="0.3">
      <c r="D20162" s="25"/>
      <c r="F20162" s="21"/>
      <c r="G20162" s="16"/>
    </row>
    <row r="20163" spans="4:7" ht="15" x14ac:dyDescent="0.3">
      <c r="D20163" s="25"/>
      <c r="F20163" s="21"/>
      <c r="G20163" s="16"/>
    </row>
    <row r="20164" spans="4:7" ht="15" x14ac:dyDescent="0.3">
      <c r="D20164" s="25"/>
      <c r="F20164" s="21"/>
      <c r="G20164" s="16"/>
    </row>
    <row r="20165" spans="4:7" ht="15" x14ac:dyDescent="0.3">
      <c r="D20165" s="25"/>
      <c r="F20165" s="21"/>
      <c r="G20165" s="16"/>
    </row>
    <row r="20166" spans="4:7" ht="15" x14ac:dyDescent="0.3">
      <c r="D20166" s="25"/>
      <c r="F20166" s="21"/>
      <c r="G20166" s="16"/>
    </row>
    <row r="20167" spans="4:7" ht="15" x14ac:dyDescent="0.3">
      <c r="D20167" s="25"/>
      <c r="F20167" s="21"/>
      <c r="G20167" s="16"/>
    </row>
    <row r="20168" spans="4:7" ht="15" x14ac:dyDescent="0.3">
      <c r="D20168" s="25"/>
      <c r="F20168" s="21"/>
      <c r="G20168" s="16"/>
    </row>
    <row r="20169" spans="4:7" ht="15" x14ac:dyDescent="0.3">
      <c r="D20169" s="25"/>
      <c r="F20169" s="21"/>
      <c r="G20169" s="16"/>
    </row>
    <row r="20170" spans="4:7" ht="15" x14ac:dyDescent="0.3">
      <c r="D20170" s="25"/>
      <c r="F20170" s="21"/>
      <c r="G20170" s="16"/>
    </row>
    <row r="20171" spans="4:7" ht="15" x14ac:dyDescent="0.3">
      <c r="D20171" s="25"/>
      <c r="F20171" s="21"/>
      <c r="G20171" s="16"/>
    </row>
    <row r="20172" spans="4:7" ht="15" x14ac:dyDescent="0.3">
      <c r="D20172" s="25"/>
      <c r="F20172" s="21"/>
      <c r="G20172" s="16"/>
    </row>
    <row r="20173" spans="4:7" ht="15" x14ac:dyDescent="0.3">
      <c r="D20173" s="25"/>
      <c r="F20173" s="21"/>
      <c r="G20173" s="16"/>
    </row>
    <row r="20174" spans="4:7" ht="15" x14ac:dyDescent="0.3">
      <c r="D20174" s="25"/>
      <c r="F20174" s="21"/>
      <c r="G20174" s="16"/>
    </row>
    <row r="20175" spans="4:7" ht="15" x14ac:dyDescent="0.3">
      <c r="D20175" s="25"/>
      <c r="F20175" s="21"/>
      <c r="G20175" s="16"/>
    </row>
    <row r="20176" spans="4:7" ht="15" x14ac:dyDescent="0.3">
      <c r="D20176" s="25"/>
      <c r="F20176" s="21"/>
      <c r="G20176" s="16"/>
    </row>
    <row r="20177" spans="4:7" ht="15" x14ac:dyDescent="0.3">
      <c r="D20177" s="25"/>
      <c r="F20177" s="21"/>
      <c r="G20177" s="16"/>
    </row>
    <row r="20178" spans="4:7" ht="15" x14ac:dyDescent="0.3">
      <c r="D20178" s="25"/>
      <c r="F20178" s="21"/>
      <c r="G20178" s="16"/>
    </row>
    <row r="20179" spans="4:7" ht="15" x14ac:dyDescent="0.3">
      <c r="D20179" s="25"/>
      <c r="F20179" s="21"/>
      <c r="G20179" s="16"/>
    </row>
    <row r="20180" spans="4:7" ht="15" x14ac:dyDescent="0.3">
      <c r="D20180" s="25"/>
      <c r="F20180" s="21"/>
      <c r="G20180" s="16"/>
    </row>
    <row r="20181" spans="4:7" ht="15" x14ac:dyDescent="0.3">
      <c r="D20181" s="25"/>
      <c r="F20181" s="21"/>
      <c r="G20181" s="16"/>
    </row>
    <row r="20182" spans="4:7" ht="15" x14ac:dyDescent="0.3">
      <c r="D20182" s="25"/>
      <c r="F20182" s="21"/>
      <c r="G20182" s="16"/>
    </row>
    <row r="20183" spans="4:7" ht="15" x14ac:dyDescent="0.3">
      <c r="D20183" s="25"/>
      <c r="F20183" s="21"/>
      <c r="G20183" s="16"/>
    </row>
    <row r="20184" spans="4:7" ht="15" x14ac:dyDescent="0.3">
      <c r="D20184" s="25"/>
      <c r="F20184" s="21"/>
      <c r="G20184" s="16"/>
    </row>
    <row r="20185" spans="4:7" ht="15" x14ac:dyDescent="0.3">
      <c r="D20185" s="25"/>
      <c r="F20185" s="21"/>
      <c r="G20185" s="16"/>
    </row>
    <row r="20186" spans="4:7" ht="15" x14ac:dyDescent="0.3">
      <c r="D20186" s="25"/>
      <c r="F20186" s="21"/>
      <c r="G20186" s="16"/>
    </row>
    <row r="20187" spans="4:7" ht="15" x14ac:dyDescent="0.3">
      <c r="D20187" s="25"/>
      <c r="F20187" s="21"/>
      <c r="G20187" s="16"/>
    </row>
    <row r="20188" spans="4:7" ht="15" x14ac:dyDescent="0.3">
      <c r="D20188" s="25"/>
      <c r="F20188" s="21"/>
      <c r="G20188" s="16"/>
    </row>
    <row r="20189" spans="4:7" ht="15" x14ac:dyDescent="0.3">
      <c r="D20189" s="25"/>
      <c r="F20189" s="21"/>
      <c r="G20189" s="16"/>
    </row>
    <row r="20190" spans="4:7" ht="15" x14ac:dyDescent="0.3">
      <c r="D20190" s="25"/>
      <c r="F20190" s="21"/>
      <c r="G20190" s="16"/>
    </row>
    <row r="20191" spans="4:7" ht="15" x14ac:dyDescent="0.3">
      <c r="D20191" s="25"/>
      <c r="F20191" s="21"/>
      <c r="G20191" s="16"/>
    </row>
    <row r="20192" spans="4:7" ht="15" x14ac:dyDescent="0.3">
      <c r="D20192" s="25"/>
      <c r="F20192" s="21"/>
      <c r="G20192" s="16"/>
    </row>
    <row r="20193" spans="4:7" ht="15" x14ac:dyDescent="0.3">
      <c r="D20193" s="25"/>
      <c r="F20193" s="21"/>
      <c r="G20193" s="16"/>
    </row>
    <row r="20194" spans="4:7" ht="15" x14ac:dyDescent="0.3">
      <c r="D20194" s="25"/>
      <c r="F20194" s="21"/>
      <c r="G20194" s="16"/>
    </row>
    <row r="20195" spans="4:7" ht="15" x14ac:dyDescent="0.3">
      <c r="D20195" s="25"/>
      <c r="F20195" s="21"/>
      <c r="G20195" s="16"/>
    </row>
    <row r="20196" spans="4:7" ht="15" x14ac:dyDescent="0.3">
      <c r="D20196" s="25"/>
      <c r="F20196" s="21"/>
      <c r="G20196" s="16"/>
    </row>
    <row r="20197" spans="4:7" ht="15" x14ac:dyDescent="0.3">
      <c r="D20197" s="25"/>
      <c r="F20197" s="21"/>
      <c r="G20197" s="16"/>
    </row>
    <row r="20198" spans="4:7" ht="15" x14ac:dyDescent="0.3">
      <c r="D20198" s="25"/>
      <c r="F20198" s="21"/>
      <c r="G20198" s="16"/>
    </row>
    <row r="20199" spans="4:7" ht="15" x14ac:dyDescent="0.3">
      <c r="D20199" s="25"/>
      <c r="F20199" s="21"/>
      <c r="G20199" s="16"/>
    </row>
    <row r="20200" spans="4:7" ht="15" x14ac:dyDescent="0.3">
      <c r="D20200" s="25"/>
      <c r="F20200" s="21"/>
      <c r="G20200" s="16"/>
    </row>
    <row r="20201" spans="4:7" ht="15" x14ac:dyDescent="0.3">
      <c r="D20201" s="25"/>
      <c r="F20201" s="21"/>
      <c r="G20201" s="16"/>
    </row>
    <row r="20202" spans="4:7" ht="15" x14ac:dyDescent="0.3">
      <c r="D20202" s="25"/>
      <c r="F20202" s="21"/>
      <c r="G20202" s="16"/>
    </row>
    <row r="20203" spans="4:7" ht="15" x14ac:dyDescent="0.3">
      <c r="D20203" s="25"/>
      <c r="F20203" s="21"/>
      <c r="G20203" s="16"/>
    </row>
    <row r="20204" spans="4:7" ht="15" x14ac:dyDescent="0.3">
      <c r="D20204" s="25"/>
      <c r="F20204" s="21"/>
      <c r="G20204" s="16"/>
    </row>
    <row r="20205" spans="4:7" ht="15" x14ac:dyDescent="0.3">
      <c r="D20205" s="25"/>
      <c r="F20205" s="21"/>
      <c r="G20205" s="16"/>
    </row>
    <row r="20206" spans="4:7" ht="15" x14ac:dyDescent="0.3">
      <c r="D20206" s="25"/>
      <c r="F20206" s="21"/>
      <c r="G20206" s="16"/>
    </row>
    <row r="20207" spans="4:7" ht="15" x14ac:dyDescent="0.3">
      <c r="D20207" s="25"/>
      <c r="F20207" s="21"/>
      <c r="G20207" s="16"/>
    </row>
    <row r="20208" spans="4:7" ht="15" x14ac:dyDescent="0.3">
      <c r="D20208" s="25"/>
      <c r="F20208" s="21"/>
      <c r="G20208" s="16"/>
    </row>
    <row r="20209" spans="4:7" ht="15" x14ac:dyDescent="0.3">
      <c r="D20209" s="25"/>
      <c r="F20209" s="21"/>
      <c r="G20209" s="16"/>
    </row>
    <row r="20210" spans="4:7" ht="15" x14ac:dyDescent="0.3">
      <c r="D20210" s="25"/>
      <c r="F20210" s="21"/>
      <c r="G20210" s="16"/>
    </row>
    <row r="20211" spans="4:7" ht="15" x14ac:dyDescent="0.3">
      <c r="D20211" s="25"/>
      <c r="F20211" s="21"/>
      <c r="G20211" s="16"/>
    </row>
    <row r="20212" spans="4:7" ht="15" x14ac:dyDescent="0.3">
      <c r="D20212" s="25"/>
      <c r="F20212" s="21"/>
      <c r="G20212" s="16"/>
    </row>
    <row r="20213" spans="4:7" ht="15" x14ac:dyDescent="0.3">
      <c r="D20213" s="25"/>
      <c r="F20213" s="21"/>
      <c r="G20213" s="16"/>
    </row>
    <row r="20214" spans="4:7" ht="15" x14ac:dyDescent="0.3">
      <c r="D20214" s="25"/>
      <c r="F20214" s="21"/>
      <c r="G20214" s="16"/>
    </row>
    <row r="20215" spans="4:7" ht="15" x14ac:dyDescent="0.3">
      <c r="D20215" s="25"/>
      <c r="F20215" s="21"/>
      <c r="G20215" s="16"/>
    </row>
    <row r="20216" spans="4:7" ht="15" x14ac:dyDescent="0.3">
      <c r="D20216" s="25"/>
      <c r="F20216" s="21"/>
      <c r="G20216" s="16"/>
    </row>
    <row r="20217" spans="4:7" ht="15" x14ac:dyDescent="0.3">
      <c r="D20217" s="25"/>
      <c r="F20217" s="21"/>
      <c r="G20217" s="16"/>
    </row>
    <row r="20218" spans="4:7" ht="15" x14ac:dyDescent="0.3">
      <c r="D20218" s="25"/>
      <c r="F20218" s="21"/>
      <c r="G20218" s="16"/>
    </row>
    <row r="20219" spans="4:7" ht="15" x14ac:dyDescent="0.3">
      <c r="D20219" s="25"/>
      <c r="F20219" s="21"/>
      <c r="G20219" s="16"/>
    </row>
    <row r="20220" spans="4:7" ht="15" x14ac:dyDescent="0.3">
      <c r="D20220" s="25"/>
      <c r="F20220" s="21"/>
      <c r="G20220" s="16"/>
    </row>
    <row r="20221" spans="4:7" ht="15" x14ac:dyDescent="0.3">
      <c r="D20221" s="25"/>
      <c r="F20221" s="21"/>
      <c r="G20221" s="16"/>
    </row>
    <row r="20222" spans="4:7" ht="15" x14ac:dyDescent="0.3">
      <c r="D20222" s="25"/>
      <c r="F20222" s="21"/>
      <c r="G20222" s="16"/>
    </row>
    <row r="20223" spans="4:7" ht="15" x14ac:dyDescent="0.3">
      <c r="D20223" s="25"/>
      <c r="F20223" s="21"/>
      <c r="G20223" s="16"/>
    </row>
    <row r="20224" spans="4:7" ht="15" x14ac:dyDescent="0.3">
      <c r="D20224" s="25"/>
      <c r="F20224" s="21"/>
      <c r="G20224" s="16"/>
    </row>
    <row r="20225" spans="4:7" ht="15" x14ac:dyDescent="0.3">
      <c r="D20225" s="25"/>
      <c r="F20225" s="21"/>
      <c r="G20225" s="16"/>
    </row>
    <row r="20226" spans="4:7" ht="15" x14ac:dyDescent="0.3">
      <c r="D20226" s="25"/>
      <c r="F20226" s="21"/>
      <c r="G20226" s="16"/>
    </row>
    <row r="20227" spans="4:7" ht="15" x14ac:dyDescent="0.3">
      <c r="D20227" s="25"/>
      <c r="F20227" s="21"/>
      <c r="G20227" s="16"/>
    </row>
    <row r="20228" spans="4:7" ht="15" x14ac:dyDescent="0.3">
      <c r="D20228" s="25"/>
      <c r="F20228" s="21"/>
      <c r="G20228" s="16"/>
    </row>
    <row r="20229" spans="4:7" ht="15" x14ac:dyDescent="0.3">
      <c r="D20229" s="25"/>
      <c r="F20229" s="21"/>
      <c r="G20229" s="16"/>
    </row>
    <row r="20230" spans="4:7" ht="15" x14ac:dyDescent="0.3">
      <c r="D20230" s="25"/>
      <c r="F20230" s="21"/>
      <c r="G20230" s="16"/>
    </row>
    <row r="20231" spans="4:7" ht="15" x14ac:dyDescent="0.3">
      <c r="D20231" s="25"/>
      <c r="F20231" s="21"/>
      <c r="G20231" s="16"/>
    </row>
    <row r="20232" spans="4:7" ht="15" x14ac:dyDescent="0.3">
      <c r="D20232" s="25"/>
      <c r="F20232" s="21"/>
      <c r="G20232" s="16"/>
    </row>
    <row r="20233" spans="4:7" ht="15" x14ac:dyDescent="0.3">
      <c r="D20233" s="25"/>
      <c r="F20233" s="21"/>
      <c r="G20233" s="16"/>
    </row>
    <row r="20234" spans="4:7" ht="15" x14ac:dyDescent="0.3">
      <c r="D20234" s="25"/>
      <c r="F20234" s="21"/>
      <c r="G20234" s="16"/>
    </row>
    <row r="20235" spans="4:7" ht="15" x14ac:dyDescent="0.3">
      <c r="D20235" s="25"/>
      <c r="F20235" s="21"/>
      <c r="G20235" s="16"/>
    </row>
    <row r="20236" spans="4:7" ht="15" x14ac:dyDescent="0.3">
      <c r="D20236" s="25"/>
      <c r="F20236" s="21"/>
      <c r="G20236" s="16"/>
    </row>
    <row r="20237" spans="4:7" ht="15" x14ac:dyDescent="0.3">
      <c r="D20237" s="25"/>
      <c r="F20237" s="21"/>
      <c r="G20237" s="16"/>
    </row>
    <row r="20238" spans="4:7" ht="15" x14ac:dyDescent="0.3">
      <c r="D20238" s="25"/>
      <c r="F20238" s="21"/>
      <c r="G20238" s="16"/>
    </row>
    <row r="20239" spans="4:7" ht="15" x14ac:dyDescent="0.3">
      <c r="D20239" s="25"/>
      <c r="F20239" s="21"/>
      <c r="G20239" s="16"/>
    </row>
    <row r="20240" spans="4:7" ht="15" x14ac:dyDescent="0.3">
      <c r="D20240" s="25"/>
      <c r="F20240" s="21"/>
      <c r="G20240" s="16"/>
    </row>
    <row r="20241" spans="4:7" ht="15" x14ac:dyDescent="0.3">
      <c r="D20241" s="25"/>
      <c r="F20241" s="21"/>
      <c r="G20241" s="16"/>
    </row>
    <row r="20242" spans="4:7" ht="15" x14ac:dyDescent="0.3">
      <c r="D20242" s="25"/>
      <c r="F20242" s="21"/>
      <c r="G20242" s="16"/>
    </row>
    <row r="20243" spans="4:7" ht="15" x14ac:dyDescent="0.3">
      <c r="D20243" s="25"/>
      <c r="F20243" s="21"/>
      <c r="G20243" s="16"/>
    </row>
    <row r="20244" spans="4:7" ht="15" x14ac:dyDescent="0.3">
      <c r="D20244" s="25"/>
      <c r="F20244" s="21"/>
      <c r="G20244" s="16"/>
    </row>
    <row r="20245" spans="4:7" ht="15" x14ac:dyDescent="0.3">
      <c r="D20245" s="25"/>
      <c r="F20245" s="21"/>
      <c r="G20245" s="16"/>
    </row>
    <row r="20246" spans="4:7" ht="15" x14ac:dyDescent="0.3">
      <c r="D20246" s="25"/>
      <c r="F20246" s="21"/>
      <c r="G20246" s="16"/>
    </row>
    <row r="20247" spans="4:7" ht="15" x14ac:dyDescent="0.3">
      <c r="D20247" s="25"/>
      <c r="F20247" s="21"/>
      <c r="G20247" s="16"/>
    </row>
    <row r="20248" spans="4:7" ht="15" x14ac:dyDescent="0.3">
      <c r="D20248" s="25"/>
      <c r="F20248" s="21"/>
      <c r="G20248" s="16"/>
    </row>
    <row r="20249" spans="4:7" ht="15" x14ac:dyDescent="0.3">
      <c r="D20249" s="25"/>
      <c r="F20249" s="21"/>
      <c r="G20249" s="16"/>
    </row>
    <row r="20250" spans="4:7" ht="15" x14ac:dyDescent="0.3">
      <c r="D20250" s="25"/>
      <c r="F20250" s="21"/>
      <c r="G20250" s="16"/>
    </row>
    <row r="20251" spans="4:7" ht="15" x14ac:dyDescent="0.3">
      <c r="D20251" s="25"/>
      <c r="F20251" s="21"/>
      <c r="G20251" s="16"/>
    </row>
    <row r="20252" spans="4:7" ht="15" x14ac:dyDescent="0.3">
      <c r="D20252" s="25"/>
      <c r="F20252" s="21"/>
      <c r="G20252" s="16"/>
    </row>
    <row r="20253" spans="4:7" ht="15" x14ac:dyDescent="0.3">
      <c r="D20253" s="25"/>
      <c r="F20253" s="21"/>
      <c r="G20253" s="16"/>
    </row>
    <row r="20254" spans="4:7" ht="15" x14ac:dyDescent="0.3">
      <c r="D20254" s="25"/>
      <c r="F20254" s="21"/>
      <c r="G20254" s="16"/>
    </row>
    <row r="20255" spans="4:7" ht="15" x14ac:dyDescent="0.3">
      <c r="D20255" s="25"/>
      <c r="F20255" s="21"/>
      <c r="G20255" s="16"/>
    </row>
    <row r="20256" spans="4:7" ht="15" x14ac:dyDescent="0.3">
      <c r="D20256" s="25"/>
      <c r="F20256" s="21"/>
      <c r="G20256" s="16"/>
    </row>
    <row r="20257" spans="4:7" ht="15" x14ac:dyDescent="0.3">
      <c r="D20257" s="25"/>
      <c r="F20257" s="21"/>
      <c r="G20257" s="16"/>
    </row>
    <row r="20258" spans="4:7" ht="15" x14ac:dyDescent="0.3">
      <c r="D20258" s="25"/>
      <c r="F20258" s="21"/>
      <c r="G20258" s="16"/>
    </row>
    <row r="20259" spans="4:7" ht="15" x14ac:dyDescent="0.3">
      <c r="D20259" s="25"/>
      <c r="F20259" s="21"/>
      <c r="G20259" s="16"/>
    </row>
    <row r="20260" spans="4:7" ht="15" x14ac:dyDescent="0.3">
      <c r="D20260" s="25"/>
      <c r="F20260" s="21"/>
      <c r="G20260" s="16"/>
    </row>
    <row r="20261" spans="4:7" ht="15" x14ac:dyDescent="0.3">
      <c r="D20261" s="25"/>
      <c r="F20261" s="21"/>
      <c r="G20261" s="16"/>
    </row>
    <row r="20262" spans="4:7" ht="15" x14ac:dyDescent="0.3">
      <c r="D20262" s="25"/>
      <c r="F20262" s="21"/>
      <c r="G20262" s="16"/>
    </row>
    <row r="20263" spans="4:7" ht="15" x14ac:dyDescent="0.3">
      <c r="D20263" s="25"/>
      <c r="F20263" s="21"/>
      <c r="G20263" s="16"/>
    </row>
    <row r="20264" spans="4:7" ht="15" x14ac:dyDescent="0.3">
      <c r="D20264" s="25"/>
      <c r="F20264" s="21"/>
      <c r="G20264" s="16"/>
    </row>
    <row r="20265" spans="4:7" ht="15" x14ac:dyDescent="0.3">
      <c r="D20265" s="25"/>
      <c r="F20265" s="21"/>
      <c r="G20265" s="16"/>
    </row>
    <row r="20266" spans="4:7" ht="15" x14ac:dyDescent="0.3">
      <c r="D20266" s="25"/>
      <c r="F20266" s="21"/>
      <c r="G20266" s="16"/>
    </row>
    <row r="20267" spans="4:7" ht="15" x14ac:dyDescent="0.3">
      <c r="D20267" s="25"/>
      <c r="F20267" s="21"/>
      <c r="G20267" s="16"/>
    </row>
    <row r="20268" spans="4:7" ht="15" x14ac:dyDescent="0.3">
      <c r="D20268" s="25"/>
      <c r="F20268" s="21"/>
      <c r="G20268" s="16"/>
    </row>
    <row r="20269" spans="4:7" ht="15" x14ac:dyDescent="0.3">
      <c r="D20269" s="25"/>
      <c r="F20269" s="21"/>
      <c r="G20269" s="16"/>
    </row>
    <row r="20270" spans="4:7" ht="15" x14ac:dyDescent="0.3">
      <c r="D20270" s="25"/>
      <c r="F20270" s="21"/>
      <c r="G20270" s="16"/>
    </row>
    <row r="20271" spans="4:7" ht="15" x14ac:dyDescent="0.3">
      <c r="D20271" s="25"/>
      <c r="F20271" s="21"/>
      <c r="G20271" s="16"/>
    </row>
    <row r="20272" spans="4:7" ht="15" x14ac:dyDescent="0.3">
      <c r="D20272" s="25"/>
      <c r="F20272" s="21"/>
      <c r="G20272" s="16"/>
    </row>
    <row r="20273" spans="4:7" ht="15" x14ac:dyDescent="0.3">
      <c r="D20273" s="25"/>
      <c r="F20273" s="21"/>
      <c r="G20273" s="16"/>
    </row>
    <row r="20274" spans="4:7" ht="15" x14ac:dyDescent="0.3">
      <c r="D20274" s="25"/>
      <c r="F20274" s="21"/>
      <c r="G20274" s="16"/>
    </row>
    <row r="20275" spans="4:7" ht="15" x14ac:dyDescent="0.3">
      <c r="D20275" s="25"/>
      <c r="F20275" s="21"/>
      <c r="G20275" s="16"/>
    </row>
    <row r="20276" spans="4:7" ht="15" x14ac:dyDescent="0.3">
      <c r="D20276" s="25"/>
      <c r="F20276" s="21"/>
      <c r="G20276" s="16"/>
    </row>
    <row r="20277" spans="4:7" ht="15" x14ac:dyDescent="0.3">
      <c r="D20277" s="25"/>
      <c r="F20277" s="21"/>
      <c r="G20277" s="16"/>
    </row>
    <row r="20278" spans="4:7" ht="15" x14ac:dyDescent="0.3">
      <c r="D20278" s="25"/>
      <c r="F20278" s="21"/>
      <c r="G20278" s="16"/>
    </row>
    <row r="20279" spans="4:7" ht="15" x14ac:dyDescent="0.3">
      <c r="D20279" s="25"/>
      <c r="F20279" s="21"/>
      <c r="G20279" s="16"/>
    </row>
    <row r="20280" spans="4:7" ht="15" x14ac:dyDescent="0.3">
      <c r="D20280" s="25"/>
      <c r="F20280" s="21"/>
      <c r="G20280" s="16"/>
    </row>
    <row r="20281" spans="4:7" ht="15" x14ac:dyDescent="0.3">
      <c r="D20281" s="25"/>
      <c r="F20281" s="21"/>
      <c r="G20281" s="16"/>
    </row>
    <row r="20282" spans="4:7" ht="15" x14ac:dyDescent="0.3">
      <c r="D20282" s="25"/>
      <c r="F20282" s="21"/>
      <c r="G20282" s="16"/>
    </row>
    <row r="20283" spans="4:7" ht="15" x14ac:dyDescent="0.3">
      <c r="D20283" s="25"/>
      <c r="F20283" s="21"/>
      <c r="G20283" s="16"/>
    </row>
    <row r="20284" spans="4:7" ht="15" x14ac:dyDescent="0.3">
      <c r="D20284" s="25"/>
      <c r="F20284" s="21"/>
      <c r="G20284" s="16"/>
    </row>
    <row r="20285" spans="4:7" ht="15" x14ac:dyDescent="0.3">
      <c r="D20285" s="25"/>
      <c r="F20285" s="21"/>
      <c r="G20285" s="16"/>
    </row>
    <row r="20286" spans="4:7" ht="15" x14ac:dyDescent="0.3">
      <c r="D20286" s="25"/>
      <c r="F20286" s="21"/>
      <c r="G20286" s="16"/>
    </row>
    <row r="20287" spans="4:7" ht="15" x14ac:dyDescent="0.3">
      <c r="D20287" s="25"/>
      <c r="F20287" s="21"/>
      <c r="G20287" s="16"/>
    </row>
    <row r="20288" spans="4:7" ht="15" x14ac:dyDescent="0.3">
      <c r="D20288" s="25"/>
      <c r="F20288" s="21"/>
      <c r="G20288" s="16"/>
    </row>
    <row r="20289" spans="4:7" ht="15" x14ac:dyDescent="0.3">
      <c r="D20289" s="25"/>
      <c r="F20289" s="21"/>
      <c r="G20289" s="16"/>
    </row>
    <row r="20290" spans="4:7" ht="15" x14ac:dyDescent="0.3">
      <c r="D20290" s="25"/>
      <c r="F20290" s="21"/>
      <c r="G20290" s="16"/>
    </row>
    <row r="20291" spans="4:7" ht="15" x14ac:dyDescent="0.3">
      <c r="D20291" s="25"/>
      <c r="F20291" s="21"/>
      <c r="G20291" s="16"/>
    </row>
    <row r="20292" spans="4:7" ht="15" x14ac:dyDescent="0.3">
      <c r="D20292" s="25"/>
      <c r="F20292" s="21"/>
      <c r="G20292" s="16"/>
    </row>
    <row r="20293" spans="4:7" ht="15" x14ac:dyDescent="0.3">
      <c r="D20293" s="25"/>
      <c r="F20293" s="21"/>
      <c r="G20293" s="16"/>
    </row>
    <row r="20294" spans="4:7" ht="15" x14ac:dyDescent="0.3">
      <c r="D20294" s="25"/>
      <c r="F20294" s="21"/>
      <c r="G20294" s="16"/>
    </row>
    <row r="20295" spans="4:7" ht="15" x14ac:dyDescent="0.3">
      <c r="D20295" s="25"/>
      <c r="F20295" s="21"/>
      <c r="G20295" s="16"/>
    </row>
    <row r="20296" spans="4:7" ht="15" x14ac:dyDescent="0.3">
      <c r="D20296" s="25"/>
      <c r="F20296" s="21"/>
      <c r="G20296" s="16"/>
    </row>
    <row r="20297" spans="4:7" ht="15" x14ac:dyDescent="0.3">
      <c r="D20297" s="25"/>
      <c r="F20297" s="21"/>
      <c r="G20297" s="16"/>
    </row>
    <row r="20298" spans="4:7" ht="15" x14ac:dyDescent="0.3">
      <c r="D20298" s="25"/>
      <c r="F20298" s="21"/>
      <c r="G20298" s="16"/>
    </row>
    <row r="20299" spans="4:7" ht="15" x14ac:dyDescent="0.3">
      <c r="D20299" s="25"/>
      <c r="F20299" s="21"/>
      <c r="G20299" s="16"/>
    </row>
    <row r="20300" spans="4:7" ht="15" x14ac:dyDescent="0.3">
      <c r="D20300" s="25"/>
      <c r="F20300" s="21"/>
      <c r="G20300" s="16"/>
    </row>
    <row r="20301" spans="4:7" ht="15" x14ac:dyDescent="0.3">
      <c r="D20301" s="25"/>
      <c r="F20301" s="21"/>
      <c r="G20301" s="16"/>
    </row>
    <row r="20302" spans="4:7" ht="15" x14ac:dyDescent="0.3">
      <c r="D20302" s="25"/>
      <c r="F20302" s="21"/>
      <c r="G20302" s="16"/>
    </row>
    <row r="20303" spans="4:7" ht="15" x14ac:dyDescent="0.3">
      <c r="D20303" s="25"/>
      <c r="F20303" s="21"/>
      <c r="G20303" s="16"/>
    </row>
    <row r="20304" spans="4:7" ht="15" x14ac:dyDescent="0.3">
      <c r="D20304" s="25"/>
      <c r="F20304" s="21"/>
      <c r="G20304" s="16"/>
    </row>
    <row r="20305" spans="4:7" ht="15" x14ac:dyDescent="0.3">
      <c r="D20305" s="25"/>
      <c r="F20305" s="21"/>
      <c r="G20305" s="16"/>
    </row>
    <row r="20306" spans="4:7" ht="15" x14ac:dyDescent="0.3">
      <c r="D20306" s="25"/>
      <c r="F20306" s="21"/>
      <c r="G20306" s="16"/>
    </row>
    <row r="20307" spans="4:7" ht="15" x14ac:dyDescent="0.3">
      <c r="D20307" s="25"/>
      <c r="F20307" s="21"/>
      <c r="G20307" s="16"/>
    </row>
    <row r="20308" spans="4:7" ht="15" x14ac:dyDescent="0.3">
      <c r="D20308" s="25"/>
      <c r="F20308" s="21"/>
      <c r="G20308" s="16"/>
    </row>
    <row r="20309" spans="4:7" ht="15" x14ac:dyDescent="0.3">
      <c r="D20309" s="25"/>
      <c r="F20309" s="21"/>
      <c r="G20309" s="16"/>
    </row>
    <row r="20310" spans="4:7" ht="15" x14ac:dyDescent="0.3">
      <c r="D20310" s="25"/>
      <c r="F20310" s="21"/>
      <c r="G20310" s="16"/>
    </row>
    <row r="20311" spans="4:7" ht="15" x14ac:dyDescent="0.3">
      <c r="D20311" s="25"/>
      <c r="F20311" s="21"/>
      <c r="G20311" s="16"/>
    </row>
    <row r="20312" spans="4:7" ht="15" x14ac:dyDescent="0.3">
      <c r="D20312" s="25"/>
      <c r="F20312" s="21"/>
      <c r="G20312" s="16"/>
    </row>
    <row r="20313" spans="4:7" ht="15" x14ac:dyDescent="0.3">
      <c r="D20313" s="25"/>
      <c r="F20313" s="21"/>
      <c r="G20313" s="16"/>
    </row>
    <row r="20314" spans="4:7" ht="15" x14ac:dyDescent="0.3">
      <c r="D20314" s="25"/>
      <c r="F20314" s="21"/>
      <c r="G20314" s="16"/>
    </row>
    <row r="20315" spans="4:7" ht="15" x14ac:dyDescent="0.3">
      <c r="D20315" s="25"/>
      <c r="F20315" s="21"/>
      <c r="G20315" s="16"/>
    </row>
    <row r="20316" spans="4:7" ht="15" x14ac:dyDescent="0.3">
      <c r="D20316" s="25"/>
      <c r="F20316" s="21"/>
      <c r="G20316" s="16"/>
    </row>
    <row r="20317" spans="4:7" ht="15" x14ac:dyDescent="0.3">
      <c r="D20317" s="25"/>
      <c r="F20317" s="21"/>
      <c r="G20317" s="16"/>
    </row>
    <row r="20318" spans="4:7" ht="15" x14ac:dyDescent="0.3">
      <c r="D20318" s="25"/>
      <c r="F20318" s="21"/>
      <c r="G20318" s="16"/>
    </row>
    <row r="20319" spans="4:7" ht="15" x14ac:dyDescent="0.3">
      <c r="D20319" s="25"/>
      <c r="F20319" s="21"/>
      <c r="G20319" s="16"/>
    </row>
    <row r="20320" spans="4:7" ht="15" x14ac:dyDescent="0.3">
      <c r="D20320" s="25"/>
      <c r="F20320" s="21"/>
      <c r="G20320" s="16"/>
    </row>
    <row r="20321" spans="4:7" ht="15" x14ac:dyDescent="0.3">
      <c r="D20321" s="25"/>
      <c r="F20321" s="21"/>
      <c r="G20321" s="16"/>
    </row>
    <row r="20322" spans="4:7" ht="15" x14ac:dyDescent="0.3">
      <c r="D20322" s="25"/>
      <c r="F20322" s="21"/>
      <c r="G20322" s="16"/>
    </row>
    <row r="20323" spans="4:7" ht="15" x14ac:dyDescent="0.3">
      <c r="D20323" s="25"/>
      <c r="F20323" s="21"/>
      <c r="G20323" s="16"/>
    </row>
    <row r="20324" spans="4:7" ht="15" x14ac:dyDescent="0.3">
      <c r="D20324" s="25"/>
      <c r="F20324" s="21"/>
      <c r="G20324" s="16"/>
    </row>
    <row r="20325" spans="4:7" ht="15" x14ac:dyDescent="0.3">
      <c r="D20325" s="25"/>
      <c r="F20325" s="21"/>
      <c r="G20325" s="16"/>
    </row>
    <row r="20326" spans="4:7" ht="15" x14ac:dyDescent="0.3">
      <c r="D20326" s="25"/>
      <c r="F20326" s="21"/>
      <c r="G20326" s="16"/>
    </row>
    <row r="20327" spans="4:7" ht="15" x14ac:dyDescent="0.3">
      <c r="D20327" s="25"/>
      <c r="F20327" s="21"/>
      <c r="G20327" s="16"/>
    </row>
    <row r="20328" spans="4:7" ht="15" x14ac:dyDescent="0.3">
      <c r="D20328" s="25"/>
      <c r="F20328" s="21"/>
      <c r="G20328" s="16"/>
    </row>
    <row r="20329" spans="4:7" ht="15" x14ac:dyDescent="0.3">
      <c r="D20329" s="25"/>
      <c r="F20329" s="21"/>
      <c r="G20329" s="16"/>
    </row>
    <row r="20330" spans="4:7" ht="15" x14ac:dyDescent="0.3">
      <c r="D20330" s="25"/>
      <c r="F20330" s="21"/>
      <c r="G20330" s="16"/>
    </row>
    <row r="20331" spans="4:7" ht="15" x14ac:dyDescent="0.3">
      <c r="D20331" s="25"/>
      <c r="F20331" s="21"/>
      <c r="G20331" s="16"/>
    </row>
    <row r="20332" spans="4:7" ht="15" x14ac:dyDescent="0.3">
      <c r="D20332" s="25"/>
      <c r="F20332" s="21"/>
      <c r="G20332" s="16"/>
    </row>
    <row r="20333" spans="4:7" ht="15" x14ac:dyDescent="0.3">
      <c r="D20333" s="25"/>
      <c r="F20333" s="21"/>
      <c r="G20333" s="16"/>
    </row>
    <row r="20334" spans="4:7" ht="15" x14ac:dyDescent="0.3">
      <c r="D20334" s="25"/>
      <c r="F20334" s="21"/>
      <c r="G20334" s="16"/>
    </row>
    <row r="20335" spans="4:7" ht="15" x14ac:dyDescent="0.3">
      <c r="D20335" s="25"/>
      <c r="F20335" s="21"/>
      <c r="G20335" s="16"/>
    </row>
    <row r="20336" spans="4:7" ht="15" x14ac:dyDescent="0.3">
      <c r="D20336" s="25"/>
      <c r="F20336" s="21"/>
      <c r="G20336" s="16"/>
    </row>
    <row r="20337" spans="4:7" ht="15" x14ac:dyDescent="0.3">
      <c r="D20337" s="25"/>
      <c r="F20337" s="21"/>
      <c r="G20337" s="16"/>
    </row>
    <row r="20338" spans="4:7" ht="15" x14ac:dyDescent="0.3">
      <c r="D20338" s="25"/>
      <c r="F20338" s="21"/>
      <c r="G20338" s="16"/>
    </row>
    <row r="20339" spans="4:7" ht="15" x14ac:dyDescent="0.3">
      <c r="D20339" s="25"/>
      <c r="F20339" s="21"/>
      <c r="G20339" s="16"/>
    </row>
    <row r="20340" spans="4:7" ht="15" x14ac:dyDescent="0.3">
      <c r="D20340" s="25"/>
      <c r="F20340" s="21"/>
      <c r="G20340" s="16"/>
    </row>
    <row r="20341" spans="4:7" ht="15" x14ac:dyDescent="0.3">
      <c r="D20341" s="25"/>
      <c r="F20341" s="21"/>
      <c r="G20341" s="16"/>
    </row>
    <row r="20342" spans="4:7" ht="15" x14ac:dyDescent="0.3">
      <c r="D20342" s="25"/>
      <c r="F20342" s="21"/>
      <c r="G20342" s="16"/>
    </row>
    <row r="20343" spans="4:7" ht="15" x14ac:dyDescent="0.3">
      <c r="D20343" s="25"/>
      <c r="F20343" s="21"/>
      <c r="G20343" s="16"/>
    </row>
    <row r="20344" spans="4:7" ht="15" x14ac:dyDescent="0.3">
      <c r="D20344" s="25"/>
      <c r="F20344" s="21"/>
      <c r="G20344" s="16"/>
    </row>
    <row r="20345" spans="4:7" ht="15" x14ac:dyDescent="0.3">
      <c r="D20345" s="25"/>
      <c r="F20345" s="21"/>
      <c r="G20345" s="16"/>
    </row>
    <row r="20346" spans="4:7" ht="15" x14ac:dyDescent="0.3">
      <c r="D20346" s="25"/>
      <c r="F20346" s="21"/>
      <c r="G20346" s="16"/>
    </row>
    <row r="20347" spans="4:7" ht="15" x14ac:dyDescent="0.3">
      <c r="D20347" s="25"/>
      <c r="F20347" s="21"/>
      <c r="G20347" s="16"/>
    </row>
    <row r="20348" spans="4:7" ht="15" x14ac:dyDescent="0.3">
      <c r="D20348" s="25"/>
      <c r="F20348" s="21"/>
      <c r="G20348" s="16"/>
    </row>
    <row r="20349" spans="4:7" ht="15" x14ac:dyDescent="0.3">
      <c r="D20349" s="25"/>
      <c r="F20349" s="21"/>
      <c r="G20349" s="16"/>
    </row>
    <row r="20350" spans="4:7" ht="15" x14ac:dyDescent="0.3">
      <c r="D20350" s="25"/>
      <c r="F20350" s="21"/>
      <c r="G20350" s="16"/>
    </row>
    <row r="20351" spans="4:7" ht="15" x14ac:dyDescent="0.3">
      <c r="D20351" s="25"/>
      <c r="F20351" s="21"/>
      <c r="G20351" s="16"/>
    </row>
    <row r="20352" spans="4:7" ht="15" x14ac:dyDescent="0.3">
      <c r="D20352" s="25"/>
      <c r="F20352" s="21"/>
      <c r="G20352" s="16"/>
    </row>
    <row r="20353" spans="4:7" ht="15" x14ac:dyDescent="0.3">
      <c r="D20353" s="25"/>
      <c r="F20353" s="21"/>
      <c r="G20353" s="16"/>
    </row>
    <row r="20354" spans="4:7" ht="15" x14ac:dyDescent="0.3">
      <c r="D20354" s="25"/>
      <c r="F20354" s="21"/>
      <c r="G20354" s="16"/>
    </row>
    <row r="20355" spans="4:7" ht="15" x14ac:dyDescent="0.3">
      <c r="D20355" s="25"/>
      <c r="F20355" s="21"/>
      <c r="G20355" s="16"/>
    </row>
    <row r="20356" spans="4:7" ht="15" x14ac:dyDescent="0.3">
      <c r="D20356" s="25"/>
      <c r="F20356" s="21"/>
      <c r="G20356" s="16"/>
    </row>
    <row r="20357" spans="4:7" ht="15" x14ac:dyDescent="0.3">
      <c r="D20357" s="25"/>
      <c r="F20357" s="21"/>
      <c r="G20357" s="16"/>
    </row>
    <row r="20358" spans="4:7" ht="15" x14ac:dyDescent="0.3">
      <c r="D20358" s="25"/>
      <c r="F20358" s="21"/>
      <c r="G20358" s="16"/>
    </row>
    <row r="20359" spans="4:7" ht="15" x14ac:dyDescent="0.3">
      <c r="D20359" s="25"/>
      <c r="F20359" s="21"/>
      <c r="G20359" s="16"/>
    </row>
    <row r="20360" spans="4:7" ht="15" x14ac:dyDescent="0.3">
      <c r="D20360" s="25"/>
      <c r="F20360" s="21"/>
      <c r="G20360" s="16"/>
    </row>
    <row r="20361" spans="4:7" ht="15" x14ac:dyDescent="0.3">
      <c r="D20361" s="25"/>
      <c r="F20361" s="21"/>
      <c r="G20361" s="16"/>
    </row>
    <row r="20362" spans="4:7" ht="15" x14ac:dyDescent="0.3">
      <c r="D20362" s="25"/>
      <c r="F20362" s="21"/>
      <c r="G20362" s="16"/>
    </row>
    <row r="20363" spans="4:7" ht="15" x14ac:dyDescent="0.3">
      <c r="D20363" s="25"/>
      <c r="F20363" s="21"/>
      <c r="G20363" s="16"/>
    </row>
    <row r="20364" spans="4:7" ht="15" x14ac:dyDescent="0.3">
      <c r="D20364" s="25"/>
      <c r="F20364" s="21"/>
      <c r="G20364" s="16"/>
    </row>
    <row r="20365" spans="4:7" ht="15" x14ac:dyDescent="0.3">
      <c r="D20365" s="25"/>
      <c r="F20365" s="21"/>
      <c r="G20365" s="16"/>
    </row>
    <row r="20366" spans="4:7" ht="15" x14ac:dyDescent="0.3">
      <c r="D20366" s="25"/>
      <c r="F20366" s="21"/>
      <c r="G20366" s="16"/>
    </row>
    <row r="20367" spans="4:7" ht="15" x14ac:dyDescent="0.3">
      <c r="D20367" s="25"/>
      <c r="F20367" s="21"/>
      <c r="G20367" s="16"/>
    </row>
    <row r="20368" spans="4:7" ht="15" x14ac:dyDescent="0.3">
      <c r="D20368" s="25"/>
      <c r="F20368" s="21"/>
      <c r="G20368" s="16"/>
    </row>
    <row r="20369" spans="4:7" ht="15" x14ac:dyDescent="0.3">
      <c r="D20369" s="25"/>
      <c r="F20369" s="21"/>
      <c r="G20369" s="16"/>
    </row>
    <row r="20370" spans="4:7" ht="15" x14ac:dyDescent="0.3">
      <c r="D20370" s="25"/>
      <c r="F20370" s="21"/>
      <c r="G20370" s="16"/>
    </row>
    <row r="20371" spans="4:7" ht="15" x14ac:dyDescent="0.3">
      <c r="D20371" s="25"/>
      <c r="F20371" s="21"/>
      <c r="G20371" s="16"/>
    </row>
    <row r="20372" spans="4:7" ht="15" x14ac:dyDescent="0.3">
      <c r="D20372" s="25"/>
      <c r="F20372" s="21"/>
      <c r="G20372" s="16"/>
    </row>
    <row r="20373" spans="4:7" ht="15" x14ac:dyDescent="0.3">
      <c r="D20373" s="25"/>
      <c r="F20373" s="21"/>
      <c r="G20373" s="16"/>
    </row>
    <row r="20374" spans="4:7" ht="15" x14ac:dyDescent="0.3">
      <c r="D20374" s="25"/>
      <c r="F20374" s="21"/>
      <c r="G20374" s="16"/>
    </row>
    <row r="20375" spans="4:7" ht="15" x14ac:dyDescent="0.3">
      <c r="D20375" s="25"/>
      <c r="F20375" s="21"/>
      <c r="G20375" s="16"/>
    </row>
    <row r="20376" spans="4:7" ht="15" x14ac:dyDescent="0.3">
      <c r="D20376" s="25"/>
      <c r="F20376" s="21"/>
      <c r="G20376" s="16"/>
    </row>
    <row r="20377" spans="4:7" ht="15" x14ac:dyDescent="0.3">
      <c r="D20377" s="25"/>
      <c r="F20377" s="21"/>
      <c r="G20377" s="16"/>
    </row>
    <row r="20378" spans="4:7" ht="15" x14ac:dyDescent="0.3">
      <c r="D20378" s="25"/>
      <c r="F20378" s="21"/>
      <c r="G20378" s="16"/>
    </row>
    <row r="20379" spans="4:7" ht="15" x14ac:dyDescent="0.3">
      <c r="D20379" s="25"/>
      <c r="F20379" s="21"/>
      <c r="G20379" s="16"/>
    </row>
    <row r="20380" spans="4:7" ht="15" x14ac:dyDescent="0.3">
      <c r="D20380" s="25"/>
      <c r="F20380" s="21"/>
      <c r="G20380" s="16"/>
    </row>
    <row r="20381" spans="4:7" ht="15" x14ac:dyDescent="0.3">
      <c r="D20381" s="25"/>
      <c r="F20381" s="21"/>
      <c r="G20381" s="16"/>
    </row>
    <row r="20382" spans="4:7" ht="15" x14ac:dyDescent="0.3">
      <c r="D20382" s="25"/>
      <c r="F20382" s="21"/>
      <c r="G20382" s="16"/>
    </row>
    <row r="20383" spans="4:7" ht="15" x14ac:dyDescent="0.3">
      <c r="D20383" s="25"/>
      <c r="F20383" s="21"/>
      <c r="G20383" s="16"/>
    </row>
    <row r="20384" spans="4:7" ht="15" x14ac:dyDescent="0.3">
      <c r="D20384" s="25"/>
      <c r="F20384" s="21"/>
      <c r="G20384" s="16"/>
    </row>
    <row r="20385" spans="4:7" ht="15" x14ac:dyDescent="0.3">
      <c r="D20385" s="25"/>
      <c r="F20385" s="21"/>
      <c r="G20385" s="16"/>
    </row>
    <row r="20386" spans="4:7" ht="15" x14ac:dyDescent="0.3">
      <c r="D20386" s="25"/>
      <c r="F20386" s="21"/>
      <c r="G20386" s="16"/>
    </row>
    <row r="20387" spans="4:7" ht="15" x14ac:dyDescent="0.3">
      <c r="D20387" s="25"/>
      <c r="F20387" s="21"/>
      <c r="G20387" s="16"/>
    </row>
    <row r="20388" spans="4:7" ht="15" x14ac:dyDescent="0.3">
      <c r="D20388" s="25"/>
      <c r="F20388" s="21"/>
      <c r="G20388" s="16"/>
    </row>
    <row r="20389" spans="4:7" ht="15" x14ac:dyDescent="0.3">
      <c r="D20389" s="25"/>
      <c r="F20389" s="21"/>
      <c r="G20389" s="16"/>
    </row>
    <row r="20390" spans="4:7" ht="15" x14ac:dyDescent="0.3">
      <c r="D20390" s="25"/>
      <c r="F20390" s="21"/>
      <c r="G20390" s="16"/>
    </row>
    <row r="20391" spans="4:7" ht="15" x14ac:dyDescent="0.3">
      <c r="D20391" s="25"/>
      <c r="F20391" s="21"/>
      <c r="G20391" s="16"/>
    </row>
    <row r="20392" spans="4:7" ht="15" x14ac:dyDescent="0.3">
      <c r="D20392" s="25"/>
      <c r="F20392" s="21"/>
      <c r="G20392" s="16"/>
    </row>
    <row r="20393" spans="4:7" ht="15" x14ac:dyDescent="0.3">
      <c r="D20393" s="25"/>
      <c r="F20393" s="21"/>
      <c r="G20393" s="16"/>
    </row>
    <row r="20394" spans="4:7" ht="15" x14ac:dyDescent="0.3">
      <c r="D20394" s="25"/>
      <c r="F20394" s="21"/>
      <c r="G20394" s="16"/>
    </row>
    <row r="20395" spans="4:7" ht="15" x14ac:dyDescent="0.3">
      <c r="D20395" s="25"/>
      <c r="F20395" s="21"/>
      <c r="G20395" s="16"/>
    </row>
    <row r="20396" spans="4:7" ht="15" x14ac:dyDescent="0.3">
      <c r="D20396" s="25"/>
      <c r="F20396" s="21"/>
      <c r="G20396" s="16"/>
    </row>
    <row r="20397" spans="4:7" ht="15" x14ac:dyDescent="0.3">
      <c r="D20397" s="25"/>
      <c r="F20397" s="21"/>
      <c r="G20397" s="16"/>
    </row>
    <row r="20398" spans="4:7" ht="15" x14ac:dyDescent="0.3">
      <c r="D20398" s="25"/>
      <c r="F20398" s="21"/>
      <c r="G20398" s="16"/>
    </row>
    <row r="20399" spans="4:7" ht="15" x14ac:dyDescent="0.3">
      <c r="D20399" s="25"/>
      <c r="F20399" s="21"/>
      <c r="G20399" s="16"/>
    </row>
    <row r="20400" spans="4:7" ht="15" x14ac:dyDescent="0.3">
      <c r="D20400" s="25"/>
      <c r="F20400" s="21"/>
      <c r="G20400" s="16"/>
    </row>
    <row r="20401" spans="4:7" ht="15" x14ac:dyDescent="0.3">
      <c r="D20401" s="25"/>
      <c r="F20401" s="21"/>
      <c r="G20401" s="16"/>
    </row>
    <row r="20402" spans="4:7" ht="15" x14ac:dyDescent="0.3">
      <c r="D20402" s="25"/>
      <c r="F20402" s="21"/>
      <c r="G20402" s="16"/>
    </row>
    <row r="20403" spans="4:7" ht="15" x14ac:dyDescent="0.3">
      <c r="D20403" s="25"/>
      <c r="F20403" s="21"/>
      <c r="G20403" s="16"/>
    </row>
    <row r="20404" spans="4:7" ht="15" x14ac:dyDescent="0.3">
      <c r="D20404" s="25"/>
      <c r="F20404" s="21"/>
      <c r="G20404" s="16"/>
    </row>
    <row r="20405" spans="4:7" ht="15" x14ac:dyDescent="0.3">
      <c r="D20405" s="25"/>
      <c r="F20405" s="21"/>
      <c r="G20405" s="16"/>
    </row>
    <row r="20406" spans="4:7" ht="15" x14ac:dyDescent="0.3">
      <c r="D20406" s="25"/>
      <c r="F20406" s="21"/>
      <c r="G20406" s="16"/>
    </row>
    <row r="20407" spans="4:7" ht="15" x14ac:dyDescent="0.3">
      <c r="D20407" s="25"/>
      <c r="F20407" s="21"/>
      <c r="G20407" s="16"/>
    </row>
    <row r="20408" spans="4:7" ht="15" x14ac:dyDescent="0.3">
      <c r="D20408" s="25"/>
      <c r="F20408" s="21"/>
      <c r="G20408" s="16"/>
    </row>
    <row r="20409" spans="4:7" ht="15" x14ac:dyDescent="0.3">
      <c r="D20409" s="25"/>
      <c r="F20409" s="21"/>
      <c r="G20409" s="16"/>
    </row>
    <row r="20410" spans="4:7" ht="15" x14ac:dyDescent="0.3">
      <c r="D20410" s="25"/>
      <c r="F20410" s="21"/>
      <c r="G20410" s="16"/>
    </row>
    <row r="20411" spans="4:7" ht="15" x14ac:dyDescent="0.3">
      <c r="D20411" s="25"/>
      <c r="F20411" s="21"/>
      <c r="G20411" s="16"/>
    </row>
    <row r="20412" spans="4:7" ht="15" x14ac:dyDescent="0.3">
      <c r="D20412" s="25"/>
      <c r="F20412" s="21"/>
      <c r="G20412" s="16"/>
    </row>
    <row r="20413" spans="4:7" ht="15" x14ac:dyDescent="0.3">
      <c r="D20413" s="25"/>
      <c r="F20413" s="21"/>
      <c r="G20413" s="16"/>
    </row>
    <row r="20414" spans="4:7" ht="15" x14ac:dyDescent="0.3">
      <c r="D20414" s="25"/>
      <c r="F20414" s="21"/>
      <c r="G20414" s="16"/>
    </row>
    <row r="20415" spans="4:7" ht="15" x14ac:dyDescent="0.3">
      <c r="D20415" s="25"/>
      <c r="F20415" s="21"/>
      <c r="G20415" s="16"/>
    </row>
    <row r="20416" spans="4:7" ht="15" x14ac:dyDescent="0.3">
      <c r="D20416" s="25"/>
      <c r="F20416" s="21"/>
      <c r="G20416" s="16"/>
    </row>
    <row r="20417" spans="4:7" ht="15" x14ac:dyDescent="0.3">
      <c r="D20417" s="25"/>
      <c r="F20417" s="21"/>
      <c r="G20417" s="16"/>
    </row>
    <row r="20418" spans="4:7" ht="15" x14ac:dyDescent="0.3">
      <c r="D20418" s="25"/>
      <c r="F20418" s="21"/>
      <c r="G20418" s="16"/>
    </row>
    <row r="20419" spans="4:7" ht="15" x14ac:dyDescent="0.3">
      <c r="D20419" s="25"/>
      <c r="F20419" s="21"/>
      <c r="G20419" s="16"/>
    </row>
    <row r="20420" spans="4:7" ht="15" x14ac:dyDescent="0.3">
      <c r="D20420" s="25"/>
      <c r="F20420" s="21"/>
      <c r="G20420" s="16"/>
    </row>
    <row r="20421" spans="4:7" ht="15" x14ac:dyDescent="0.3">
      <c r="D20421" s="25"/>
      <c r="F20421" s="21"/>
      <c r="G20421" s="16"/>
    </row>
    <row r="20422" spans="4:7" ht="15" x14ac:dyDescent="0.3">
      <c r="D20422" s="25"/>
      <c r="F20422" s="21"/>
      <c r="G20422" s="16"/>
    </row>
    <row r="20423" spans="4:7" ht="15" x14ac:dyDescent="0.3">
      <c r="D20423" s="25"/>
      <c r="F20423" s="21"/>
      <c r="G20423" s="16"/>
    </row>
    <row r="20424" spans="4:7" ht="15" x14ac:dyDescent="0.3">
      <c r="D20424" s="25"/>
      <c r="F20424" s="21"/>
      <c r="G20424" s="16"/>
    </row>
    <row r="20425" spans="4:7" ht="15" x14ac:dyDescent="0.3">
      <c r="D20425" s="25"/>
      <c r="F20425" s="21"/>
      <c r="G20425" s="16"/>
    </row>
    <row r="20426" spans="4:7" ht="15" x14ac:dyDescent="0.3">
      <c r="D20426" s="25"/>
      <c r="F20426" s="21"/>
      <c r="G20426" s="16"/>
    </row>
    <row r="20427" spans="4:7" ht="15" x14ac:dyDescent="0.3">
      <c r="D20427" s="25"/>
      <c r="F20427" s="21"/>
      <c r="G20427" s="16"/>
    </row>
    <row r="20428" spans="4:7" ht="15" x14ac:dyDescent="0.3">
      <c r="D20428" s="25"/>
      <c r="F20428" s="21"/>
      <c r="G20428" s="16"/>
    </row>
    <row r="20429" spans="4:7" ht="15" x14ac:dyDescent="0.3">
      <c r="D20429" s="25"/>
      <c r="F20429" s="21"/>
      <c r="G20429" s="16"/>
    </row>
    <row r="20430" spans="4:7" ht="15" x14ac:dyDescent="0.3">
      <c r="D20430" s="25"/>
      <c r="F20430" s="21"/>
      <c r="G20430" s="16"/>
    </row>
    <row r="20431" spans="4:7" ht="15" x14ac:dyDescent="0.3">
      <c r="D20431" s="25"/>
      <c r="F20431" s="21"/>
      <c r="G20431" s="16"/>
    </row>
    <row r="20432" spans="4:7" ht="15" x14ac:dyDescent="0.3">
      <c r="D20432" s="25"/>
      <c r="F20432" s="21"/>
      <c r="G20432" s="16"/>
    </row>
    <row r="20433" spans="4:7" ht="15" x14ac:dyDescent="0.3">
      <c r="D20433" s="25"/>
      <c r="F20433" s="21"/>
      <c r="G20433" s="16"/>
    </row>
    <row r="20434" spans="4:7" ht="15" x14ac:dyDescent="0.3">
      <c r="D20434" s="25"/>
      <c r="F20434" s="21"/>
      <c r="G20434" s="16"/>
    </row>
    <row r="20435" spans="4:7" ht="15" x14ac:dyDescent="0.3">
      <c r="D20435" s="25"/>
      <c r="F20435" s="21"/>
      <c r="G20435" s="16"/>
    </row>
    <row r="20436" spans="4:7" ht="15" x14ac:dyDescent="0.3">
      <c r="D20436" s="25"/>
      <c r="F20436" s="21"/>
      <c r="G20436" s="16"/>
    </row>
    <row r="20437" spans="4:7" ht="15" x14ac:dyDescent="0.3">
      <c r="D20437" s="25"/>
      <c r="F20437" s="21"/>
      <c r="G20437" s="16"/>
    </row>
    <row r="20438" spans="4:7" ht="15" x14ac:dyDescent="0.3">
      <c r="D20438" s="25"/>
      <c r="F20438" s="21"/>
      <c r="G20438" s="16"/>
    </row>
    <row r="20439" spans="4:7" ht="15" x14ac:dyDescent="0.3">
      <c r="D20439" s="25"/>
      <c r="F20439" s="21"/>
      <c r="G20439" s="16"/>
    </row>
    <row r="20440" spans="4:7" ht="15" x14ac:dyDescent="0.3">
      <c r="D20440" s="25"/>
      <c r="F20440" s="21"/>
      <c r="G20440" s="16"/>
    </row>
    <row r="20441" spans="4:7" ht="15" x14ac:dyDescent="0.3">
      <c r="D20441" s="25"/>
      <c r="F20441" s="21"/>
      <c r="G20441" s="16"/>
    </row>
    <row r="20442" spans="4:7" ht="15" x14ac:dyDescent="0.3">
      <c r="D20442" s="25"/>
      <c r="F20442" s="21"/>
      <c r="G20442" s="16"/>
    </row>
    <row r="20443" spans="4:7" ht="15" x14ac:dyDescent="0.3">
      <c r="D20443" s="25"/>
      <c r="F20443" s="21"/>
      <c r="G20443" s="16"/>
    </row>
    <row r="20444" spans="4:7" ht="15" x14ac:dyDescent="0.3">
      <c r="D20444" s="25"/>
      <c r="F20444" s="21"/>
      <c r="G20444" s="16"/>
    </row>
    <row r="20445" spans="4:7" ht="15" x14ac:dyDescent="0.3">
      <c r="D20445" s="25"/>
      <c r="F20445" s="21"/>
      <c r="G20445" s="16"/>
    </row>
    <row r="20446" spans="4:7" ht="15" x14ac:dyDescent="0.3">
      <c r="D20446" s="25"/>
      <c r="F20446" s="21"/>
      <c r="G20446" s="16"/>
    </row>
    <row r="20447" spans="4:7" ht="15" x14ac:dyDescent="0.3">
      <c r="D20447" s="25"/>
      <c r="F20447" s="21"/>
      <c r="G20447" s="16"/>
    </row>
    <row r="20448" spans="4:7" ht="15" x14ac:dyDescent="0.3">
      <c r="D20448" s="25"/>
      <c r="F20448" s="21"/>
      <c r="G20448" s="16"/>
    </row>
    <row r="20449" spans="4:7" ht="15" x14ac:dyDescent="0.3">
      <c r="D20449" s="25"/>
      <c r="F20449" s="21"/>
      <c r="G20449" s="16"/>
    </row>
    <row r="20450" spans="4:7" ht="15" x14ac:dyDescent="0.3">
      <c r="D20450" s="25"/>
      <c r="F20450" s="21"/>
      <c r="G20450" s="16"/>
    </row>
    <row r="20451" spans="4:7" ht="15" x14ac:dyDescent="0.3">
      <c r="D20451" s="25"/>
      <c r="F20451" s="21"/>
      <c r="G20451" s="16"/>
    </row>
    <row r="20452" spans="4:7" ht="15" x14ac:dyDescent="0.3">
      <c r="D20452" s="25"/>
      <c r="F20452" s="21"/>
      <c r="G20452" s="16"/>
    </row>
    <row r="20453" spans="4:7" ht="15" x14ac:dyDescent="0.3">
      <c r="D20453" s="25"/>
      <c r="F20453" s="21"/>
      <c r="G20453" s="16"/>
    </row>
    <row r="20454" spans="4:7" ht="15" x14ac:dyDescent="0.3">
      <c r="D20454" s="25"/>
      <c r="F20454" s="21"/>
      <c r="G20454" s="16"/>
    </row>
    <row r="20455" spans="4:7" ht="15" x14ac:dyDescent="0.3">
      <c r="D20455" s="25"/>
      <c r="F20455" s="21"/>
      <c r="G20455" s="16"/>
    </row>
    <row r="20456" spans="4:7" ht="15" x14ac:dyDescent="0.3">
      <c r="D20456" s="25"/>
      <c r="F20456" s="21"/>
      <c r="G20456" s="16"/>
    </row>
    <row r="20457" spans="4:7" ht="15" x14ac:dyDescent="0.3">
      <c r="D20457" s="25"/>
      <c r="F20457" s="21"/>
      <c r="G20457" s="16"/>
    </row>
    <row r="20458" spans="4:7" ht="15" x14ac:dyDescent="0.3">
      <c r="D20458" s="25"/>
      <c r="F20458" s="21"/>
      <c r="G20458" s="16"/>
    </row>
    <row r="20459" spans="4:7" ht="15" x14ac:dyDescent="0.3">
      <c r="D20459" s="25"/>
      <c r="F20459" s="21"/>
      <c r="G20459" s="16"/>
    </row>
    <row r="20460" spans="4:7" ht="15" x14ac:dyDescent="0.3">
      <c r="D20460" s="25"/>
      <c r="F20460" s="21"/>
      <c r="G20460" s="16"/>
    </row>
    <row r="20461" spans="4:7" ht="15" x14ac:dyDescent="0.3">
      <c r="D20461" s="25"/>
      <c r="F20461" s="21"/>
      <c r="G20461" s="16"/>
    </row>
    <row r="20462" spans="4:7" ht="15" x14ac:dyDescent="0.3">
      <c r="D20462" s="25"/>
      <c r="F20462" s="21"/>
      <c r="G20462" s="16"/>
    </row>
    <row r="20463" spans="4:7" ht="15" x14ac:dyDescent="0.3">
      <c r="D20463" s="25"/>
      <c r="F20463" s="21"/>
      <c r="G20463" s="16"/>
    </row>
    <row r="20464" spans="4:7" ht="15" x14ac:dyDescent="0.3">
      <c r="D20464" s="25"/>
      <c r="F20464" s="21"/>
      <c r="G20464" s="16"/>
    </row>
    <row r="20465" spans="4:7" ht="15" x14ac:dyDescent="0.3">
      <c r="D20465" s="25"/>
      <c r="F20465" s="21"/>
      <c r="G20465" s="16"/>
    </row>
    <row r="20466" spans="4:7" ht="15" x14ac:dyDescent="0.3">
      <c r="D20466" s="25"/>
      <c r="F20466" s="21"/>
      <c r="G20466" s="16"/>
    </row>
    <row r="20467" spans="4:7" ht="15" x14ac:dyDescent="0.3">
      <c r="D20467" s="25"/>
      <c r="F20467" s="21"/>
      <c r="G20467" s="16"/>
    </row>
    <row r="20468" spans="4:7" ht="15" x14ac:dyDescent="0.3">
      <c r="D20468" s="25"/>
      <c r="F20468" s="21"/>
      <c r="G20468" s="16"/>
    </row>
    <row r="20469" spans="4:7" ht="15" x14ac:dyDescent="0.3">
      <c r="D20469" s="25"/>
      <c r="F20469" s="21"/>
      <c r="G20469" s="16"/>
    </row>
    <row r="20470" spans="4:7" ht="15" x14ac:dyDescent="0.3">
      <c r="D20470" s="25"/>
      <c r="F20470" s="21"/>
      <c r="G20470" s="16"/>
    </row>
    <row r="20471" spans="4:7" ht="15" x14ac:dyDescent="0.3">
      <c r="D20471" s="25"/>
      <c r="F20471" s="21"/>
      <c r="G20471" s="16"/>
    </row>
    <row r="20472" spans="4:7" ht="15" x14ac:dyDescent="0.3">
      <c r="D20472" s="25"/>
      <c r="F20472" s="21"/>
      <c r="G20472" s="16"/>
    </row>
    <row r="20473" spans="4:7" ht="15" x14ac:dyDescent="0.3">
      <c r="D20473" s="25"/>
      <c r="F20473" s="21"/>
      <c r="G20473" s="16"/>
    </row>
    <row r="20474" spans="4:7" ht="15" x14ac:dyDescent="0.3">
      <c r="D20474" s="25"/>
      <c r="F20474" s="21"/>
      <c r="G20474" s="16"/>
    </row>
    <row r="20475" spans="4:7" ht="15" x14ac:dyDescent="0.3">
      <c r="D20475" s="25"/>
      <c r="F20475" s="21"/>
      <c r="G20475" s="16"/>
    </row>
    <row r="20476" spans="4:7" ht="15" x14ac:dyDescent="0.3">
      <c r="D20476" s="25"/>
      <c r="F20476" s="21"/>
      <c r="G20476" s="16"/>
    </row>
    <row r="20477" spans="4:7" ht="15" x14ac:dyDescent="0.3">
      <c r="D20477" s="25"/>
      <c r="F20477" s="21"/>
      <c r="G20477" s="16"/>
    </row>
    <row r="20478" spans="4:7" ht="15" x14ac:dyDescent="0.3">
      <c r="D20478" s="25"/>
      <c r="F20478" s="21"/>
      <c r="G20478" s="16"/>
    </row>
    <row r="20479" spans="4:7" ht="15" x14ac:dyDescent="0.3">
      <c r="D20479" s="25"/>
      <c r="F20479" s="21"/>
      <c r="G20479" s="16"/>
    </row>
    <row r="20480" spans="4:7" ht="15" x14ac:dyDescent="0.3">
      <c r="D20480" s="25"/>
      <c r="F20480" s="21"/>
      <c r="G20480" s="16"/>
    </row>
    <row r="20481" spans="4:7" ht="15" x14ac:dyDescent="0.3">
      <c r="D20481" s="25"/>
      <c r="F20481" s="21"/>
      <c r="G20481" s="16"/>
    </row>
    <row r="20482" spans="4:7" ht="15" x14ac:dyDescent="0.3">
      <c r="D20482" s="25"/>
      <c r="F20482" s="21"/>
      <c r="G20482" s="16"/>
    </row>
    <row r="20483" spans="4:7" ht="15" x14ac:dyDescent="0.3">
      <c r="D20483" s="25"/>
      <c r="F20483" s="21"/>
      <c r="G20483" s="16"/>
    </row>
    <row r="20484" spans="4:7" ht="15" x14ac:dyDescent="0.3">
      <c r="D20484" s="25"/>
      <c r="F20484" s="21"/>
      <c r="G20484" s="16"/>
    </row>
    <row r="20485" spans="4:7" ht="15" x14ac:dyDescent="0.3">
      <c r="D20485" s="25"/>
      <c r="F20485" s="21"/>
      <c r="G20485" s="16"/>
    </row>
    <row r="20486" spans="4:7" x14ac:dyDescent="0.2">
      <c r="D20486" s="25"/>
      <c r="F20486" s="21"/>
    </row>
    <row r="20487" spans="4:7" x14ac:dyDescent="0.2">
      <c r="D20487" s="25"/>
      <c r="F20487" s="21"/>
    </row>
    <row r="20488" spans="4:7" x14ac:dyDescent="0.2">
      <c r="D20488" s="25"/>
      <c r="F20488" s="21"/>
    </row>
    <row r="20489" spans="4:7" x14ac:dyDescent="0.2">
      <c r="D20489" s="25"/>
      <c r="F20489" s="21"/>
    </row>
    <row r="20490" spans="4:7" x14ac:dyDescent="0.2">
      <c r="D20490" s="25"/>
      <c r="F20490" s="21"/>
    </row>
    <row r="20491" spans="4:7" x14ac:dyDescent="0.2">
      <c r="D20491" s="25"/>
      <c r="F20491" s="21"/>
    </row>
    <row r="20492" spans="4:7" x14ac:dyDescent="0.2">
      <c r="D20492" s="25"/>
      <c r="F20492" s="21"/>
    </row>
    <row r="20493" spans="4:7" x14ac:dyDescent="0.2">
      <c r="D20493" s="25"/>
      <c r="F20493" s="21"/>
    </row>
    <row r="20494" spans="4:7" x14ac:dyDescent="0.2">
      <c r="D20494" s="25"/>
      <c r="F20494" s="21"/>
    </row>
    <row r="20495" spans="4:7" x14ac:dyDescent="0.2">
      <c r="D20495" s="25"/>
      <c r="F20495" s="21"/>
    </row>
    <row r="20496" spans="4:7" x14ac:dyDescent="0.2">
      <c r="D20496" s="25"/>
      <c r="F20496" s="21"/>
    </row>
    <row r="20497" spans="4:6" x14ac:dyDescent="0.2">
      <c r="D20497" s="25"/>
      <c r="F20497" s="21"/>
    </row>
    <row r="20498" spans="4:6" x14ac:dyDescent="0.2">
      <c r="D20498" s="25"/>
      <c r="F20498" s="21"/>
    </row>
    <row r="20499" spans="4:6" x14ac:dyDescent="0.2">
      <c r="D20499" s="25"/>
      <c r="F20499" s="21"/>
    </row>
    <row r="20500" spans="4:6" x14ac:dyDescent="0.2">
      <c r="D20500" s="25"/>
      <c r="F20500" s="21"/>
    </row>
    <row r="20501" spans="4:6" x14ac:dyDescent="0.2">
      <c r="D20501" s="25"/>
      <c r="F20501" s="21"/>
    </row>
    <row r="20502" spans="4:6" x14ac:dyDescent="0.2">
      <c r="D20502" s="25"/>
      <c r="F20502" s="21"/>
    </row>
    <row r="20503" spans="4:6" x14ac:dyDescent="0.2">
      <c r="D20503" s="25"/>
      <c r="F20503" s="21"/>
    </row>
    <row r="20504" spans="4:6" x14ac:dyDescent="0.2">
      <c r="D20504" s="25"/>
      <c r="F20504" s="21"/>
    </row>
    <row r="20505" spans="4:6" x14ac:dyDescent="0.2">
      <c r="D20505" s="25"/>
      <c r="F20505" s="21"/>
    </row>
    <row r="20506" spans="4:6" x14ac:dyDescent="0.2">
      <c r="D20506" s="25"/>
      <c r="F20506" s="21"/>
    </row>
    <row r="20507" spans="4:6" x14ac:dyDescent="0.2">
      <c r="D20507" s="25"/>
      <c r="F20507" s="21"/>
    </row>
    <row r="20508" spans="4:6" x14ac:dyDescent="0.2">
      <c r="D20508" s="25"/>
      <c r="F20508" s="21"/>
    </row>
    <row r="20509" spans="4:6" x14ac:dyDescent="0.2">
      <c r="D20509" s="25"/>
      <c r="F20509" s="21"/>
    </row>
    <row r="20510" spans="4:6" x14ac:dyDescent="0.2">
      <c r="D20510" s="25"/>
      <c r="F20510" s="21"/>
    </row>
    <row r="20511" spans="4:6" x14ac:dyDescent="0.2">
      <c r="D20511" s="25"/>
      <c r="F20511" s="21"/>
    </row>
    <row r="20512" spans="4:6" x14ac:dyDescent="0.2">
      <c r="D20512" s="25"/>
      <c r="F20512" s="21"/>
    </row>
    <row r="20513" spans="4:6" x14ac:dyDescent="0.2">
      <c r="D20513" s="25"/>
      <c r="F20513" s="21"/>
    </row>
    <row r="20514" spans="4:6" x14ac:dyDescent="0.2">
      <c r="D20514" s="25"/>
      <c r="F20514" s="21"/>
    </row>
    <row r="20515" spans="4:6" x14ac:dyDescent="0.2">
      <c r="D20515" s="25"/>
      <c r="F20515" s="21"/>
    </row>
    <row r="20516" spans="4:6" x14ac:dyDescent="0.2">
      <c r="D20516" s="25"/>
      <c r="F20516" s="21"/>
    </row>
    <row r="20517" spans="4:6" x14ac:dyDescent="0.2">
      <c r="D20517" s="25"/>
      <c r="F20517" s="21"/>
    </row>
    <row r="20518" spans="4:6" x14ac:dyDescent="0.2">
      <c r="D20518" s="25"/>
      <c r="F20518" s="21"/>
    </row>
    <row r="20519" spans="4:6" x14ac:dyDescent="0.2">
      <c r="D20519" s="25"/>
      <c r="F20519" s="21"/>
    </row>
    <row r="20520" spans="4:6" x14ac:dyDescent="0.2">
      <c r="D20520" s="25"/>
      <c r="F20520" s="21"/>
    </row>
    <row r="20521" spans="4:6" x14ac:dyDescent="0.2">
      <c r="D20521" s="25"/>
      <c r="F20521" s="21"/>
    </row>
    <row r="20522" spans="4:6" x14ac:dyDescent="0.2">
      <c r="D20522" s="25"/>
      <c r="F20522" s="21"/>
    </row>
    <row r="20523" spans="4:6" x14ac:dyDescent="0.2">
      <c r="D20523" s="25"/>
      <c r="F20523" s="21"/>
    </row>
    <row r="20524" spans="4:6" x14ac:dyDescent="0.2">
      <c r="D20524" s="25"/>
      <c r="F20524" s="21"/>
    </row>
    <row r="20525" spans="4:6" x14ac:dyDescent="0.2">
      <c r="D20525" s="25"/>
      <c r="F20525" s="21"/>
    </row>
    <row r="20526" spans="4:6" x14ac:dyDescent="0.2">
      <c r="D20526" s="25"/>
      <c r="F20526" s="21"/>
    </row>
    <row r="20527" spans="4:6" x14ac:dyDescent="0.2">
      <c r="D20527" s="25"/>
      <c r="F20527" s="21"/>
    </row>
    <row r="20528" spans="4:6" x14ac:dyDescent="0.2">
      <c r="D20528" s="25"/>
      <c r="F20528" s="21"/>
    </row>
    <row r="20529" spans="4:6" x14ac:dyDescent="0.2">
      <c r="D20529" s="25"/>
      <c r="F20529" s="21"/>
    </row>
    <row r="20530" spans="4:6" x14ac:dyDescent="0.2">
      <c r="D20530" s="25"/>
      <c r="F20530" s="21"/>
    </row>
    <row r="20531" spans="4:6" x14ac:dyDescent="0.2">
      <c r="D20531" s="25"/>
      <c r="F20531" s="21"/>
    </row>
    <row r="20532" spans="4:6" x14ac:dyDescent="0.2">
      <c r="D20532" s="25"/>
      <c r="F20532" s="21"/>
    </row>
    <row r="20533" spans="4:6" x14ac:dyDescent="0.2">
      <c r="D20533" s="25"/>
      <c r="F20533" s="21"/>
    </row>
    <row r="20534" spans="4:6" x14ac:dyDescent="0.2">
      <c r="D20534" s="25"/>
      <c r="F20534" s="21"/>
    </row>
    <row r="20535" spans="4:6" x14ac:dyDescent="0.2">
      <c r="D20535" s="25"/>
      <c r="F20535" s="21"/>
    </row>
    <row r="20536" spans="4:6" x14ac:dyDescent="0.2">
      <c r="D20536" s="25"/>
      <c r="F20536" s="21"/>
    </row>
    <row r="20537" spans="4:6" x14ac:dyDescent="0.2">
      <c r="D20537" s="25"/>
      <c r="F20537" s="21"/>
    </row>
    <row r="20538" spans="4:6" x14ac:dyDescent="0.2">
      <c r="D20538" s="25"/>
      <c r="F20538" s="21"/>
    </row>
    <row r="20539" spans="4:6" x14ac:dyDescent="0.2">
      <c r="D20539" s="25"/>
      <c r="F20539" s="21"/>
    </row>
    <row r="20540" spans="4:6" x14ac:dyDescent="0.2">
      <c r="D20540" s="25"/>
      <c r="F20540" s="21"/>
    </row>
    <row r="20541" spans="4:6" x14ac:dyDescent="0.2">
      <c r="D20541" s="25"/>
      <c r="F20541" s="21"/>
    </row>
    <row r="20542" spans="4:6" x14ac:dyDescent="0.2">
      <c r="D20542" s="25"/>
      <c r="F20542" s="21"/>
    </row>
    <row r="20543" spans="4:6" x14ac:dyDescent="0.2">
      <c r="D20543" s="25"/>
      <c r="F20543" s="21"/>
    </row>
    <row r="20544" spans="4:6" x14ac:dyDescent="0.2">
      <c r="D20544" s="25"/>
      <c r="F20544" s="21"/>
    </row>
    <row r="20545" spans="4:6" x14ac:dyDescent="0.2">
      <c r="D20545" s="25"/>
      <c r="F20545" s="21"/>
    </row>
    <row r="20546" spans="4:6" x14ac:dyDescent="0.2">
      <c r="D20546" s="25"/>
      <c r="F20546" s="21"/>
    </row>
    <row r="20547" spans="4:6" x14ac:dyDescent="0.2">
      <c r="D20547" s="25"/>
      <c r="F20547" s="21"/>
    </row>
    <row r="20548" spans="4:6" x14ac:dyDescent="0.2">
      <c r="D20548" s="25"/>
      <c r="F20548" s="21"/>
    </row>
    <row r="20549" spans="4:6" x14ac:dyDescent="0.2">
      <c r="D20549" s="25"/>
      <c r="F20549" s="21"/>
    </row>
    <row r="20550" spans="4:6" x14ac:dyDescent="0.2">
      <c r="D20550" s="25"/>
      <c r="F20550" s="21"/>
    </row>
    <row r="20551" spans="4:6" x14ac:dyDescent="0.2">
      <c r="D20551" s="25"/>
      <c r="F20551" s="21"/>
    </row>
    <row r="20552" spans="4:6" x14ac:dyDescent="0.2">
      <c r="D20552" s="25"/>
      <c r="F20552" s="21"/>
    </row>
    <row r="20553" spans="4:6" x14ac:dyDescent="0.2">
      <c r="D20553" s="25"/>
      <c r="F20553" s="21"/>
    </row>
    <row r="20554" spans="4:6" x14ac:dyDescent="0.2">
      <c r="D20554" s="25"/>
      <c r="F20554" s="21"/>
    </row>
    <row r="20555" spans="4:6" x14ac:dyDescent="0.2">
      <c r="D20555" s="25"/>
      <c r="F20555" s="21"/>
    </row>
    <row r="20556" spans="4:6" x14ac:dyDescent="0.2">
      <c r="D20556" s="25"/>
      <c r="F20556" s="21"/>
    </row>
    <row r="20557" spans="4:6" x14ac:dyDescent="0.2">
      <c r="D20557" s="25"/>
      <c r="F20557" s="21"/>
    </row>
    <row r="20558" spans="4:6" x14ac:dyDescent="0.2">
      <c r="D20558" s="25"/>
      <c r="F20558" s="21"/>
    </row>
    <row r="20559" spans="4:6" x14ac:dyDescent="0.2">
      <c r="D20559" s="25"/>
      <c r="F20559" s="21"/>
    </row>
    <row r="20560" spans="4:6" x14ac:dyDescent="0.2">
      <c r="D20560" s="25"/>
      <c r="F20560" s="21"/>
    </row>
    <row r="20561" spans="4:6" x14ac:dyDescent="0.2">
      <c r="D20561" s="25"/>
      <c r="F20561" s="21"/>
    </row>
    <row r="20562" spans="4:6" x14ac:dyDescent="0.2">
      <c r="D20562" s="25"/>
      <c r="F20562" s="21"/>
    </row>
    <row r="20563" spans="4:6" x14ac:dyDescent="0.2">
      <c r="D20563" s="25"/>
      <c r="F20563" s="21"/>
    </row>
    <row r="20564" spans="4:6" x14ac:dyDescent="0.2">
      <c r="D20564" s="25"/>
      <c r="F20564" s="21"/>
    </row>
    <row r="20565" spans="4:6" x14ac:dyDescent="0.2">
      <c r="D20565" s="25"/>
      <c r="F20565" s="21"/>
    </row>
    <row r="20566" spans="4:6" x14ac:dyDescent="0.2">
      <c r="D20566" s="25"/>
      <c r="F20566" s="21"/>
    </row>
    <row r="20567" spans="4:6" x14ac:dyDescent="0.2">
      <c r="D20567" s="25"/>
      <c r="F20567" s="21"/>
    </row>
    <row r="20568" spans="4:6" x14ac:dyDescent="0.2">
      <c r="D20568" s="25"/>
      <c r="F20568" s="21"/>
    </row>
    <row r="20569" spans="4:6" x14ac:dyDescent="0.2">
      <c r="D20569" s="25"/>
      <c r="F20569" s="21"/>
    </row>
    <row r="20570" spans="4:6" x14ac:dyDescent="0.2">
      <c r="D20570" s="25"/>
      <c r="F20570" s="21"/>
    </row>
    <row r="20571" spans="4:6" x14ac:dyDescent="0.2">
      <c r="D20571" s="25"/>
      <c r="F20571" s="21"/>
    </row>
    <row r="20572" spans="4:6" x14ac:dyDescent="0.2">
      <c r="D20572" s="25"/>
      <c r="F20572" s="21"/>
    </row>
    <row r="20573" spans="4:6" x14ac:dyDescent="0.2">
      <c r="D20573" s="25"/>
      <c r="F20573" s="21"/>
    </row>
    <row r="20574" spans="4:6" x14ac:dyDescent="0.2">
      <c r="D20574" s="25"/>
      <c r="F20574" s="21"/>
    </row>
    <row r="20575" spans="4:6" x14ac:dyDescent="0.2">
      <c r="D20575" s="25"/>
      <c r="F20575" s="21"/>
    </row>
    <row r="20576" spans="4:6" x14ac:dyDescent="0.2">
      <c r="D20576" s="25"/>
      <c r="F20576" s="21"/>
    </row>
    <row r="20577" spans="4:6" x14ac:dyDescent="0.2">
      <c r="D20577" s="25"/>
      <c r="F20577" s="21"/>
    </row>
    <row r="20578" spans="4:6" x14ac:dyDescent="0.2">
      <c r="D20578" s="25"/>
      <c r="F20578" s="21"/>
    </row>
    <row r="20579" spans="4:6" x14ac:dyDescent="0.2">
      <c r="D20579" s="25"/>
      <c r="F20579" s="21"/>
    </row>
    <row r="20580" spans="4:6" x14ac:dyDescent="0.2">
      <c r="D20580" s="25"/>
      <c r="F20580" s="21"/>
    </row>
    <row r="20581" spans="4:6" x14ac:dyDescent="0.2">
      <c r="D20581" s="25"/>
      <c r="F20581" s="21"/>
    </row>
    <row r="20582" spans="4:6" x14ac:dyDescent="0.2">
      <c r="D20582" s="25"/>
      <c r="F20582" s="21"/>
    </row>
    <row r="20583" spans="4:6" x14ac:dyDescent="0.2">
      <c r="D20583" s="25"/>
      <c r="F20583" s="21"/>
    </row>
    <row r="20584" spans="4:6" x14ac:dyDescent="0.2">
      <c r="D20584" s="25"/>
      <c r="F20584" s="21"/>
    </row>
    <row r="20585" spans="4:6" x14ac:dyDescent="0.2">
      <c r="D20585" s="25"/>
      <c r="F20585" s="21"/>
    </row>
    <row r="20586" spans="4:6" x14ac:dyDescent="0.2">
      <c r="D20586" s="25"/>
      <c r="F20586" s="21"/>
    </row>
    <row r="20587" spans="4:6" x14ac:dyDescent="0.2">
      <c r="D20587" s="25"/>
      <c r="F20587" s="21"/>
    </row>
    <row r="20588" spans="4:6" x14ac:dyDescent="0.2">
      <c r="D20588" s="25"/>
      <c r="F20588" s="21"/>
    </row>
    <row r="20589" spans="4:6" x14ac:dyDescent="0.2">
      <c r="D20589" s="25"/>
      <c r="F20589" s="21"/>
    </row>
    <row r="20590" spans="4:6" x14ac:dyDescent="0.2">
      <c r="D20590" s="25"/>
      <c r="F20590" s="21"/>
    </row>
    <row r="20591" spans="4:6" x14ac:dyDescent="0.2">
      <c r="D20591" s="25"/>
      <c r="F20591" s="21"/>
    </row>
    <row r="20592" spans="4:6" x14ac:dyDescent="0.2">
      <c r="D20592" s="25"/>
      <c r="F20592" s="21"/>
    </row>
    <row r="20593" spans="4:6" x14ac:dyDescent="0.2">
      <c r="D20593" s="25"/>
      <c r="F20593" s="21"/>
    </row>
    <row r="20594" spans="4:6" x14ac:dyDescent="0.2">
      <c r="D20594" s="25"/>
      <c r="F20594" s="21"/>
    </row>
    <row r="20595" spans="4:6" x14ac:dyDescent="0.2">
      <c r="D20595" s="25"/>
      <c r="F20595" s="21"/>
    </row>
    <row r="20596" spans="4:6" x14ac:dyDescent="0.2">
      <c r="D20596" s="25"/>
      <c r="F20596" s="21"/>
    </row>
    <row r="20597" spans="4:6" x14ac:dyDescent="0.2">
      <c r="D20597" s="25"/>
      <c r="F20597" s="21"/>
    </row>
    <row r="20598" spans="4:6" x14ac:dyDescent="0.2">
      <c r="D20598" s="25"/>
      <c r="F20598" s="21"/>
    </row>
    <row r="20599" spans="4:6" x14ac:dyDescent="0.2">
      <c r="D20599" s="25"/>
      <c r="F20599" s="21"/>
    </row>
    <row r="20600" spans="4:6" x14ac:dyDescent="0.2">
      <c r="D20600" s="25"/>
      <c r="F20600" s="21"/>
    </row>
    <row r="20601" spans="4:6" x14ac:dyDescent="0.2">
      <c r="D20601" s="25"/>
      <c r="F20601" s="21"/>
    </row>
    <row r="20602" spans="4:6" x14ac:dyDescent="0.2">
      <c r="D20602" s="25"/>
      <c r="F20602" s="21"/>
    </row>
    <row r="20603" spans="4:6" x14ac:dyDescent="0.2">
      <c r="D20603" s="25"/>
      <c r="F20603" s="21"/>
    </row>
    <row r="20604" spans="4:6" x14ac:dyDescent="0.2">
      <c r="D20604" s="25"/>
      <c r="F20604" s="21"/>
    </row>
    <row r="20605" spans="4:6" x14ac:dyDescent="0.2">
      <c r="D20605" s="25"/>
      <c r="F20605" s="21"/>
    </row>
    <row r="20606" spans="4:6" x14ac:dyDescent="0.2">
      <c r="D20606" s="25"/>
      <c r="F20606" s="21"/>
    </row>
    <row r="20607" spans="4:6" x14ac:dyDescent="0.2">
      <c r="D20607" s="25"/>
      <c r="F20607" s="21"/>
    </row>
    <row r="20608" spans="4:6" x14ac:dyDescent="0.2">
      <c r="D20608" s="25"/>
      <c r="F20608" s="21"/>
    </row>
    <row r="20609" spans="4:6" x14ac:dyDescent="0.2">
      <c r="D20609" s="25"/>
      <c r="F20609" s="21"/>
    </row>
    <row r="20610" spans="4:6" x14ac:dyDescent="0.2">
      <c r="D20610" s="25"/>
      <c r="F20610" s="21"/>
    </row>
    <row r="20611" spans="4:6" x14ac:dyDescent="0.2">
      <c r="D20611" s="25"/>
      <c r="F20611" s="21"/>
    </row>
    <row r="20612" spans="4:6" x14ac:dyDescent="0.2">
      <c r="D20612" s="25"/>
      <c r="F20612" s="21"/>
    </row>
    <row r="20613" spans="4:6" x14ac:dyDescent="0.2">
      <c r="D20613" s="25"/>
      <c r="F20613" s="21"/>
    </row>
    <row r="20614" spans="4:6" x14ac:dyDescent="0.2">
      <c r="D20614" s="25"/>
      <c r="F20614" s="21"/>
    </row>
    <row r="20615" spans="4:6" x14ac:dyDescent="0.2">
      <c r="D20615" s="25"/>
      <c r="F20615" s="21"/>
    </row>
    <row r="20616" spans="4:6" x14ac:dyDescent="0.2">
      <c r="D20616" s="25"/>
      <c r="F20616" s="21"/>
    </row>
    <row r="20617" spans="4:6" x14ac:dyDescent="0.2">
      <c r="D20617" s="25"/>
      <c r="F20617" s="21"/>
    </row>
    <row r="20618" spans="4:6" x14ac:dyDescent="0.2">
      <c r="D20618" s="25"/>
      <c r="F20618" s="21"/>
    </row>
    <row r="20619" spans="4:6" x14ac:dyDescent="0.2">
      <c r="D20619" s="25"/>
      <c r="F20619" s="21"/>
    </row>
    <row r="20620" spans="4:6" x14ac:dyDescent="0.2">
      <c r="D20620" s="25"/>
      <c r="F20620" s="21"/>
    </row>
    <row r="20621" spans="4:6" x14ac:dyDescent="0.2">
      <c r="D20621" s="25"/>
      <c r="F20621" s="21"/>
    </row>
    <row r="20622" spans="4:6" x14ac:dyDescent="0.2">
      <c r="D20622" s="25"/>
      <c r="F20622" s="21"/>
    </row>
    <row r="20623" spans="4:6" x14ac:dyDescent="0.2">
      <c r="D20623" s="25"/>
      <c r="F20623" s="21"/>
    </row>
    <row r="20624" spans="4:6" x14ac:dyDescent="0.2">
      <c r="D20624" s="25"/>
      <c r="F20624" s="21"/>
    </row>
    <row r="20625" spans="4:6" x14ac:dyDescent="0.2">
      <c r="D20625" s="25"/>
      <c r="F20625" s="21"/>
    </row>
    <row r="20626" spans="4:6" x14ac:dyDescent="0.2">
      <c r="D20626" s="25"/>
      <c r="F20626" s="21"/>
    </row>
    <row r="20627" spans="4:6" x14ac:dyDescent="0.2">
      <c r="D20627" s="25"/>
      <c r="F20627" s="21"/>
    </row>
    <row r="20628" spans="4:6" x14ac:dyDescent="0.2">
      <c r="D20628" s="25"/>
      <c r="F20628" s="21"/>
    </row>
    <row r="20629" spans="4:6" x14ac:dyDescent="0.2">
      <c r="D20629" s="25"/>
      <c r="F20629" s="21"/>
    </row>
    <row r="20630" spans="4:6" x14ac:dyDescent="0.2">
      <c r="D20630" s="25"/>
      <c r="F20630" s="21"/>
    </row>
    <row r="20631" spans="4:6" x14ac:dyDescent="0.2">
      <c r="D20631" s="25"/>
      <c r="F20631" s="21"/>
    </row>
    <row r="20632" spans="4:6" x14ac:dyDescent="0.2">
      <c r="D20632" s="25"/>
      <c r="F20632" s="21"/>
    </row>
    <row r="20633" spans="4:6" x14ac:dyDescent="0.2">
      <c r="D20633" s="25"/>
      <c r="F20633" s="21"/>
    </row>
    <row r="20634" spans="4:6" x14ac:dyDescent="0.2">
      <c r="D20634" s="25"/>
      <c r="F20634" s="21"/>
    </row>
    <row r="20635" spans="4:6" x14ac:dyDescent="0.2">
      <c r="D20635" s="25"/>
      <c r="F20635" s="21"/>
    </row>
    <row r="20636" spans="4:6" x14ac:dyDescent="0.2">
      <c r="D20636" s="25"/>
      <c r="F20636" s="21"/>
    </row>
    <row r="20637" spans="4:6" x14ac:dyDescent="0.2">
      <c r="D20637" s="25"/>
      <c r="F20637" s="21"/>
    </row>
    <row r="20638" spans="4:6" x14ac:dyDescent="0.2">
      <c r="D20638" s="25"/>
      <c r="F20638" s="21"/>
    </row>
    <row r="20639" spans="4:6" x14ac:dyDescent="0.2">
      <c r="D20639" s="25"/>
      <c r="F20639" s="21"/>
    </row>
    <row r="20640" spans="4:6" x14ac:dyDescent="0.2">
      <c r="D20640" s="25"/>
      <c r="F20640" s="21"/>
    </row>
    <row r="20641" spans="4:6" x14ac:dyDescent="0.2">
      <c r="D20641" s="25"/>
      <c r="F20641" s="21"/>
    </row>
    <row r="20642" spans="4:6" x14ac:dyDescent="0.2">
      <c r="D20642" s="25"/>
      <c r="F20642" s="21"/>
    </row>
    <row r="20643" spans="4:6" x14ac:dyDescent="0.2">
      <c r="D20643" s="25"/>
      <c r="F20643" s="21"/>
    </row>
    <row r="20644" spans="4:6" x14ac:dyDescent="0.2">
      <c r="D20644" s="25"/>
      <c r="F20644" s="21"/>
    </row>
    <row r="20645" spans="4:6" x14ac:dyDescent="0.2">
      <c r="D20645" s="25"/>
      <c r="F20645" s="21"/>
    </row>
    <row r="20646" spans="4:6" x14ac:dyDescent="0.2">
      <c r="D20646" s="25"/>
      <c r="F20646" s="21"/>
    </row>
    <row r="20647" spans="4:6" x14ac:dyDescent="0.2">
      <c r="D20647" s="25"/>
      <c r="F20647" s="21"/>
    </row>
    <row r="20648" spans="4:6" x14ac:dyDescent="0.2">
      <c r="D20648" s="25"/>
      <c r="F20648" s="21"/>
    </row>
    <row r="20649" spans="4:6" x14ac:dyDescent="0.2">
      <c r="D20649" s="25"/>
      <c r="F20649" s="21"/>
    </row>
    <row r="20650" spans="4:6" x14ac:dyDescent="0.2">
      <c r="D20650" s="25"/>
      <c r="F20650" s="21"/>
    </row>
    <row r="20651" spans="4:6" x14ac:dyDescent="0.2">
      <c r="D20651" s="25"/>
      <c r="F20651" s="21"/>
    </row>
    <row r="20652" spans="4:6" x14ac:dyDescent="0.2">
      <c r="D20652" s="25"/>
      <c r="F20652" s="21"/>
    </row>
    <row r="20653" spans="4:6" x14ac:dyDescent="0.2">
      <c r="D20653" s="25"/>
      <c r="F20653" s="21"/>
    </row>
    <row r="20654" spans="4:6" x14ac:dyDescent="0.2">
      <c r="D20654" s="25"/>
      <c r="F20654" s="21"/>
    </row>
    <row r="20655" spans="4:6" x14ac:dyDescent="0.2">
      <c r="D20655" s="25"/>
      <c r="F20655" s="21"/>
    </row>
    <row r="20656" spans="4:6" x14ac:dyDescent="0.2">
      <c r="D20656" s="25"/>
      <c r="F20656" s="21"/>
    </row>
    <row r="20657" spans="4:6" x14ac:dyDescent="0.2">
      <c r="D20657" s="25"/>
      <c r="F20657" s="21"/>
    </row>
    <row r="20658" spans="4:6" x14ac:dyDescent="0.2">
      <c r="D20658" s="25"/>
      <c r="F20658" s="21"/>
    </row>
    <row r="20659" spans="4:6" x14ac:dyDescent="0.2">
      <c r="D20659" s="25"/>
      <c r="F20659" s="21"/>
    </row>
    <row r="20660" spans="4:6" x14ac:dyDescent="0.2">
      <c r="D20660" s="25"/>
      <c r="F20660" s="21"/>
    </row>
    <row r="20661" spans="4:6" x14ac:dyDescent="0.2">
      <c r="D20661" s="25"/>
      <c r="F20661" s="21"/>
    </row>
    <row r="20662" spans="4:6" x14ac:dyDescent="0.2">
      <c r="D20662" s="25"/>
      <c r="F20662" s="21"/>
    </row>
    <row r="20663" spans="4:6" x14ac:dyDescent="0.2">
      <c r="D20663" s="25"/>
      <c r="F20663" s="21"/>
    </row>
    <row r="20664" spans="4:6" x14ac:dyDescent="0.2">
      <c r="D20664" s="25"/>
      <c r="F20664" s="21"/>
    </row>
    <row r="20665" spans="4:6" x14ac:dyDescent="0.2">
      <c r="D20665" s="25"/>
      <c r="F20665" s="21"/>
    </row>
    <row r="20666" spans="4:6" x14ac:dyDescent="0.2">
      <c r="D20666" s="25"/>
      <c r="F20666" s="21"/>
    </row>
    <row r="20667" spans="4:6" x14ac:dyDescent="0.2">
      <c r="D20667" s="25"/>
      <c r="F20667" s="21"/>
    </row>
    <row r="20668" spans="4:6" x14ac:dyDescent="0.2">
      <c r="D20668" s="25"/>
      <c r="F20668" s="21"/>
    </row>
    <row r="20669" spans="4:6" x14ac:dyDescent="0.2">
      <c r="D20669" s="25"/>
      <c r="F20669" s="21"/>
    </row>
    <row r="20670" spans="4:6" x14ac:dyDescent="0.2">
      <c r="D20670" s="25"/>
      <c r="F20670" s="21"/>
    </row>
    <row r="20671" spans="4:6" x14ac:dyDescent="0.2">
      <c r="D20671" s="25"/>
      <c r="F20671" s="21"/>
    </row>
    <row r="20672" spans="4:6" x14ac:dyDescent="0.2">
      <c r="D20672" s="25"/>
      <c r="F20672" s="21"/>
    </row>
    <row r="20673" spans="4:6" x14ac:dyDescent="0.2">
      <c r="D20673" s="25"/>
      <c r="F20673" s="21"/>
    </row>
    <row r="20674" spans="4:6" x14ac:dyDescent="0.2">
      <c r="D20674" s="25"/>
      <c r="F20674" s="21"/>
    </row>
    <row r="20675" spans="4:6" x14ac:dyDescent="0.2">
      <c r="D20675" s="25"/>
      <c r="F20675" s="21"/>
    </row>
    <row r="20676" spans="4:6" x14ac:dyDescent="0.2">
      <c r="D20676" s="25"/>
      <c r="F20676" s="21"/>
    </row>
    <row r="20677" spans="4:6" x14ac:dyDescent="0.2">
      <c r="D20677" s="25"/>
      <c r="F20677" s="21"/>
    </row>
    <row r="20678" spans="4:6" x14ac:dyDescent="0.2">
      <c r="D20678" s="25"/>
      <c r="F20678" s="21"/>
    </row>
    <row r="20679" spans="4:6" x14ac:dyDescent="0.2">
      <c r="D20679" s="25"/>
      <c r="F20679" s="21"/>
    </row>
    <row r="20680" spans="4:6" x14ac:dyDescent="0.2">
      <c r="D20680" s="25"/>
      <c r="F20680" s="21"/>
    </row>
    <row r="20681" spans="4:6" x14ac:dyDescent="0.2">
      <c r="D20681" s="25"/>
      <c r="F20681" s="21"/>
    </row>
    <row r="20682" spans="4:6" x14ac:dyDescent="0.2">
      <c r="D20682" s="25"/>
      <c r="F20682" s="21"/>
    </row>
    <row r="20683" spans="4:6" x14ac:dyDescent="0.2">
      <c r="D20683" s="25"/>
      <c r="F20683" s="21"/>
    </row>
    <row r="20684" spans="4:6" x14ac:dyDescent="0.2">
      <c r="D20684" s="25"/>
      <c r="F20684" s="21"/>
    </row>
    <row r="20685" spans="4:6" x14ac:dyDescent="0.2">
      <c r="D20685" s="25"/>
      <c r="F20685" s="21"/>
    </row>
    <row r="20686" spans="4:6" x14ac:dyDescent="0.2">
      <c r="D20686" s="25"/>
      <c r="F20686" s="21"/>
    </row>
    <row r="20687" spans="4:6" x14ac:dyDescent="0.2">
      <c r="D20687" s="25"/>
      <c r="F20687" s="21"/>
    </row>
    <row r="20688" spans="4:6" x14ac:dyDescent="0.2">
      <c r="D20688" s="25"/>
      <c r="F20688" s="21"/>
    </row>
    <row r="20689" spans="4:6" x14ac:dyDescent="0.2">
      <c r="D20689" s="25"/>
      <c r="F20689" s="21"/>
    </row>
    <row r="20690" spans="4:6" x14ac:dyDescent="0.2">
      <c r="D20690" s="25"/>
      <c r="F20690" s="21"/>
    </row>
    <row r="20691" spans="4:6" x14ac:dyDescent="0.2">
      <c r="D20691" s="25"/>
      <c r="F20691" s="21"/>
    </row>
    <row r="20692" spans="4:6" x14ac:dyDescent="0.2">
      <c r="D20692" s="25"/>
      <c r="F20692" s="21"/>
    </row>
    <row r="20693" spans="4:6" x14ac:dyDescent="0.2">
      <c r="D20693" s="25"/>
      <c r="F20693" s="21"/>
    </row>
    <row r="20694" spans="4:6" x14ac:dyDescent="0.2">
      <c r="D20694" s="25"/>
      <c r="F20694" s="21"/>
    </row>
    <row r="20695" spans="4:6" x14ac:dyDescent="0.2">
      <c r="D20695" s="25"/>
      <c r="F20695" s="21"/>
    </row>
    <row r="20696" spans="4:6" x14ac:dyDescent="0.2">
      <c r="D20696" s="25"/>
      <c r="F20696" s="21"/>
    </row>
    <row r="20697" spans="4:6" x14ac:dyDescent="0.2">
      <c r="D20697" s="25"/>
      <c r="F20697" s="21"/>
    </row>
    <row r="20698" spans="4:6" x14ac:dyDescent="0.2">
      <c r="D20698" s="25"/>
      <c r="F20698" s="21"/>
    </row>
    <row r="20699" spans="4:6" x14ac:dyDescent="0.2">
      <c r="D20699" s="25"/>
      <c r="F20699" s="21"/>
    </row>
    <row r="20700" spans="4:6" x14ac:dyDescent="0.2">
      <c r="D20700" s="25"/>
      <c r="F20700" s="21"/>
    </row>
    <row r="20701" spans="4:6" x14ac:dyDescent="0.2">
      <c r="D20701" s="25"/>
      <c r="F20701" s="21"/>
    </row>
    <row r="20702" spans="4:6" x14ac:dyDescent="0.2">
      <c r="D20702" s="25"/>
      <c r="F20702" s="21"/>
    </row>
    <row r="20703" spans="4:6" x14ac:dyDescent="0.2">
      <c r="D20703" s="25"/>
      <c r="F20703" s="21"/>
    </row>
    <row r="20704" spans="4:6" x14ac:dyDescent="0.2">
      <c r="D20704" s="25"/>
      <c r="F20704" s="21"/>
    </row>
    <row r="20705" spans="4:6" x14ac:dyDescent="0.2">
      <c r="D20705" s="25"/>
      <c r="F20705" s="21"/>
    </row>
    <row r="20706" spans="4:6" x14ac:dyDescent="0.2">
      <c r="D20706" s="25"/>
      <c r="F20706" s="21"/>
    </row>
    <row r="20707" spans="4:6" x14ac:dyDescent="0.2">
      <c r="D20707" s="25"/>
      <c r="F20707" s="21"/>
    </row>
    <row r="20708" spans="4:6" x14ac:dyDescent="0.2">
      <c r="D20708" s="25"/>
      <c r="F20708" s="21"/>
    </row>
    <row r="20709" spans="4:6" x14ac:dyDescent="0.2">
      <c r="D20709" s="25"/>
      <c r="F20709" s="21"/>
    </row>
    <row r="20710" spans="4:6" x14ac:dyDescent="0.2">
      <c r="D20710" s="25"/>
      <c r="F20710" s="21"/>
    </row>
    <row r="20711" spans="4:6" x14ac:dyDescent="0.2">
      <c r="D20711" s="25"/>
      <c r="F20711" s="21"/>
    </row>
    <row r="20712" spans="4:6" x14ac:dyDescent="0.2">
      <c r="D20712" s="25"/>
      <c r="F20712" s="21"/>
    </row>
    <row r="20713" spans="4:6" x14ac:dyDescent="0.2">
      <c r="D20713" s="25"/>
      <c r="F20713" s="21"/>
    </row>
    <row r="20714" spans="4:6" x14ac:dyDescent="0.2">
      <c r="D20714" s="25"/>
      <c r="F20714" s="21"/>
    </row>
    <row r="20715" spans="4:6" x14ac:dyDescent="0.2">
      <c r="D20715" s="25"/>
      <c r="F20715" s="21"/>
    </row>
    <row r="20716" spans="4:6" x14ac:dyDescent="0.2">
      <c r="D20716" s="25"/>
      <c r="F20716" s="21"/>
    </row>
    <row r="20717" spans="4:6" x14ac:dyDescent="0.2">
      <c r="D20717" s="25"/>
      <c r="F20717" s="21"/>
    </row>
    <row r="20718" spans="4:6" x14ac:dyDescent="0.2">
      <c r="D20718" s="25"/>
      <c r="F20718" s="21"/>
    </row>
    <row r="20719" spans="4:6" x14ac:dyDescent="0.2">
      <c r="D20719" s="25"/>
      <c r="F20719" s="21"/>
    </row>
    <row r="20720" spans="4:6" x14ac:dyDescent="0.2">
      <c r="D20720" s="25"/>
      <c r="F20720" s="21"/>
    </row>
    <row r="20721" spans="4:6" x14ac:dyDescent="0.2">
      <c r="D20721" s="25"/>
      <c r="F20721" s="21"/>
    </row>
    <row r="20722" spans="4:6" x14ac:dyDescent="0.2">
      <c r="D20722" s="25"/>
      <c r="F20722" s="21"/>
    </row>
    <row r="20723" spans="4:6" x14ac:dyDescent="0.2">
      <c r="D20723" s="25"/>
      <c r="F20723" s="21"/>
    </row>
    <row r="20724" spans="4:6" x14ac:dyDescent="0.2">
      <c r="D20724" s="25"/>
      <c r="F20724" s="21"/>
    </row>
    <row r="20725" spans="4:6" x14ac:dyDescent="0.2">
      <c r="D20725" s="25"/>
      <c r="F20725" s="21"/>
    </row>
    <row r="20726" spans="4:6" x14ac:dyDescent="0.2">
      <c r="D20726" s="25"/>
      <c r="F20726" s="21"/>
    </row>
    <row r="20727" spans="4:6" x14ac:dyDescent="0.2">
      <c r="D20727" s="25"/>
      <c r="F20727" s="21"/>
    </row>
    <row r="20728" spans="4:6" x14ac:dyDescent="0.2">
      <c r="D20728" s="25"/>
      <c r="F20728" s="21"/>
    </row>
    <row r="20729" spans="4:6" x14ac:dyDescent="0.2">
      <c r="D20729" s="25"/>
      <c r="F20729" s="21"/>
    </row>
    <row r="20730" spans="4:6" x14ac:dyDescent="0.2">
      <c r="D20730" s="25"/>
      <c r="F20730" s="21"/>
    </row>
    <row r="20731" spans="4:6" x14ac:dyDescent="0.2">
      <c r="D20731" s="25"/>
      <c r="F20731" s="21"/>
    </row>
    <row r="20732" spans="4:6" x14ac:dyDescent="0.2">
      <c r="D20732" s="25"/>
      <c r="F20732" s="21"/>
    </row>
    <row r="20733" spans="4:6" x14ac:dyDescent="0.2">
      <c r="D20733" s="25"/>
      <c r="F20733" s="21"/>
    </row>
    <row r="20734" spans="4:6" x14ac:dyDescent="0.2">
      <c r="D20734" s="25"/>
      <c r="F20734" s="21"/>
    </row>
    <row r="20735" spans="4:6" x14ac:dyDescent="0.2">
      <c r="D20735" s="25"/>
      <c r="F20735" s="21"/>
    </row>
    <row r="20736" spans="4:6" x14ac:dyDescent="0.2">
      <c r="D20736" s="25"/>
      <c r="F20736" s="21"/>
    </row>
    <row r="20737" spans="4:6" x14ac:dyDescent="0.2">
      <c r="D20737" s="25"/>
      <c r="F20737" s="21"/>
    </row>
    <row r="20738" spans="4:6" x14ac:dyDescent="0.2">
      <c r="D20738" s="25"/>
      <c r="F20738" s="21"/>
    </row>
    <row r="20739" spans="4:6" x14ac:dyDescent="0.2">
      <c r="D20739" s="25"/>
      <c r="F20739" s="21"/>
    </row>
    <row r="20740" spans="4:6" x14ac:dyDescent="0.2">
      <c r="D20740" s="25"/>
      <c r="F20740" s="21"/>
    </row>
    <row r="20741" spans="4:6" x14ac:dyDescent="0.2">
      <c r="D20741" s="25"/>
      <c r="F20741" s="21"/>
    </row>
    <row r="20742" spans="4:6" x14ac:dyDescent="0.2">
      <c r="D20742" s="25"/>
      <c r="F20742" s="21"/>
    </row>
    <row r="20743" spans="4:6" x14ac:dyDescent="0.2">
      <c r="D20743" s="25"/>
      <c r="F20743" s="21"/>
    </row>
    <row r="20744" spans="4:6" x14ac:dyDescent="0.2">
      <c r="D20744" s="25"/>
      <c r="F20744" s="21"/>
    </row>
    <row r="20745" spans="4:6" x14ac:dyDescent="0.2">
      <c r="D20745" s="25"/>
      <c r="F20745" s="21"/>
    </row>
    <row r="20746" spans="4:6" x14ac:dyDescent="0.2">
      <c r="D20746" s="25"/>
      <c r="F20746" s="21"/>
    </row>
    <row r="20747" spans="4:6" x14ac:dyDescent="0.2">
      <c r="D20747" s="25"/>
      <c r="F20747" s="21"/>
    </row>
    <row r="20748" spans="4:6" x14ac:dyDescent="0.2">
      <c r="D20748" s="25"/>
      <c r="F20748" s="21"/>
    </row>
    <row r="20749" spans="4:6" x14ac:dyDescent="0.2">
      <c r="D20749" s="25"/>
      <c r="F20749" s="21"/>
    </row>
    <row r="20750" spans="4:6" x14ac:dyDescent="0.2">
      <c r="D20750" s="25"/>
      <c r="F20750" s="21"/>
    </row>
    <row r="20751" spans="4:6" x14ac:dyDescent="0.2">
      <c r="D20751" s="25"/>
      <c r="F20751" s="21"/>
    </row>
    <row r="20752" spans="4:6" x14ac:dyDescent="0.2">
      <c r="D20752" s="25"/>
      <c r="F20752" s="21"/>
    </row>
    <row r="20753" spans="4:6" x14ac:dyDescent="0.2">
      <c r="D20753" s="25"/>
      <c r="F20753" s="21"/>
    </row>
    <row r="20754" spans="4:6" x14ac:dyDescent="0.2">
      <c r="D20754" s="25"/>
      <c r="F20754" s="21"/>
    </row>
    <row r="20755" spans="4:6" x14ac:dyDescent="0.2">
      <c r="D20755" s="25"/>
      <c r="F20755" s="21"/>
    </row>
    <row r="20756" spans="4:6" x14ac:dyDescent="0.2">
      <c r="D20756" s="25"/>
      <c r="F20756" s="21"/>
    </row>
    <row r="20757" spans="4:6" x14ac:dyDescent="0.2">
      <c r="D20757" s="25"/>
      <c r="F20757" s="21"/>
    </row>
    <row r="20758" spans="4:6" x14ac:dyDescent="0.2">
      <c r="D20758" s="25"/>
      <c r="F20758" s="21"/>
    </row>
    <row r="20759" spans="4:6" x14ac:dyDescent="0.2">
      <c r="D20759" s="25"/>
      <c r="F20759" s="21"/>
    </row>
    <row r="20760" spans="4:6" x14ac:dyDescent="0.2">
      <c r="D20760" s="25"/>
      <c r="F20760" s="21"/>
    </row>
    <row r="20761" spans="4:6" x14ac:dyDescent="0.2">
      <c r="D20761" s="25"/>
      <c r="F20761" s="21"/>
    </row>
    <row r="20762" spans="4:6" x14ac:dyDescent="0.2">
      <c r="D20762" s="25"/>
      <c r="F20762" s="21"/>
    </row>
    <row r="20763" spans="4:6" x14ac:dyDescent="0.2">
      <c r="D20763" s="25"/>
      <c r="F20763" s="21"/>
    </row>
    <row r="20764" spans="4:6" x14ac:dyDescent="0.2">
      <c r="D20764" s="25"/>
      <c r="F20764" s="21"/>
    </row>
    <row r="20765" spans="4:6" x14ac:dyDescent="0.2">
      <c r="D20765" s="25"/>
      <c r="F20765" s="21"/>
    </row>
    <row r="20766" spans="4:6" x14ac:dyDescent="0.2">
      <c r="D20766" s="25"/>
      <c r="F20766" s="21"/>
    </row>
    <row r="20767" spans="4:6" x14ac:dyDescent="0.2">
      <c r="D20767" s="25"/>
      <c r="F20767" s="21"/>
    </row>
    <row r="20768" spans="4:6" x14ac:dyDescent="0.2">
      <c r="D20768" s="25"/>
      <c r="F20768" s="21"/>
    </row>
    <row r="20769" spans="4:6" x14ac:dyDescent="0.2">
      <c r="D20769" s="25"/>
      <c r="F20769" s="21"/>
    </row>
    <row r="20770" spans="4:6" x14ac:dyDescent="0.2">
      <c r="D20770" s="25"/>
      <c r="F20770" s="21"/>
    </row>
    <row r="20771" spans="4:6" x14ac:dyDescent="0.2">
      <c r="D20771" s="25"/>
      <c r="F20771" s="21"/>
    </row>
    <row r="20772" spans="4:6" x14ac:dyDescent="0.2">
      <c r="D20772" s="25"/>
      <c r="F20772" s="21"/>
    </row>
    <row r="20773" spans="4:6" x14ac:dyDescent="0.2">
      <c r="D20773" s="25"/>
      <c r="F20773" s="21"/>
    </row>
    <row r="20774" spans="4:6" x14ac:dyDescent="0.2">
      <c r="D20774" s="25"/>
      <c r="F20774" s="21"/>
    </row>
    <row r="20775" spans="4:6" x14ac:dyDescent="0.2">
      <c r="D20775" s="25"/>
      <c r="F20775" s="21"/>
    </row>
    <row r="20776" spans="4:6" x14ac:dyDescent="0.2">
      <c r="D20776" s="25"/>
      <c r="F20776" s="21"/>
    </row>
    <row r="20777" spans="4:6" x14ac:dyDescent="0.2">
      <c r="D20777" s="25"/>
      <c r="F20777" s="21"/>
    </row>
    <row r="20778" spans="4:6" x14ac:dyDescent="0.2">
      <c r="D20778" s="25"/>
      <c r="F20778" s="21"/>
    </row>
    <row r="20779" spans="4:6" x14ac:dyDescent="0.2">
      <c r="D20779" s="25"/>
      <c r="F20779" s="21"/>
    </row>
    <row r="20780" spans="4:6" x14ac:dyDescent="0.2">
      <c r="D20780" s="25"/>
      <c r="F20780" s="21"/>
    </row>
    <row r="20781" spans="4:6" x14ac:dyDescent="0.2">
      <c r="D20781" s="25"/>
      <c r="F20781" s="21"/>
    </row>
    <row r="20782" spans="4:6" x14ac:dyDescent="0.2">
      <c r="D20782" s="25"/>
      <c r="F20782" s="21"/>
    </row>
    <row r="20783" spans="4:6" x14ac:dyDescent="0.2">
      <c r="D20783" s="25"/>
      <c r="F20783" s="21"/>
    </row>
    <row r="20784" spans="4:6" x14ac:dyDescent="0.2">
      <c r="D20784" s="25"/>
      <c r="F20784" s="21"/>
    </row>
    <row r="20785" spans="4:6" x14ac:dyDescent="0.2">
      <c r="D20785" s="25"/>
      <c r="F20785" s="21"/>
    </row>
    <row r="20786" spans="4:6" x14ac:dyDescent="0.2">
      <c r="D20786" s="25"/>
      <c r="F20786" s="21"/>
    </row>
    <row r="20787" spans="4:6" x14ac:dyDescent="0.2">
      <c r="D20787" s="25"/>
      <c r="F20787" s="21"/>
    </row>
    <row r="20788" spans="4:6" x14ac:dyDescent="0.2">
      <c r="D20788" s="25"/>
      <c r="F20788" s="21"/>
    </row>
    <row r="20789" spans="4:6" x14ac:dyDescent="0.2">
      <c r="D20789" s="25"/>
      <c r="F20789" s="21"/>
    </row>
    <row r="20790" spans="4:6" x14ac:dyDescent="0.2">
      <c r="D20790" s="25"/>
      <c r="F20790" s="21"/>
    </row>
    <row r="20791" spans="4:6" x14ac:dyDescent="0.2">
      <c r="D20791" s="25"/>
      <c r="F20791" s="21"/>
    </row>
    <row r="20792" spans="4:6" x14ac:dyDescent="0.2">
      <c r="D20792" s="25"/>
      <c r="F20792" s="21"/>
    </row>
    <row r="20793" spans="4:6" x14ac:dyDescent="0.2">
      <c r="D20793" s="25"/>
      <c r="F20793" s="21"/>
    </row>
    <row r="20794" spans="4:6" x14ac:dyDescent="0.2">
      <c r="D20794" s="25"/>
      <c r="F20794" s="21"/>
    </row>
    <row r="20795" spans="4:6" x14ac:dyDescent="0.2">
      <c r="D20795" s="25"/>
      <c r="F20795" s="21"/>
    </row>
    <row r="20796" spans="4:6" x14ac:dyDescent="0.2">
      <c r="D20796" s="25"/>
      <c r="F20796" s="21"/>
    </row>
    <row r="20797" spans="4:6" x14ac:dyDescent="0.2">
      <c r="D20797" s="25"/>
      <c r="F20797" s="21"/>
    </row>
    <row r="20798" spans="4:6" x14ac:dyDescent="0.2">
      <c r="D20798" s="25"/>
      <c r="F20798" s="21"/>
    </row>
    <row r="20799" spans="4:6" x14ac:dyDescent="0.2">
      <c r="D20799" s="25"/>
      <c r="F20799" s="21"/>
    </row>
    <row r="20800" spans="4:6" x14ac:dyDescent="0.2">
      <c r="D20800" s="25"/>
      <c r="F20800" s="21"/>
    </row>
    <row r="20801" spans="4:6" x14ac:dyDescent="0.2">
      <c r="D20801" s="25"/>
      <c r="F20801" s="21"/>
    </row>
    <row r="20802" spans="4:6" x14ac:dyDescent="0.2">
      <c r="D20802" s="25"/>
      <c r="F20802" s="21"/>
    </row>
    <row r="20803" spans="4:6" x14ac:dyDescent="0.2">
      <c r="D20803" s="25"/>
      <c r="F20803" s="21"/>
    </row>
    <row r="20804" spans="4:6" x14ac:dyDescent="0.2">
      <c r="D20804" s="25"/>
      <c r="F20804" s="21"/>
    </row>
    <row r="20805" spans="4:6" x14ac:dyDescent="0.2">
      <c r="D20805" s="25"/>
      <c r="F20805" s="21"/>
    </row>
    <row r="20806" spans="4:6" x14ac:dyDescent="0.2">
      <c r="D20806" s="25"/>
      <c r="F20806" s="21"/>
    </row>
    <row r="20807" spans="4:6" x14ac:dyDescent="0.2">
      <c r="D20807" s="25"/>
      <c r="F20807" s="21"/>
    </row>
    <row r="20808" spans="4:6" x14ac:dyDescent="0.2">
      <c r="D20808" s="25"/>
      <c r="F20808" s="21"/>
    </row>
    <row r="20809" spans="4:6" x14ac:dyDescent="0.2">
      <c r="D20809" s="25"/>
      <c r="F20809" s="21"/>
    </row>
    <row r="20810" spans="4:6" x14ac:dyDescent="0.2">
      <c r="D20810" s="25"/>
      <c r="F20810" s="21"/>
    </row>
    <row r="20811" spans="4:6" x14ac:dyDescent="0.2">
      <c r="D20811" s="25"/>
      <c r="F20811" s="21"/>
    </row>
    <row r="20812" spans="4:6" x14ac:dyDescent="0.2">
      <c r="D20812" s="25"/>
      <c r="F20812" s="21"/>
    </row>
    <row r="20813" spans="4:6" x14ac:dyDescent="0.2">
      <c r="D20813" s="25"/>
      <c r="F20813" s="21"/>
    </row>
    <row r="20814" spans="4:6" x14ac:dyDescent="0.2">
      <c r="D20814" s="25"/>
      <c r="F20814" s="21"/>
    </row>
    <row r="20815" spans="4:6" x14ac:dyDescent="0.2">
      <c r="D20815" s="25"/>
      <c r="F20815" s="21"/>
    </row>
    <row r="20816" spans="4:6" x14ac:dyDescent="0.2">
      <c r="D20816" s="25"/>
      <c r="F20816" s="21"/>
    </row>
    <row r="20817" spans="4:6" x14ac:dyDescent="0.2">
      <c r="D20817" s="25"/>
      <c r="F20817" s="21"/>
    </row>
    <row r="20818" spans="4:6" x14ac:dyDescent="0.2">
      <c r="D20818" s="25"/>
      <c r="F20818" s="21"/>
    </row>
    <row r="20819" spans="4:6" x14ac:dyDescent="0.2">
      <c r="D20819" s="25"/>
      <c r="F20819" s="21"/>
    </row>
    <row r="20820" spans="4:6" x14ac:dyDescent="0.2">
      <c r="D20820" s="25"/>
      <c r="F20820" s="21"/>
    </row>
    <row r="20821" spans="4:6" x14ac:dyDescent="0.2">
      <c r="D20821" s="25"/>
      <c r="F20821" s="21"/>
    </row>
    <row r="20822" spans="4:6" x14ac:dyDescent="0.2">
      <c r="D20822" s="25"/>
      <c r="F20822" s="21"/>
    </row>
    <row r="20823" spans="4:6" x14ac:dyDescent="0.2">
      <c r="D20823" s="25"/>
      <c r="F20823" s="21"/>
    </row>
    <row r="20824" spans="4:6" x14ac:dyDescent="0.2">
      <c r="D20824" s="25"/>
      <c r="F20824" s="21"/>
    </row>
    <row r="20825" spans="4:6" x14ac:dyDescent="0.2">
      <c r="D20825" s="25"/>
      <c r="F20825" s="21"/>
    </row>
    <row r="20826" spans="4:6" x14ac:dyDescent="0.2">
      <c r="D20826" s="25"/>
      <c r="F20826" s="21"/>
    </row>
    <row r="20827" spans="4:6" x14ac:dyDescent="0.2">
      <c r="D20827" s="25"/>
      <c r="F20827" s="21"/>
    </row>
    <row r="20828" spans="4:6" x14ac:dyDescent="0.2">
      <c r="D20828" s="25"/>
      <c r="F20828" s="21"/>
    </row>
    <row r="20829" spans="4:6" x14ac:dyDescent="0.2">
      <c r="D20829" s="25"/>
      <c r="F20829" s="21"/>
    </row>
    <row r="20830" spans="4:6" x14ac:dyDescent="0.2">
      <c r="D20830" s="25"/>
      <c r="F20830" s="21"/>
    </row>
    <row r="20831" spans="4:6" x14ac:dyDescent="0.2">
      <c r="D20831" s="25"/>
      <c r="F20831" s="21"/>
    </row>
    <row r="20832" spans="4:6" x14ac:dyDescent="0.2">
      <c r="D20832" s="25"/>
      <c r="F20832" s="21"/>
    </row>
    <row r="20833" spans="4:6" x14ac:dyDescent="0.2">
      <c r="D20833" s="25"/>
      <c r="F20833" s="21"/>
    </row>
    <row r="20834" spans="4:6" x14ac:dyDescent="0.2">
      <c r="D20834" s="25"/>
      <c r="F20834" s="21"/>
    </row>
    <row r="20835" spans="4:6" x14ac:dyDescent="0.2">
      <c r="D20835" s="25"/>
      <c r="F20835" s="21"/>
    </row>
    <row r="20836" spans="4:6" x14ac:dyDescent="0.2">
      <c r="D20836" s="25"/>
      <c r="F20836" s="21"/>
    </row>
    <row r="20837" spans="4:6" x14ac:dyDescent="0.2">
      <c r="D20837" s="25"/>
      <c r="F20837" s="21"/>
    </row>
    <row r="20838" spans="4:6" x14ac:dyDescent="0.2">
      <c r="D20838" s="25"/>
      <c r="F20838" s="21"/>
    </row>
    <row r="20839" spans="4:6" x14ac:dyDescent="0.2">
      <c r="D20839" s="25"/>
      <c r="F20839" s="21"/>
    </row>
    <row r="20840" spans="4:6" x14ac:dyDescent="0.2">
      <c r="D20840" s="25"/>
      <c r="F20840" s="21"/>
    </row>
    <row r="20841" spans="4:6" x14ac:dyDescent="0.2">
      <c r="D20841" s="25"/>
      <c r="F20841" s="21"/>
    </row>
    <row r="20842" spans="4:6" x14ac:dyDescent="0.2">
      <c r="D20842" s="25"/>
      <c r="F20842" s="21"/>
    </row>
    <row r="20843" spans="4:6" x14ac:dyDescent="0.2">
      <c r="D20843" s="25"/>
      <c r="F20843" s="21"/>
    </row>
    <row r="20844" spans="4:6" x14ac:dyDescent="0.2">
      <c r="D20844" s="25"/>
      <c r="F20844" s="21"/>
    </row>
    <row r="20845" spans="4:6" x14ac:dyDescent="0.2">
      <c r="D20845" s="25"/>
      <c r="F20845" s="21"/>
    </row>
    <row r="20846" spans="4:6" x14ac:dyDescent="0.2">
      <c r="D20846" s="25"/>
      <c r="F20846" s="21"/>
    </row>
    <row r="20847" spans="4:6" x14ac:dyDescent="0.2">
      <c r="D20847" s="25"/>
      <c r="F20847" s="21"/>
    </row>
    <row r="20848" spans="4:6" x14ac:dyDescent="0.2">
      <c r="D20848" s="25"/>
      <c r="F20848" s="21"/>
    </row>
    <row r="20849" spans="4:6" x14ac:dyDescent="0.2">
      <c r="D20849" s="25"/>
      <c r="F20849" s="21"/>
    </row>
    <row r="20850" spans="4:6" x14ac:dyDescent="0.2">
      <c r="D20850" s="25"/>
      <c r="F20850" s="21"/>
    </row>
    <row r="20851" spans="4:6" x14ac:dyDescent="0.2">
      <c r="D20851" s="25"/>
      <c r="F20851" s="21"/>
    </row>
    <row r="20852" spans="4:6" x14ac:dyDescent="0.2">
      <c r="D20852" s="25"/>
      <c r="F20852" s="21"/>
    </row>
    <row r="20853" spans="4:6" x14ac:dyDescent="0.2">
      <c r="D20853" s="25"/>
      <c r="F20853" s="21"/>
    </row>
    <row r="20854" spans="4:6" x14ac:dyDescent="0.2">
      <c r="D20854" s="25"/>
      <c r="F20854" s="21"/>
    </row>
    <row r="20855" spans="4:6" x14ac:dyDescent="0.2">
      <c r="D20855" s="25"/>
      <c r="F20855" s="21"/>
    </row>
    <row r="20856" spans="4:6" x14ac:dyDescent="0.2">
      <c r="D20856" s="25"/>
      <c r="F20856" s="21"/>
    </row>
    <row r="20857" spans="4:6" x14ac:dyDescent="0.2">
      <c r="D20857" s="25"/>
      <c r="F20857" s="21"/>
    </row>
    <row r="20858" spans="4:6" x14ac:dyDescent="0.2">
      <c r="D20858" s="25"/>
      <c r="F20858" s="21"/>
    </row>
    <row r="20859" spans="4:6" x14ac:dyDescent="0.2">
      <c r="D20859" s="25"/>
      <c r="F20859" s="21"/>
    </row>
    <row r="20860" spans="4:6" x14ac:dyDescent="0.2">
      <c r="D20860" s="25"/>
      <c r="F20860" s="21"/>
    </row>
    <row r="20861" spans="4:6" x14ac:dyDescent="0.2">
      <c r="D20861" s="25"/>
      <c r="F20861" s="21"/>
    </row>
    <row r="20862" spans="4:6" x14ac:dyDescent="0.2">
      <c r="D20862" s="25"/>
      <c r="F20862" s="21"/>
    </row>
    <row r="20863" spans="4:6" x14ac:dyDescent="0.2">
      <c r="D20863" s="25"/>
      <c r="F20863" s="21"/>
    </row>
    <row r="20864" spans="4:6" x14ac:dyDescent="0.2">
      <c r="D20864" s="25"/>
      <c r="F20864" s="21"/>
    </row>
    <row r="20865" spans="4:6" x14ac:dyDescent="0.2">
      <c r="D20865" s="25"/>
      <c r="F20865" s="21"/>
    </row>
    <row r="20866" spans="4:6" x14ac:dyDescent="0.2">
      <c r="D20866" s="25"/>
      <c r="F20866" s="21"/>
    </row>
    <row r="20867" spans="4:6" x14ac:dyDescent="0.2">
      <c r="D20867" s="25"/>
      <c r="F20867" s="21"/>
    </row>
    <row r="20868" spans="4:6" x14ac:dyDescent="0.2">
      <c r="D20868" s="25"/>
      <c r="F20868" s="21"/>
    </row>
    <row r="20869" spans="4:6" x14ac:dyDescent="0.2">
      <c r="D20869" s="25"/>
      <c r="F20869" s="21"/>
    </row>
    <row r="20870" spans="4:6" x14ac:dyDescent="0.2">
      <c r="D20870" s="25"/>
      <c r="F20870" s="21"/>
    </row>
    <row r="20871" spans="4:6" x14ac:dyDescent="0.2">
      <c r="D20871" s="25"/>
      <c r="F20871" s="21"/>
    </row>
    <row r="20872" spans="4:6" x14ac:dyDescent="0.2">
      <c r="D20872" s="25"/>
      <c r="F20872" s="21"/>
    </row>
    <row r="20873" spans="4:6" x14ac:dyDescent="0.2">
      <c r="D20873" s="25"/>
      <c r="F20873" s="21"/>
    </row>
    <row r="20874" spans="4:6" x14ac:dyDescent="0.2">
      <c r="D20874" s="25"/>
      <c r="F20874" s="21"/>
    </row>
    <row r="20875" spans="4:6" x14ac:dyDescent="0.2">
      <c r="D20875" s="25"/>
      <c r="F20875" s="21"/>
    </row>
    <row r="20876" spans="4:6" x14ac:dyDescent="0.2">
      <c r="D20876" s="25"/>
      <c r="F20876" s="21"/>
    </row>
    <row r="20877" spans="4:6" x14ac:dyDescent="0.2">
      <c r="D20877" s="25"/>
      <c r="F20877" s="21"/>
    </row>
    <row r="20878" spans="4:6" x14ac:dyDescent="0.2">
      <c r="D20878" s="25"/>
      <c r="F20878" s="21"/>
    </row>
    <row r="20879" spans="4:6" x14ac:dyDescent="0.2">
      <c r="D20879" s="25"/>
      <c r="F20879" s="21"/>
    </row>
    <row r="20880" spans="4:6" x14ac:dyDescent="0.2">
      <c r="D20880" s="25"/>
      <c r="F20880" s="21"/>
    </row>
    <row r="20881" spans="4:6" x14ac:dyDescent="0.2">
      <c r="D20881" s="25"/>
      <c r="F20881" s="21"/>
    </row>
    <row r="20882" spans="4:6" x14ac:dyDescent="0.2">
      <c r="D20882" s="25"/>
      <c r="F20882" s="21"/>
    </row>
    <row r="20883" spans="4:6" x14ac:dyDescent="0.2">
      <c r="D20883" s="25"/>
      <c r="F20883" s="21"/>
    </row>
    <row r="20884" spans="4:6" x14ac:dyDescent="0.2">
      <c r="D20884" s="25"/>
      <c r="F20884" s="21"/>
    </row>
    <row r="20885" spans="4:6" x14ac:dyDescent="0.2">
      <c r="D20885" s="25"/>
      <c r="F20885" s="21"/>
    </row>
    <row r="20886" spans="4:6" x14ac:dyDescent="0.2">
      <c r="D20886" s="25"/>
      <c r="F20886" s="21"/>
    </row>
    <row r="20887" spans="4:6" x14ac:dyDescent="0.2">
      <c r="D20887" s="25"/>
      <c r="F20887" s="21"/>
    </row>
    <row r="20888" spans="4:6" x14ac:dyDescent="0.2">
      <c r="D20888" s="25"/>
      <c r="F20888" s="21"/>
    </row>
    <row r="20889" spans="4:6" x14ac:dyDescent="0.2">
      <c r="D20889" s="25"/>
      <c r="F20889" s="21"/>
    </row>
    <row r="20890" spans="4:6" x14ac:dyDescent="0.2">
      <c r="D20890" s="25"/>
      <c r="F20890" s="21"/>
    </row>
    <row r="20891" spans="4:6" x14ac:dyDescent="0.2">
      <c r="D20891" s="25"/>
      <c r="F20891" s="21"/>
    </row>
    <row r="20892" spans="4:6" x14ac:dyDescent="0.2">
      <c r="D20892" s="25"/>
      <c r="F20892" s="21"/>
    </row>
    <row r="20893" spans="4:6" x14ac:dyDescent="0.2">
      <c r="D20893" s="25"/>
      <c r="F20893" s="21"/>
    </row>
    <row r="20894" spans="4:6" x14ac:dyDescent="0.2">
      <c r="D20894" s="25"/>
      <c r="F20894" s="21"/>
    </row>
    <row r="20895" spans="4:6" x14ac:dyDescent="0.2">
      <c r="D20895" s="25"/>
      <c r="F20895" s="21"/>
    </row>
    <row r="20896" spans="4:6" x14ac:dyDescent="0.2">
      <c r="D20896" s="25"/>
      <c r="F20896" s="21"/>
    </row>
    <row r="20897" spans="4:6" x14ac:dyDescent="0.2">
      <c r="D20897" s="25"/>
      <c r="F20897" s="21"/>
    </row>
    <row r="20898" spans="4:6" x14ac:dyDescent="0.2">
      <c r="D20898" s="25"/>
      <c r="F20898" s="21"/>
    </row>
    <row r="20899" spans="4:6" x14ac:dyDescent="0.2">
      <c r="D20899" s="25"/>
      <c r="F20899" s="21"/>
    </row>
    <row r="20900" spans="4:6" x14ac:dyDescent="0.2">
      <c r="D20900" s="25"/>
      <c r="F20900" s="21"/>
    </row>
    <row r="20901" spans="4:6" x14ac:dyDescent="0.2">
      <c r="D20901" s="25"/>
      <c r="F20901" s="21"/>
    </row>
    <row r="20902" spans="4:6" x14ac:dyDescent="0.2">
      <c r="D20902" s="25"/>
      <c r="F20902" s="21"/>
    </row>
    <row r="20903" spans="4:6" x14ac:dyDescent="0.2">
      <c r="D20903" s="25"/>
      <c r="F20903" s="21"/>
    </row>
    <row r="20904" spans="4:6" x14ac:dyDescent="0.2">
      <c r="D20904" s="25"/>
      <c r="F20904" s="21"/>
    </row>
    <row r="20905" spans="4:6" x14ac:dyDescent="0.2">
      <c r="D20905" s="25"/>
      <c r="F20905" s="21"/>
    </row>
    <row r="20906" spans="4:6" x14ac:dyDescent="0.2">
      <c r="D20906" s="25"/>
      <c r="F20906" s="21"/>
    </row>
    <row r="20907" spans="4:6" x14ac:dyDescent="0.2">
      <c r="D20907" s="25"/>
      <c r="F20907" s="21"/>
    </row>
    <row r="20908" spans="4:6" x14ac:dyDescent="0.2">
      <c r="D20908" s="25"/>
      <c r="F20908" s="21"/>
    </row>
    <row r="20909" spans="4:6" x14ac:dyDescent="0.2">
      <c r="D20909" s="25"/>
      <c r="F20909" s="21"/>
    </row>
    <row r="20910" spans="4:6" x14ac:dyDescent="0.2">
      <c r="D20910" s="25"/>
      <c r="F20910" s="21"/>
    </row>
    <row r="20911" spans="4:6" x14ac:dyDescent="0.2">
      <c r="D20911" s="25"/>
      <c r="F20911" s="21"/>
    </row>
    <row r="20912" spans="4:6" x14ac:dyDescent="0.2">
      <c r="D20912" s="25"/>
      <c r="F20912" s="21"/>
    </row>
    <row r="20913" spans="4:6" x14ac:dyDescent="0.2">
      <c r="D20913" s="25"/>
      <c r="F20913" s="21"/>
    </row>
    <row r="20914" spans="4:6" x14ac:dyDescent="0.2">
      <c r="D20914" s="25"/>
      <c r="F20914" s="21"/>
    </row>
    <row r="20915" spans="4:6" x14ac:dyDescent="0.2">
      <c r="D20915" s="25"/>
      <c r="F20915" s="21"/>
    </row>
    <row r="20916" spans="4:6" x14ac:dyDescent="0.2">
      <c r="D20916" s="25"/>
      <c r="F20916" s="21"/>
    </row>
    <row r="20917" spans="4:6" x14ac:dyDescent="0.2">
      <c r="D20917" s="25"/>
      <c r="F20917" s="21"/>
    </row>
    <row r="20918" spans="4:6" x14ac:dyDescent="0.2">
      <c r="D20918" s="25"/>
      <c r="F20918" s="21"/>
    </row>
    <row r="20919" spans="4:6" x14ac:dyDescent="0.2">
      <c r="D20919" s="25"/>
      <c r="F20919" s="21"/>
    </row>
    <row r="20920" spans="4:6" x14ac:dyDescent="0.2">
      <c r="D20920" s="25"/>
      <c r="F20920" s="21"/>
    </row>
    <row r="20921" spans="4:6" x14ac:dyDescent="0.2">
      <c r="D20921" s="25"/>
      <c r="F20921" s="21"/>
    </row>
    <row r="20922" spans="4:6" x14ac:dyDescent="0.2">
      <c r="D20922" s="25"/>
      <c r="F20922" s="21"/>
    </row>
    <row r="20923" spans="4:6" x14ac:dyDescent="0.2">
      <c r="D20923" s="25"/>
      <c r="F20923" s="21"/>
    </row>
    <row r="20924" spans="4:6" x14ac:dyDescent="0.2">
      <c r="D20924" s="25"/>
      <c r="F20924" s="21"/>
    </row>
    <row r="20925" spans="4:6" x14ac:dyDescent="0.2">
      <c r="D20925" s="25"/>
      <c r="F20925" s="21"/>
    </row>
    <row r="20926" spans="4:6" x14ac:dyDescent="0.2">
      <c r="D20926" s="25"/>
      <c r="F20926" s="21"/>
    </row>
    <row r="20927" spans="4:6" x14ac:dyDescent="0.2">
      <c r="D20927" s="25"/>
      <c r="F20927" s="21"/>
    </row>
    <row r="20928" spans="4:6" x14ac:dyDescent="0.2">
      <c r="D20928" s="25"/>
      <c r="F20928" s="21"/>
    </row>
    <row r="20929" spans="4:6" x14ac:dyDescent="0.2">
      <c r="D20929" s="25"/>
      <c r="F20929" s="21"/>
    </row>
    <row r="20930" spans="4:6" x14ac:dyDescent="0.2">
      <c r="D20930" s="25"/>
      <c r="F20930" s="21"/>
    </row>
    <row r="20931" spans="4:6" x14ac:dyDescent="0.2">
      <c r="D20931" s="25"/>
      <c r="F20931" s="21"/>
    </row>
    <row r="20932" spans="4:6" x14ac:dyDescent="0.2">
      <c r="D20932" s="25"/>
      <c r="F20932" s="21"/>
    </row>
    <row r="20933" spans="4:6" x14ac:dyDescent="0.2">
      <c r="D20933" s="25"/>
      <c r="F20933" s="21"/>
    </row>
    <row r="20934" spans="4:6" x14ac:dyDescent="0.2">
      <c r="D20934" s="25"/>
      <c r="F20934" s="21"/>
    </row>
    <row r="20935" spans="4:6" x14ac:dyDescent="0.2">
      <c r="D20935" s="25"/>
      <c r="F20935" s="21"/>
    </row>
    <row r="20936" spans="4:6" x14ac:dyDescent="0.2">
      <c r="D20936" s="25"/>
      <c r="F20936" s="21"/>
    </row>
    <row r="20937" spans="4:6" x14ac:dyDescent="0.2">
      <c r="D20937" s="25"/>
      <c r="F20937" s="21"/>
    </row>
    <row r="20938" spans="4:6" x14ac:dyDescent="0.2">
      <c r="D20938" s="25"/>
      <c r="F20938" s="21"/>
    </row>
    <row r="20939" spans="4:6" x14ac:dyDescent="0.2">
      <c r="D20939" s="25"/>
      <c r="F20939" s="21"/>
    </row>
    <row r="20940" spans="4:6" x14ac:dyDescent="0.2">
      <c r="D20940" s="25"/>
      <c r="F20940" s="21"/>
    </row>
    <row r="20941" spans="4:6" x14ac:dyDescent="0.2">
      <c r="D20941" s="25"/>
      <c r="F20941" s="21"/>
    </row>
    <row r="20942" spans="4:6" x14ac:dyDescent="0.2">
      <c r="D20942" s="25"/>
      <c r="F20942" s="21"/>
    </row>
    <row r="20943" spans="4:6" x14ac:dyDescent="0.2">
      <c r="D20943" s="25"/>
      <c r="F20943" s="21"/>
    </row>
    <row r="20944" spans="4:6" x14ac:dyDescent="0.2">
      <c r="D20944" s="25"/>
      <c r="F20944" s="21"/>
    </row>
    <row r="20945" spans="4:6" x14ac:dyDescent="0.2">
      <c r="D20945" s="25"/>
      <c r="F20945" s="21"/>
    </row>
    <row r="20946" spans="4:6" x14ac:dyDescent="0.2">
      <c r="D20946" s="25"/>
      <c r="F20946" s="21"/>
    </row>
    <row r="20947" spans="4:6" x14ac:dyDescent="0.2">
      <c r="D20947" s="25"/>
      <c r="F20947" s="21"/>
    </row>
    <row r="20948" spans="4:6" x14ac:dyDescent="0.2">
      <c r="D20948" s="25"/>
      <c r="F20948" s="21"/>
    </row>
    <row r="20949" spans="4:6" x14ac:dyDescent="0.2">
      <c r="D20949" s="25"/>
      <c r="F20949" s="21"/>
    </row>
    <row r="20950" spans="4:6" x14ac:dyDescent="0.2">
      <c r="D20950" s="25"/>
      <c r="F20950" s="21"/>
    </row>
    <row r="20951" spans="4:6" x14ac:dyDescent="0.2">
      <c r="D20951" s="25"/>
      <c r="F20951" s="21"/>
    </row>
    <row r="20952" spans="4:6" x14ac:dyDescent="0.2">
      <c r="D20952" s="25"/>
      <c r="F20952" s="21"/>
    </row>
    <row r="20953" spans="4:6" x14ac:dyDescent="0.2">
      <c r="D20953" s="25"/>
      <c r="F20953" s="21"/>
    </row>
    <row r="20954" spans="4:6" x14ac:dyDescent="0.2">
      <c r="D20954" s="25"/>
      <c r="F20954" s="21"/>
    </row>
    <row r="20955" spans="4:6" x14ac:dyDescent="0.2">
      <c r="D20955" s="25"/>
      <c r="F20955" s="21"/>
    </row>
    <row r="20956" spans="4:6" x14ac:dyDescent="0.2">
      <c r="D20956" s="25"/>
      <c r="F20956" s="21"/>
    </row>
    <row r="20957" spans="4:6" x14ac:dyDescent="0.2">
      <c r="D20957" s="25"/>
      <c r="F20957" s="21"/>
    </row>
    <row r="20958" spans="4:6" x14ac:dyDescent="0.2">
      <c r="D20958" s="25"/>
      <c r="F20958" s="21"/>
    </row>
    <row r="20959" spans="4:6" x14ac:dyDescent="0.2">
      <c r="D20959" s="25"/>
      <c r="F20959" s="21"/>
    </row>
    <row r="20960" spans="4:6" x14ac:dyDescent="0.2">
      <c r="D20960" s="25"/>
      <c r="F20960" s="21"/>
    </row>
    <row r="20961" spans="4:6" x14ac:dyDescent="0.2">
      <c r="D20961" s="25"/>
      <c r="F20961" s="21"/>
    </row>
    <row r="20962" spans="4:6" x14ac:dyDescent="0.2">
      <c r="D20962" s="25"/>
      <c r="F20962" s="21"/>
    </row>
    <row r="20963" spans="4:6" x14ac:dyDescent="0.2">
      <c r="D20963" s="25"/>
      <c r="F20963" s="21"/>
    </row>
    <row r="20964" spans="4:6" x14ac:dyDescent="0.2">
      <c r="D20964" s="25"/>
      <c r="F20964" s="21"/>
    </row>
    <row r="20965" spans="4:6" x14ac:dyDescent="0.2">
      <c r="D20965" s="25"/>
      <c r="F20965" s="21"/>
    </row>
    <row r="20966" spans="4:6" x14ac:dyDescent="0.2">
      <c r="D20966" s="25"/>
      <c r="F20966" s="21"/>
    </row>
    <row r="20967" spans="4:6" x14ac:dyDescent="0.2">
      <c r="D20967" s="25"/>
      <c r="F20967" s="21"/>
    </row>
    <row r="20968" spans="4:6" x14ac:dyDescent="0.2">
      <c r="D20968" s="25"/>
      <c r="F20968" s="21"/>
    </row>
    <row r="20969" spans="4:6" x14ac:dyDescent="0.2">
      <c r="D20969" s="25"/>
      <c r="F20969" s="21"/>
    </row>
    <row r="20970" spans="4:6" x14ac:dyDescent="0.2">
      <c r="D20970" s="25"/>
      <c r="F20970" s="21"/>
    </row>
    <row r="20971" spans="4:6" x14ac:dyDescent="0.2">
      <c r="D20971" s="25"/>
      <c r="F20971" s="21"/>
    </row>
    <row r="20972" spans="4:6" x14ac:dyDescent="0.2">
      <c r="D20972" s="25"/>
      <c r="F20972" s="21"/>
    </row>
    <row r="20973" spans="4:6" x14ac:dyDescent="0.2">
      <c r="D20973" s="25"/>
      <c r="F20973" s="21"/>
    </row>
    <row r="20974" spans="4:6" x14ac:dyDescent="0.2">
      <c r="D20974" s="25"/>
      <c r="F20974" s="21"/>
    </row>
    <row r="20975" spans="4:6" x14ac:dyDescent="0.2">
      <c r="D20975" s="25"/>
      <c r="F20975" s="21"/>
    </row>
    <row r="20976" spans="4:6" x14ac:dyDescent="0.2">
      <c r="D20976" s="25"/>
      <c r="F20976" s="21"/>
    </row>
    <row r="20977" spans="4:6" x14ac:dyDescent="0.2">
      <c r="D20977" s="25"/>
      <c r="F20977" s="21"/>
    </row>
    <row r="20978" spans="4:6" x14ac:dyDescent="0.2">
      <c r="D20978" s="25"/>
      <c r="F20978" s="21"/>
    </row>
    <row r="20979" spans="4:6" x14ac:dyDescent="0.2">
      <c r="D20979" s="25"/>
      <c r="F20979" s="21"/>
    </row>
    <row r="20980" spans="4:6" x14ac:dyDescent="0.2">
      <c r="D20980" s="25"/>
      <c r="F20980" s="21"/>
    </row>
    <row r="20981" spans="4:6" x14ac:dyDescent="0.2">
      <c r="D20981" s="25"/>
      <c r="F20981" s="21"/>
    </row>
    <row r="20982" spans="4:6" x14ac:dyDescent="0.2">
      <c r="D20982" s="25"/>
      <c r="F20982" s="21"/>
    </row>
    <row r="20983" spans="4:6" x14ac:dyDescent="0.2">
      <c r="D20983" s="25"/>
      <c r="F20983" s="21"/>
    </row>
    <row r="20984" spans="4:6" x14ac:dyDescent="0.2">
      <c r="D20984" s="25"/>
      <c r="F20984" s="21"/>
    </row>
    <row r="20985" spans="4:6" x14ac:dyDescent="0.2">
      <c r="D20985" s="25"/>
      <c r="F20985" s="21"/>
    </row>
    <row r="20986" spans="4:6" x14ac:dyDescent="0.2">
      <c r="D20986" s="25"/>
      <c r="F20986" s="21"/>
    </row>
    <row r="20987" spans="4:6" x14ac:dyDescent="0.2">
      <c r="D20987" s="25"/>
      <c r="F20987" s="21"/>
    </row>
    <row r="20988" spans="4:6" x14ac:dyDescent="0.2">
      <c r="D20988" s="25"/>
      <c r="F20988" s="21"/>
    </row>
    <row r="20989" spans="4:6" x14ac:dyDescent="0.2">
      <c r="D20989" s="25"/>
      <c r="F20989" s="21"/>
    </row>
    <row r="20990" spans="4:6" x14ac:dyDescent="0.2">
      <c r="D20990" s="25"/>
      <c r="F20990" s="21"/>
    </row>
    <row r="20991" spans="4:6" x14ac:dyDescent="0.2">
      <c r="D20991" s="25"/>
      <c r="F20991" s="21"/>
    </row>
    <row r="20992" spans="4:6" x14ac:dyDescent="0.2">
      <c r="D20992" s="25"/>
      <c r="F20992" s="21"/>
    </row>
    <row r="20993" spans="4:6" x14ac:dyDescent="0.2">
      <c r="D20993" s="25"/>
      <c r="F20993" s="21"/>
    </row>
    <row r="20994" spans="4:6" x14ac:dyDescent="0.2">
      <c r="D20994" s="25"/>
      <c r="F20994" s="21"/>
    </row>
    <row r="20995" spans="4:6" x14ac:dyDescent="0.2">
      <c r="D20995" s="25"/>
      <c r="F20995" s="21"/>
    </row>
    <row r="20996" spans="4:6" x14ac:dyDescent="0.2">
      <c r="D20996" s="25"/>
      <c r="F20996" s="21"/>
    </row>
    <row r="20997" spans="4:6" x14ac:dyDescent="0.2">
      <c r="D20997" s="25"/>
      <c r="F20997" s="21"/>
    </row>
    <row r="20998" spans="4:6" x14ac:dyDescent="0.2">
      <c r="D20998" s="25"/>
      <c r="F20998" s="21"/>
    </row>
    <row r="20999" spans="4:6" x14ac:dyDescent="0.2">
      <c r="D20999" s="25"/>
      <c r="F20999" s="21"/>
    </row>
    <row r="21000" spans="4:6" x14ac:dyDescent="0.2">
      <c r="D21000" s="25"/>
      <c r="F21000" s="21"/>
    </row>
    <row r="21001" spans="4:6" x14ac:dyDescent="0.2">
      <c r="D21001" s="25"/>
      <c r="F21001" s="21"/>
    </row>
    <row r="21002" spans="4:6" x14ac:dyDescent="0.2">
      <c r="D21002" s="25"/>
      <c r="F21002" s="21"/>
    </row>
    <row r="21003" spans="4:6" x14ac:dyDescent="0.2">
      <c r="D21003" s="25"/>
      <c r="F21003" s="21"/>
    </row>
    <row r="21004" spans="4:6" x14ac:dyDescent="0.2">
      <c r="D21004" s="25"/>
      <c r="F21004" s="21"/>
    </row>
    <row r="21005" spans="4:6" x14ac:dyDescent="0.2">
      <c r="D21005" s="25"/>
      <c r="F21005" s="21"/>
    </row>
    <row r="21006" spans="4:6" x14ac:dyDescent="0.2">
      <c r="D21006" s="25"/>
      <c r="F21006" s="21"/>
    </row>
    <row r="21007" spans="4:6" x14ac:dyDescent="0.2">
      <c r="D21007" s="25"/>
      <c r="F21007" s="21"/>
    </row>
    <row r="21008" spans="4:6" x14ac:dyDescent="0.2">
      <c r="D21008" s="25"/>
      <c r="F21008" s="21"/>
    </row>
    <row r="21009" spans="4:6" x14ac:dyDescent="0.2">
      <c r="D21009" s="25"/>
      <c r="F21009" s="21"/>
    </row>
    <row r="21010" spans="4:6" x14ac:dyDescent="0.2">
      <c r="D21010" s="25"/>
      <c r="F21010" s="21"/>
    </row>
    <row r="21011" spans="4:6" x14ac:dyDescent="0.2">
      <c r="D21011" s="25"/>
      <c r="F21011" s="21"/>
    </row>
    <row r="21012" spans="4:6" x14ac:dyDescent="0.2">
      <c r="D21012" s="25"/>
      <c r="F21012" s="21"/>
    </row>
    <row r="21013" spans="4:6" x14ac:dyDescent="0.2">
      <c r="D21013" s="25"/>
      <c r="F21013" s="21"/>
    </row>
    <row r="21014" spans="4:6" x14ac:dyDescent="0.2">
      <c r="D21014" s="25"/>
      <c r="F21014" s="21"/>
    </row>
    <row r="21015" spans="4:6" x14ac:dyDescent="0.2">
      <c r="D21015" s="25"/>
      <c r="F21015" s="21"/>
    </row>
    <row r="21016" spans="4:6" x14ac:dyDescent="0.2">
      <c r="D21016" s="25"/>
      <c r="F21016" s="21"/>
    </row>
    <row r="21017" spans="4:6" x14ac:dyDescent="0.2">
      <c r="D21017" s="25"/>
      <c r="F21017" s="21"/>
    </row>
    <row r="21018" spans="4:6" x14ac:dyDescent="0.2">
      <c r="D21018" s="25"/>
      <c r="F21018" s="21"/>
    </row>
    <row r="21019" spans="4:6" x14ac:dyDescent="0.2">
      <c r="D21019" s="25"/>
      <c r="F21019" s="21"/>
    </row>
    <row r="21020" spans="4:6" x14ac:dyDescent="0.2">
      <c r="D21020" s="25"/>
      <c r="F21020" s="21"/>
    </row>
    <row r="21021" spans="4:6" x14ac:dyDescent="0.2">
      <c r="D21021" s="25"/>
      <c r="F21021" s="21"/>
    </row>
    <row r="21022" spans="4:6" x14ac:dyDescent="0.2">
      <c r="D21022" s="25"/>
      <c r="F21022" s="21"/>
    </row>
    <row r="21023" spans="4:6" x14ac:dyDescent="0.2">
      <c r="D21023" s="25"/>
      <c r="F21023" s="21"/>
    </row>
    <row r="21024" spans="4:6" x14ac:dyDescent="0.2">
      <c r="D21024" s="25"/>
      <c r="F21024" s="21"/>
    </row>
    <row r="21025" spans="4:6" x14ac:dyDescent="0.2">
      <c r="D21025" s="25"/>
      <c r="F21025" s="21"/>
    </row>
    <row r="21026" spans="4:6" x14ac:dyDescent="0.2">
      <c r="D21026" s="25"/>
      <c r="F21026" s="21"/>
    </row>
    <row r="21027" spans="4:6" x14ac:dyDescent="0.2">
      <c r="D21027" s="25"/>
      <c r="F21027" s="21"/>
    </row>
    <row r="21028" spans="4:6" x14ac:dyDescent="0.2">
      <c r="D21028" s="25"/>
      <c r="F21028" s="21"/>
    </row>
    <row r="21029" spans="4:6" x14ac:dyDescent="0.2">
      <c r="D21029" s="25"/>
      <c r="F21029" s="21"/>
    </row>
    <row r="21030" spans="4:6" x14ac:dyDescent="0.2">
      <c r="D21030" s="25"/>
      <c r="F21030" s="21"/>
    </row>
    <row r="21031" spans="4:6" x14ac:dyDescent="0.2">
      <c r="D21031" s="25"/>
      <c r="F21031" s="21"/>
    </row>
    <row r="21032" spans="4:6" x14ac:dyDescent="0.2">
      <c r="D21032" s="25"/>
      <c r="F21032" s="21"/>
    </row>
    <row r="21033" spans="4:6" x14ac:dyDescent="0.2">
      <c r="D21033" s="25"/>
      <c r="F21033" s="21"/>
    </row>
    <row r="21034" spans="4:6" x14ac:dyDescent="0.2">
      <c r="D21034" s="25"/>
      <c r="F21034" s="21"/>
    </row>
    <row r="21035" spans="4:6" x14ac:dyDescent="0.2">
      <c r="D21035" s="25"/>
      <c r="F21035" s="21"/>
    </row>
    <row r="21036" spans="4:6" x14ac:dyDescent="0.2">
      <c r="D21036" s="25"/>
      <c r="F21036" s="21"/>
    </row>
    <row r="21037" spans="4:6" x14ac:dyDescent="0.2">
      <c r="D21037" s="25"/>
      <c r="F21037" s="21"/>
    </row>
    <row r="21038" spans="4:6" x14ac:dyDescent="0.2">
      <c r="D21038" s="25"/>
      <c r="F21038" s="21"/>
    </row>
    <row r="21039" spans="4:6" x14ac:dyDescent="0.2">
      <c r="D21039" s="25"/>
      <c r="F21039" s="21"/>
    </row>
    <row r="21040" spans="4:6" x14ac:dyDescent="0.2">
      <c r="D21040" s="25"/>
      <c r="F21040" s="21"/>
    </row>
    <row r="21041" spans="4:6" x14ac:dyDescent="0.2">
      <c r="D21041" s="25"/>
      <c r="F21041" s="21"/>
    </row>
    <row r="21042" spans="4:6" x14ac:dyDescent="0.2">
      <c r="D21042" s="25"/>
      <c r="F21042" s="21"/>
    </row>
    <row r="21043" spans="4:6" x14ac:dyDescent="0.2">
      <c r="D21043" s="25"/>
      <c r="F21043" s="21"/>
    </row>
    <row r="21044" spans="4:6" x14ac:dyDescent="0.2">
      <c r="D21044" s="25"/>
      <c r="F21044" s="21"/>
    </row>
    <row r="21045" spans="4:6" x14ac:dyDescent="0.2">
      <c r="D21045" s="25"/>
      <c r="F21045" s="21"/>
    </row>
    <row r="21046" spans="4:6" x14ac:dyDescent="0.2">
      <c r="D21046" s="25"/>
      <c r="F21046" s="21"/>
    </row>
    <row r="21047" spans="4:6" x14ac:dyDescent="0.2">
      <c r="D21047" s="25"/>
      <c r="F21047" s="21"/>
    </row>
    <row r="21048" spans="4:6" x14ac:dyDescent="0.2">
      <c r="D21048" s="25"/>
      <c r="F21048" s="21"/>
    </row>
    <row r="21049" spans="4:6" x14ac:dyDescent="0.2">
      <c r="D21049" s="25"/>
      <c r="F21049" s="21"/>
    </row>
    <row r="21050" spans="4:6" x14ac:dyDescent="0.2">
      <c r="D21050" s="25"/>
      <c r="F21050" s="21"/>
    </row>
    <row r="21051" spans="4:6" x14ac:dyDescent="0.2">
      <c r="D21051" s="25"/>
      <c r="F21051" s="21"/>
    </row>
    <row r="21052" spans="4:6" x14ac:dyDescent="0.2">
      <c r="D21052" s="25"/>
      <c r="F21052" s="21"/>
    </row>
    <row r="21053" spans="4:6" x14ac:dyDescent="0.2">
      <c r="D21053" s="25"/>
      <c r="F21053" s="21"/>
    </row>
    <row r="21054" spans="4:6" x14ac:dyDescent="0.2">
      <c r="D21054" s="25"/>
      <c r="F21054" s="21"/>
    </row>
    <row r="21055" spans="4:6" x14ac:dyDescent="0.2">
      <c r="D21055" s="25"/>
      <c r="F21055" s="21"/>
    </row>
    <row r="21056" spans="4:6" x14ac:dyDescent="0.2">
      <c r="D21056" s="25"/>
      <c r="F21056" s="21"/>
    </row>
    <row r="21057" spans="4:6" x14ac:dyDescent="0.2">
      <c r="D21057" s="25"/>
      <c r="F21057" s="21"/>
    </row>
    <row r="21058" spans="4:6" x14ac:dyDescent="0.2">
      <c r="D21058" s="25"/>
      <c r="F21058" s="21"/>
    </row>
    <row r="21059" spans="4:6" x14ac:dyDescent="0.2">
      <c r="D21059" s="25"/>
      <c r="F21059" s="21"/>
    </row>
    <row r="21060" spans="4:6" x14ac:dyDescent="0.2">
      <c r="D21060" s="25"/>
      <c r="F21060" s="21"/>
    </row>
    <row r="21061" spans="4:6" x14ac:dyDescent="0.2">
      <c r="D21061" s="25"/>
      <c r="F21061" s="21"/>
    </row>
    <row r="21062" spans="4:6" x14ac:dyDescent="0.2">
      <c r="D21062" s="25"/>
      <c r="F21062" s="21"/>
    </row>
    <row r="21063" spans="4:6" x14ac:dyDescent="0.2">
      <c r="D21063" s="25"/>
      <c r="F21063" s="21"/>
    </row>
    <row r="21064" spans="4:6" x14ac:dyDescent="0.2">
      <c r="D21064" s="25"/>
      <c r="F21064" s="21"/>
    </row>
    <row r="21065" spans="4:6" x14ac:dyDescent="0.2">
      <c r="D21065" s="25"/>
      <c r="F21065" s="21"/>
    </row>
    <row r="21066" spans="4:6" x14ac:dyDescent="0.2">
      <c r="D21066" s="25"/>
      <c r="F21066" s="21"/>
    </row>
    <row r="21067" spans="4:6" x14ac:dyDescent="0.2">
      <c r="D21067" s="25"/>
      <c r="F21067" s="21"/>
    </row>
    <row r="21068" spans="4:6" x14ac:dyDescent="0.2">
      <c r="D21068" s="25"/>
      <c r="F21068" s="21"/>
    </row>
    <row r="21069" spans="4:6" x14ac:dyDescent="0.2">
      <c r="D21069" s="25"/>
      <c r="F21069" s="21"/>
    </row>
    <row r="21070" spans="4:6" x14ac:dyDescent="0.2">
      <c r="D21070" s="25"/>
      <c r="F21070" s="21"/>
    </row>
    <row r="21071" spans="4:6" x14ac:dyDescent="0.2">
      <c r="D21071" s="25"/>
      <c r="F21071" s="21"/>
    </row>
    <row r="21072" spans="4:6" x14ac:dyDescent="0.2">
      <c r="D21072" s="25"/>
      <c r="F21072" s="21"/>
    </row>
    <row r="21073" spans="4:6" x14ac:dyDescent="0.2">
      <c r="D21073" s="25"/>
      <c r="F21073" s="21"/>
    </row>
    <row r="21074" spans="4:6" x14ac:dyDescent="0.2">
      <c r="D21074" s="25"/>
      <c r="F21074" s="21"/>
    </row>
    <row r="21075" spans="4:6" x14ac:dyDescent="0.2">
      <c r="D21075" s="25"/>
      <c r="F21075" s="21"/>
    </row>
    <row r="21076" spans="4:6" x14ac:dyDescent="0.2">
      <c r="D21076" s="25"/>
      <c r="F21076" s="21"/>
    </row>
    <row r="21077" spans="4:6" x14ac:dyDescent="0.2">
      <c r="D21077" s="25"/>
      <c r="F21077" s="21"/>
    </row>
    <row r="21078" spans="4:6" x14ac:dyDescent="0.2">
      <c r="D21078" s="25"/>
      <c r="F21078" s="21"/>
    </row>
    <row r="21079" spans="4:6" x14ac:dyDescent="0.2">
      <c r="D21079" s="25"/>
      <c r="F21079" s="21"/>
    </row>
    <row r="21080" spans="4:6" x14ac:dyDescent="0.2">
      <c r="D21080" s="25"/>
      <c r="F21080" s="21"/>
    </row>
    <row r="21081" spans="4:6" x14ac:dyDescent="0.2">
      <c r="D21081" s="25"/>
      <c r="F21081" s="21"/>
    </row>
    <row r="21082" spans="4:6" x14ac:dyDescent="0.2">
      <c r="D21082" s="25"/>
      <c r="F21082" s="21"/>
    </row>
    <row r="21083" spans="4:6" x14ac:dyDescent="0.2">
      <c r="D21083" s="25"/>
      <c r="F21083" s="21"/>
    </row>
    <row r="21084" spans="4:6" x14ac:dyDescent="0.2">
      <c r="D21084" s="25"/>
      <c r="F21084" s="21"/>
    </row>
    <row r="21085" spans="4:6" x14ac:dyDescent="0.2">
      <c r="D21085" s="25"/>
      <c r="F21085" s="21"/>
    </row>
    <row r="21086" spans="4:6" x14ac:dyDescent="0.2">
      <c r="D21086" s="25"/>
      <c r="F21086" s="21"/>
    </row>
    <row r="21087" spans="4:6" x14ac:dyDescent="0.2">
      <c r="D21087" s="25"/>
      <c r="F21087" s="21"/>
    </row>
    <row r="21088" spans="4:6" x14ac:dyDescent="0.2">
      <c r="D21088" s="25"/>
      <c r="F21088" s="21"/>
    </row>
    <row r="21089" spans="4:6" x14ac:dyDescent="0.2">
      <c r="D21089" s="25"/>
      <c r="F21089" s="21"/>
    </row>
    <row r="21090" spans="4:6" x14ac:dyDescent="0.2">
      <c r="D21090" s="25"/>
      <c r="F21090" s="21"/>
    </row>
    <row r="21091" spans="4:6" x14ac:dyDescent="0.2">
      <c r="D21091" s="25"/>
      <c r="F21091" s="21"/>
    </row>
    <row r="21092" spans="4:6" x14ac:dyDescent="0.2">
      <c r="D21092" s="25"/>
      <c r="F21092" s="21"/>
    </row>
    <row r="21093" spans="4:6" x14ac:dyDescent="0.2">
      <c r="D21093" s="25"/>
      <c r="F21093" s="21"/>
    </row>
    <row r="21094" spans="4:6" x14ac:dyDescent="0.2">
      <c r="D21094" s="25"/>
      <c r="F21094" s="21"/>
    </row>
    <row r="21095" spans="4:6" x14ac:dyDescent="0.2">
      <c r="D21095" s="25"/>
      <c r="F21095" s="21"/>
    </row>
    <row r="21096" spans="4:6" x14ac:dyDescent="0.2">
      <c r="D21096" s="25"/>
      <c r="F21096" s="21"/>
    </row>
    <row r="21097" spans="4:6" x14ac:dyDescent="0.2">
      <c r="D21097" s="25"/>
      <c r="F21097" s="21"/>
    </row>
    <row r="21098" spans="4:6" x14ac:dyDescent="0.2">
      <c r="D21098" s="25"/>
      <c r="F21098" s="21"/>
    </row>
    <row r="21099" spans="4:6" x14ac:dyDescent="0.2">
      <c r="D21099" s="25"/>
      <c r="F21099" s="21"/>
    </row>
    <row r="21100" spans="4:6" x14ac:dyDescent="0.2">
      <c r="D21100" s="25"/>
      <c r="F21100" s="21"/>
    </row>
    <row r="21101" spans="4:6" x14ac:dyDescent="0.2">
      <c r="D21101" s="25"/>
      <c r="F21101" s="21"/>
    </row>
    <row r="21102" spans="4:6" x14ac:dyDescent="0.2">
      <c r="D21102" s="25"/>
      <c r="F21102" s="21"/>
    </row>
    <row r="21103" spans="4:6" x14ac:dyDescent="0.2">
      <c r="D21103" s="25"/>
      <c r="F21103" s="21"/>
    </row>
    <row r="21104" spans="4:6" x14ac:dyDescent="0.2">
      <c r="D21104" s="25"/>
      <c r="F21104" s="21"/>
    </row>
    <row r="21105" spans="4:6" x14ac:dyDescent="0.2">
      <c r="D21105" s="25"/>
      <c r="F21105" s="21"/>
    </row>
    <row r="21106" spans="4:6" x14ac:dyDescent="0.2">
      <c r="D21106" s="25"/>
      <c r="F21106" s="21"/>
    </row>
    <row r="21107" spans="4:6" x14ac:dyDescent="0.2">
      <c r="D21107" s="25"/>
      <c r="F21107" s="21"/>
    </row>
    <row r="21108" spans="4:6" x14ac:dyDescent="0.2">
      <c r="D21108" s="25"/>
      <c r="F21108" s="21"/>
    </row>
    <row r="21109" spans="4:6" x14ac:dyDescent="0.2">
      <c r="D21109" s="25"/>
      <c r="F21109" s="21"/>
    </row>
    <row r="21110" spans="4:6" x14ac:dyDescent="0.2">
      <c r="D21110" s="25"/>
      <c r="F21110" s="21"/>
    </row>
    <row r="21111" spans="4:6" x14ac:dyDescent="0.2">
      <c r="D21111" s="25"/>
      <c r="F21111" s="21"/>
    </row>
    <row r="21112" spans="4:6" x14ac:dyDescent="0.2">
      <c r="D21112" s="25"/>
      <c r="F21112" s="21"/>
    </row>
    <row r="21113" spans="4:6" x14ac:dyDescent="0.2">
      <c r="D21113" s="25"/>
      <c r="F21113" s="21"/>
    </row>
    <row r="21114" spans="4:6" x14ac:dyDescent="0.2">
      <c r="D21114" s="25"/>
      <c r="F21114" s="21"/>
    </row>
    <row r="21115" spans="4:6" x14ac:dyDescent="0.2">
      <c r="D21115" s="25"/>
      <c r="F21115" s="21"/>
    </row>
    <row r="21116" spans="4:6" x14ac:dyDescent="0.2">
      <c r="D21116" s="25"/>
      <c r="F21116" s="21"/>
    </row>
    <row r="21117" spans="4:6" x14ac:dyDescent="0.2">
      <c r="D21117" s="25"/>
      <c r="F21117" s="21"/>
    </row>
    <row r="21118" spans="4:6" x14ac:dyDescent="0.2">
      <c r="D21118" s="25"/>
      <c r="F21118" s="21"/>
    </row>
    <row r="21119" spans="4:6" x14ac:dyDescent="0.2">
      <c r="D21119" s="25"/>
      <c r="F21119" s="21"/>
    </row>
    <row r="21120" spans="4:6" x14ac:dyDescent="0.2">
      <c r="D21120" s="25"/>
      <c r="F21120" s="21"/>
    </row>
    <row r="21121" spans="4:6" x14ac:dyDescent="0.2">
      <c r="D21121" s="25"/>
      <c r="F21121" s="21"/>
    </row>
    <row r="21122" spans="4:6" x14ac:dyDescent="0.2">
      <c r="D21122" s="25"/>
      <c r="F21122" s="21"/>
    </row>
    <row r="21123" spans="4:6" x14ac:dyDescent="0.2">
      <c r="D21123" s="25"/>
      <c r="F21123" s="21"/>
    </row>
    <row r="21124" spans="4:6" x14ac:dyDescent="0.2">
      <c r="D21124" s="25"/>
      <c r="F21124" s="21"/>
    </row>
    <row r="21125" spans="4:6" x14ac:dyDescent="0.2">
      <c r="D21125" s="25"/>
      <c r="F21125" s="21"/>
    </row>
    <row r="21126" spans="4:6" x14ac:dyDescent="0.2">
      <c r="D21126" s="25"/>
      <c r="F21126" s="21"/>
    </row>
    <row r="21127" spans="4:6" x14ac:dyDescent="0.2">
      <c r="D21127" s="25"/>
      <c r="F21127" s="21"/>
    </row>
    <row r="21128" spans="4:6" x14ac:dyDescent="0.2">
      <c r="D21128" s="25"/>
      <c r="F21128" s="21"/>
    </row>
    <row r="21129" spans="4:6" x14ac:dyDescent="0.2">
      <c r="D21129" s="25"/>
      <c r="F21129" s="21"/>
    </row>
    <row r="21130" spans="4:6" x14ac:dyDescent="0.2">
      <c r="D21130" s="25"/>
      <c r="F21130" s="21"/>
    </row>
    <row r="21131" spans="4:6" x14ac:dyDescent="0.2">
      <c r="D21131" s="25"/>
      <c r="F21131" s="21"/>
    </row>
    <row r="21132" spans="4:6" x14ac:dyDescent="0.2">
      <c r="D21132" s="25"/>
      <c r="F21132" s="21"/>
    </row>
    <row r="21133" spans="4:6" x14ac:dyDescent="0.2">
      <c r="D21133" s="25"/>
      <c r="F21133" s="21"/>
    </row>
    <row r="21134" spans="4:6" x14ac:dyDescent="0.2">
      <c r="D21134" s="25"/>
      <c r="F21134" s="21"/>
    </row>
    <row r="21135" spans="4:6" x14ac:dyDescent="0.2">
      <c r="D21135" s="25"/>
      <c r="F21135" s="21"/>
    </row>
    <row r="21136" spans="4:6" x14ac:dyDescent="0.2">
      <c r="D21136" s="25"/>
      <c r="F21136" s="21"/>
    </row>
    <row r="21137" spans="4:6" x14ac:dyDescent="0.2">
      <c r="D21137" s="25"/>
      <c r="F21137" s="21"/>
    </row>
    <row r="21138" spans="4:6" x14ac:dyDescent="0.2">
      <c r="D21138" s="25"/>
      <c r="F21138" s="21"/>
    </row>
    <row r="21139" spans="4:6" x14ac:dyDescent="0.2">
      <c r="D21139" s="25"/>
      <c r="F21139" s="21"/>
    </row>
    <row r="21140" spans="4:6" x14ac:dyDescent="0.2">
      <c r="D21140" s="25"/>
      <c r="F21140" s="21"/>
    </row>
    <row r="21141" spans="4:6" x14ac:dyDescent="0.2">
      <c r="D21141" s="25"/>
      <c r="F21141" s="21"/>
    </row>
    <row r="21142" spans="4:6" x14ac:dyDescent="0.2">
      <c r="D21142" s="25"/>
      <c r="F21142" s="21"/>
    </row>
    <row r="21143" spans="4:6" x14ac:dyDescent="0.2">
      <c r="D21143" s="25"/>
      <c r="F21143" s="21"/>
    </row>
    <row r="21144" spans="4:6" x14ac:dyDescent="0.2">
      <c r="D21144" s="25"/>
      <c r="F21144" s="21"/>
    </row>
    <row r="21145" spans="4:6" x14ac:dyDescent="0.2">
      <c r="D21145" s="25"/>
      <c r="F21145" s="21"/>
    </row>
    <row r="21146" spans="4:6" x14ac:dyDescent="0.2">
      <c r="D21146" s="25"/>
      <c r="F21146" s="21"/>
    </row>
    <row r="21147" spans="4:6" x14ac:dyDescent="0.2">
      <c r="D21147" s="25"/>
      <c r="F21147" s="21"/>
    </row>
    <row r="21148" spans="4:6" x14ac:dyDescent="0.2">
      <c r="D21148" s="25"/>
      <c r="F21148" s="21"/>
    </row>
    <row r="21149" spans="4:6" x14ac:dyDescent="0.2">
      <c r="D21149" s="25"/>
      <c r="F21149" s="21"/>
    </row>
    <row r="21150" spans="4:6" x14ac:dyDescent="0.2">
      <c r="D21150" s="25"/>
      <c r="F21150" s="21"/>
    </row>
    <row r="21151" spans="4:6" x14ac:dyDescent="0.2">
      <c r="D21151" s="25"/>
      <c r="F21151" s="21"/>
    </row>
    <row r="21152" spans="4:6" x14ac:dyDescent="0.2">
      <c r="D21152" s="25"/>
      <c r="F21152" s="21"/>
    </row>
    <row r="21153" spans="4:6" x14ac:dyDescent="0.2">
      <c r="D21153" s="25"/>
      <c r="F21153" s="21"/>
    </row>
    <row r="21154" spans="4:6" x14ac:dyDescent="0.2">
      <c r="D21154" s="25"/>
      <c r="F21154" s="21"/>
    </row>
    <row r="21155" spans="4:6" x14ac:dyDescent="0.2">
      <c r="D21155" s="25"/>
      <c r="F21155" s="21"/>
    </row>
    <row r="21156" spans="4:6" x14ac:dyDescent="0.2">
      <c r="D21156" s="25"/>
      <c r="F21156" s="21"/>
    </row>
    <row r="21157" spans="4:6" x14ac:dyDescent="0.2">
      <c r="D21157" s="25"/>
      <c r="F21157" s="21"/>
    </row>
    <row r="21158" spans="4:6" x14ac:dyDescent="0.2">
      <c r="D21158" s="25"/>
      <c r="F21158" s="21"/>
    </row>
    <row r="21159" spans="4:6" x14ac:dyDescent="0.2">
      <c r="D21159" s="25"/>
      <c r="F21159" s="21"/>
    </row>
    <row r="21160" spans="4:6" x14ac:dyDescent="0.2">
      <c r="D21160" s="25"/>
      <c r="F21160" s="21"/>
    </row>
    <row r="21161" spans="4:6" x14ac:dyDescent="0.2">
      <c r="D21161" s="25"/>
      <c r="F21161" s="21"/>
    </row>
    <row r="21162" spans="4:6" x14ac:dyDescent="0.2">
      <c r="D21162" s="25"/>
      <c r="F21162" s="21"/>
    </row>
    <row r="21163" spans="4:6" x14ac:dyDescent="0.2">
      <c r="D21163" s="25"/>
      <c r="F21163" s="21"/>
    </row>
    <row r="21164" spans="4:6" x14ac:dyDescent="0.2">
      <c r="D21164" s="25"/>
      <c r="F21164" s="21"/>
    </row>
    <row r="21165" spans="4:6" x14ac:dyDescent="0.2">
      <c r="D21165" s="25"/>
      <c r="F21165" s="21"/>
    </row>
    <row r="21166" spans="4:6" x14ac:dyDescent="0.2">
      <c r="D21166" s="25"/>
      <c r="F21166" s="21"/>
    </row>
    <row r="21167" spans="4:6" x14ac:dyDescent="0.2">
      <c r="D21167" s="25"/>
      <c r="F21167" s="21"/>
    </row>
    <row r="21168" spans="4:6" x14ac:dyDescent="0.2">
      <c r="D21168" s="25"/>
      <c r="F21168" s="21"/>
    </row>
    <row r="21169" spans="4:6" x14ac:dyDescent="0.2">
      <c r="D21169" s="25"/>
      <c r="F21169" s="21"/>
    </row>
    <row r="21170" spans="4:6" x14ac:dyDescent="0.2">
      <c r="D21170" s="25"/>
      <c r="F21170" s="21"/>
    </row>
    <row r="21171" spans="4:6" x14ac:dyDescent="0.2">
      <c r="D21171" s="25"/>
      <c r="F21171" s="21"/>
    </row>
    <row r="21172" spans="4:6" x14ac:dyDescent="0.2">
      <c r="D21172" s="25"/>
      <c r="F21172" s="21"/>
    </row>
    <row r="21173" spans="4:6" x14ac:dyDescent="0.2">
      <c r="D21173" s="25"/>
      <c r="F21173" s="21"/>
    </row>
    <row r="21174" spans="4:6" x14ac:dyDescent="0.2">
      <c r="D21174" s="25"/>
      <c r="F21174" s="21"/>
    </row>
    <row r="21175" spans="4:6" x14ac:dyDescent="0.2">
      <c r="D21175" s="25"/>
      <c r="F21175" s="21"/>
    </row>
    <row r="21176" spans="4:6" x14ac:dyDescent="0.2">
      <c r="D21176" s="25"/>
      <c r="F21176" s="21"/>
    </row>
    <row r="21177" spans="4:6" x14ac:dyDescent="0.2">
      <c r="D21177" s="25"/>
      <c r="F21177" s="21"/>
    </row>
    <row r="21178" spans="4:6" x14ac:dyDescent="0.2">
      <c r="D21178" s="25"/>
      <c r="F21178" s="21"/>
    </row>
    <row r="21179" spans="4:6" x14ac:dyDescent="0.2">
      <c r="D21179" s="25"/>
      <c r="F21179" s="21"/>
    </row>
    <row r="21180" spans="4:6" x14ac:dyDescent="0.2">
      <c r="D21180" s="25"/>
      <c r="F21180" s="21"/>
    </row>
    <row r="21181" spans="4:6" x14ac:dyDescent="0.2">
      <c r="D21181" s="25"/>
      <c r="F21181" s="21"/>
    </row>
    <row r="21182" spans="4:6" x14ac:dyDescent="0.2">
      <c r="D21182" s="25"/>
      <c r="F21182" s="21"/>
    </row>
    <row r="21183" spans="4:6" x14ac:dyDescent="0.2">
      <c r="D21183" s="25"/>
      <c r="F21183" s="21"/>
    </row>
    <row r="21184" spans="4:6" x14ac:dyDescent="0.2">
      <c r="D21184" s="25"/>
      <c r="F21184" s="21"/>
    </row>
    <row r="21185" spans="4:6" x14ac:dyDescent="0.2">
      <c r="D21185" s="25"/>
      <c r="F21185" s="21"/>
    </row>
    <row r="21186" spans="4:6" x14ac:dyDescent="0.2">
      <c r="D21186" s="25"/>
      <c r="F21186" s="21"/>
    </row>
    <row r="21187" spans="4:6" x14ac:dyDescent="0.2">
      <c r="D21187" s="25"/>
      <c r="F21187" s="21"/>
    </row>
    <row r="21188" spans="4:6" x14ac:dyDescent="0.2">
      <c r="D21188" s="25"/>
      <c r="F21188" s="21"/>
    </row>
    <row r="21189" spans="4:6" x14ac:dyDescent="0.2">
      <c r="D21189" s="25"/>
      <c r="F21189" s="21"/>
    </row>
    <row r="21190" spans="4:6" x14ac:dyDescent="0.2">
      <c r="D21190" s="25"/>
      <c r="F21190" s="21"/>
    </row>
    <row r="21191" spans="4:6" x14ac:dyDescent="0.2">
      <c r="D21191" s="25"/>
      <c r="F21191" s="21"/>
    </row>
    <row r="21192" spans="4:6" x14ac:dyDescent="0.2">
      <c r="D21192" s="25"/>
      <c r="F21192" s="21"/>
    </row>
    <row r="21193" spans="4:6" x14ac:dyDescent="0.2">
      <c r="D21193" s="25"/>
      <c r="F21193" s="21"/>
    </row>
    <row r="21194" spans="4:6" x14ac:dyDescent="0.2">
      <c r="D21194" s="25"/>
      <c r="F21194" s="21"/>
    </row>
    <row r="21195" spans="4:6" x14ac:dyDescent="0.2">
      <c r="D21195" s="25"/>
      <c r="F21195" s="21"/>
    </row>
    <row r="21196" spans="4:6" x14ac:dyDescent="0.2">
      <c r="D21196" s="25"/>
      <c r="F21196" s="21"/>
    </row>
    <row r="21197" spans="4:6" x14ac:dyDescent="0.2">
      <c r="D21197" s="25"/>
      <c r="F21197" s="21"/>
    </row>
    <row r="21198" spans="4:6" x14ac:dyDescent="0.2">
      <c r="D21198" s="25"/>
      <c r="F21198" s="21"/>
    </row>
    <row r="21199" spans="4:6" x14ac:dyDescent="0.2">
      <c r="D21199" s="25"/>
      <c r="F21199" s="21"/>
    </row>
    <row r="21200" spans="4:6" x14ac:dyDescent="0.2">
      <c r="D21200" s="25"/>
      <c r="F21200" s="21"/>
    </row>
    <row r="21201" spans="4:6" x14ac:dyDescent="0.2">
      <c r="D21201" s="25"/>
      <c r="F21201" s="21"/>
    </row>
    <row r="21202" spans="4:6" x14ac:dyDescent="0.2">
      <c r="D21202" s="25"/>
      <c r="F21202" s="21"/>
    </row>
    <row r="21203" spans="4:6" x14ac:dyDescent="0.2">
      <c r="D21203" s="25"/>
      <c r="F21203" s="21"/>
    </row>
    <row r="21204" spans="4:6" x14ac:dyDescent="0.2">
      <c r="D21204" s="25"/>
      <c r="F21204" s="21"/>
    </row>
    <row r="21205" spans="4:6" x14ac:dyDescent="0.2">
      <c r="D21205" s="25"/>
      <c r="F21205" s="21"/>
    </row>
    <row r="21206" spans="4:6" x14ac:dyDescent="0.2">
      <c r="D21206" s="25"/>
      <c r="F21206" s="21"/>
    </row>
    <row r="21207" spans="4:6" x14ac:dyDescent="0.2">
      <c r="D21207" s="25"/>
      <c r="F21207" s="21"/>
    </row>
    <row r="21208" spans="4:6" x14ac:dyDescent="0.2">
      <c r="D21208" s="25"/>
      <c r="F21208" s="21"/>
    </row>
    <row r="21209" spans="4:6" x14ac:dyDescent="0.2">
      <c r="D21209" s="25"/>
      <c r="F21209" s="21"/>
    </row>
    <row r="21210" spans="4:6" x14ac:dyDescent="0.2">
      <c r="D21210" s="25"/>
      <c r="F21210" s="21"/>
    </row>
    <row r="21211" spans="4:6" x14ac:dyDescent="0.2">
      <c r="D21211" s="25"/>
      <c r="F21211" s="21"/>
    </row>
    <row r="21212" spans="4:6" x14ac:dyDescent="0.2">
      <c r="D21212" s="25"/>
      <c r="F21212" s="21"/>
    </row>
    <row r="21213" spans="4:6" x14ac:dyDescent="0.2">
      <c r="D21213" s="25"/>
      <c r="F21213" s="21"/>
    </row>
    <row r="21214" spans="4:6" x14ac:dyDescent="0.2">
      <c r="D21214" s="25"/>
      <c r="F21214" s="21"/>
    </row>
    <row r="21215" spans="4:6" x14ac:dyDescent="0.2">
      <c r="D21215" s="25"/>
      <c r="F21215" s="21"/>
    </row>
    <row r="21216" spans="4:6" x14ac:dyDescent="0.2">
      <c r="D21216" s="25"/>
      <c r="F21216" s="21"/>
    </row>
    <row r="21217" spans="4:6" x14ac:dyDescent="0.2">
      <c r="D21217" s="25"/>
      <c r="F21217" s="21"/>
    </row>
    <row r="21218" spans="4:6" x14ac:dyDescent="0.2">
      <c r="D21218" s="25"/>
      <c r="F21218" s="21"/>
    </row>
    <row r="21219" spans="4:6" x14ac:dyDescent="0.2">
      <c r="D21219" s="25"/>
      <c r="F21219" s="21"/>
    </row>
    <row r="21220" spans="4:6" x14ac:dyDescent="0.2">
      <c r="D21220" s="25"/>
      <c r="F21220" s="21"/>
    </row>
    <row r="21221" spans="4:6" x14ac:dyDescent="0.2">
      <c r="D21221" s="25"/>
      <c r="F21221" s="21"/>
    </row>
    <row r="21222" spans="4:6" x14ac:dyDescent="0.2">
      <c r="D21222" s="25"/>
      <c r="F21222" s="21"/>
    </row>
    <row r="21223" spans="4:6" x14ac:dyDescent="0.2">
      <c r="D21223" s="25"/>
      <c r="F21223" s="21"/>
    </row>
    <row r="21224" spans="4:6" x14ac:dyDescent="0.2">
      <c r="D21224" s="25"/>
      <c r="F21224" s="21"/>
    </row>
    <row r="21225" spans="4:6" x14ac:dyDescent="0.2">
      <c r="D21225" s="25"/>
      <c r="F21225" s="21"/>
    </row>
    <row r="21226" spans="4:6" x14ac:dyDescent="0.2">
      <c r="D21226" s="25"/>
      <c r="F21226" s="21"/>
    </row>
    <row r="21227" spans="4:6" x14ac:dyDescent="0.2">
      <c r="D21227" s="25"/>
      <c r="F21227" s="21"/>
    </row>
    <row r="21228" spans="4:6" x14ac:dyDescent="0.2">
      <c r="D21228" s="25"/>
      <c r="F21228" s="21"/>
    </row>
    <row r="21229" spans="4:6" x14ac:dyDescent="0.2">
      <c r="D21229" s="25"/>
      <c r="F21229" s="21"/>
    </row>
    <row r="21230" spans="4:6" x14ac:dyDescent="0.2">
      <c r="D21230" s="25"/>
      <c r="F21230" s="21"/>
    </row>
    <row r="21231" spans="4:6" x14ac:dyDescent="0.2">
      <c r="D21231" s="25"/>
      <c r="F21231" s="21"/>
    </row>
    <row r="21232" spans="4:6" x14ac:dyDescent="0.2">
      <c r="D21232" s="25"/>
      <c r="F21232" s="21"/>
    </row>
    <row r="21233" spans="4:6" x14ac:dyDescent="0.2">
      <c r="D21233" s="25"/>
      <c r="F21233" s="21"/>
    </row>
    <row r="21234" spans="4:6" x14ac:dyDescent="0.2">
      <c r="D21234" s="25"/>
      <c r="F21234" s="21"/>
    </row>
    <row r="21235" spans="4:6" x14ac:dyDescent="0.2">
      <c r="D21235" s="25"/>
      <c r="F21235" s="21"/>
    </row>
    <row r="21236" spans="4:6" x14ac:dyDescent="0.2">
      <c r="D21236" s="25"/>
      <c r="F21236" s="21"/>
    </row>
    <row r="21237" spans="4:6" x14ac:dyDescent="0.2">
      <c r="D21237" s="25"/>
      <c r="F21237" s="21"/>
    </row>
    <row r="21238" spans="4:6" x14ac:dyDescent="0.2">
      <c r="D21238" s="25"/>
      <c r="F21238" s="21"/>
    </row>
    <row r="21239" spans="4:6" x14ac:dyDescent="0.2">
      <c r="D21239" s="25"/>
      <c r="F21239" s="21"/>
    </row>
    <row r="21240" spans="4:6" x14ac:dyDescent="0.2">
      <c r="D21240" s="25"/>
      <c r="F21240" s="21"/>
    </row>
    <row r="21241" spans="4:6" x14ac:dyDescent="0.2">
      <c r="D21241" s="25"/>
      <c r="F21241" s="21"/>
    </row>
    <row r="21242" spans="4:6" x14ac:dyDescent="0.2">
      <c r="D21242" s="25"/>
      <c r="F21242" s="21"/>
    </row>
    <row r="21243" spans="4:6" x14ac:dyDescent="0.2">
      <c r="D21243" s="25"/>
      <c r="F21243" s="21"/>
    </row>
    <row r="21244" spans="4:6" x14ac:dyDescent="0.2">
      <c r="D21244" s="25"/>
      <c r="F21244" s="21"/>
    </row>
    <row r="21245" spans="4:6" x14ac:dyDescent="0.2">
      <c r="D21245" s="25"/>
      <c r="F21245" s="21"/>
    </row>
    <row r="21246" spans="4:6" x14ac:dyDescent="0.2">
      <c r="D21246" s="25"/>
      <c r="F21246" s="21"/>
    </row>
    <row r="21247" spans="4:6" x14ac:dyDescent="0.2">
      <c r="D21247" s="25"/>
      <c r="F21247" s="21"/>
    </row>
    <row r="21248" spans="4:6" x14ac:dyDescent="0.2">
      <c r="D21248" s="25"/>
      <c r="F21248" s="21"/>
    </row>
    <row r="21249" spans="4:6" x14ac:dyDescent="0.2">
      <c r="D21249" s="25"/>
      <c r="F21249" s="21"/>
    </row>
    <row r="21250" spans="4:6" x14ac:dyDescent="0.2">
      <c r="D21250" s="25"/>
      <c r="F21250" s="21"/>
    </row>
    <row r="21251" spans="4:6" x14ac:dyDescent="0.2">
      <c r="D21251" s="25"/>
      <c r="F21251" s="21"/>
    </row>
    <row r="21252" spans="4:6" x14ac:dyDescent="0.2">
      <c r="D21252" s="25"/>
      <c r="F21252" s="21"/>
    </row>
    <row r="21253" spans="4:6" x14ac:dyDescent="0.2">
      <c r="D21253" s="25"/>
      <c r="F21253" s="21"/>
    </row>
    <row r="21254" spans="4:6" x14ac:dyDescent="0.2">
      <c r="D21254" s="25"/>
      <c r="F21254" s="21"/>
    </row>
    <row r="21255" spans="4:6" x14ac:dyDescent="0.2">
      <c r="D21255" s="25"/>
      <c r="F21255" s="21"/>
    </row>
    <row r="21256" spans="4:6" x14ac:dyDescent="0.2">
      <c r="D21256" s="25"/>
      <c r="F21256" s="21"/>
    </row>
    <row r="21257" spans="4:6" x14ac:dyDescent="0.2">
      <c r="D21257" s="25"/>
      <c r="F21257" s="21"/>
    </row>
    <row r="21258" spans="4:6" x14ac:dyDescent="0.2">
      <c r="D21258" s="25"/>
      <c r="F21258" s="21"/>
    </row>
    <row r="21259" spans="4:6" x14ac:dyDescent="0.2">
      <c r="D21259" s="25"/>
      <c r="F21259" s="21"/>
    </row>
    <row r="21260" spans="4:6" x14ac:dyDescent="0.2">
      <c r="D21260" s="25"/>
      <c r="F21260" s="21"/>
    </row>
    <row r="21261" spans="4:6" x14ac:dyDescent="0.2">
      <c r="D21261" s="25"/>
      <c r="F21261" s="21"/>
    </row>
    <row r="21262" spans="4:6" x14ac:dyDescent="0.2">
      <c r="D21262" s="25"/>
      <c r="F21262" s="21"/>
    </row>
    <row r="21263" spans="4:6" x14ac:dyDescent="0.2">
      <c r="D21263" s="25"/>
      <c r="F21263" s="21"/>
    </row>
    <row r="21264" spans="4:6" x14ac:dyDescent="0.2">
      <c r="D21264" s="25"/>
      <c r="F21264" s="21"/>
    </row>
    <row r="21265" spans="4:6" x14ac:dyDescent="0.2">
      <c r="D21265" s="25"/>
      <c r="F21265" s="21"/>
    </row>
    <row r="21266" spans="4:6" x14ac:dyDescent="0.2">
      <c r="D21266" s="25"/>
      <c r="F21266" s="21"/>
    </row>
    <row r="21267" spans="4:6" x14ac:dyDescent="0.2">
      <c r="D21267" s="25"/>
      <c r="F21267" s="21"/>
    </row>
    <row r="21268" spans="4:6" x14ac:dyDescent="0.2">
      <c r="D21268" s="25"/>
      <c r="F21268" s="21"/>
    </row>
    <row r="21269" spans="4:6" x14ac:dyDescent="0.2">
      <c r="D21269" s="25"/>
      <c r="F21269" s="21"/>
    </row>
    <row r="21270" spans="4:6" x14ac:dyDescent="0.2">
      <c r="D21270" s="25"/>
      <c r="F21270" s="21"/>
    </row>
    <row r="21271" spans="4:6" x14ac:dyDescent="0.2">
      <c r="D21271" s="25"/>
      <c r="F21271" s="21"/>
    </row>
    <row r="21272" spans="4:6" x14ac:dyDescent="0.2">
      <c r="D21272" s="25"/>
      <c r="F21272" s="21"/>
    </row>
    <row r="21273" spans="4:6" x14ac:dyDescent="0.2">
      <c r="D21273" s="25"/>
      <c r="F21273" s="21"/>
    </row>
    <row r="21274" spans="4:6" x14ac:dyDescent="0.2">
      <c r="D21274" s="25"/>
      <c r="F21274" s="21"/>
    </row>
    <row r="21275" spans="4:6" x14ac:dyDescent="0.2">
      <c r="D21275" s="25"/>
      <c r="F21275" s="21"/>
    </row>
    <row r="21276" spans="4:6" x14ac:dyDescent="0.2">
      <c r="D21276" s="25"/>
      <c r="F21276" s="21"/>
    </row>
    <row r="21277" spans="4:6" x14ac:dyDescent="0.2">
      <c r="D21277" s="25"/>
      <c r="F21277" s="21"/>
    </row>
    <row r="21278" spans="4:6" x14ac:dyDescent="0.2">
      <c r="D21278" s="25"/>
      <c r="F21278" s="21"/>
    </row>
    <row r="21279" spans="4:6" x14ac:dyDescent="0.2">
      <c r="D21279" s="25"/>
      <c r="F21279" s="21"/>
    </row>
    <row r="21280" spans="4:6" x14ac:dyDescent="0.2">
      <c r="D21280" s="25"/>
      <c r="F21280" s="21"/>
    </row>
    <row r="21281" spans="4:6" x14ac:dyDescent="0.2">
      <c r="D21281" s="25"/>
      <c r="F21281" s="21"/>
    </row>
    <row r="21282" spans="4:6" x14ac:dyDescent="0.2">
      <c r="D21282" s="25"/>
      <c r="F21282" s="21"/>
    </row>
    <row r="21283" spans="4:6" x14ac:dyDescent="0.2">
      <c r="D21283" s="25"/>
      <c r="F21283" s="21"/>
    </row>
    <row r="21284" spans="4:6" x14ac:dyDescent="0.2">
      <c r="D21284" s="25"/>
      <c r="F21284" s="21"/>
    </row>
    <row r="21285" spans="4:6" x14ac:dyDescent="0.2">
      <c r="D21285" s="25"/>
      <c r="F21285" s="21"/>
    </row>
    <row r="21286" spans="4:6" x14ac:dyDescent="0.2">
      <c r="D21286" s="25"/>
      <c r="F21286" s="21"/>
    </row>
    <row r="21287" spans="4:6" x14ac:dyDescent="0.2">
      <c r="D21287" s="25"/>
      <c r="F21287" s="21"/>
    </row>
    <row r="21288" spans="4:6" x14ac:dyDescent="0.2">
      <c r="D21288" s="25"/>
      <c r="F21288" s="21"/>
    </row>
    <row r="21289" spans="4:6" x14ac:dyDescent="0.2">
      <c r="D21289" s="25"/>
      <c r="F21289" s="21"/>
    </row>
    <row r="21290" spans="4:6" x14ac:dyDescent="0.2">
      <c r="D21290" s="25"/>
      <c r="F21290" s="21"/>
    </row>
    <row r="21291" spans="4:6" x14ac:dyDescent="0.2">
      <c r="D21291" s="25"/>
      <c r="F21291" s="21"/>
    </row>
    <row r="21292" spans="4:6" x14ac:dyDescent="0.2">
      <c r="D21292" s="25"/>
      <c r="F21292" s="21"/>
    </row>
    <row r="21293" spans="4:6" x14ac:dyDescent="0.2">
      <c r="D21293" s="25"/>
      <c r="F21293" s="21"/>
    </row>
    <row r="21294" spans="4:6" x14ac:dyDescent="0.2">
      <c r="D21294" s="25"/>
      <c r="F21294" s="21"/>
    </row>
    <row r="21295" spans="4:6" x14ac:dyDescent="0.2">
      <c r="D21295" s="25"/>
      <c r="F21295" s="21"/>
    </row>
    <row r="21296" spans="4:6" x14ac:dyDescent="0.2">
      <c r="D21296" s="25"/>
      <c r="F21296" s="21"/>
    </row>
    <row r="21297" spans="4:6" x14ac:dyDescent="0.2">
      <c r="D21297" s="25"/>
      <c r="F21297" s="21"/>
    </row>
    <row r="21298" spans="4:6" x14ac:dyDescent="0.2">
      <c r="D21298" s="25"/>
      <c r="F21298" s="21"/>
    </row>
    <row r="21299" spans="4:6" x14ac:dyDescent="0.2">
      <c r="D21299" s="25"/>
      <c r="F21299" s="21"/>
    </row>
    <row r="21300" spans="4:6" x14ac:dyDescent="0.2">
      <c r="D21300" s="25"/>
      <c r="F21300" s="21"/>
    </row>
    <row r="21301" spans="4:6" x14ac:dyDescent="0.2">
      <c r="D21301" s="25"/>
      <c r="F21301" s="21"/>
    </row>
    <row r="21302" spans="4:6" x14ac:dyDescent="0.2">
      <c r="D21302" s="25"/>
      <c r="F21302" s="21"/>
    </row>
    <row r="21303" spans="4:6" x14ac:dyDescent="0.2">
      <c r="D21303" s="25"/>
      <c r="F21303" s="21"/>
    </row>
    <row r="21304" spans="4:6" x14ac:dyDescent="0.2">
      <c r="D21304" s="25"/>
      <c r="F21304" s="21"/>
    </row>
    <row r="21305" spans="4:6" x14ac:dyDescent="0.2">
      <c r="D21305" s="25"/>
      <c r="F21305" s="21"/>
    </row>
    <row r="21306" spans="4:6" x14ac:dyDescent="0.2">
      <c r="D21306" s="25"/>
      <c r="F21306" s="21"/>
    </row>
    <row r="21307" spans="4:6" x14ac:dyDescent="0.2">
      <c r="D21307" s="25"/>
      <c r="F21307" s="21"/>
    </row>
    <row r="21308" spans="4:6" x14ac:dyDescent="0.2">
      <c r="D21308" s="25"/>
      <c r="F21308" s="21"/>
    </row>
    <row r="21309" spans="4:6" x14ac:dyDescent="0.2">
      <c r="D21309" s="25"/>
      <c r="F21309" s="21"/>
    </row>
    <row r="21310" spans="4:6" x14ac:dyDescent="0.2">
      <c r="D21310" s="25"/>
      <c r="F21310" s="21"/>
    </row>
    <row r="21311" spans="4:6" x14ac:dyDescent="0.2">
      <c r="D21311" s="25"/>
      <c r="F21311" s="21"/>
    </row>
    <row r="21312" spans="4:6" x14ac:dyDescent="0.2">
      <c r="D21312" s="25"/>
      <c r="F21312" s="21"/>
    </row>
    <row r="21313" spans="4:6" x14ac:dyDescent="0.2">
      <c r="D21313" s="25"/>
      <c r="F21313" s="21"/>
    </row>
    <row r="21314" spans="4:6" x14ac:dyDescent="0.2">
      <c r="D21314" s="25"/>
      <c r="F21314" s="21"/>
    </row>
    <row r="21315" spans="4:6" x14ac:dyDescent="0.2">
      <c r="D21315" s="25"/>
      <c r="F21315" s="21"/>
    </row>
    <row r="21316" spans="4:6" x14ac:dyDescent="0.2">
      <c r="D21316" s="25"/>
      <c r="F21316" s="21"/>
    </row>
    <row r="21317" spans="4:6" x14ac:dyDescent="0.2">
      <c r="D21317" s="25"/>
      <c r="F21317" s="21"/>
    </row>
    <row r="21318" spans="4:6" x14ac:dyDescent="0.2">
      <c r="D21318" s="25"/>
      <c r="F21318" s="21"/>
    </row>
    <row r="21319" spans="4:6" x14ac:dyDescent="0.2">
      <c r="D21319" s="25"/>
      <c r="F21319" s="21"/>
    </row>
    <row r="21320" spans="4:6" x14ac:dyDescent="0.2">
      <c r="D21320" s="25"/>
      <c r="F21320" s="21"/>
    </row>
    <row r="21321" spans="4:6" x14ac:dyDescent="0.2">
      <c r="D21321" s="25"/>
      <c r="F21321" s="21"/>
    </row>
    <row r="21322" spans="4:6" x14ac:dyDescent="0.2">
      <c r="D21322" s="25"/>
      <c r="F21322" s="21"/>
    </row>
    <row r="21323" spans="4:6" x14ac:dyDescent="0.2">
      <c r="D21323" s="25"/>
      <c r="F21323" s="21"/>
    </row>
    <row r="21324" spans="4:6" x14ac:dyDescent="0.2">
      <c r="D21324" s="25"/>
      <c r="F21324" s="21"/>
    </row>
    <row r="21325" spans="4:6" x14ac:dyDescent="0.2">
      <c r="D21325" s="25"/>
      <c r="F21325" s="21"/>
    </row>
    <row r="21326" spans="4:6" x14ac:dyDescent="0.2">
      <c r="D21326" s="25"/>
      <c r="F21326" s="21"/>
    </row>
    <row r="21327" spans="4:6" x14ac:dyDescent="0.2">
      <c r="D21327" s="25"/>
      <c r="F21327" s="21"/>
    </row>
    <row r="21328" spans="4:6" x14ac:dyDescent="0.2">
      <c r="D21328" s="25"/>
      <c r="F21328" s="21"/>
    </row>
    <row r="21329" spans="4:6" x14ac:dyDescent="0.2">
      <c r="D21329" s="25"/>
      <c r="F21329" s="21"/>
    </row>
    <row r="21330" spans="4:6" x14ac:dyDescent="0.2">
      <c r="D21330" s="25"/>
      <c r="F21330" s="21"/>
    </row>
    <row r="21331" spans="4:6" x14ac:dyDescent="0.2">
      <c r="D21331" s="25"/>
      <c r="F21331" s="21"/>
    </row>
    <row r="21332" spans="4:6" x14ac:dyDescent="0.2">
      <c r="D21332" s="25"/>
      <c r="F21332" s="21"/>
    </row>
    <row r="21333" spans="4:6" x14ac:dyDescent="0.2">
      <c r="D21333" s="25"/>
      <c r="F21333" s="21"/>
    </row>
    <row r="21334" spans="4:6" x14ac:dyDescent="0.2">
      <c r="D21334" s="25"/>
      <c r="F21334" s="21"/>
    </row>
    <row r="21335" spans="4:6" x14ac:dyDescent="0.2">
      <c r="D21335" s="25"/>
      <c r="F21335" s="21"/>
    </row>
    <row r="21336" spans="4:6" x14ac:dyDescent="0.2">
      <c r="D21336" s="25"/>
      <c r="F21336" s="21"/>
    </row>
    <row r="21337" spans="4:6" x14ac:dyDescent="0.2">
      <c r="D21337" s="25"/>
      <c r="F21337" s="21"/>
    </row>
    <row r="21338" spans="4:6" x14ac:dyDescent="0.2">
      <c r="D21338" s="25"/>
      <c r="F21338" s="21"/>
    </row>
    <row r="21339" spans="4:6" x14ac:dyDescent="0.2">
      <c r="D21339" s="25"/>
      <c r="F21339" s="21"/>
    </row>
    <row r="21340" spans="4:6" x14ac:dyDescent="0.2">
      <c r="D21340" s="25"/>
      <c r="F21340" s="21"/>
    </row>
    <row r="21341" spans="4:6" x14ac:dyDescent="0.2">
      <c r="D21341" s="25"/>
      <c r="F21341" s="21"/>
    </row>
    <row r="21342" spans="4:6" x14ac:dyDescent="0.2">
      <c r="D21342" s="25"/>
      <c r="F21342" s="21"/>
    </row>
    <row r="21343" spans="4:6" x14ac:dyDescent="0.2">
      <c r="D21343" s="25"/>
      <c r="F21343" s="21"/>
    </row>
    <row r="21344" spans="4:6" x14ac:dyDescent="0.2">
      <c r="D21344" s="25"/>
      <c r="F21344" s="21"/>
    </row>
    <row r="21345" spans="4:6" x14ac:dyDescent="0.2">
      <c r="D21345" s="25"/>
      <c r="F21345" s="21"/>
    </row>
    <row r="21346" spans="4:6" x14ac:dyDescent="0.2">
      <c r="D21346" s="25"/>
      <c r="F21346" s="21"/>
    </row>
    <row r="21347" spans="4:6" x14ac:dyDescent="0.2">
      <c r="D21347" s="25"/>
      <c r="F21347" s="21"/>
    </row>
    <row r="21348" spans="4:6" x14ac:dyDescent="0.2">
      <c r="D21348" s="25"/>
      <c r="F21348" s="21"/>
    </row>
    <row r="21349" spans="4:6" x14ac:dyDescent="0.2">
      <c r="D21349" s="25"/>
      <c r="F21349" s="21"/>
    </row>
    <row r="21350" spans="4:6" x14ac:dyDescent="0.2">
      <c r="D21350" s="25"/>
      <c r="F21350" s="21"/>
    </row>
    <row r="21351" spans="4:6" x14ac:dyDescent="0.2">
      <c r="D21351" s="25"/>
      <c r="F21351" s="21"/>
    </row>
    <row r="21352" spans="4:6" x14ac:dyDescent="0.2">
      <c r="D21352" s="25"/>
      <c r="F21352" s="21"/>
    </row>
    <row r="21353" spans="4:6" x14ac:dyDescent="0.2">
      <c r="D21353" s="25"/>
      <c r="F21353" s="21"/>
    </row>
    <row r="21354" spans="4:6" x14ac:dyDescent="0.2">
      <c r="D21354" s="25"/>
      <c r="F21354" s="21"/>
    </row>
    <row r="21355" spans="4:6" x14ac:dyDescent="0.2">
      <c r="D21355" s="25"/>
      <c r="F21355" s="21"/>
    </row>
    <row r="21356" spans="4:6" x14ac:dyDescent="0.2">
      <c r="D21356" s="25"/>
      <c r="F21356" s="21"/>
    </row>
    <row r="21357" spans="4:6" x14ac:dyDescent="0.2">
      <c r="D21357" s="25"/>
      <c r="F21357" s="21"/>
    </row>
    <row r="21358" spans="4:6" x14ac:dyDescent="0.2">
      <c r="D21358" s="25"/>
      <c r="F21358" s="21"/>
    </row>
    <row r="21359" spans="4:6" x14ac:dyDescent="0.2">
      <c r="D21359" s="25"/>
      <c r="F21359" s="21"/>
    </row>
    <row r="21360" spans="4:6" x14ac:dyDescent="0.2">
      <c r="D21360" s="25"/>
      <c r="F21360" s="21"/>
    </row>
    <row r="21361" spans="4:6" x14ac:dyDescent="0.2">
      <c r="D21361" s="25"/>
      <c r="F21361" s="21"/>
    </row>
    <row r="21362" spans="4:6" x14ac:dyDescent="0.2">
      <c r="D21362" s="25"/>
      <c r="F21362" s="21"/>
    </row>
    <row r="21363" spans="4:6" x14ac:dyDescent="0.2">
      <c r="D21363" s="25"/>
      <c r="F21363" s="21"/>
    </row>
    <row r="21364" spans="4:6" x14ac:dyDescent="0.2">
      <c r="D21364" s="25"/>
      <c r="F21364" s="21"/>
    </row>
    <row r="21365" spans="4:6" x14ac:dyDescent="0.2">
      <c r="D21365" s="25"/>
      <c r="F21365" s="21"/>
    </row>
    <row r="21366" spans="4:6" x14ac:dyDescent="0.2">
      <c r="D21366" s="25"/>
      <c r="F21366" s="21"/>
    </row>
    <row r="21367" spans="4:6" x14ac:dyDescent="0.2">
      <c r="D21367" s="25"/>
      <c r="F21367" s="21"/>
    </row>
    <row r="21368" spans="4:6" x14ac:dyDescent="0.2">
      <c r="D21368" s="25"/>
      <c r="F21368" s="21"/>
    </row>
    <row r="21369" spans="4:6" x14ac:dyDescent="0.2">
      <c r="D21369" s="25"/>
      <c r="F21369" s="21"/>
    </row>
    <row r="21370" spans="4:6" x14ac:dyDescent="0.2">
      <c r="D21370" s="25"/>
      <c r="F21370" s="21"/>
    </row>
    <row r="21371" spans="4:6" x14ac:dyDescent="0.2">
      <c r="D21371" s="25"/>
      <c r="F21371" s="21"/>
    </row>
    <row r="21372" spans="4:6" x14ac:dyDescent="0.2">
      <c r="D21372" s="25"/>
      <c r="F21372" s="21"/>
    </row>
    <row r="21373" spans="4:6" x14ac:dyDescent="0.2">
      <c r="D21373" s="25"/>
      <c r="F21373" s="21"/>
    </row>
    <row r="21374" spans="4:6" x14ac:dyDescent="0.2">
      <c r="D21374" s="25"/>
      <c r="F21374" s="21"/>
    </row>
    <row r="21375" spans="4:6" x14ac:dyDescent="0.2">
      <c r="D21375" s="25"/>
      <c r="F21375" s="21"/>
    </row>
    <row r="21376" spans="4:6" x14ac:dyDescent="0.2">
      <c r="D21376" s="25"/>
      <c r="F21376" s="21"/>
    </row>
    <row r="21377" spans="4:6" x14ac:dyDescent="0.2">
      <c r="D21377" s="25"/>
      <c r="F21377" s="21"/>
    </row>
    <row r="21378" spans="4:6" x14ac:dyDescent="0.2">
      <c r="D21378" s="25"/>
      <c r="F21378" s="21"/>
    </row>
    <row r="21379" spans="4:6" x14ac:dyDescent="0.2">
      <c r="D21379" s="25"/>
      <c r="F21379" s="21"/>
    </row>
    <row r="21380" spans="4:6" x14ac:dyDescent="0.2">
      <c r="D21380" s="25"/>
      <c r="F21380" s="21"/>
    </row>
    <row r="21381" spans="4:6" x14ac:dyDescent="0.2">
      <c r="D21381" s="25"/>
      <c r="F21381" s="21"/>
    </row>
    <row r="21382" spans="4:6" x14ac:dyDescent="0.2">
      <c r="D21382" s="25"/>
      <c r="F21382" s="21"/>
    </row>
    <row r="21383" spans="4:6" x14ac:dyDescent="0.2">
      <c r="D21383" s="25"/>
      <c r="F21383" s="21"/>
    </row>
    <row r="21384" spans="4:6" x14ac:dyDescent="0.2">
      <c r="D21384" s="25"/>
      <c r="F21384" s="21"/>
    </row>
    <row r="21385" spans="4:6" x14ac:dyDescent="0.2">
      <c r="D21385" s="25"/>
      <c r="F21385" s="21"/>
    </row>
    <row r="21386" spans="4:6" x14ac:dyDescent="0.2">
      <c r="D21386" s="25"/>
      <c r="F21386" s="21"/>
    </row>
    <row r="21387" spans="4:6" x14ac:dyDescent="0.2">
      <c r="D21387" s="25"/>
      <c r="F21387" s="21"/>
    </row>
    <row r="21388" spans="4:6" x14ac:dyDescent="0.2">
      <c r="D21388" s="25"/>
      <c r="F21388" s="21"/>
    </row>
    <row r="21389" spans="4:6" x14ac:dyDescent="0.2">
      <c r="D21389" s="25"/>
      <c r="F21389" s="21"/>
    </row>
    <row r="21390" spans="4:6" x14ac:dyDescent="0.2">
      <c r="D21390" s="25"/>
      <c r="F21390" s="21"/>
    </row>
    <row r="21391" spans="4:6" x14ac:dyDescent="0.2">
      <c r="D21391" s="25"/>
      <c r="F21391" s="21"/>
    </row>
    <row r="21392" spans="4:6" x14ac:dyDescent="0.2">
      <c r="D21392" s="25"/>
      <c r="F21392" s="21"/>
    </row>
    <row r="21393" spans="4:6" x14ac:dyDescent="0.2">
      <c r="D21393" s="25"/>
      <c r="F21393" s="21"/>
    </row>
    <row r="21394" spans="4:6" x14ac:dyDescent="0.2">
      <c r="D21394" s="25"/>
      <c r="F21394" s="21"/>
    </row>
    <row r="21395" spans="4:6" x14ac:dyDescent="0.2">
      <c r="D21395" s="25"/>
      <c r="F21395" s="21"/>
    </row>
    <row r="21396" spans="4:6" x14ac:dyDescent="0.2">
      <c r="D21396" s="25"/>
      <c r="F21396" s="21"/>
    </row>
    <row r="21397" spans="4:6" x14ac:dyDescent="0.2">
      <c r="D21397" s="25"/>
      <c r="F21397" s="21"/>
    </row>
    <row r="21398" spans="4:6" x14ac:dyDescent="0.2">
      <c r="D21398" s="25"/>
      <c r="F21398" s="21"/>
    </row>
    <row r="21399" spans="4:6" x14ac:dyDescent="0.2">
      <c r="D21399" s="25"/>
      <c r="F21399" s="21"/>
    </row>
    <row r="21400" spans="4:6" x14ac:dyDescent="0.2">
      <c r="D21400" s="25"/>
      <c r="F21400" s="21"/>
    </row>
    <row r="21401" spans="4:6" x14ac:dyDescent="0.2">
      <c r="D21401" s="25"/>
      <c r="F21401" s="21"/>
    </row>
    <row r="21402" spans="4:6" x14ac:dyDescent="0.2">
      <c r="D21402" s="25"/>
      <c r="F21402" s="21"/>
    </row>
    <row r="21403" spans="4:6" x14ac:dyDescent="0.2">
      <c r="D21403" s="25"/>
      <c r="F21403" s="21"/>
    </row>
    <row r="21404" spans="4:6" x14ac:dyDescent="0.2">
      <c r="D21404" s="25"/>
      <c r="F21404" s="21"/>
    </row>
    <row r="21405" spans="4:6" x14ac:dyDescent="0.2">
      <c r="D21405" s="25"/>
      <c r="F21405" s="21"/>
    </row>
    <row r="21406" spans="4:6" x14ac:dyDescent="0.2">
      <c r="D21406" s="25"/>
      <c r="F21406" s="21"/>
    </row>
    <row r="21407" spans="4:6" x14ac:dyDescent="0.2">
      <c r="D21407" s="25"/>
      <c r="F21407" s="21"/>
    </row>
    <row r="21408" spans="4:6" x14ac:dyDescent="0.2">
      <c r="D21408" s="25"/>
      <c r="F21408" s="21"/>
    </row>
    <row r="21409" spans="4:6" x14ac:dyDescent="0.2">
      <c r="D21409" s="25"/>
      <c r="F21409" s="21"/>
    </row>
    <row r="21410" spans="4:6" x14ac:dyDescent="0.2">
      <c r="D21410" s="25"/>
      <c r="F21410" s="21"/>
    </row>
    <row r="21411" spans="4:6" x14ac:dyDescent="0.2">
      <c r="D21411" s="25"/>
      <c r="F21411" s="21"/>
    </row>
    <row r="21412" spans="4:6" x14ac:dyDescent="0.2">
      <c r="D21412" s="25"/>
      <c r="F21412" s="21"/>
    </row>
    <row r="21413" spans="4:6" x14ac:dyDescent="0.2">
      <c r="D21413" s="25"/>
      <c r="F21413" s="21"/>
    </row>
    <row r="21414" spans="4:6" x14ac:dyDescent="0.2">
      <c r="D21414" s="25"/>
      <c r="F21414" s="21"/>
    </row>
    <row r="21415" spans="4:6" x14ac:dyDescent="0.2">
      <c r="D21415" s="25"/>
      <c r="F21415" s="21"/>
    </row>
    <row r="21416" spans="4:6" x14ac:dyDescent="0.2">
      <c r="D21416" s="25"/>
      <c r="F21416" s="21"/>
    </row>
    <row r="21417" spans="4:6" x14ac:dyDescent="0.2">
      <c r="D21417" s="25"/>
      <c r="F21417" s="21"/>
    </row>
    <row r="21418" spans="4:6" x14ac:dyDescent="0.2">
      <c r="D21418" s="25"/>
      <c r="F21418" s="21"/>
    </row>
    <row r="21419" spans="4:6" x14ac:dyDescent="0.2">
      <c r="D21419" s="25"/>
      <c r="F21419" s="21"/>
    </row>
    <row r="21420" spans="4:6" x14ac:dyDescent="0.2">
      <c r="D21420" s="25"/>
      <c r="F21420" s="21"/>
    </row>
    <row r="21421" spans="4:6" x14ac:dyDescent="0.2">
      <c r="D21421" s="25"/>
      <c r="F21421" s="21"/>
    </row>
    <row r="21422" spans="4:6" x14ac:dyDescent="0.2">
      <c r="D21422" s="25"/>
      <c r="F21422" s="21"/>
    </row>
    <row r="21423" spans="4:6" x14ac:dyDescent="0.2">
      <c r="D21423" s="25"/>
      <c r="F21423" s="21"/>
    </row>
    <row r="21424" spans="4:6" x14ac:dyDescent="0.2">
      <c r="D21424" s="25"/>
      <c r="F21424" s="21"/>
    </row>
    <row r="21425" spans="4:7" x14ac:dyDescent="0.2">
      <c r="D21425" s="25"/>
      <c r="F21425" s="21"/>
    </row>
    <row r="21426" spans="4:7" x14ac:dyDescent="0.2">
      <c r="D21426" s="25"/>
      <c r="F21426" s="21"/>
    </row>
    <row r="21427" spans="4:7" x14ac:dyDescent="0.2">
      <c r="D21427" s="25"/>
      <c r="F21427" s="21"/>
    </row>
    <row r="21428" spans="4:7" x14ac:dyDescent="0.2">
      <c r="D21428" s="25"/>
      <c r="F21428" s="21"/>
    </row>
    <row r="21429" spans="4:7" x14ac:dyDescent="0.2">
      <c r="D21429" s="25"/>
      <c r="F21429" s="21"/>
    </row>
    <row r="21430" spans="4:7" x14ac:dyDescent="0.2">
      <c r="D21430" s="25"/>
      <c r="F21430" s="21"/>
    </row>
    <row r="21431" spans="4:7" x14ac:dyDescent="0.2">
      <c r="D21431" s="25"/>
      <c r="F21431" s="21"/>
    </row>
    <row r="21432" spans="4:7" x14ac:dyDescent="0.2">
      <c r="D21432" s="25"/>
      <c r="F21432" s="21"/>
    </row>
    <row r="21433" spans="4:7" x14ac:dyDescent="0.2">
      <c r="D21433" s="25"/>
      <c r="F21433" s="21"/>
    </row>
    <row r="21434" spans="4:7" x14ac:dyDescent="0.2">
      <c r="D21434" s="25"/>
      <c r="F21434" s="21"/>
    </row>
    <row r="21435" spans="4:7" x14ac:dyDescent="0.2">
      <c r="D21435" s="25"/>
      <c r="F21435" s="21"/>
    </row>
    <row r="21436" spans="4:7" x14ac:dyDescent="0.2">
      <c r="D21436" s="25"/>
      <c r="F21436" s="21"/>
    </row>
    <row r="21437" spans="4:7" x14ac:dyDescent="0.2">
      <c r="D21437" s="25"/>
      <c r="F21437" s="21"/>
    </row>
    <row r="21438" spans="4:7" ht="15" x14ac:dyDescent="0.3">
      <c r="D21438" s="25"/>
      <c r="F21438" s="21"/>
      <c r="G21438" s="16"/>
    </row>
    <row r="21439" spans="4:7" ht="15" x14ac:dyDescent="0.3">
      <c r="D21439" s="25"/>
      <c r="F21439" s="21"/>
      <c r="G21439" s="16"/>
    </row>
    <row r="21440" spans="4:7" ht="15" x14ac:dyDescent="0.3">
      <c r="D21440" s="25"/>
      <c r="F21440" s="21"/>
      <c r="G21440" s="16"/>
    </row>
    <row r="21441" spans="4:7" ht="15" x14ac:dyDescent="0.3">
      <c r="D21441" s="25"/>
      <c r="F21441" s="21"/>
      <c r="G21441" s="16"/>
    </row>
    <row r="21442" spans="4:7" ht="15" x14ac:dyDescent="0.3">
      <c r="D21442" s="25"/>
      <c r="F21442" s="21"/>
      <c r="G21442" s="16"/>
    </row>
    <row r="21443" spans="4:7" ht="15" x14ac:dyDescent="0.3">
      <c r="D21443" s="25"/>
      <c r="F21443" s="21"/>
      <c r="G21443" s="16"/>
    </row>
    <row r="21444" spans="4:7" ht="15" x14ac:dyDescent="0.3">
      <c r="D21444" s="25"/>
      <c r="F21444" s="21"/>
      <c r="G21444" s="16"/>
    </row>
    <row r="21445" spans="4:7" ht="15" x14ac:dyDescent="0.3">
      <c r="D21445" s="25"/>
      <c r="F21445" s="21"/>
      <c r="G21445" s="16"/>
    </row>
    <row r="21446" spans="4:7" ht="15" x14ac:dyDescent="0.3">
      <c r="D21446" s="25"/>
      <c r="F21446" s="21"/>
      <c r="G21446" s="16"/>
    </row>
    <row r="21447" spans="4:7" ht="15" x14ac:dyDescent="0.3">
      <c r="D21447" s="25"/>
      <c r="F21447" s="21"/>
      <c r="G21447" s="16"/>
    </row>
    <row r="21448" spans="4:7" ht="15" x14ac:dyDescent="0.3">
      <c r="D21448" s="25"/>
      <c r="F21448" s="21"/>
      <c r="G21448" s="16"/>
    </row>
    <row r="21449" spans="4:7" ht="15" x14ac:dyDescent="0.3">
      <c r="D21449" s="25"/>
      <c r="F21449" s="21"/>
      <c r="G21449" s="16"/>
    </row>
    <row r="21450" spans="4:7" ht="15" x14ac:dyDescent="0.3">
      <c r="D21450" s="25"/>
      <c r="F21450" s="21"/>
      <c r="G21450" s="16"/>
    </row>
    <row r="21451" spans="4:7" ht="15" x14ac:dyDescent="0.3">
      <c r="D21451" s="25"/>
      <c r="F21451" s="21"/>
      <c r="G21451" s="16"/>
    </row>
    <row r="21452" spans="4:7" ht="15" x14ac:dyDescent="0.3">
      <c r="D21452" s="25"/>
      <c r="F21452" s="21"/>
      <c r="G21452" s="16"/>
    </row>
    <row r="21453" spans="4:7" ht="15" x14ac:dyDescent="0.3">
      <c r="D21453" s="25"/>
      <c r="F21453" s="21"/>
      <c r="G21453" s="16"/>
    </row>
    <row r="21454" spans="4:7" ht="15" x14ac:dyDescent="0.3">
      <c r="D21454" s="25"/>
      <c r="F21454" s="21"/>
      <c r="G21454" s="16"/>
    </row>
    <row r="21455" spans="4:7" ht="15" x14ac:dyDescent="0.3">
      <c r="D21455" s="25"/>
      <c r="F21455" s="21"/>
      <c r="G21455" s="16"/>
    </row>
    <row r="21456" spans="4:7" ht="15" x14ac:dyDescent="0.3">
      <c r="D21456" s="25"/>
      <c r="F21456" s="21"/>
      <c r="G21456" s="16"/>
    </row>
    <row r="21457" spans="4:7" ht="15" x14ac:dyDescent="0.3">
      <c r="D21457" s="25"/>
      <c r="F21457" s="21"/>
      <c r="G21457" s="16"/>
    </row>
    <row r="21458" spans="4:7" ht="15" x14ac:dyDescent="0.3">
      <c r="D21458" s="25"/>
      <c r="F21458" s="21"/>
      <c r="G21458" s="16"/>
    </row>
    <row r="21459" spans="4:7" ht="15" x14ac:dyDescent="0.3">
      <c r="D21459" s="25"/>
      <c r="F21459" s="21"/>
      <c r="G21459" s="16"/>
    </row>
    <row r="21460" spans="4:7" ht="15" x14ac:dyDescent="0.3">
      <c r="D21460" s="25"/>
      <c r="F21460" s="21"/>
      <c r="G21460" s="16"/>
    </row>
    <row r="21461" spans="4:7" ht="15" x14ac:dyDescent="0.3">
      <c r="D21461" s="25"/>
      <c r="F21461" s="21"/>
      <c r="G21461" s="16"/>
    </row>
    <row r="21462" spans="4:7" ht="15" x14ac:dyDescent="0.3">
      <c r="D21462" s="25"/>
      <c r="F21462" s="21"/>
      <c r="G21462" s="16"/>
    </row>
    <row r="21463" spans="4:7" ht="15" x14ac:dyDescent="0.3">
      <c r="D21463" s="25"/>
      <c r="F21463" s="21"/>
      <c r="G21463" s="16"/>
    </row>
    <row r="21464" spans="4:7" ht="15" x14ac:dyDescent="0.3">
      <c r="D21464" s="25"/>
      <c r="F21464" s="21"/>
      <c r="G21464" s="16"/>
    </row>
    <row r="21465" spans="4:7" ht="15" x14ac:dyDescent="0.3">
      <c r="D21465" s="25"/>
      <c r="F21465" s="21"/>
      <c r="G21465" s="16"/>
    </row>
    <row r="21466" spans="4:7" ht="15" x14ac:dyDescent="0.3">
      <c r="D21466" s="25"/>
      <c r="F21466" s="21"/>
      <c r="G21466" s="16"/>
    </row>
    <row r="21467" spans="4:7" ht="15" x14ac:dyDescent="0.3">
      <c r="D21467" s="25"/>
      <c r="F21467" s="21"/>
      <c r="G21467" s="16"/>
    </row>
    <row r="21468" spans="4:7" ht="15" x14ac:dyDescent="0.3">
      <c r="D21468" s="25"/>
      <c r="F21468" s="21"/>
      <c r="G21468" s="16"/>
    </row>
    <row r="21469" spans="4:7" ht="15" x14ac:dyDescent="0.3">
      <c r="D21469" s="25"/>
      <c r="F21469" s="21"/>
      <c r="G21469" s="16"/>
    </row>
    <row r="21470" spans="4:7" ht="15" x14ac:dyDescent="0.3">
      <c r="D21470" s="25"/>
      <c r="F21470" s="21"/>
      <c r="G21470" s="16"/>
    </row>
    <row r="21471" spans="4:7" ht="15" x14ac:dyDescent="0.3">
      <c r="D21471" s="25"/>
      <c r="F21471" s="21"/>
      <c r="G21471" s="16"/>
    </row>
    <row r="21472" spans="4:7" ht="15" x14ac:dyDescent="0.3">
      <c r="D21472" s="25"/>
      <c r="F21472" s="21"/>
      <c r="G21472" s="16"/>
    </row>
    <row r="21473" spans="4:7" ht="15" x14ac:dyDescent="0.3">
      <c r="D21473" s="25"/>
      <c r="F21473" s="21"/>
      <c r="G21473" s="16"/>
    </row>
    <row r="21474" spans="4:7" ht="15" x14ac:dyDescent="0.3">
      <c r="D21474" s="25"/>
      <c r="F21474" s="21"/>
      <c r="G21474" s="16"/>
    </row>
    <row r="21475" spans="4:7" ht="15" x14ac:dyDescent="0.3">
      <c r="D21475" s="25"/>
      <c r="F21475" s="21"/>
      <c r="G21475" s="16"/>
    </row>
    <row r="21476" spans="4:7" ht="15" x14ac:dyDescent="0.3">
      <c r="D21476" s="25"/>
      <c r="F21476" s="21"/>
      <c r="G21476" s="16"/>
    </row>
    <row r="21477" spans="4:7" ht="15" x14ac:dyDescent="0.3">
      <c r="D21477" s="25"/>
      <c r="F21477" s="21"/>
      <c r="G21477" s="16"/>
    </row>
    <row r="21478" spans="4:7" ht="15" x14ac:dyDescent="0.3">
      <c r="D21478" s="25"/>
      <c r="F21478" s="21"/>
      <c r="G21478" s="16"/>
    </row>
    <row r="21479" spans="4:7" ht="15" x14ac:dyDescent="0.3">
      <c r="D21479" s="25"/>
      <c r="F21479" s="21"/>
      <c r="G21479" s="16"/>
    </row>
    <row r="21480" spans="4:7" ht="15" x14ac:dyDescent="0.3">
      <c r="D21480" s="25"/>
      <c r="F21480" s="21"/>
      <c r="G21480" s="16"/>
    </row>
    <row r="21481" spans="4:7" ht="15" x14ac:dyDescent="0.3">
      <c r="D21481" s="25"/>
      <c r="F21481" s="21"/>
      <c r="G21481" s="16"/>
    </row>
    <row r="21482" spans="4:7" ht="15" x14ac:dyDescent="0.3">
      <c r="D21482" s="25"/>
      <c r="F21482" s="21"/>
      <c r="G21482" s="16"/>
    </row>
    <row r="21483" spans="4:7" ht="15" x14ac:dyDescent="0.3">
      <c r="D21483" s="25"/>
      <c r="F21483" s="21"/>
      <c r="G21483" s="16"/>
    </row>
    <row r="21484" spans="4:7" ht="15" x14ac:dyDescent="0.3">
      <c r="D21484" s="25"/>
      <c r="F21484" s="21"/>
      <c r="G21484" s="16"/>
    </row>
    <row r="21485" spans="4:7" ht="15" x14ac:dyDescent="0.3">
      <c r="D21485" s="25"/>
      <c r="F21485" s="21"/>
      <c r="G21485" s="16"/>
    </row>
    <row r="21486" spans="4:7" ht="15" x14ac:dyDescent="0.3">
      <c r="D21486" s="25"/>
      <c r="F21486" s="21"/>
      <c r="G21486" s="16"/>
    </row>
    <row r="21487" spans="4:7" ht="15" x14ac:dyDescent="0.3">
      <c r="D21487" s="25"/>
      <c r="F21487" s="21"/>
      <c r="G21487" s="16"/>
    </row>
    <row r="21488" spans="4:7" ht="15" x14ac:dyDescent="0.3">
      <c r="D21488" s="25"/>
      <c r="F21488" s="21"/>
      <c r="G21488" s="16"/>
    </row>
    <row r="21489" spans="4:7" ht="15" x14ac:dyDescent="0.3">
      <c r="D21489" s="25"/>
      <c r="F21489" s="21"/>
      <c r="G21489" s="16"/>
    </row>
    <row r="21490" spans="4:7" ht="15" x14ac:dyDescent="0.3">
      <c r="D21490" s="25"/>
      <c r="F21490" s="21"/>
      <c r="G21490" s="16"/>
    </row>
    <row r="21491" spans="4:7" ht="15" x14ac:dyDescent="0.3">
      <c r="D21491" s="25"/>
      <c r="F21491" s="21"/>
      <c r="G21491" s="16"/>
    </row>
    <row r="21492" spans="4:7" ht="15" x14ac:dyDescent="0.3">
      <c r="D21492" s="25"/>
      <c r="F21492" s="21"/>
      <c r="G21492" s="16"/>
    </row>
    <row r="21493" spans="4:7" ht="15" x14ac:dyDescent="0.3">
      <c r="D21493" s="25"/>
      <c r="F21493" s="21"/>
      <c r="G21493" s="16"/>
    </row>
    <row r="21494" spans="4:7" ht="15" x14ac:dyDescent="0.3">
      <c r="D21494" s="25"/>
      <c r="F21494" s="21"/>
      <c r="G21494" s="16"/>
    </row>
    <row r="21495" spans="4:7" ht="15" x14ac:dyDescent="0.3">
      <c r="D21495" s="25"/>
      <c r="F21495" s="21"/>
      <c r="G21495" s="16"/>
    </row>
    <row r="21496" spans="4:7" ht="15" x14ac:dyDescent="0.3">
      <c r="D21496" s="25"/>
      <c r="F21496" s="21"/>
      <c r="G21496" s="16"/>
    </row>
    <row r="21497" spans="4:7" ht="15" x14ac:dyDescent="0.3">
      <c r="D21497" s="25"/>
      <c r="F21497" s="21"/>
      <c r="G21497" s="16"/>
    </row>
    <row r="21498" spans="4:7" ht="15" x14ac:dyDescent="0.3">
      <c r="D21498" s="25"/>
      <c r="F21498" s="21"/>
      <c r="G21498" s="16"/>
    </row>
    <row r="21499" spans="4:7" ht="15" x14ac:dyDescent="0.3">
      <c r="D21499" s="25"/>
      <c r="F21499" s="21"/>
      <c r="G21499" s="16"/>
    </row>
    <row r="21500" spans="4:7" ht="15" x14ac:dyDescent="0.3">
      <c r="D21500" s="25"/>
      <c r="F21500" s="21"/>
      <c r="G21500" s="16"/>
    </row>
    <row r="21501" spans="4:7" ht="15" x14ac:dyDescent="0.3">
      <c r="D21501" s="25"/>
      <c r="F21501" s="21"/>
      <c r="G21501" s="16"/>
    </row>
    <row r="21502" spans="4:7" ht="15" x14ac:dyDescent="0.3">
      <c r="D21502" s="25"/>
      <c r="F21502" s="21"/>
      <c r="G21502" s="16"/>
    </row>
    <row r="21503" spans="4:7" ht="15" x14ac:dyDescent="0.3">
      <c r="D21503" s="25"/>
      <c r="F21503" s="21"/>
      <c r="G21503" s="16"/>
    </row>
    <row r="21504" spans="4:7" ht="15" x14ac:dyDescent="0.3">
      <c r="D21504" s="25"/>
      <c r="F21504" s="21"/>
      <c r="G21504" s="16"/>
    </row>
    <row r="21505" spans="4:7" ht="15" x14ac:dyDescent="0.3">
      <c r="D21505" s="25"/>
      <c r="F21505" s="21"/>
      <c r="G21505" s="16"/>
    </row>
    <row r="21506" spans="4:7" ht="15" x14ac:dyDescent="0.3">
      <c r="D21506" s="25"/>
      <c r="F21506" s="21"/>
      <c r="G21506" s="16"/>
    </row>
    <row r="21507" spans="4:7" ht="15" x14ac:dyDescent="0.3">
      <c r="D21507" s="25"/>
      <c r="F21507" s="21"/>
      <c r="G21507" s="16"/>
    </row>
    <row r="21508" spans="4:7" ht="15" x14ac:dyDescent="0.3">
      <c r="D21508" s="25"/>
      <c r="F21508" s="21"/>
      <c r="G21508" s="16"/>
    </row>
    <row r="21509" spans="4:7" ht="15" x14ac:dyDescent="0.3">
      <c r="D21509" s="25"/>
      <c r="F21509" s="21"/>
      <c r="G21509" s="16"/>
    </row>
    <row r="21510" spans="4:7" ht="15" x14ac:dyDescent="0.3">
      <c r="D21510" s="25"/>
      <c r="F21510" s="21"/>
      <c r="G21510" s="16"/>
    </row>
    <row r="21511" spans="4:7" ht="15" x14ac:dyDescent="0.3">
      <c r="D21511" s="25"/>
      <c r="F21511" s="21"/>
      <c r="G21511" s="16"/>
    </row>
    <row r="21512" spans="4:7" ht="15" x14ac:dyDescent="0.3">
      <c r="D21512" s="25"/>
      <c r="F21512" s="21"/>
      <c r="G21512" s="16"/>
    </row>
    <row r="21513" spans="4:7" ht="15" x14ac:dyDescent="0.3">
      <c r="D21513" s="25"/>
      <c r="F21513" s="21"/>
      <c r="G21513" s="16"/>
    </row>
    <row r="21514" spans="4:7" ht="15" x14ac:dyDescent="0.3">
      <c r="D21514" s="25"/>
      <c r="F21514" s="21"/>
      <c r="G21514" s="16"/>
    </row>
    <row r="21515" spans="4:7" ht="15" x14ac:dyDescent="0.3">
      <c r="D21515" s="25"/>
      <c r="F21515" s="21"/>
      <c r="G21515" s="16"/>
    </row>
    <row r="21516" spans="4:7" ht="15" x14ac:dyDescent="0.3">
      <c r="D21516" s="25"/>
      <c r="F21516" s="21"/>
      <c r="G21516" s="16"/>
    </row>
    <row r="21517" spans="4:7" ht="15" x14ac:dyDescent="0.3">
      <c r="D21517" s="25"/>
      <c r="F21517" s="21"/>
      <c r="G21517" s="16"/>
    </row>
    <row r="21518" spans="4:7" ht="15" x14ac:dyDescent="0.3">
      <c r="D21518" s="25"/>
      <c r="F21518" s="21"/>
      <c r="G21518" s="16"/>
    </row>
    <row r="21519" spans="4:7" ht="15" x14ac:dyDescent="0.3">
      <c r="D21519" s="25"/>
      <c r="F21519" s="21"/>
      <c r="G21519" s="16"/>
    </row>
    <row r="21520" spans="4:7" ht="15" x14ac:dyDescent="0.3">
      <c r="D21520" s="25"/>
      <c r="F21520" s="21"/>
      <c r="G21520" s="16"/>
    </row>
    <row r="21521" spans="4:7" ht="15" x14ac:dyDescent="0.3">
      <c r="D21521" s="25"/>
      <c r="F21521" s="21"/>
      <c r="G21521" s="16"/>
    </row>
    <row r="21522" spans="4:7" ht="15" x14ac:dyDescent="0.3">
      <c r="D21522" s="25"/>
      <c r="F21522" s="21"/>
      <c r="G21522" s="16"/>
    </row>
    <row r="21523" spans="4:7" ht="15" x14ac:dyDescent="0.3">
      <c r="D21523" s="25"/>
      <c r="F21523" s="21"/>
      <c r="G21523" s="16"/>
    </row>
    <row r="21524" spans="4:7" ht="15" x14ac:dyDescent="0.3">
      <c r="D21524" s="25"/>
      <c r="F21524" s="21"/>
      <c r="G21524" s="16"/>
    </row>
    <row r="21525" spans="4:7" ht="15" x14ac:dyDescent="0.3">
      <c r="D21525" s="25"/>
      <c r="F21525" s="21"/>
      <c r="G21525" s="16"/>
    </row>
    <row r="21526" spans="4:7" ht="15" x14ac:dyDescent="0.3">
      <c r="D21526" s="25"/>
      <c r="F21526" s="21"/>
      <c r="G21526" s="16"/>
    </row>
    <row r="21527" spans="4:7" ht="15" x14ac:dyDescent="0.3">
      <c r="D21527" s="25"/>
      <c r="F21527" s="21"/>
      <c r="G21527" s="16"/>
    </row>
    <row r="21528" spans="4:7" ht="15" x14ac:dyDescent="0.3">
      <c r="D21528" s="25"/>
      <c r="F21528" s="21"/>
      <c r="G21528" s="16"/>
    </row>
    <row r="21529" spans="4:7" ht="15" x14ac:dyDescent="0.3">
      <c r="D21529" s="25"/>
      <c r="F21529" s="21"/>
      <c r="G21529" s="16"/>
    </row>
    <row r="21530" spans="4:7" ht="15" x14ac:dyDescent="0.3">
      <c r="D21530" s="25"/>
      <c r="F21530" s="21"/>
      <c r="G21530" s="16"/>
    </row>
    <row r="21531" spans="4:7" ht="15" x14ac:dyDescent="0.3">
      <c r="D21531" s="25"/>
      <c r="F21531" s="21"/>
      <c r="G21531" s="16"/>
    </row>
    <row r="21532" spans="4:7" ht="15" x14ac:dyDescent="0.3">
      <c r="D21532" s="25"/>
      <c r="F21532" s="21"/>
      <c r="G21532" s="16"/>
    </row>
    <row r="21533" spans="4:7" ht="15" x14ac:dyDescent="0.3">
      <c r="D21533" s="25"/>
      <c r="F21533" s="21"/>
      <c r="G21533" s="16"/>
    </row>
    <row r="21534" spans="4:7" ht="15" x14ac:dyDescent="0.3">
      <c r="D21534" s="25"/>
      <c r="F21534" s="21"/>
      <c r="G21534" s="16"/>
    </row>
    <row r="21535" spans="4:7" ht="15" x14ac:dyDescent="0.3">
      <c r="D21535" s="25"/>
      <c r="F21535" s="21"/>
      <c r="G21535" s="16"/>
    </row>
    <row r="21536" spans="4:7" ht="15" x14ac:dyDescent="0.3">
      <c r="D21536" s="25"/>
      <c r="F21536" s="21"/>
      <c r="G21536" s="16"/>
    </row>
    <row r="21537" spans="4:7" ht="15" x14ac:dyDescent="0.3">
      <c r="D21537" s="25"/>
      <c r="F21537" s="21"/>
      <c r="G21537" s="16"/>
    </row>
    <row r="21538" spans="4:7" ht="15" x14ac:dyDescent="0.3">
      <c r="D21538" s="25"/>
      <c r="F21538" s="21"/>
      <c r="G21538" s="16"/>
    </row>
    <row r="21539" spans="4:7" ht="15" x14ac:dyDescent="0.3">
      <c r="D21539" s="25"/>
      <c r="F21539" s="21"/>
      <c r="G21539" s="16"/>
    </row>
    <row r="21540" spans="4:7" ht="15" x14ac:dyDescent="0.3">
      <c r="D21540" s="25"/>
      <c r="F21540" s="21"/>
      <c r="G21540" s="16"/>
    </row>
    <row r="21541" spans="4:7" ht="15" x14ac:dyDescent="0.3">
      <c r="D21541" s="25"/>
      <c r="F21541" s="21"/>
      <c r="G21541" s="16"/>
    </row>
    <row r="21542" spans="4:7" ht="15" x14ac:dyDescent="0.3">
      <c r="D21542" s="25"/>
      <c r="F21542" s="21"/>
      <c r="G21542" s="16"/>
    </row>
    <row r="21543" spans="4:7" ht="15" x14ac:dyDescent="0.3">
      <c r="D21543" s="25"/>
      <c r="F21543" s="21"/>
      <c r="G21543" s="16"/>
    </row>
    <row r="21544" spans="4:7" ht="15" x14ac:dyDescent="0.3">
      <c r="D21544" s="25"/>
      <c r="F21544" s="21"/>
      <c r="G21544" s="16"/>
    </row>
    <row r="21545" spans="4:7" ht="15" x14ac:dyDescent="0.3">
      <c r="D21545" s="25"/>
      <c r="F21545" s="21"/>
      <c r="G21545" s="16"/>
    </row>
    <row r="21546" spans="4:7" ht="15" x14ac:dyDescent="0.3">
      <c r="D21546" s="25"/>
      <c r="F21546" s="21"/>
      <c r="G21546" s="16"/>
    </row>
    <row r="21547" spans="4:7" ht="15" x14ac:dyDescent="0.3">
      <c r="D21547" s="25"/>
      <c r="F21547" s="21"/>
      <c r="G21547" s="16"/>
    </row>
    <row r="21548" spans="4:7" ht="15" x14ac:dyDescent="0.3">
      <c r="D21548" s="25"/>
      <c r="F21548" s="21"/>
      <c r="G21548" s="16"/>
    </row>
    <row r="21549" spans="4:7" ht="15" x14ac:dyDescent="0.3">
      <c r="D21549" s="25"/>
      <c r="F21549" s="21"/>
      <c r="G21549" s="16"/>
    </row>
    <row r="21550" spans="4:7" ht="15" x14ac:dyDescent="0.3">
      <c r="D21550" s="25"/>
      <c r="F21550" s="21"/>
      <c r="G21550" s="16"/>
    </row>
    <row r="21551" spans="4:7" ht="15" x14ac:dyDescent="0.3">
      <c r="D21551" s="25"/>
      <c r="F21551" s="21"/>
      <c r="G21551" s="16"/>
    </row>
    <row r="21552" spans="4:7" ht="15" x14ac:dyDescent="0.3">
      <c r="D21552" s="25"/>
      <c r="F21552" s="21"/>
      <c r="G21552" s="16"/>
    </row>
    <row r="21553" spans="4:7" ht="15" x14ac:dyDescent="0.3">
      <c r="D21553" s="25"/>
      <c r="F21553" s="21"/>
      <c r="G21553" s="16"/>
    </row>
    <row r="21554" spans="4:7" ht="15" x14ac:dyDescent="0.3">
      <c r="D21554" s="25"/>
      <c r="F21554" s="21"/>
      <c r="G21554" s="16"/>
    </row>
    <row r="21555" spans="4:7" ht="15" x14ac:dyDescent="0.3">
      <c r="D21555" s="25"/>
      <c r="F21555" s="21"/>
      <c r="G21555" s="16"/>
    </row>
    <row r="21556" spans="4:7" ht="15" x14ac:dyDescent="0.3">
      <c r="D21556" s="25"/>
      <c r="F21556" s="21"/>
      <c r="G21556" s="16"/>
    </row>
    <row r="21557" spans="4:7" ht="15" x14ac:dyDescent="0.3">
      <c r="D21557" s="25"/>
      <c r="F21557" s="21"/>
      <c r="G21557" s="16"/>
    </row>
    <row r="21558" spans="4:7" ht="15" x14ac:dyDescent="0.3">
      <c r="D21558" s="25"/>
      <c r="F21558" s="21"/>
      <c r="G21558" s="16"/>
    </row>
    <row r="21559" spans="4:7" ht="15" x14ac:dyDescent="0.3">
      <c r="D21559" s="25"/>
      <c r="F21559" s="21"/>
      <c r="G21559" s="16"/>
    </row>
    <row r="21560" spans="4:7" ht="15" x14ac:dyDescent="0.3">
      <c r="D21560" s="25"/>
      <c r="F21560" s="21"/>
      <c r="G21560" s="16"/>
    </row>
    <row r="21561" spans="4:7" ht="15" x14ac:dyDescent="0.3">
      <c r="D21561" s="25"/>
      <c r="F21561" s="21"/>
      <c r="G21561" s="16"/>
    </row>
    <row r="21562" spans="4:7" ht="15" x14ac:dyDescent="0.3">
      <c r="D21562" s="25"/>
      <c r="F21562" s="21"/>
      <c r="G21562" s="16"/>
    </row>
    <row r="21563" spans="4:7" ht="15" x14ac:dyDescent="0.3">
      <c r="D21563" s="25"/>
      <c r="F21563" s="21"/>
      <c r="G21563" s="16"/>
    </row>
    <row r="21564" spans="4:7" ht="15" x14ac:dyDescent="0.3">
      <c r="D21564" s="25"/>
      <c r="F21564" s="21"/>
      <c r="G21564" s="16"/>
    </row>
    <row r="21565" spans="4:7" ht="15" x14ac:dyDescent="0.3">
      <c r="D21565" s="25"/>
      <c r="F21565" s="21"/>
      <c r="G21565" s="16"/>
    </row>
    <row r="21566" spans="4:7" ht="15" x14ac:dyDescent="0.3">
      <c r="D21566" s="25"/>
      <c r="F21566" s="21"/>
      <c r="G21566" s="16"/>
    </row>
    <row r="21567" spans="4:7" ht="15" x14ac:dyDescent="0.3">
      <c r="D21567" s="25"/>
      <c r="F21567" s="21"/>
      <c r="G21567" s="16"/>
    </row>
    <row r="21568" spans="4:7" ht="15" x14ac:dyDescent="0.3">
      <c r="D21568" s="25"/>
      <c r="F21568" s="21"/>
      <c r="G21568" s="16"/>
    </row>
    <row r="21569" spans="4:7" ht="15" x14ac:dyDescent="0.3">
      <c r="D21569" s="25"/>
      <c r="F21569" s="21"/>
      <c r="G21569" s="16"/>
    </row>
    <row r="21570" spans="4:7" ht="15" x14ac:dyDescent="0.3">
      <c r="D21570" s="25"/>
      <c r="F21570" s="21"/>
      <c r="G21570" s="16"/>
    </row>
    <row r="21571" spans="4:7" ht="15" x14ac:dyDescent="0.3">
      <c r="D21571" s="25"/>
      <c r="F21571" s="21"/>
      <c r="G21571" s="16"/>
    </row>
    <row r="21572" spans="4:7" ht="15" x14ac:dyDescent="0.3">
      <c r="D21572" s="25"/>
      <c r="F21572" s="21"/>
      <c r="G21572" s="16"/>
    </row>
    <row r="21573" spans="4:7" ht="15" x14ac:dyDescent="0.3">
      <c r="D21573" s="25"/>
      <c r="F21573" s="21"/>
      <c r="G21573" s="16"/>
    </row>
    <row r="21574" spans="4:7" ht="15" x14ac:dyDescent="0.3">
      <c r="D21574" s="25"/>
      <c r="F21574" s="21"/>
      <c r="G21574" s="16"/>
    </row>
    <row r="21575" spans="4:7" ht="15" x14ac:dyDescent="0.3">
      <c r="D21575" s="25"/>
      <c r="F21575" s="21"/>
      <c r="G21575" s="16"/>
    </row>
    <row r="21576" spans="4:7" ht="15" x14ac:dyDescent="0.3">
      <c r="D21576" s="25"/>
      <c r="F21576" s="21"/>
      <c r="G21576" s="16"/>
    </row>
    <row r="21577" spans="4:7" ht="15" x14ac:dyDescent="0.3">
      <c r="D21577" s="25"/>
      <c r="F21577" s="21"/>
      <c r="G21577" s="16"/>
    </row>
    <row r="21578" spans="4:7" ht="15" x14ac:dyDescent="0.3">
      <c r="D21578" s="25"/>
      <c r="F21578" s="21"/>
      <c r="G21578" s="16"/>
    </row>
    <row r="21579" spans="4:7" ht="15" x14ac:dyDescent="0.3">
      <c r="D21579" s="25"/>
      <c r="F21579" s="21"/>
      <c r="G21579" s="16"/>
    </row>
    <row r="21580" spans="4:7" ht="15" x14ac:dyDescent="0.3">
      <c r="D21580" s="25"/>
      <c r="F21580" s="21"/>
      <c r="G21580" s="16"/>
    </row>
    <row r="21581" spans="4:7" ht="15" x14ac:dyDescent="0.3">
      <c r="D21581" s="25"/>
      <c r="F21581" s="21"/>
      <c r="G21581" s="16"/>
    </row>
    <row r="21582" spans="4:7" ht="15" x14ac:dyDescent="0.3">
      <c r="D21582" s="25"/>
      <c r="F21582" s="21"/>
      <c r="G21582" s="16"/>
    </row>
    <row r="21583" spans="4:7" ht="15" x14ac:dyDescent="0.3">
      <c r="D21583" s="25"/>
      <c r="F21583" s="21"/>
      <c r="G21583" s="16"/>
    </row>
    <row r="21584" spans="4:7" ht="15" x14ac:dyDescent="0.3">
      <c r="D21584" s="25"/>
      <c r="F21584" s="21"/>
      <c r="G21584" s="16"/>
    </row>
    <row r="21585" spans="4:7" ht="15" x14ac:dyDescent="0.3">
      <c r="D21585" s="25"/>
      <c r="F21585" s="21"/>
      <c r="G21585" s="16"/>
    </row>
    <row r="21586" spans="4:7" ht="15" x14ac:dyDescent="0.3">
      <c r="D21586" s="25"/>
      <c r="F21586" s="21"/>
      <c r="G21586" s="16"/>
    </row>
    <row r="21587" spans="4:7" ht="15" x14ac:dyDescent="0.3">
      <c r="D21587" s="25"/>
      <c r="F21587" s="21"/>
      <c r="G21587" s="16"/>
    </row>
    <row r="21588" spans="4:7" ht="15" x14ac:dyDescent="0.3">
      <c r="D21588" s="25"/>
      <c r="F21588" s="21"/>
      <c r="G21588" s="16"/>
    </row>
    <row r="21589" spans="4:7" ht="15" x14ac:dyDescent="0.3">
      <c r="D21589" s="25"/>
      <c r="F21589" s="21"/>
      <c r="G21589" s="16"/>
    </row>
    <row r="21590" spans="4:7" ht="15" x14ac:dyDescent="0.3">
      <c r="D21590" s="25"/>
      <c r="F21590" s="21"/>
      <c r="G21590" s="16"/>
    </row>
    <row r="21591" spans="4:7" ht="15" x14ac:dyDescent="0.3">
      <c r="D21591" s="25"/>
      <c r="F21591" s="21"/>
      <c r="G21591" s="16"/>
    </row>
    <row r="21592" spans="4:7" ht="15" x14ac:dyDescent="0.3">
      <c r="D21592" s="25"/>
      <c r="F21592" s="21"/>
      <c r="G21592" s="16"/>
    </row>
    <row r="21593" spans="4:7" ht="15" x14ac:dyDescent="0.3">
      <c r="D21593" s="25"/>
      <c r="F21593" s="21"/>
      <c r="G21593" s="16"/>
    </row>
    <row r="21594" spans="4:7" ht="15" x14ac:dyDescent="0.3">
      <c r="D21594" s="25"/>
      <c r="F21594" s="21"/>
      <c r="G21594" s="16"/>
    </row>
    <row r="21595" spans="4:7" ht="15" x14ac:dyDescent="0.3">
      <c r="D21595" s="25"/>
      <c r="F21595" s="21"/>
      <c r="G21595" s="16"/>
    </row>
    <row r="21596" spans="4:7" ht="15" x14ac:dyDescent="0.3">
      <c r="D21596" s="25"/>
      <c r="F21596" s="21"/>
      <c r="G21596" s="16"/>
    </row>
    <row r="21597" spans="4:7" ht="15" x14ac:dyDescent="0.3">
      <c r="D21597" s="25"/>
      <c r="F21597" s="21"/>
      <c r="G21597" s="16"/>
    </row>
    <row r="21598" spans="4:7" ht="15" x14ac:dyDescent="0.3">
      <c r="D21598" s="25"/>
      <c r="F21598" s="21"/>
      <c r="G21598" s="16"/>
    </row>
    <row r="21599" spans="4:7" ht="15" x14ac:dyDescent="0.3">
      <c r="D21599" s="25"/>
      <c r="F21599" s="21"/>
      <c r="G21599" s="16"/>
    </row>
    <row r="21600" spans="4:7" ht="15" x14ac:dyDescent="0.3">
      <c r="D21600" s="25"/>
      <c r="F21600" s="21"/>
      <c r="G21600" s="16"/>
    </row>
    <row r="21601" spans="4:7" ht="15" x14ac:dyDescent="0.3">
      <c r="D21601" s="25"/>
      <c r="F21601" s="21"/>
      <c r="G21601" s="16"/>
    </row>
    <row r="21602" spans="4:7" ht="15" x14ac:dyDescent="0.3">
      <c r="D21602" s="25"/>
      <c r="F21602" s="21"/>
      <c r="G21602" s="16"/>
    </row>
    <row r="21603" spans="4:7" ht="15" x14ac:dyDescent="0.3">
      <c r="D21603" s="25"/>
      <c r="F21603" s="21"/>
      <c r="G21603" s="16"/>
    </row>
    <row r="21604" spans="4:7" ht="15" x14ac:dyDescent="0.3">
      <c r="D21604" s="25"/>
      <c r="F21604" s="21"/>
      <c r="G21604" s="16"/>
    </row>
    <row r="21605" spans="4:7" ht="15" x14ac:dyDescent="0.3">
      <c r="D21605" s="25"/>
      <c r="F21605" s="21"/>
      <c r="G21605" s="16"/>
    </row>
    <row r="21606" spans="4:7" ht="15" x14ac:dyDescent="0.3">
      <c r="D21606" s="25"/>
      <c r="F21606" s="21"/>
      <c r="G21606" s="16"/>
    </row>
    <row r="21607" spans="4:7" ht="15" x14ac:dyDescent="0.3">
      <c r="D21607" s="25"/>
      <c r="F21607" s="21"/>
      <c r="G21607" s="16"/>
    </row>
    <row r="21608" spans="4:7" ht="15" x14ac:dyDescent="0.3">
      <c r="D21608" s="25"/>
      <c r="F21608" s="21"/>
      <c r="G21608" s="16"/>
    </row>
    <row r="21609" spans="4:7" ht="15" x14ac:dyDescent="0.3">
      <c r="D21609" s="25"/>
      <c r="F21609" s="21"/>
      <c r="G21609" s="16"/>
    </row>
    <row r="21610" spans="4:7" ht="15" x14ac:dyDescent="0.3">
      <c r="D21610" s="25"/>
      <c r="F21610" s="21"/>
      <c r="G21610" s="16"/>
    </row>
    <row r="21611" spans="4:7" ht="15" x14ac:dyDescent="0.3">
      <c r="D21611" s="25"/>
      <c r="F21611" s="21"/>
      <c r="G21611" s="16"/>
    </row>
    <row r="21612" spans="4:7" ht="15" x14ac:dyDescent="0.3">
      <c r="D21612" s="25"/>
      <c r="F21612" s="21"/>
      <c r="G21612" s="16"/>
    </row>
    <row r="21613" spans="4:7" ht="15" x14ac:dyDescent="0.3">
      <c r="D21613" s="25"/>
      <c r="F21613" s="21"/>
      <c r="G21613" s="16"/>
    </row>
    <row r="21614" spans="4:7" ht="15" x14ac:dyDescent="0.3">
      <c r="D21614" s="25"/>
      <c r="F21614" s="21"/>
      <c r="G21614" s="16"/>
    </row>
    <row r="21615" spans="4:7" ht="15" x14ac:dyDescent="0.3">
      <c r="D21615" s="25"/>
      <c r="F21615" s="21"/>
      <c r="G21615" s="16"/>
    </row>
    <row r="21616" spans="4:7" ht="15" x14ac:dyDescent="0.3">
      <c r="D21616" s="25"/>
      <c r="F21616" s="21"/>
      <c r="G21616" s="16"/>
    </row>
    <row r="21617" spans="4:7" ht="15" x14ac:dyDescent="0.3">
      <c r="D21617" s="25"/>
      <c r="F21617" s="21"/>
      <c r="G21617" s="16"/>
    </row>
    <row r="21618" spans="4:7" ht="15" x14ac:dyDescent="0.3">
      <c r="D21618" s="25"/>
      <c r="F21618" s="21"/>
      <c r="G21618" s="16"/>
    </row>
    <row r="21619" spans="4:7" ht="15" x14ac:dyDescent="0.3">
      <c r="D21619" s="25"/>
      <c r="F21619" s="21"/>
      <c r="G21619" s="16"/>
    </row>
    <row r="21620" spans="4:7" ht="15" x14ac:dyDescent="0.3">
      <c r="D21620" s="25"/>
      <c r="F21620" s="21"/>
      <c r="G21620" s="16"/>
    </row>
    <row r="21621" spans="4:7" ht="15" x14ac:dyDescent="0.3">
      <c r="D21621" s="25"/>
      <c r="F21621" s="21"/>
      <c r="G21621" s="16"/>
    </row>
    <row r="21622" spans="4:7" ht="15" x14ac:dyDescent="0.3">
      <c r="D21622" s="25"/>
      <c r="F21622" s="21"/>
      <c r="G21622" s="16"/>
    </row>
    <row r="21623" spans="4:7" ht="15" x14ac:dyDescent="0.3">
      <c r="D21623" s="25"/>
      <c r="F21623" s="21"/>
      <c r="G21623" s="16"/>
    </row>
    <row r="21624" spans="4:7" ht="15" x14ac:dyDescent="0.3">
      <c r="D21624" s="25"/>
      <c r="F21624" s="21"/>
      <c r="G21624" s="16"/>
    </row>
    <row r="21625" spans="4:7" ht="15" x14ac:dyDescent="0.3">
      <c r="D21625" s="25"/>
      <c r="F21625" s="21"/>
      <c r="G21625" s="16"/>
    </row>
    <row r="21626" spans="4:7" ht="15" x14ac:dyDescent="0.3">
      <c r="D21626" s="25"/>
      <c r="F21626" s="21"/>
      <c r="G21626" s="16"/>
    </row>
    <row r="21627" spans="4:7" ht="15" x14ac:dyDescent="0.3">
      <c r="D21627" s="25"/>
      <c r="F21627" s="21"/>
      <c r="G21627" s="16"/>
    </row>
    <row r="21628" spans="4:7" ht="15" x14ac:dyDescent="0.3">
      <c r="D21628" s="25"/>
      <c r="F21628" s="21"/>
      <c r="G21628" s="16"/>
    </row>
    <row r="21629" spans="4:7" ht="15" x14ac:dyDescent="0.3">
      <c r="D21629" s="25"/>
      <c r="F21629" s="21"/>
      <c r="G21629" s="16"/>
    </row>
    <row r="21630" spans="4:7" ht="15" x14ac:dyDescent="0.3">
      <c r="D21630" s="25"/>
      <c r="F21630" s="21"/>
      <c r="G21630" s="16"/>
    </row>
    <row r="21631" spans="4:7" ht="15" x14ac:dyDescent="0.3">
      <c r="D21631" s="25"/>
      <c r="F21631" s="21"/>
      <c r="G21631" s="16"/>
    </row>
    <row r="21632" spans="4:7" ht="15" x14ac:dyDescent="0.3">
      <c r="D21632" s="25"/>
      <c r="F21632" s="21"/>
      <c r="G21632" s="16"/>
    </row>
    <row r="21633" spans="4:7" ht="15" x14ac:dyDescent="0.3">
      <c r="D21633" s="25"/>
      <c r="F21633" s="21"/>
      <c r="G21633" s="16"/>
    </row>
    <row r="21634" spans="4:7" ht="15" x14ac:dyDescent="0.3">
      <c r="D21634" s="25"/>
      <c r="F21634" s="21"/>
      <c r="G21634" s="16"/>
    </row>
    <row r="21635" spans="4:7" ht="15" x14ac:dyDescent="0.3">
      <c r="D21635" s="25"/>
      <c r="F21635" s="21"/>
      <c r="G21635" s="16"/>
    </row>
    <row r="21636" spans="4:7" ht="15" x14ac:dyDescent="0.3">
      <c r="D21636" s="25"/>
      <c r="F21636" s="21"/>
      <c r="G21636" s="16"/>
    </row>
    <row r="21637" spans="4:7" ht="15" x14ac:dyDescent="0.3">
      <c r="D21637" s="25"/>
      <c r="F21637" s="21"/>
      <c r="G21637" s="16"/>
    </row>
    <row r="21638" spans="4:7" ht="15" x14ac:dyDescent="0.3">
      <c r="D21638" s="25"/>
      <c r="F21638" s="21"/>
      <c r="G21638" s="16"/>
    </row>
    <row r="21639" spans="4:7" ht="15" x14ac:dyDescent="0.3">
      <c r="D21639" s="25"/>
      <c r="F21639" s="21"/>
      <c r="G21639" s="16"/>
    </row>
    <row r="21640" spans="4:7" ht="15" x14ac:dyDescent="0.3">
      <c r="D21640" s="25"/>
      <c r="F21640" s="21"/>
      <c r="G21640" s="16"/>
    </row>
    <row r="21641" spans="4:7" ht="15" x14ac:dyDescent="0.3">
      <c r="D21641" s="25"/>
      <c r="F21641" s="21"/>
      <c r="G21641" s="16"/>
    </row>
    <row r="21642" spans="4:7" ht="15" x14ac:dyDescent="0.3">
      <c r="D21642" s="25"/>
      <c r="F21642" s="21"/>
      <c r="G21642" s="16"/>
    </row>
    <row r="21643" spans="4:7" ht="15" x14ac:dyDescent="0.3">
      <c r="D21643" s="25"/>
      <c r="F21643" s="21"/>
      <c r="G21643" s="16"/>
    </row>
    <row r="21644" spans="4:7" ht="15" x14ac:dyDescent="0.3">
      <c r="D21644" s="25"/>
      <c r="F21644" s="21"/>
      <c r="G21644" s="16"/>
    </row>
    <row r="21645" spans="4:7" ht="15" x14ac:dyDescent="0.3">
      <c r="D21645" s="25"/>
      <c r="F21645" s="21"/>
      <c r="G21645" s="16"/>
    </row>
    <row r="21646" spans="4:7" ht="15" x14ac:dyDescent="0.3">
      <c r="D21646" s="25"/>
      <c r="F21646" s="21"/>
      <c r="G21646" s="16"/>
    </row>
    <row r="21647" spans="4:7" ht="15" x14ac:dyDescent="0.3">
      <c r="D21647" s="25"/>
      <c r="F21647" s="21"/>
      <c r="G21647" s="16"/>
    </row>
    <row r="21648" spans="4:7" ht="15" x14ac:dyDescent="0.3">
      <c r="D21648" s="25"/>
      <c r="F21648" s="21"/>
      <c r="G21648" s="16"/>
    </row>
    <row r="21649" spans="4:7" ht="15" x14ac:dyDescent="0.3">
      <c r="D21649" s="25"/>
      <c r="F21649" s="21"/>
      <c r="G21649" s="16"/>
    </row>
    <row r="21650" spans="4:7" ht="15" x14ac:dyDescent="0.3">
      <c r="D21650" s="25"/>
      <c r="F21650" s="21"/>
      <c r="G21650" s="16"/>
    </row>
    <row r="21651" spans="4:7" ht="15" x14ac:dyDescent="0.3">
      <c r="D21651" s="25"/>
      <c r="F21651" s="21"/>
      <c r="G21651" s="16"/>
    </row>
    <row r="21652" spans="4:7" ht="15" x14ac:dyDescent="0.3">
      <c r="D21652" s="25"/>
      <c r="F21652" s="21"/>
      <c r="G21652" s="16"/>
    </row>
    <row r="21653" spans="4:7" ht="15" x14ac:dyDescent="0.3">
      <c r="D21653" s="25"/>
      <c r="F21653" s="21"/>
      <c r="G21653" s="16"/>
    </row>
    <row r="21654" spans="4:7" ht="15" x14ac:dyDescent="0.3">
      <c r="D21654" s="25"/>
      <c r="F21654" s="21"/>
      <c r="G21654" s="16"/>
    </row>
    <row r="21655" spans="4:7" ht="15" x14ac:dyDescent="0.3">
      <c r="D21655" s="25"/>
      <c r="F21655" s="21"/>
      <c r="G21655" s="16"/>
    </row>
    <row r="21656" spans="4:7" ht="15" x14ac:dyDescent="0.3">
      <c r="D21656" s="25"/>
      <c r="F21656" s="21"/>
      <c r="G21656" s="16"/>
    </row>
    <row r="21657" spans="4:7" ht="15" x14ac:dyDescent="0.3">
      <c r="D21657" s="25"/>
      <c r="F21657" s="21"/>
      <c r="G21657" s="16"/>
    </row>
    <row r="21658" spans="4:7" ht="15" x14ac:dyDescent="0.3">
      <c r="D21658" s="25"/>
      <c r="F21658" s="21"/>
      <c r="G21658" s="16"/>
    </row>
    <row r="21659" spans="4:7" ht="15" x14ac:dyDescent="0.3">
      <c r="D21659" s="25"/>
      <c r="F21659" s="21"/>
      <c r="G21659" s="16"/>
    </row>
    <row r="21660" spans="4:7" ht="15" x14ac:dyDescent="0.3">
      <c r="D21660" s="25"/>
      <c r="F21660" s="21"/>
      <c r="G21660" s="16"/>
    </row>
    <row r="21661" spans="4:7" ht="15" x14ac:dyDescent="0.3">
      <c r="D21661" s="25"/>
      <c r="F21661" s="21"/>
      <c r="G21661" s="16"/>
    </row>
    <row r="21662" spans="4:7" ht="15" x14ac:dyDescent="0.3">
      <c r="D21662" s="25"/>
      <c r="F21662" s="21"/>
      <c r="G21662" s="16"/>
    </row>
    <row r="21663" spans="4:7" ht="15" x14ac:dyDescent="0.3">
      <c r="D21663" s="25"/>
      <c r="F21663" s="21"/>
      <c r="G21663" s="16"/>
    </row>
    <row r="21664" spans="4:7" ht="15" x14ac:dyDescent="0.3">
      <c r="D21664" s="25"/>
      <c r="F21664" s="21"/>
      <c r="G21664" s="16"/>
    </row>
    <row r="21665" spans="4:7" ht="15" x14ac:dyDescent="0.3">
      <c r="D21665" s="25"/>
      <c r="F21665" s="21"/>
      <c r="G21665" s="16"/>
    </row>
    <row r="21666" spans="4:7" ht="15" x14ac:dyDescent="0.3">
      <c r="D21666" s="25"/>
      <c r="F21666" s="21"/>
      <c r="G21666" s="16"/>
    </row>
    <row r="21667" spans="4:7" ht="15" x14ac:dyDescent="0.3">
      <c r="D21667" s="25"/>
      <c r="F21667" s="21"/>
      <c r="G21667" s="16"/>
    </row>
    <row r="21668" spans="4:7" ht="15" x14ac:dyDescent="0.3">
      <c r="D21668" s="25"/>
      <c r="F21668" s="21"/>
      <c r="G21668" s="16"/>
    </row>
    <row r="21669" spans="4:7" ht="15" x14ac:dyDescent="0.3">
      <c r="D21669" s="25"/>
      <c r="F21669" s="21"/>
      <c r="G21669" s="16"/>
    </row>
    <row r="21670" spans="4:7" ht="15" x14ac:dyDescent="0.3">
      <c r="D21670" s="25"/>
      <c r="F21670" s="21"/>
      <c r="G21670" s="16"/>
    </row>
    <row r="21671" spans="4:7" ht="15" x14ac:dyDescent="0.3">
      <c r="D21671" s="25"/>
      <c r="F21671" s="21"/>
      <c r="G21671" s="16"/>
    </row>
    <row r="21672" spans="4:7" ht="15" x14ac:dyDescent="0.3">
      <c r="D21672" s="25"/>
      <c r="F21672" s="21"/>
      <c r="G21672" s="16"/>
    </row>
    <row r="21673" spans="4:7" ht="15" x14ac:dyDescent="0.3">
      <c r="D21673" s="25"/>
      <c r="F21673" s="21"/>
      <c r="G21673" s="16"/>
    </row>
    <row r="21674" spans="4:7" ht="15" x14ac:dyDescent="0.3">
      <c r="D21674" s="25"/>
      <c r="F21674" s="21"/>
      <c r="G21674" s="16"/>
    </row>
    <row r="21675" spans="4:7" ht="15" x14ac:dyDescent="0.3">
      <c r="D21675" s="25"/>
      <c r="F21675" s="21"/>
      <c r="G21675" s="16"/>
    </row>
    <row r="21676" spans="4:7" ht="15" x14ac:dyDescent="0.3">
      <c r="D21676" s="25"/>
      <c r="F21676" s="21"/>
      <c r="G21676" s="16"/>
    </row>
    <row r="21677" spans="4:7" ht="15" x14ac:dyDescent="0.3">
      <c r="D21677" s="25"/>
      <c r="F21677" s="21"/>
      <c r="G21677" s="16"/>
    </row>
    <row r="21678" spans="4:7" ht="15" x14ac:dyDescent="0.3">
      <c r="D21678" s="25"/>
      <c r="F21678" s="21"/>
      <c r="G21678" s="16"/>
    </row>
    <row r="21679" spans="4:7" ht="15" x14ac:dyDescent="0.3">
      <c r="D21679" s="25"/>
      <c r="F21679" s="21"/>
      <c r="G21679" s="16"/>
    </row>
    <row r="21680" spans="4:7" ht="15" x14ac:dyDescent="0.3">
      <c r="D21680" s="25"/>
      <c r="F21680" s="21"/>
      <c r="G21680" s="16"/>
    </row>
    <row r="21681" spans="4:7" ht="15" x14ac:dyDescent="0.3">
      <c r="D21681" s="25"/>
      <c r="F21681" s="21"/>
      <c r="G21681" s="16"/>
    </row>
    <row r="21682" spans="4:7" ht="15" x14ac:dyDescent="0.3">
      <c r="D21682" s="25"/>
      <c r="F21682" s="21"/>
      <c r="G21682" s="16"/>
    </row>
    <row r="21683" spans="4:7" ht="15" x14ac:dyDescent="0.3">
      <c r="D21683" s="25"/>
      <c r="F21683" s="21"/>
      <c r="G21683" s="16"/>
    </row>
    <row r="21684" spans="4:7" ht="15" x14ac:dyDescent="0.3">
      <c r="D21684" s="25"/>
      <c r="F21684" s="21"/>
      <c r="G21684" s="16"/>
    </row>
    <row r="21685" spans="4:7" ht="15" x14ac:dyDescent="0.3">
      <c r="D21685" s="25"/>
      <c r="F21685" s="21"/>
      <c r="G21685" s="16"/>
    </row>
    <row r="21686" spans="4:7" ht="15" x14ac:dyDescent="0.3">
      <c r="D21686" s="25"/>
      <c r="F21686" s="21"/>
      <c r="G21686" s="16"/>
    </row>
    <row r="21687" spans="4:7" ht="15" x14ac:dyDescent="0.3">
      <c r="D21687" s="25"/>
      <c r="F21687" s="21"/>
      <c r="G21687" s="16"/>
    </row>
    <row r="21688" spans="4:7" ht="15" x14ac:dyDescent="0.3">
      <c r="D21688" s="25"/>
      <c r="F21688" s="21"/>
      <c r="G21688" s="16"/>
    </row>
    <row r="21689" spans="4:7" ht="15" x14ac:dyDescent="0.3">
      <c r="D21689" s="25"/>
      <c r="F21689" s="21"/>
      <c r="G21689" s="16"/>
    </row>
    <row r="21690" spans="4:7" ht="15" x14ac:dyDescent="0.3">
      <c r="D21690" s="25"/>
      <c r="F21690" s="21"/>
      <c r="G21690" s="16"/>
    </row>
    <row r="21691" spans="4:7" ht="15" x14ac:dyDescent="0.3">
      <c r="D21691" s="25"/>
      <c r="F21691" s="21"/>
      <c r="G21691" s="16"/>
    </row>
    <row r="21692" spans="4:7" ht="15" x14ac:dyDescent="0.3">
      <c r="D21692" s="25"/>
      <c r="F21692" s="21"/>
      <c r="G21692" s="16"/>
    </row>
    <row r="21693" spans="4:7" ht="15" x14ac:dyDescent="0.3">
      <c r="D21693" s="25"/>
      <c r="F21693" s="21"/>
      <c r="G21693" s="16"/>
    </row>
    <row r="21694" spans="4:7" ht="15" x14ac:dyDescent="0.3">
      <c r="D21694" s="25"/>
      <c r="F21694" s="21"/>
      <c r="G21694" s="16"/>
    </row>
    <row r="21695" spans="4:7" ht="15" x14ac:dyDescent="0.3">
      <c r="D21695" s="25"/>
      <c r="F21695" s="21"/>
      <c r="G21695" s="16"/>
    </row>
    <row r="21696" spans="4:7" ht="15" x14ac:dyDescent="0.3">
      <c r="D21696" s="25"/>
      <c r="F21696" s="21"/>
      <c r="G21696" s="16"/>
    </row>
    <row r="21697" spans="4:7" ht="15" x14ac:dyDescent="0.3">
      <c r="D21697" s="25"/>
      <c r="F21697" s="21"/>
      <c r="G21697" s="16"/>
    </row>
    <row r="21698" spans="4:7" ht="15" x14ac:dyDescent="0.3">
      <c r="D21698" s="25"/>
      <c r="F21698" s="21"/>
      <c r="G21698" s="16"/>
    </row>
    <row r="21699" spans="4:7" ht="15" x14ac:dyDescent="0.3">
      <c r="D21699" s="25"/>
      <c r="F21699" s="21"/>
      <c r="G21699" s="16"/>
    </row>
    <row r="21700" spans="4:7" ht="15" x14ac:dyDescent="0.3">
      <c r="D21700" s="25"/>
      <c r="F21700" s="21"/>
      <c r="G21700" s="16"/>
    </row>
    <row r="21701" spans="4:7" ht="15" x14ac:dyDescent="0.3">
      <c r="D21701" s="25"/>
      <c r="F21701" s="21"/>
      <c r="G21701" s="16"/>
    </row>
    <row r="21702" spans="4:7" ht="15" x14ac:dyDescent="0.3">
      <c r="D21702" s="25"/>
      <c r="F21702" s="21"/>
      <c r="G21702" s="16"/>
    </row>
    <row r="21703" spans="4:7" ht="15" x14ac:dyDescent="0.3">
      <c r="D21703" s="25"/>
      <c r="F21703" s="21"/>
      <c r="G21703" s="16"/>
    </row>
    <row r="21704" spans="4:7" ht="15" x14ac:dyDescent="0.3">
      <c r="D21704" s="25"/>
      <c r="F21704" s="21"/>
      <c r="G21704" s="16"/>
    </row>
    <row r="21705" spans="4:7" ht="15" x14ac:dyDescent="0.3">
      <c r="D21705" s="25"/>
      <c r="F21705" s="21"/>
      <c r="G21705" s="16"/>
    </row>
    <row r="21706" spans="4:7" ht="15" x14ac:dyDescent="0.3">
      <c r="D21706" s="25"/>
      <c r="F21706" s="21"/>
      <c r="G21706" s="16"/>
    </row>
    <row r="21707" spans="4:7" ht="15" x14ac:dyDescent="0.3">
      <c r="D21707" s="25"/>
      <c r="F21707" s="21"/>
      <c r="G21707" s="16"/>
    </row>
    <row r="21708" spans="4:7" ht="15" x14ac:dyDescent="0.3">
      <c r="D21708" s="25"/>
      <c r="F21708" s="21"/>
      <c r="G21708" s="16"/>
    </row>
    <row r="21709" spans="4:7" ht="15" x14ac:dyDescent="0.3">
      <c r="D21709" s="25"/>
      <c r="F21709" s="21"/>
      <c r="G21709" s="16"/>
    </row>
    <row r="21710" spans="4:7" ht="15" x14ac:dyDescent="0.3">
      <c r="D21710" s="25"/>
      <c r="F21710" s="21"/>
      <c r="G21710" s="16"/>
    </row>
    <row r="21711" spans="4:7" ht="15" x14ac:dyDescent="0.3">
      <c r="D21711" s="25"/>
      <c r="F21711" s="21"/>
      <c r="G21711" s="16"/>
    </row>
    <row r="21712" spans="4:7" ht="15" x14ac:dyDescent="0.3">
      <c r="D21712" s="25"/>
      <c r="F21712" s="21"/>
      <c r="G21712" s="16"/>
    </row>
    <row r="21713" spans="4:7" ht="15" x14ac:dyDescent="0.3">
      <c r="D21713" s="25"/>
      <c r="F21713" s="21"/>
      <c r="G21713" s="16"/>
    </row>
    <row r="21714" spans="4:7" ht="15" x14ac:dyDescent="0.3">
      <c r="D21714" s="25"/>
      <c r="F21714" s="21"/>
      <c r="G21714" s="16"/>
    </row>
    <row r="21715" spans="4:7" ht="15" x14ac:dyDescent="0.3">
      <c r="D21715" s="25"/>
      <c r="F21715" s="21"/>
      <c r="G21715" s="16"/>
    </row>
    <row r="21716" spans="4:7" ht="15" x14ac:dyDescent="0.3">
      <c r="D21716" s="25"/>
      <c r="F21716" s="21"/>
      <c r="G21716" s="16"/>
    </row>
    <row r="21717" spans="4:7" ht="15" x14ac:dyDescent="0.3">
      <c r="D21717" s="25"/>
      <c r="F21717" s="21"/>
      <c r="G21717" s="16"/>
    </row>
    <row r="21718" spans="4:7" ht="15" x14ac:dyDescent="0.3">
      <c r="D21718" s="25"/>
      <c r="F21718" s="21"/>
      <c r="G21718" s="16"/>
    </row>
    <row r="21719" spans="4:7" ht="15" x14ac:dyDescent="0.3">
      <c r="D21719" s="25"/>
      <c r="F21719" s="21"/>
      <c r="G21719" s="16"/>
    </row>
    <row r="21720" spans="4:7" ht="15" x14ac:dyDescent="0.3">
      <c r="D21720" s="25"/>
      <c r="F21720" s="21"/>
      <c r="G21720" s="16"/>
    </row>
    <row r="21721" spans="4:7" ht="15" x14ac:dyDescent="0.3">
      <c r="D21721" s="25"/>
      <c r="F21721" s="21"/>
      <c r="G21721" s="16"/>
    </row>
    <row r="21722" spans="4:7" ht="15" x14ac:dyDescent="0.3">
      <c r="D21722" s="25"/>
      <c r="F21722" s="21"/>
      <c r="G21722" s="16"/>
    </row>
    <row r="21723" spans="4:7" ht="15" x14ac:dyDescent="0.3">
      <c r="D21723" s="25"/>
      <c r="F21723" s="21"/>
      <c r="G21723" s="16"/>
    </row>
    <row r="21724" spans="4:7" ht="15" x14ac:dyDescent="0.3">
      <c r="D21724" s="25"/>
      <c r="F21724" s="21"/>
      <c r="G21724" s="16"/>
    </row>
    <row r="21725" spans="4:7" ht="15" x14ac:dyDescent="0.3">
      <c r="D21725" s="25"/>
      <c r="F21725" s="21"/>
      <c r="G21725" s="16"/>
    </row>
    <row r="21726" spans="4:7" ht="15" x14ac:dyDescent="0.3">
      <c r="D21726" s="25"/>
      <c r="F21726" s="21"/>
      <c r="G21726" s="16"/>
    </row>
    <row r="21727" spans="4:7" ht="15" x14ac:dyDescent="0.3">
      <c r="D21727" s="25"/>
      <c r="F21727" s="21"/>
      <c r="G21727" s="16"/>
    </row>
    <row r="21728" spans="4:7" ht="15" x14ac:dyDescent="0.3">
      <c r="D21728" s="25"/>
      <c r="F21728" s="21"/>
      <c r="G21728" s="16"/>
    </row>
    <row r="21729" spans="4:7" ht="15" x14ac:dyDescent="0.3">
      <c r="D21729" s="25"/>
      <c r="F21729" s="21"/>
      <c r="G21729" s="16"/>
    </row>
    <row r="21730" spans="4:7" ht="15" x14ac:dyDescent="0.3">
      <c r="D21730" s="25"/>
      <c r="F21730" s="21"/>
      <c r="G21730" s="16"/>
    </row>
    <row r="21731" spans="4:7" ht="15" x14ac:dyDescent="0.3">
      <c r="D21731" s="25"/>
      <c r="F21731" s="21"/>
      <c r="G21731" s="16"/>
    </row>
    <row r="21732" spans="4:7" ht="15" x14ac:dyDescent="0.3">
      <c r="D21732" s="25"/>
      <c r="F21732" s="21"/>
      <c r="G21732" s="16"/>
    </row>
    <row r="21733" spans="4:7" ht="15" x14ac:dyDescent="0.3">
      <c r="D21733" s="25"/>
      <c r="F21733" s="21"/>
      <c r="G21733" s="16"/>
    </row>
    <row r="21734" spans="4:7" ht="15" x14ac:dyDescent="0.3">
      <c r="D21734" s="25"/>
      <c r="F21734" s="21"/>
      <c r="G21734" s="16"/>
    </row>
    <row r="21735" spans="4:7" ht="15" x14ac:dyDescent="0.3">
      <c r="D21735" s="25"/>
      <c r="F21735" s="21"/>
      <c r="G21735" s="16"/>
    </row>
    <row r="21736" spans="4:7" ht="15" x14ac:dyDescent="0.3">
      <c r="D21736" s="25"/>
      <c r="F21736" s="21"/>
      <c r="G21736" s="16"/>
    </row>
    <row r="21737" spans="4:7" ht="15" x14ac:dyDescent="0.3">
      <c r="D21737" s="25"/>
      <c r="F21737" s="21"/>
      <c r="G21737" s="16"/>
    </row>
    <row r="21738" spans="4:7" ht="15" x14ac:dyDescent="0.3">
      <c r="D21738" s="25"/>
      <c r="F21738" s="21"/>
      <c r="G21738" s="16"/>
    </row>
    <row r="21739" spans="4:7" ht="15" x14ac:dyDescent="0.3">
      <c r="D21739" s="25"/>
      <c r="F21739" s="21"/>
      <c r="G21739" s="16"/>
    </row>
    <row r="21740" spans="4:7" ht="15" x14ac:dyDescent="0.3">
      <c r="D21740" s="25"/>
      <c r="F21740" s="21"/>
      <c r="G21740" s="16"/>
    </row>
    <row r="21741" spans="4:7" ht="15" x14ac:dyDescent="0.3">
      <c r="D21741" s="25"/>
      <c r="F21741" s="21"/>
      <c r="G21741" s="16"/>
    </row>
    <row r="21742" spans="4:7" ht="15" x14ac:dyDescent="0.3">
      <c r="D21742" s="25"/>
      <c r="F21742" s="21"/>
      <c r="G21742" s="16"/>
    </row>
    <row r="21743" spans="4:7" ht="15" x14ac:dyDescent="0.3">
      <c r="D21743" s="25"/>
      <c r="F21743" s="21"/>
      <c r="G21743" s="16"/>
    </row>
    <row r="21744" spans="4:7" ht="15" x14ac:dyDescent="0.3">
      <c r="D21744" s="25"/>
      <c r="F21744" s="21"/>
      <c r="G21744" s="16"/>
    </row>
    <row r="21745" spans="4:7" ht="15" x14ac:dyDescent="0.3">
      <c r="D21745" s="25"/>
      <c r="F21745" s="21"/>
      <c r="G21745" s="16"/>
    </row>
    <row r="21746" spans="4:7" ht="15" x14ac:dyDescent="0.3">
      <c r="D21746" s="25"/>
      <c r="F21746" s="21"/>
      <c r="G21746" s="16"/>
    </row>
    <row r="21747" spans="4:7" ht="15" x14ac:dyDescent="0.3">
      <c r="D21747" s="25"/>
      <c r="F21747" s="21"/>
      <c r="G21747" s="16"/>
    </row>
    <row r="21748" spans="4:7" ht="15" x14ac:dyDescent="0.3">
      <c r="D21748" s="25"/>
      <c r="F21748" s="21"/>
      <c r="G21748" s="16"/>
    </row>
    <row r="21749" spans="4:7" ht="15" x14ac:dyDescent="0.3">
      <c r="D21749" s="25"/>
      <c r="F21749" s="21"/>
      <c r="G21749" s="16"/>
    </row>
    <row r="21750" spans="4:7" ht="15" x14ac:dyDescent="0.3">
      <c r="D21750" s="25"/>
      <c r="F21750" s="21"/>
      <c r="G21750" s="16"/>
    </row>
    <row r="21751" spans="4:7" ht="15" x14ac:dyDescent="0.3">
      <c r="D21751" s="25"/>
      <c r="F21751" s="21"/>
      <c r="G21751" s="16"/>
    </row>
    <row r="21752" spans="4:7" ht="15" x14ac:dyDescent="0.3">
      <c r="D21752" s="25"/>
      <c r="F21752" s="21"/>
      <c r="G21752" s="16"/>
    </row>
    <row r="21753" spans="4:7" ht="15" x14ac:dyDescent="0.3">
      <c r="D21753" s="25"/>
      <c r="F21753" s="21"/>
      <c r="G21753" s="16"/>
    </row>
    <row r="21754" spans="4:7" ht="15" x14ac:dyDescent="0.3">
      <c r="D21754" s="25"/>
      <c r="F21754" s="21"/>
      <c r="G21754" s="16"/>
    </row>
    <row r="21755" spans="4:7" ht="15" x14ac:dyDescent="0.3">
      <c r="D21755" s="25"/>
      <c r="F21755" s="21"/>
      <c r="G21755" s="16"/>
    </row>
    <row r="21756" spans="4:7" ht="15" x14ac:dyDescent="0.3">
      <c r="D21756" s="25"/>
      <c r="F21756" s="21"/>
      <c r="G21756" s="16"/>
    </row>
    <row r="21757" spans="4:7" ht="15" x14ac:dyDescent="0.3">
      <c r="D21757" s="25"/>
      <c r="F21757" s="21"/>
      <c r="G21757" s="16"/>
    </row>
    <row r="21758" spans="4:7" ht="15" x14ac:dyDescent="0.3">
      <c r="D21758" s="25"/>
      <c r="F21758" s="21"/>
      <c r="G21758" s="16"/>
    </row>
    <row r="21759" spans="4:7" ht="15" x14ac:dyDescent="0.3">
      <c r="D21759" s="25"/>
      <c r="F21759" s="21"/>
      <c r="G21759" s="16"/>
    </row>
    <row r="21760" spans="4:7" ht="15" x14ac:dyDescent="0.3">
      <c r="D21760" s="25"/>
      <c r="F21760" s="21"/>
      <c r="G21760" s="16"/>
    </row>
    <row r="21761" spans="4:7" ht="15" x14ac:dyDescent="0.3">
      <c r="D21761" s="25"/>
      <c r="F21761" s="21"/>
      <c r="G21761" s="16"/>
    </row>
    <row r="21762" spans="4:7" ht="15" x14ac:dyDescent="0.3">
      <c r="D21762" s="25"/>
      <c r="F21762" s="21"/>
      <c r="G21762" s="16"/>
    </row>
    <row r="21763" spans="4:7" ht="15" x14ac:dyDescent="0.3">
      <c r="D21763" s="25"/>
      <c r="F21763" s="21"/>
      <c r="G21763" s="16"/>
    </row>
    <row r="21764" spans="4:7" ht="15" x14ac:dyDescent="0.3">
      <c r="D21764" s="25"/>
      <c r="F21764" s="21"/>
      <c r="G21764" s="16"/>
    </row>
    <row r="21765" spans="4:7" ht="15" x14ac:dyDescent="0.3">
      <c r="D21765" s="25"/>
      <c r="F21765" s="21"/>
      <c r="G21765" s="16"/>
    </row>
    <row r="21766" spans="4:7" ht="15" x14ac:dyDescent="0.3">
      <c r="D21766" s="25"/>
      <c r="F21766" s="21"/>
      <c r="G21766" s="16"/>
    </row>
    <row r="21767" spans="4:7" ht="15" x14ac:dyDescent="0.3">
      <c r="D21767" s="25"/>
      <c r="F21767" s="21"/>
      <c r="G21767" s="16"/>
    </row>
    <row r="21768" spans="4:7" ht="15" x14ac:dyDescent="0.3">
      <c r="D21768" s="25"/>
      <c r="F21768" s="21"/>
      <c r="G21768" s="16"/>
    </row>
    <row r="21769" spans="4:7" ht="15" x14ac:dyDescent="0.3">
      <c r="D21769" s="25"/>
      <c r="F21769" s="21"/>
      <c r="G21769" s="16"/>
    </row>
    <row r="21770" spans="4:7" ht="15" x14ac:dyDescent="0.3">
      <c r="D21770" s="25"/>
      <c r="F21770" s="21"/>
      <c r="G21770" s="16"/>
    </row>
    <row r="21771" spans="4:7" ht="15" x14ac:dyDescent="0.3">
      <c r="D21771" s="25"/>
      <c r="F21771" s="21"/>
      <c r="G21771" s="16"/>
    </row>
    <row r="21772" spans="4:7" ht="15" x14ac:dyDescent="0.3">
      <c r="D21772" s="25"/>
      <c r="F21772" s="21"/>
      <c r="G21772" s="16"/>
    </row>
    <row r="21773" spans="4:7" ht="15" x14ac:dyDescent="0.3">
      <c r="D21773" s="25"/>
      <c r="F21773" s="21"/>
      <c r="G21773" s="16"/>
    </row>
    <row r="21774" spans="4:7" ht="15" x14ac:dyDescent="0.3">
      <c r="D21774" s="25"/>
      <c r="F21774" s="21"/>
      <c r="G21774" s="16"/>
    </row>
    <row r="21775" spans="4:7" ht="15" x14ac:dyDescent="0.3">
      <c r="D21775" s="25"/>
      <c r="F21775" s="21"/>
      <c r="G21775" s="16"/>
    </row>
    <row r="21776" spans="4:7" ht="15" x14ac:dyDescent="0.3">
      <c r="D21776" s="25"/>
      <c r="F21776" s="21"/>
      <c r="G21776" s="16"/>
    </row>
    <row r="21777" spans="4:7" ht="15" x14ac:dyDescent="0.3">
      <c r="D21777" s="25"/>
      <c r="F21777" s="21"/>
      <c r="G21777" s="16"/>
    </row>
    <row r="21778" spans="4:7" ht="15" x14ac:dyDescent="0.3">
      <c r="D21778" s="25"/>
      <c r="F21778" s="21"/>
      <c r="G21778" s="16"/>
    </row>
    <row r="21779" spans="4:7" ht="15" x14ac:dyDescent="0.3">
      <c r="D21779" s="25"/>
      <c r="F21779" s="21"/>
      <c r="G21779" s="16"/>
    </row>
    <row r="21780" spans="4:7" ht="15" x14ac:dyDescent="0.3">
      <c r="D21780" s="25"/>
      <c r="F21780" s="21"/>
      <c r="G21780" s="16"/>
    </row>
    <row r="21781" spans="4:7" ht="15" x14ac:dyDescent="0.3">
      <c r="D21781" s="25"/>
      <c r="F21781" s="21"/>
      <c r="G21781" s="16"/>
    </row>
    <row r="21782" spans="4:7" ht="15" x14ac:dyDescent="0.3">
      <c r="D21782" s="25"/>
      <c r="F21782" s="21"/>
      <c r="G21782" s="16"/>
    </row>
    <row r="21783" spans="4:7" ht="15" x14ac:dyDescent="0.3">
      <c r="D21783" s="25"/>
      <c r="F21783" s="21"/>
      <c r="G21783" s="16"/>
    </row>
    <row r="21784" spans="4:7" ht="15" x14ac:dyDescent="0.3">
      <c r="D21784" s="25"/>
      <c r="F21784" s="21"/>
      <c r="G21784" s="16"/>
    </row>
    <row r="21785" spans="4:7" ht="15" x14ac:dyDescent="0.3">
      <c r="D21785" s="25"/>
      <c r="F21785" s="21"/>
      <c r="G21785" s="16"/>
    </row>
    <row r="21786" spans="4:7" ht="15" x14ac:dyDescent="0.3">
      <c r="D21786" s="25"/>
      <c r="F21786" s="21"/>
      <c r="G21786" s="16"/>
    </row>
    <row r="21787" spans="4:7" ht="15" x14ac:dyDescent="0.3">
      <c r="D21787" s="25"/>
      <c r="F21787" s="21"/>
      <c r="G21787" s="16"/>
    </row>
    <row r="21788" spans="4:7" ht="15" x14ac:dyDescent="0.3">
      <c r="D21788" s="25"/>
      <c r="F21788" s="21"/>
      <c r="G21788" s="16"/>
    </row>
    <row r="21789" spans="4:7" ht="15" x14ac:dyDescent="0.3">
      <c r="D21789" s="25"/>
      <c r="F21789" s="21"/>
      <c r="G21789" s="16"/>
    </row>
    <row r="21790" spans="4:7" ht="15" x14ac:dyDescent="0.3">
      <c r="D21790" s="25"/>
      <c r="F21790" s="21"/>
      <c r="G21790" s="16"/>
    </row>
    <row r="21791" spans="4:7" ht="15" x14ac:dyDescent="0.3">
      <c r="D21791" s="25"/>
      <c r="F21791" s="21"/>
      <c r="G21791" s="16"/>
    </row>
    <row r="21792" spans="4:7" ht="15" x14ac:dyDescent="0.3">
      <c r="D21792" s="25"/>
      <c r="F21792" s="21"/>
      <c r="G21792" s="16"/>
    </row>
    <row r="21793" spans="4:7" ht="15" x14ac:dyDescent="0.3">
      <c r="D21793" s="25"/>
      <c r="F21793" s="21"/>
      <c r="G21793" s="16"/>
    </row>
    <row r="21794" spans="4:7" ht="15" x14ac:dyDescent="0.3">
      <c r="D21794" s="25"/>
      <c r="F21794" s="21"/>
      <c r="G21794" s="16"/>
    </row>
    <row r="21795" spans="4:7" ht="15" x14ac:dyDescent="0.3">
      <c r="D21795" s="25"/>
      <c r="F21795" s="21"/>
      <c r="G21795" s="16"/>
    </row>
    <row r="21796" spans="4:7" ht="15" x14ac:dyDescent="0.3">
      <c r="D21796" s="25"/>
      <c r="F21796" s="21"/>
      <c r="G21796" s="16"/>
    </row>
    <row r="21797" spans="4:7" ht="15" x14ac:dyDescent="0.3">
      <c r="D21797" s="25"/>
      <c r="F21797" s="21"/>
      <c r="G21797" s="16"/>
    </row>
    <row r="21798" spans="4:7" ht="15" x14ac:dyDescent="0.3">
      <c r="D21798" s="25"/>
      <c r="F21798" s="21"/>
      <c r="G21798" s="16"/>
    </row>
    <row r="21799" spans="4:7" ht="15" x14ac:dyDescent="0.3">
      <c r="D21799" s="25"/>
      <c r="F21799" s="21"/>
      <c r="G21799" s="16"/>
    </row>
    <row r="21800" spans="4:7" ht="15" x14ac:dyDescent="0.3">
      <c r="D21800" s="25"/>
      <c r="F21800" s="21"/>
      <c r="G21800" s="16"/>
    </row>
    <row r="21801" spans="4:7" ht="15" x14ac:dyDescent="0.3">
      <c r="D21801" s="25"/>
      <c r="F21801" s="21"/>
      <c r="G21801" s="16"/>
    </row>
    <row r="21802" spans="4:7" ht="15" x14ac:dyDescent="0.3">
      <c r="D21802" s="25"/>
      <c r="F21802" s="21"/>
      <c r="G21802" s="16"/>
    </row>
    <row r="21803" spans="4:7" ht="15" x14ac:dyDescent="0.3">
      <c r="D21803" s="25"/>
      <c r="F21803" s="21"/>
      <c r="G21803" s="16"/>
    </row>
    <row r="21804" spans="4:7" ht="15" x14ac:dyDescent="0.3">
      <c r="D21804" s="25"/>
      <c r="F21804" s="21"/>
      <c r="G21804" s="16"/>
    </row>
    <row r="21805" spans="4:7" ht="15" x14ac:dyDescent="0.3">
      <c r="D21805" s="25"/>
      <c r="F21805" s="21"/>
      <c r="G21805" s="16"/>
    </row>
    <row r="21806" spans="4:7" ht="15" x14ac:dyDescent="0.3">
      <c r="D21806" s="25"/>
      <c r="F21806" s="21"/>
      <c r="G21806" s="16"/>
    </row>
    <row r="21807" spans="4:7" ht="15" x14ac:dyDescent="0.3">
      <c r="D21807" s="25"/>
      <c r="F21807" s="21"/>
      <c r="G21807" s="16"/>
    </row>
    <row r="21808" spans="4:7" ht="15" x14ac:dyDescent="0.3">
      <c r="D21808" s="25"/>
      <c r="F21808" s="21"/>
      <c r="G21808" s="16"/>
    </row>
    <row r="21809" spans="4:7" ht="15" x14ac:dyDescent="0.3">
      <c r="D21809" s="25"/>
      <c r="F21809" s="21"/>
      <c r="G21809" s="16"/>
    </row>
    <row r="21810" spans="4:7" ht="15" x14ac:dyDescent="0.3">
      <c r="D21810" s="25"/>
      <c r="F21810" s="21"/>
      <c r="G21810" s="16"/>
    </row>
    <row r="21811" spans="4:7" ht="15" x14ac:dyDescent="0.3">
      <c r="D21811" s="25"/>
      <c r="F21811" s="21"/>
      <c r="G21811" s="16"/>
    </row>
    <row r="21812" spans="4:7" ht="15" x14ac:dyDescent="0.3">
      <c r="D21812" s="25"/>
      <c r="F21812" s="21"/>
      <c r="G21812" s="16"/>
    </row>
    <row r="21813" spans="4:7" ht="15" x14ac:dyDescent="0.3">
      <c r="D21813" s="25"/>
      <c r="F21813" s="21"/>
      <c r="G21813" s="16"/>
    </row>
    <row r="21814" spans="4:7" ht="15" x14ac:dyDescent="0.3">
      <c r="D21814" s="25"/>
      <c r="F21814" s="21"/>
      <c r="G21814" s="16"/>
    </row>
    <row r="21815" spans="4:7" ht="15" x14ac:dyDescent="0.3">
      <c r="D21815" s="25"/>
      <c r="F21815" s="21"/>
      <c r="G21815" s="16"/>
    </row>
    <row r="21816" spans="4:7" ht="15" x14ac:dyDescent="0.3">
      <c r="D21816" s="25"/>
      <c r="F21816" s="21"/>
      <c r="G21816" s="16"/>
    </row>
    <row r="21817" spans="4:7" ht="15" x14ac:dyDescent="0.3">
      <c r="D21817" s="25"/>
      <c r="F21817" s="21"/>
      <c r="G21817" s="16"/>
    </row>
    <row r="21818" spans="4:7" ht="15" x14ac:dyDescent="0.3">
      <c r="D21818" s="25"/>
      <c r="F21818" s="21"/>
      <c r="G21818" s="16"/>
    </row>
    <row r="21819" spans="4:7" ht="15" x14ac:dyDescent="0.3">
      <c r="D21819" s="25"/>
      <c r="F21819" s="21"/>
      <c r="G21819" s="16"/>
    </row>
    <row r="21820" spans="4:7" ht="15" x14ac:dyDescent="0.3">
      <c r="D21820" s="25"/>
      <c r="F21820" s="21"/>
      <c r="G21820" s="16"/>
    </row>
    <row r="21821" spans="4:7" ht="15" x14ac:dyDescent="0.3">
      <c r="D21821" s="25"/>
      <c r="F21821" s="21"/>
      <c r="G21821" s="16"/>
    </row>
    <row r="21822" spans="4:7" ht="15" x14ac:dyDescent="0.3">
      <c r="D21822" s="25"/>
      <c r="F21822" s="21"/>
      <c r="G21822" s="16"/>
    </row>
    <row r="21823" spans="4:7" ht="15" x14ac:dyDescent="0.3">
      <c r="D21823" s="25"/>
      <c r="F21823" s="21"/>
      <c r="G21823" s="16"/>
    </row>
    <row r="21824" spans="4:7" ht="15" x14ac:dyDescent="0.3">
      <c r="D21824" s="25"/>
      <c r="F21824" s="21"/>
      <c r="G21824" s="16"/>
    </row>
    <row r="21825" spans="4:7" ht="15" x14ac:dyDescent="0.3">
      <c r="D21825" s="25"/>
      <c r="F21825" s="21"/>
      <c r="G21825" s="16"/>
    </row>
    <row r="21826" spans="4:7" ht="15" x14ac:dyDescent="0.3">
      <c r="D21826" s="25"/>
      <c r="F21826" s="21"/>
      <c r="G21826" s="16"/>
    </row>
    <row r="21827" spans="4:7" ht="15" x14ac:dyDescent="0.3">
      <c r="D21827" s="25"/>
      <c r="F21827" s="21"/>
      <c r="G21827" s="16"/>
    </row>
    <row r="21828" spans="4:7" ht="15" x14ac:dyDescent="0.3">
      <c r="D21828" s="25"/>
      <c r="F21828" s="21"/>
      <c r="G21828" s="16"/>
    </row>
    <row r="21829" spans="4:7" ht="15" x14ac:dyDescent="0.3">
      <c r="D21829" s="25"/>
      <c r="F21829" s="21"/>
      <c r="G21829" s="16"/>
    </row>
    <row r="21830" spans="4:7" ht="15" x14ac:dyDescent="0.3">
      <c r="D21830" s="25"/>
      <c r="F21830" s="21"/>
      <c r="G21830" s="16"/>
    </row>
    <row r="21831" spans="4:7" ht="15" x14ac:dyDescent="0.3">
      <c r="D21831" s="25"/>
      <c r="F21831" s="21"/>
      <c r="G21831" s="16"/>
    </row>
    <row r="21832" spans="4:7" ht="15" x14ac:dyDescent="0.3">
      <c r="D21832" s="25"/>
      <c r="F21832" s="21"/>
      <c r="G21832" s="16"/>
    </row>
    <row r="21833" spans="4:7" ht="15" x14ac:dyDescent="0.3">
      <c r="D21833" s="25"/>
      <c r="F21833" s="21"/>
      <c r="G21833" s="16"/>
    </row>
    <row r="21834" spans="4:7" ht="15" x14ac:dyDescent="0.3">
      <c r="D21834" s="25"/>
      <c r="F21834" s="21"/>
      <c r="G21834" s="16"/>
    </row>
    <row r="21835" spans="4:7" ht="15" x14ac:dyDescent="0.3">
      <c r="D21835" s="25"/>
      <c r="F21835" s="21"/>
      <c r="G21835" s="16"/>
    </row>
    <row r="21836" spans="4:7" ht="15" x14ac:dyDescent="0.3">
      <c r="D21836" s="25"/>
      <c r="F21836" s="21"/>
      <c r="G21836" s="16"/>
    </row>
    <row r="21837" spans="4:7" ht="15" x14ac:dyDescent="0.3">
      <c r="D21837" s="25"/>
      <c r="F21837" s="21"/>
      <c r="G21837" s="16"/>
    </row>
    <row r="21838" spans="4:7" ht="15" x14ac:dyDescent="0.3">
      <c r="D21838" s="25"/>
      <c r="F21838" s="21"/>
      <c r="G21838" s="16"/>
    </row>
    <row r="21839" spans="4:7" ht="15" x14ac:dyDescent="0.3">
      <c r="D21839" s="25"/>
      <c r="F21839" s="21"/>
      <c r="G21839" s="16"/>
    </row>
    <row r="21840" spans="4:7" ht="15" x14ac:dyDescent="0.3">
      <c r="D21840" s="25"/>
      <c r="F21840" s="21"/>
      <c r="G21840" s="16"/>
    </row>
    <row r="21841" spans="4:7" ht="15" x14ac:dyDescent="0.3">
      <c r="D21841" s="25"/>
      <c r="F21841" s="21"/>
      <c r="G21841" s="16"/>
    </row>
    <row r="21842" spans="4:7" ht="15" x14ac:dyDescent="0.3">
      <c r="D21842" s="25"/>
      <c r="F21842" s="21"/>
      <c r="G21842" s="16"/>
    </row>
    <row r="21843" spans="4:7" ht="15" x14ac:dyDescent="0.3">
      <c r="D21843" s="25"/>
      <c r="F21843" s="21"/>
      <c r="G21843" s="16"/>
    </row>
    <row r="21844" spans="4:7" ht="15" x14ac:dyDescent="0.3">
      <c r="D21844" s="25"/>
      <c r="F21844" s="21"/>
      <c r="G21844" s="16"/>
    </row>
    <row r="21845" spans="4:7" ht="15" x14ac:dyDescent="0.3">
      <c r="D21845" s="25"/>
      <c r="F21845" s="21"/>
      <c r="G21845" s="16"/>
    </row>
    <row r="21846" spans="4:7" ht="15" x14ac:dyDescent="0.3">
      <c r="D21846" s="25"/>
      <c r="F21846" s="21"/>
      <c r="G21846" s="16"/>
    </row>
    <row r="21847" spans="4:7" ht="15" x14ac:dyDescent="0.3">
      <c r="D21847" s="25"/>
      <c r="F21847" s="21"/>
      <c r="G21847" s="16"/>
    </row>
    <row r="21848" spans="4:7" ht="15" x14ac:dyDescent="0.3">
      <c r="D21848" s="25"/>
      <c r="F21848" s="21"/>
      <c r="G21848" s="16"/>
    </row>
    <row r="21849" spans="4:7" ht="15" x14ac:dyDescent="0.3">
      <c r="D21849" s="25"/>
      <c r="F21849" s="21"/>
      <c r="G21849" s="16"/>
    </row>
    <row r="21850" spans="4:7" ht="15" x14ac:dyDescent="0.3">
      <c r="D21850" s="25"/>
      <c r="F21850" s="21"/>
      <c r="G21850" s="16"/>
    </row>
    <row r="21851" spans="4:7" ht="15" x14ac:dyDescent="0.3">
      <c r="D21851" s="25"/>
      <c r="F21851" s="21"/>
      <c r="G21851" s="16"/>
    </row>
    <row r="21852" spans="4:7" ht="15" x14ac:dyDescent="0.3">
      <c r="D21852" s="25"/>
      <c r="F21852" s="21"/>
      <c r="G21852" s="16"/>
    </row>
    <row r="21853" spans="4:7" ht="15" x14ac:dyDescent="0.3">
      <c r="D21853" s="25"/>
      <c r="F21853" s="21"/>
      <c r="G21853" s="16"/>
    </row>
    <row r="21854" spans="4:7" ht="15" x14ac:dyDescent="0.3">
      <c r="D21854" s="25"/>
      <c r="F21854" s="21"/>
      <c r="G21854" s="16"/>
    </row>
    <row r="21855" spans="4:7" ht="15" x14ac:dyDescent="0.3">
      <c r="D21855" s="25"/>
      <c r="F21855" s="21"/>
      <c r="G21855" s="16"/>
    </row>
    <row r="21856" spans="4:7" ht="15" x14ac:dyDescent="0.3">
      <c r="D21856" s="25"/>
      <c r="F21856" s="21"/>
      <c r="G21856" s="16"/>
    </row>
    <row r="21857" spans="4:7" ht="15" x14ac:dyDescent="0.3">
      <c r="D21857" s="25"/>
      <c r="F21857" s="21"/>
      <c r="G21857" s="16"/>
    </row>
    <row r="21858" spans="4:7" ht="15" x14ac:dyDescent="0.3">
      <c r="D21858" s="25"/>
      <c r="F21858" s="21"/>
      <c r="G21858" s="16"/>
    </row>
    <row r="21859" spans="4:7" ht="15" x14ac:dyDescent="0.3">
      <c r="D21859" s="25"/>
      <c r="F21859" s="21"/>
      <c r="G21859" s="16"/>
    </row>
    <row r="21860" spans="4:7" ht="15" x14ac:dyDescent="0.3">
      <c r="D21860" s="25"/>
      <c r="F21860" s="21"/>
      <c r="G21860" s="16"/>
    </row>
    <row r="21861" spans="4:7" ht="15" x14ac:dyDescent="0.3">
      <c r="D21861" s="25"/>
      <c r="F21861" s="21"/>
      <c r="G21861" s="16"/>
    </row>
    <row r="21862" spans="4:7" ht="15" x14ac:dyDescent="0.3">
      <c r="D21862" s="25"/>
      <c r="F21862" s="21"/>
      <c r="G21862" s="16"/>
    </row>
    <row r="21863" spans="4:7" ht="15" x14ac:dyDescent="0.3">
      <c r="D21863" s="25"/>
      <c r="F21863" s="21"/>
      <c r="G21863" s="16"/>
    </row>
    <row r="21864" spans="4:7" ht="15" x14ac:dyDescent="0.3">
      <c r="D21864" s="25"/>
      <c r="F21864" s="21"/>
      <c r="G21864" s="16"/>
    </row>
    <row r="21865" spans="4:7" ht="15" x14ac:dyDescent="0.3">
      <c r="D21865" s="25"/>
      <c r="F21865" s="21"/>
      <c r="G21865" s="16"/>
    </row>
    <row r="21866" spans="4:7" ht="15" x14ac:dyDescent="0.3">
      <c r="D21866" s="25"/>
      <c r="F21866" s="21"/>
      <c r="G21866" s="16"/>
    </row>
    <row r="21867" spans="4:7" ht="15" x14ac:dyDescent="0.3">
      <c r="D21867" s="25"/>
      <c r="F21867" s="21"/>
      <c r="G21867" s="16"/>
    </row>
    <row r="21868" spans="4:7" ht="15" x14ac:dyDescent="0.3">
      <c r="D21868" s="25"/>
      <c r="F21868" s="21"/>
      <c r="G21868" s="16"/>
    </row>
    <row r="21869" spans="4:7" ht="15" x14ac:dyDescent="0.3">
      <c r="D21869" s="25"/>
      <c r="F21869" s="21"/>
      <c r="G21869" s="16"/>
    </row>
    <row r="21870" spans="4:7" ht="15" x14ac:dyDescent="0.3">
      <c r="D21870" s="25"/>
      <c r="F21870" s="21"/>
      <c r="G21870" s="16"/>
    </row>
    <row r="21871" spans="4:7" ht="15" x14ac:dyDescent="0.3">
      <c r="D21871" s="25"/>
      <c r="F21871" s="21"/>
      <c r="G21871" s="16"/>
    </row>
    <row r="21872" spans="4:7" ht="15" x14ac:dyDescent="0.3">
      <c r="D21872" s="25"/>
      <c r="F21872" s="21"/>
      <c r="G21872" s="16"/>
    </row>
    <row r="21873" spans="4:7" ht="15" x14ac:dyDescent="0.3">
      <c r="D21873" s="25"/>
      <c r="F21873" s="21"/>
      <c r="G21873" s="16"/>
    </row>
    <row r="21874" spans="4:7" ht="15" x14ac:dyDescent="0.3">
      <c r="D21874" s="25"/>
      <c r="F21874" s="21"/>
      <c r="G21874" s="16"/>
    </row>
    <row r="21875" spans="4:7" ht="15" x14ac:dyDescent="0.3">
      <c r="D21875" s="25"/>
      <c r="F21875" s="21"/>
      <c r="G21875" s="16"/>
    </row>
    <row r="21876" spans="4:7" ht="15" x14ac:dyDescent="0.3">
      <c r="D21876" s="25"/>
      <c r="F21876" s="21"/>
      <c r="G21876" s="16"/>
    </row>
    <row r="21877" spans="4:7" ht="15" x14ac:dyDescent="0.3">
      <c r="D21877" s="25"/>
      <c r="F21877" s="21"/>
      <c r="G21877" s="16"/>
    </row>
    <row r="21878" spans="4:7" ht="15" x14ac:dyDescent="0.3">
      <c r="D21878" s="25"/>
      <c r="F21878" s="21"/>
      <c r="G21878" s="16"/>
    </row>
    <row r="21879" spans="4:7" ht="15" x14ac:dyDescent="0.3">
      <c r="D21879" s="25"/>
      <c r="F21879" s="21"/>
      <c r="G21879" s="16"/>
    </row>
    <row r="21880" spans="4:7" ht="15" x14ac:dyDescent="0.3">
      <c r="D21880" s="25"/>
      <c r="F21880" s="21"/>
      <c r="G21880" s="16"/>
    </row>
    <row r="21881" spans="4:7" ht="15" x14ac:dyDescent="0.3">
      <c r="D21881" s="25"/>
      <c r="F21881" s="21"/>
      <c r="G21881" s="16"/>
    </row>
    <row r="21882" spans="4:7" ht="15" x14ac:dyDescent="0.3">
      <c r="D21882" s="25"/>
      <c r="F21882" s="21"/>
      <c r="G21882" s="16"/>
    </row>
    <row r="21883" spans="4:7" ht="15" x14ac:dyDescent="0.3">
      <c r="D21883" s="25"/>
      <c r="F21883" s="21"/>
      <c r="G21883" s="16"/>
    </row>
    <row r="21884" spans="4:7" ht="15" x14ac:dyDescent="0.3">
      <c r="D21884" s="25"/>
      <c r="F21884" s="21"/>
      <c r="G21884" s="16"/>
    </row>
    <row r="21885" spans="4:7" ht="15" x14ac:dyDescent="0.3">
      <c r="D21885" s="25"/>
      <c r="F21885" s="21"/>
      <c r="G21885" s="16"/>
    </row>
    <row r="21886" spans="4:7" ht="15" x14ac:dyDescent="0.3">
      <c r="D21886" s="25"/>
      <c r="F21886" s="21"/>
      <c r="G21886" s="16"/>
    </row>
    <row r="21887" spans="4:7" ht="15" x14ac:dyDescent="0.3">
      <c r="D21887" s="25"/>
      <c r="F21887" s="21"/>
      <c r="G21887" s="16"/>
    </row>
    <row r="21888" spans="4:7" ht="15" x14ac:dyDescent="0.3">
      <c r="D21888" s="25"/>
      <c r="F21888" s="21"/>
      <c r="G21888" s="16"/>
    </row>
    <row r="21889" spans="4:7" ht="15" x14ac:dyDescent="0.3">
      <c r="D21889" s="25"/>
      <c r="F21889" s="21"/>
      <c r="G21889" s="16"/>
    </row>
    <row r="21890" spans="4:7" ht="15" x14ac:dyDescent="0.3">
      <c r="D21890" s="25"/>
      <c r="F21890" s="21"/>
      <c r="G21890" s="16"/>
    </row>
    <row r="21891" spans="4:7" ht="15" x14ac:dyDescent="0.3">
      <c r="D21891" s="25"/>
      <c r="F21891" s="21"/>
      <c r="G21891" s="16"/>
    </row>
    <row r="21892" spans="4:7" ht="15" x14ac:dyDescent="0.3">
      <c r="D21892" s="25"/>
      <c r="F21892" s="21"/>
      <c r="G21892" s="16"/>
    </row>
    <row r="21893" spans="4:7" ht="15" x14ac:dyDescent="0.3">
      <c r="D21893" s="25"/>
      <c r="F21893" s="21"/>
      <c r="G21893" s="16"/>
    </row>
    <row r="21894" spans="4:7" ht="15" x14ac:dyDescent="0.3">
      <c r="D21894" s="25"/>
      <c r="F21894" s="21"/>
      <c r="G21894" s="16"/>
    </row>
    <row r="21895" spans="4:7" ht="15" x14ac:dyDescent="0.3">
      <c r="D21895" s="25"/>
      <c r="F21895" s="21"/>
      <c r="G21895" s="16"/>
    </row>
    <row r="21896" spans="4:7" ht="15" x14ac:dyDescent="0.3">
      <c r="D21896" s="25"/>
      <c r="F21896" s="21"/>
      <c r="G21896" s="16"/>
    </row>
    <row r="21897" spans="4:7" ht="15" x14ac:dyDescent="0.3">
      <c r="D21897" s="25"/>
      <c r="F21897" s="21"/>
      <c r="G21897" s="16"/>
    </row>
    <row r="21898" spans="4:7" ht="15" x14ac:dyDescent="0.3">
      <c r="D21898" s="25"/>
      <c r="F21898" s="21"/>
      <c r="G21898" s="16"/>
    </row>
    <row r="21899" spans="4:7" ht="15" x14ac:dyDescent="0.3">
      <c r="D21899" s="25"/>
      <c r="F21899" s="21"/>
      <c r="G21899" s="16"/>
    </row>
    <row r="21900" spans="4:7" ht="15" x14ac:dyDescent="0.3">
      <c r="D21900" s="25"/>
      <c r="F21900" s="21"/>
      <c r="G21900" s="16"/>
    </row>
    <row r="21901" spans="4:7" ht="15" x14ac:dyDescent="0.3">
      <c r="D21901" s="25"/>
      <c r="F21901" s="21"/>
      <c r="G21901" s="16"/>
    </row>
    <row r="21902" spans="4:7" ht="15" x14ac:dyDescent="0.3">
      <c r="D21902" s="25"/>
      <c r="F21902" s="21"/>
      <c r="G21902" s="16"/>
    </row>
    <row r="21903" spans="4:7" ht="15" x14ac:dyDescent="0.3">
      <c r="D21903" s="25"/>
      <c r="F21903" s="21"/>
      <c r="G21903" s="16"/>
    </row>
    <row r="21904" spans="4:7" ht="15" x14ac:dyDescent="0.3">
      <c r="D21904" s="25"/>
      <c r="F21904" s="21"/>
      <c r="G21904" s="16"/>
    </row>
    <row r="21905" spans="4:7" ht="15" x14ac:dyDescent="0.3">
      <c r="D21905" s="25"/>
      <c r="F21905" s="21"/>
      <c r="G21905" s="16"/>
    </row>
    <row r="21906" spans="4:7" ht="15" x14ac:dyDescent="0.3">
      <c r="D21906" s="25"/>
      <c r="F21906" s="21"/>
      <c r="G21906" s="16"/>
    </row>
    <row r="21907" spans="4:7" ht="15" x14ac:dyDescent="0.3">
      <c r="D21907" s="25"/>
      <c r="F21907" s="21"/>
      <c r="G21907" s="16"/>
    </row>
    <row r="21908" spans="4:7" ht="15" x14ac:dyDescent="0.3">
      <c r="D21908" s="25"/>
      <c r="F21908" s="21"/>
      <c r="G21908" s="16"/>
    </row>
    <row r="21909" spans="4:7" ht="15" x14ac:dyDescent="0.3">
      <c r="D21909" s="25"/>
      <c r="F21909" s="21"/>
      <c r="G21909" s="16"/>
    </row>
    <row r="21910" spans="4:7" ht="15" x14ac:dyDescent="0.3">
      <c r="D21910" s="25"/>
      <c r="F21910" s="21"/>
      <c r="G21910" s="16"/>
    </row>
    <row r="21911" spans="4:7" ht="15" x14ac:dyDescent="0.3">
      <c r="D21911" s="25"/>
      <c r="F21911" s="21"/>
      <c r="G21911" s="16"/>
    </row>
    <row r="21912" spans="4:7" ht="15" x14ac:dyDescent="0.3">
      <c r="D21912" s="25"/>
      <c r="F21912" s="21"/>
      <c r="G21912" s="16"/>
    </row>
    <row r="21913" spans="4:7" ht="15" x14ac:dyDescent="0.3">
      <c r="D21913" s="25"/>
      <c r="F21913" s="21"/>
      <c r="G21913" s="16"/>
    </row>
    <row r="21914" spans="4:7" ht="15" x14ac:dyDescent="0.3">
      <c r="D21914" s="25"/>
      <c r="F21914" s="21"/>
      <c r="G21914" s="16"/>
    </row>
    <row r="21915" spans="4:7" ht="15" x14ac:dyDescent="0.3">
      <c r="D21915" s="25"/>
      <c r="F21915" s="21"/>
      <c r="G21915" s="16"/>
    </row>
    <row r="21916" spans="4:7" ht="15" x14ac:dyDescent="0.3">
      <c r="D21916" s="25"/>
      <c r="F21916" s="21"/>
      <c r="G21916" s="16"/>
    </row>
    <row r="21917" spans="4:7" ht="15" x14ac:dyDescent="0.3">
      <c r="D21917" s="25"/>
      <c r="F21917" s="21"/>
      <c r="G21917" s="16"/>
    </row>
    <row r="21918" spans="4:7" ht="15" x14ac:dyDescent="0.3">
      <c r="D21918" s="25"/>
      <c r="F21918" s="21"/>
      <c r="G21918" s="16"/>
    </row>
    <row r="21919" spans="4:7" ht="15" x14ac:dyDescent="0.3">
      <c r="D21919" s="25"/>
      <c r="F21919" s="21"/>
      <c r="G21919" s="16"/>
    </row>
    <row r="21920" spans="4:7" ht="15" x14ac:dyDescent="0.3">
      <c r="D21920" s="25"/>
      <c r="F21920" s="21"/>
      <c r="G21920" s="16"/>
    </row>
    <row r="21921" spans="4:7" ht="15" x14ac:dyDescent="0.3">
      <c r="D21921" s="25"/>
      <c r="F21921" s="21"/>
      <c r="G21921" s="16"/>
    </row>
    <row r="21922" spans="4:7" ht="15" x14ac:dyDescent="0.3">
      <c r="D21922" s="25"/>
      <c r="F21922" s="21"/>
      <c r="G21922" s="16"/>
    </row>
    <row r="21923" spans="4:7" ht="15" x14ac:dyDescent="0.3">
      <c r="D21923" s="25"/>
      <c r="F21923" s="21"/>
      <c r="G21923" s="16"/>
    </row>
    <row r="21924" spans="4:7" ht="15" x14ac:dyDescent="0.3">
      <c r="D21924" s="25"/>
      <c r="F21924" s="21"/>
      <c r="G21924" s="16"/>
    </row>
    <row r="21925" spans="4:7" ht="15" x14ac:dyDescent="0.3">
      <c r="D21925" s="25"/>
      <c r="F21925" s="21"/>
      <c r="G21925" s="16"/>
    </row>
    <row r="21926" spans="4:7" ht="15" x14ac:dyDescent="0.3">
      <c r="D21926" s="25"/>
      <c r="F21926" s="21"/>
      <c r="G21926" s="16"/>
    </row>
    <row r="21927" spans="4:7" ht="15" x14ac:dyDescent="0.3">
      <c r="D21927" s="25"/>
      <c r="F21927" s="21"/>
      <c r="G21927" s="16"/>
    </row>
    <row r="21928" spans="4:7" ht="15" x14ac:dyDescent="0.3">
      <c r="D21928" s="25"/>
      <c r="F21928" s="21"/>
      <c r="G21928" s="16"/>
    </row>
    <row r="21929" spans="4:7" ht="15" x14ac:dyDescent="0.3">
      <c r="D21929" s="25"/>
      <c r="F21929" s="21"/>
      <c r="G21929" s="16"/>
    </row>
    <row r="21930" spans="4:7" ht="15" x14ac:dyDescent="0.3">
      <c r="D21930" s="25"/>
      <c r="F21930" s="21"/>
      <c r="G21930" s="16"/>
    </row>
    <row r="21931" spans="4:7" ht="15" x14ac:dyDescent="0.3">
      <c r="D21931" s="25"/>
      <c r="F21931" s="21"/>
      <c r="G21931" s="16"/>
    </row>
    <row r="21932" spans="4:7" ht="15" x14ac:dyDescent="0.3">
      <c r="D21932" s="25"/>
      <c r="F21932" s="21"/>
      <c r="G21932" s="16"/>
    </row>
    <row r="21933" spans="4:7" ht="15" x14ac:dyDescent="0.3">
      <c r="D21933" s="25"/>
      <c r="F21933" s="21"/>
      <c r="G21933" s="16"/>
    </row>
    <row r="21934" spans="4:7" ht="15" x14ac:dyDescent="0.3">
      <c r="D21934" s="25"/>
      <c r="F21934" s="21"/>
      <c r="G21934" s="16"/>
    </row>
    <row r="21935" spans="4:7" ht="15" x14ac:dyDescent="0.3">
      <c r="D21935" s="25"/>
      <c r="F21935" s="21"/>
      <c r="G21935" s="16"/>
    </row>
    <row r="21936" spans="4:7" ht="15" x14ac:dyDescent="0.3">
      <c r="D21936" s="25"/>
      <c r="F21936" s="21"/>
      <c r="G21936" s="16"/>
    </row>
    <row r="21937" spans="4:7" ht="15" x14ac:dyDescent="0.3">
      <c r="D21937" s="25"/>
      <c r="F21937" s="21"/>
      <c r="G21937" s="16"/>
    </row>
    <row r="21938" spans="4:7" ht="15" x14ac:dyDescent="0.3">
      <c r="D21938" s="25"/>
      <c r="F21938" s="21"/>
      <c r="G21938" s="16"/>
    </row>
    <row r="21939" spans="4:7" ht="15" x14ac:dyDescent="0.3">
      <c r="D21939" s="25"/>
      <c r="F21939" s="21"/>
      <c r="G21939" s="16"/>
    </row>
    <row r="21940" spans="4:7" ht="15" x14ac:dyDescent="0.3">
      <c r="D21940" s="25"/>
      <c r="F21940" s="21"/>
      <c r="G21940" s="16"/>
    </row>
    <row r="21941" spans="4:7" ht="15" x14ac:dyDescent="0.3">
      <c r="D21941" s="25"/>
      <c r="F21941" s="21"/>
      <c r="G21941" s="16"/>
    </row>
    <row r="21942" spans="4:7" ht="15" x14ac:dyDescent="0.3">
      <c r="D21942" s="25"/>
      <c r="F21942" s="21"/>
      <c r="G21942" s="16"/>
    </row>
    <row r="21943" spans="4:7" ht="15" x14ac:dyDescent="0.3">
      <c r="D21943" s="25"/>
      <c r="F21943" s="21"/>
      <c r="G21943" s="16"/>
    </row>
    <row r="21944" spans="4:7" ht="15" x14ac:dyDescent="0.3">
      <c r="D21944" s="25"/>
      <c r="F21944" s="21"/>
      <c r="G21944" s="16"/>
    </row>
    <row r="21945" spans="4:7" ht="15" x14ac:dyDescent="0.3">
      <c r="D21945" s="25"/>
      <c r="F21945" s="21"/>
      <c r="G21945" s="16"/>
    </row>
    <row r="21946" spans="4:7" ht="15" x14ac:dyDescent="0.3">
      <c r="D21946" s="25"/>
      <c r="F21946" s="21"/>
      <c r="G21946" s="16"/>
    </row>
    <row r="21947" spans="4:7" ht="15" x14ac:dyDescent="0.3">
      <c r="D21947" s="25"/>
      <c r="F21947" s="21"/>
      <c r="G21947" s="16"/>
    </row>
    <row r="21948" spans="4:7" ht="15" x14ac:dyDescent="0.3">
      <c r="D21948" s="25"/>
      <c r="F21948" s="21"/>
      <c r="G21948" s="16"/>
    </row>
    <row r="21949" spans="4:7" ht="15" x14ac:dyDescent="0.3">
      <c r="D21949" s="25"/>
      <c r="F21949" s="21"/>
      <c r="G21949" s="16"/>
    </row>
    <row r="21950" spans="4:7" ht="15" x14ac:dyDescent="0.3">
      <c r="D21950" s="25"/>
      <c r="F21950" s="21"/>
      <c r="G21950" s="16"/>
    </row>
    <row r="21951" spans="4:7" ht="15" x14ac:dyDescent="0.3">
      <c r="D21951" s="25"/>
      <c r="F21951" s="21"/>
      <c r="G21951" s="16"/>
    </row>
    <row r="21952" spans="4:7" ht="15" x14ac:dyDescent="0.3">
      <c r="D21952" s="25"/>
      <c r="F21952" s="21"/>
      <c r="G21952" s="16"/>
    </row>
    <row r="21953" spans="4:7" ht="15" x14ac:dyDescent="0.3">
      <c r="D21953" s="25"/>
      <c r="F21953" s="21"/>
      <c r="G21953" s="16"/>
    </row>
    <row r="21954" spans="4:7" ht="15" x14ac:dyDescent="0.3">
      <c r="D21954" s="25"/>
      <c r="F21954" s="21"/>
      <c r="G21954" s="16"/>
    </row>
    <row r="21955" spans="4:7" ht="15" x14ac:dyDescent="0.3">
      <c r="D21955" s="25"/>
      <c r="F21955" s="21"/>
      <c r="G21955" s="16"/>
    </row>
    <row r="21956" spans="4:7" ht="15" x14ac:dyDescent="0.3">
      <c r="D21956" s="25"/>
      <c r="F21956" s="21"/>
      <c r="G21956" s="16"/>
    </row>
    <row r="21957" spans="4:7" ht="15" x14ac:dyDescent="0.3">
      <c r="D21957" s="25"/>
      <c r="F21957" s="21"/>
      <c r="G21957" s="16"/>
    </row>
    <row r="21958" spans="4:7" ht="15" x14ac:dyDescent="0.3">
      <c r="D21958" s="25"/>
      <c r="F21958" s="21"/>
      <c r="G21958" s="16"/>
    </row>
    <row r="21959" spans="4:7" ht="15" x14ac:dyDescent="0.3">
      <c r="D21959" s="25"/>
      <c r="F21959" s="21"/>
      <c r="G21959" s="16"/>
    </row>
    <row r="21960" spans="4:7" ht="15" x14ac:dyDescent="0.3">
      <c r="D21960" s="25"/>
      <c r="F21960" s="21"/>
      <c r="G21960" s="16"/>
    </row>
    <row r="21961" spans="4:7" ht="15" x14ac:dyDescent="0.3">
      <c r="D21961" s="25"/>
      <c r="F21961" s="21"/>
      <c r="G21961" s="16"/>
    </row>
    <row r="21962" spans="4:7" ht="15" x14ac:dyDescent="0.3">
      <c r="D21962" s="25"/>
      <c r="F21962" s="21"/>
      <c r="G21962" s="16"/>
    </row>
    <row r="21963" spans="4:7" ht="15" x14ac:dyDescent="0.3">
      <c r="D21963" s="25"/>
      <c r="F21963" s="21"/>
      <c r="G21963" s="16"/>
    </row>
    <row r="21964" spans="4:7" ht="15" x14ac:dyDescent="0.3">
      <c r="D21964" s="25"/>
      <c r="F21964" s="21"/>
      <c r="G21964" s="16"/>
    </row>
    <row r="21965" spans="4:7" ht="15" x14ac:dyDescent="0.3">
      <c r="D21965" s="25"/>
      <c r="F21965" s="21"/>
      <c r="G21965" s="16"/>
    </row>
    <row r="21966" spans="4:7" ht="15" x14ac:dyDescent="0.3">
      <c r="D21966" s="25"/>
      <c r="F21966" s="21"/>
      <c r="G21966" s="16"/>
    </row>
    <row r="21967" spans="4:7" ht="15" x14ac:dyDescent="0.3">
      <c r="D21967" s="25"/>
      <c r="F21967" s="21"/>
      <c r="G21967" s="16"/>
    </row>
    <row r="21968" spans="4:7" ht="15" x14ac:dyDescent="0.3">
      <c r="D21968" s="25"/>
      <c r="F21968" s="21"/>
      <c r="G21968" s="16"/>
    </row>
    <row r="21969" spans="4:7" ht="15" x14ac:dyDescent="0.3">
      <c r="D21969" s="25"/>
      <c r="F21969" s="21"/>
      <c r="G21969" s="16"/>
    </row>
    <row r="21970" spans="4:7" ht="15" x14ac:dyDescent="0.3">
      <c r="D21970" s="25"/>
      <c r="F21970" s="21"/>
      <c r="G21970" s="16"/>
    </row>
    <row r="21971" spans="4:7" ht="15" x14ac:dyDescent="0.3">
      <c r="D21971" s="25"/>
      <c r="F21971" s="21"/>
      <c r="G21971" s="16"/>
    </row>
    <row r="21972" spans="4:7" ht="15" x14ac:dyDescent="0.3">
      <c r="D21972" s="25"/>
      <c r="F21972" s="21"/>
      <c r="G21972" s="16"/>
    </row>
    <row r="21973" spans="4:7" ht="15" x14ac:dyDescent="0.3">
      <c r="D21973" s="25"/>
      <c r="F21973" s="21"/>
      <c r="G21973" s="16"/>
    </row>
    <row r="21974" spans="4:7" ht="15" x14ac:dyDescent="0.3">
      <c r="D21974" s="25"/>
      <c r="F21974" s="21"/>
      <c r="G21974" s="16"/>
    </row>
    <row r="21975" spans="4:7" ht="15" x14ac:dyDescent="0.3">
      <c r="D21975" s="25"/>
      <c r="F21975" s="21"/>
      <c r="G21975" s="16"/>
    </row>
    <row r="21976" spans="4:7" ht="15" x14ac:dyDescent="0.3">
      <c r="D21976" s="25"/>
      <c r="F21976" s="21"/>
      <c r="G21976" s="16"/>
    </row>
    <row r="21977" spans="4:7" ht="15" x14ac:dyDescent="0.3">
      <c r="D21977" s="25"/>
      <c r="F21977" s="21"/>
      <c r="G21977" s="16"/>
    </row>
    <row r="21978" spans="4:7" ht="15" x14ac:dyDescent="0.3">
      <c r="D21978" s="25"/>
      <c r="F21978" s="21"/>
      <c r="G21978" s="16"/>
    </row>
    <row r="21979" spans="4:7" ht="15" x14ac:dyDescent="0.3">
      <c r="D21979" s="25"/>
      <c r="F21979" s="21"/>
      <c r="G21979" s="16"/>
    </row>
    <row r="21980" spans="4:7" ht="15" x14ac:dyDescent="0.3">
      <c r="D21980" s="25"/>
      <c r="F21980" s="21"/>
      <c r="G21980" s="16"/>
    </row>
    <row r="21981" spans="4:7" ht="15" x14ac:dyDescent="0.3">
      <c r="D21981" s="25"/>
      <c r="F21981" s="21"/>
      <c r="G21981" s="16"/>
    </row>
    <row r="21982" spans="4:7" ht="15" x14ac:dyDescent="0.3">
      <c r="D21982" s="25"/>
      <c r="F21982" s="21"/>
      <c r="G21982" s="16"/>
    </row>
    <row r="21983" spans="4:7" ht="15" x14ac:dyDescent="0.3">
      <c r="D21983" s="25"/>
      <c r="F21983" s="21"/>
      <c r="G21983" s="16"/>
    </row>
    <row r="21984" spans="4:7" ht="15" x14ac:dyDescent="0.3">
      <c r="D21984" s="25"/>
      <c r="F21984" s="21"/>
      <c r="G21984" s="16"/>
    </row>
    <row r="21985" spans="4:7" ht="15" x14ac:dyDescent="0.3">
      <c r="D21985" s="25"/>
      <c r="F21985" s="21"/>
      <c r="G21985" s="16"/>
    </row>
    <row r="21986" spans="4:7" ht="15" x14ac:dyDescent="0.3">
      <c r="D21986" s="25"/>
      <c r="F21986" s="21"/>
      <c r="G21986" s="16"/>
    </row>
    <row r="21987" spans="4:7" ht="15" x14ac:dyDescent="0.3">
      <c r="D21987" s="25"/>
      <c r="F21987" s="21"/>
      <c r="G21987" s="16"/>
    </row>
    <row r="21988" spans="4:7" ht="15" x14ac:dyDescent="0.3">
      <c r="D21988" s="25"/>
      <c r="F21988" s="21"/>
      <c r="G21988" s="16"/>
    </row>
    <row r="21989" spans="4:7" ht="15" x14ac:dyDescent="0.3">
      <c r="D21989" s="25"/>
      <c r="F21989" s="21"/>
      <c r="G21989" s="16"/>
    </row>
    <row r="21990" spans="4:7" ht="15" x14ac:dyDescent="0.3">
      <c r="D21990" s="25"/>
      <c r="F21990" s="21"/>
      <c r="G21990" s="16"/>
    </row>
    <row r="21991" spans="4:7" ht="15" x14ac:dyDescent="0.3">
      <c r="D21991" s="25"/>
      <c r="F21991" s="21"/>
      <c r="G21991" s="16"/>
    </row>
    <row r="21992" spans="4:7" ht="15" x14ac:dyDescent="0.3">
      <c r="D21992" s="25"/>
      <c r="F21992" s="21"/>
      <c r="G21992" s="16"/>
    </row>
    <row r="21993" spans="4:7" ht="15" x14ac:dyDescent="0.3">
      <c r="D21993" s="25"/>
      <c r="F21993" s="21"/>
      <c r="G21993" s="16"/>
    </row>
    <row r="21994" spans="4:7" ht="15" x14ac:dyDescent="0.3">
      <c r="D21994" s="25"/>
      <c r="F21994" s="21"/>
      <c r="G21994" s="16"/>
    </row>
    <row r="21995" spans="4:7" ht="15" x14ac:dyDescent="0.3">
      <c r="D21995" s="25"/>
      <c r="F21995" s="21"/>
      <c r="G21995" s="16"/>
    </row>
    <row r="21996" spans="4:7" ht="15" x14ac:dyDescent="0.3">
      <c r="D21996" s="25"/>
      <c r="F21996" s="21"/>
      <c r="G21996" s="16"/>
    </row>
    <row r="21997" spans="4:7" ht="15" x14ac:dyDescent="0.3">
      <c r="D21997" s="25"/>
      <c r="F21997" s="21"/>
      <c r="G21997" s="16"/>
    </row>
    <row r="21998" spans="4:7" ht="15" x14ac:dyDescent="0.3">
      <c r="D21998" s="25"/>
      <c r="F21998" s="21"/>
      <c r="G21998" s="16"/>
    </row>
    <row r="21999" spans="4:7" ht="15" x14ac:dyDescent="0.3">
      <c r="D21999" s="25"/>
      <c r="F21999" s="21"/>
      <c r="G21999" s="16"/>
    </row>
    <row r="22000" spans="4:7" ht="15" x14ac:dyDescent="0.3">
      <c r="D22000" s="25"/>
      <c r="F22000" s="21"/>
      <c r="G22000" s="16"/>
    </row>
    <row r="22001" spans="4:7" ht="15" x14ac:dyDescent="0.3">
      <c r="D22001" s="25"/>
      <c r="F22001" s="21"/>
      <c r="G22001" s="16"/>
    </row>
    <row r="22002" spans="4:7" ht="15" x14ac:dyDescent="0.3">
      <c r="D22002" s="25"/>
      <c r="F22002" s="21"/>
      <c r="G22002" s="16"/>
    </row>
    <row r="22003" spans="4:7" ht="15" x14ac:dyDescent="0.3">
      <c r="D22003" s="25"/>
      <c r="F22003" s="21"/>
      <c r="G22003" s="16"/>
    </row>
    <row r="22004" spans="4:7" ht="15" x14ac:dyDescent="0.3">
      <c r="D22004" s="25"/>
      <c r="F22004" s="21"/>
      <c r="G22004" s="16"/>
    </row>
    <row r="22005" spans="4:7" ht="15" x14ac:dyDescent="0.3">
      <c r="D22005" s="25"/>
      <c r="F22005" s="21"/>
      <c r="G22005" s="16"/>
    </row>
    <row r="22006" spans="4:7" ht="15" x14ac:dyDescent="0.3">
      <c r="D22006" s="25"/>
      <c r="F22006" s="21"/>
      <c r="G22006" s="16"/>
    </row>
    <row r="22007" spans="4:7" ht="15" x14ac:dyDescent="0.3">
      <c r="D22007" s="25"/>
      <c r="F22007" s="21"/>
      <c r="G22007" s="16"/>
    </row>
    <row r="22008" spans="4:7" ht="15" x14ac:dyDescent="0.3">
      <c r="D22008" s="25"/>
      <c r="F22008" s="21"/>
      <c r="G22008" s="16"/>
    </row>
    <row r="22009" spans="4:7" ht="15" x14ac:dyDescent="0.3">
      <c r="D22009" s="25"/>
      <c r="F22009" s="21"/>
      <c r="G22009" s="16"/>
    </row>
    <row r="22010" spans="4:7" ht="15" x14ac:dyDescent="0.3">
      <c r="D22010" s="25"/>
      <c r="F22010" s="21"/>
      <c r="G22010" s="16"/>
    </row>
    <row r="22011" spans="4:7" ht="15" x14ac:dyDescent="0.3">
      <c r="D22011" s="25"/>
      <c r="F22011" s="21"/>
      <c r="G22011" s="16"/>
    </row>
    <row r="22012" spans="4:7" ht="15" x14ac:dyDescent="0.3">
      <c r="D22012" s="25"/>
      <c r="F22012" s="21"/>
      <c r="G22012" s="16"/>
    </row>
    <row r="22013" spans="4:7" ht="15" x14ac:dyDescent="0.3">
      <c r="D22013" s="25"/>
      <c r="F22013" s="21"/>
      <c r="G22013" s="16"/>
    </row>
    <row r="22014" spans="4:7" ht="15" x14ac:dyDescent="0.3">
      <c r="D22014" s="25"/>
      <c r="F22014" s="21"/>
      <c r="G22014" s="16"/>
    </row>
    <row r="22015" spans="4:7" ht="15" x14ac:dyDescent="0.3">
      <c r="D22015" s="25"/>
      <c r="F22015" s="21"/>
      <c r="G22015" s="16"/>
    </row>
    <row r="22016" spans="4:7" ht="15" x14ac:dyDescent="0.3">
      <c r="D22016" s="25"/>
      <c r="F22016" s="21"/>
      <c r="G22016" s="16"/>
    </row>
    <row r="22017" spans="4:7" ht="15" x14ac:dyDescent="0.3">
      <c r="D22017" s="25"/>
      <c r="F22017" s="21"/>
      <c r="G22017" s="16"/>
    </row>
    <row r="22018" spans="4:7" ht="15" x14ac:dyDescent="0.3">
      <c r="D22018" s="25"/>
      <c r="F22018" s="21"/>
      <c r="G22018" s="16"/>
    </row>
    <row r="22019" spans="4:7" ht="15" x14ac:dyDescent="0.3">
      <c r="D22019" s="25"/>
      <c r="F22019" s="21"/>
      <c r="G22019" s="16"/>
    </row>
    <row r="22020" spans="4:7" ht="15" x14ac:dyDescent="0.3">
      <c r="D22020" s="25"/>
      <c r="F22020" s="21"/>
      <c r="G22020" s="16"/>
    </row>
    <row r="22021" spans="4:7" ht="15" x14ac:dyDescent="0.3">
      <c r="D22021" s="25"/>
      <c r="F22021" s="21"/>
      <c r="G22021" s="16"/>
    </row>
    <row r="22022" spans="4:7" ht="15" x14ac:dyDescent="0.3">
      <c r="D22022" s="25"/>
      <c r="F22022" s="21"/>
      <c r="G22022" s="16"/>
    </row>
    <row r="22023" spans="4:7" ht="15" x14ac:dyDescent="0.3">
      <c r="D22023" s="25"/>
      <c r="F22023" s="21"/>
      <c r="G22023" s="16"/>
    </row>
    <row r="22024" spans="4:7" ht="15" x14ac:dyDescent="0.3">
      <c r="D22024" s="25"/>
      <c r="F22024" s="21"/>
      <c r="G22024" s="16"/>
    </row>
    <row r="22025" spans="4:7" ht="15" x14ac:dyDescent="0.3">
      <c r="D22025" s="25"/>
      <c r="F22025" s="21"/>
      <c r="G22025" s="16"/>
    </row>
    <row r="22026" spans="4:7" ht="15" x14ac:dyDescent="0.3">
      <c r="D22026" s="25"/>
      <c r="F22026" s="21"/>
      <c r="G22026" s="16"/>
    </row>
    <row r="22027" spans="4:7" ht="15" x14ac:dyDescent="0.3">
      <c r="D22027" s="25"/>
      <c r="F22027" s="21"/>
      <c r="G22027" s="16"/>
    </row>
    <row r="22028" spans="4:7" ht="15" x14ac:dyDescent="0.3">
      <c r="D22028" s="25"/>
      <c r="F22028" s="21"/>
      <c r="G22028" s="16"/>
    </row>
    <row r="22029" spans="4:7" ht="15" x14ac:dyDescent="0.3">
      <c r="D22029" s="25"/>
      <c r="F22029" s="21"/>
      <c r="G22029" s="16"/>
    </row>
    <row r="22030" spans="4:7" ht="15" x14ac:dyDescent="0.3">
      <c r="D22030" s="25"/>
      <c r="F22030" s="21"/>
      <c r="G22030" s="16"/>
    </row>
    <row r="22031" spans="4:7" ht="15" x14ac:dyDescent="0.3">
      <c r="D22031" s="25"/>
      <c r="F22031" s="21"/>
      <c r="G22031" s="16"/>
    </row>
    <row r="22032" spans="4:7" ht="15" x14ac:dyDescent="0.3">
      <c r="D22032" s="25"/>
      <c r="F22032" s="21"/>
      <c r="G22032" s="16"/>
    </row>
    <row r="22033" spans="4:7" ht="15" x14ac:dyDescent="0.3">
      <c r="D22033" s="25"/>
      <c r="F22033" s="21"/>
      <c r="G22033" s="16"/>
    </row>
    <row r="22034" spans="4:7" ht="15" x14ac:dyDescent="0.3">
      <c r="D22034" s="25"/>
      <c r="F22034" s="21"/>
      <c r="G22034" s="16"/>
    </row>
    <row r="22035" spans="4:7" ht="15" x14ac:dyDescent="0.3">
      <c r="D22035" s="25"/>
      <c r="F22035" s="21"/>
      <c r="G22035" s="16"/>
    </row>
    <row r="22036" spans="4:7" ht="15" x14ac:dyDescent="0.3">
      <c r="D22036" s="25"/>
      <c r="F22036" s="21"/>
      <c r="G22036" s="16"/>
    </row>
    <row r="22037" spans="4:7" ht="15" x14ac:dyDescent="0.3">
      <c r="D22037" s="25"/>
      <c r="F22037" s="21"/>
      <c r="G22037" s="16"/>
    </row>
    <row r="22038" spans="4:7" ht="15" x14ac:dyDescent="0.3">
      <c r="D22038" s="25"/>
      <c r="F22038" s="21"/>
      <c r="G22038" s="16"/>
    </row>
    <row r="22039" spans="4:7" ht="15" x14ac:dyDescent="0.3">
      <c r="D22039" s="25"/>
      <c r="F22039" s="21"/>
      <c r="G22039" s="16"/>
    </row>
    <row r="22040" spans="4:7" ht="15" x14ac:dyDescent="0.3">
      <c r="D22040" s="25"/>
      <c r="F22040" s="21"/>
      <c r="G22040" s="16"/>
    </row>
    <row r="22041" spans="4:7" ht="15" x14ac:dyDescent="0.3">
      <c r="D22041" s="25"/>
      <c r="F22041" s="21"/>
      <c r="G22041" s="16"/>
    </row>
    <row r="22042" spans="4:7" ht="15" x14ac:dyDescent="0.3">
      <c r="D22042" s="25"/>
      <c r="F22042" s="21"/>
      <c r="G22042" s="16"/>
    </row>
    <row r="22043" spans="4:7" ht="15" x14ac:dyDescent="0.3">
      <c r="D22043" s="25"/>
      <c r="F22043" s="21"/>
      <c r="G22043" s="16"/>
    </row>
    <row r="22044" spans="4:7" ht="15" x14ac:dyDescent="0.3">
      <c r="D22044" s="25"/>
      <c r="F22044" s="21"/>
      <c r="G22044" s="16"/>
    </row>
    <row r="22045" spans="4:7" ht="15" x14ac:dyDescent="0.3">
      <c r="D22045" s="25"/>
      <c r="F22045" s="21"/>
      <c r="G22045" s="16"/>
    </row>
    <row r="22046" spans="4:7" ht="15" x14ac:dyDescent="0.3">
      <c r="D22046" s="25"/>
      <c r="F22046" s="21"/>
      <c r="G22046" s="16"/>
    </row>
    <row r="22047" spans="4:7" ht="15" x14ac:dyDescent="0.3">
      <c r="D22047" s="25"/>
      <c r="F22047" s="21"/>
      <c r="G22047" s="16"/>
    </row>
    <row r="22048" spans="4:7" ht="15" x14ac:dyDescent="0.3">
      <c r="D22048" s="25"/>
      <c r="F22048" s="21"/>
      <c r="G22048" s="16"/>
    </row>
    <row r="22049" spans="4:7" ht="15" x14ac:dyDescent="0.3">
      <c r="D22049" s="25"/>
      <c r="F22049" s="21"/>
      <c r="G22049" s="16"/>
    </row>
    <row r="22050" spans="4:7" ht="15" x14ac:dyDescent="0.3">
      <c r="D22050" s="25"/>
      <c r="F22050" s="21"/>
      <c r="G22050" s="16"/>
    </row>
    <row r="22051" spans="4:7" ht="15" x14ac:dyDescent="0.3">
      <c r="D22051" s="25"/>
      <c r="F22051" s="21"/>
      <c r="G22051" s="16"/>
    </row>
    <row r="22052" spans="4:7" ht="15" x14ac:dyDescent="0.3">
      <c r="D22052" s="25"/>
      <c r="F22052" s="21"/>
      <c r="G22052" s="16"/>
    </row>
    <row r="22053" spans="4:7" ht="15" x14ac:dyDescent="0.3">
      <c r="D22053" s="25"/>
      <c r="F22053" s="21"/>
      <c r="G22053" s="16"/>
    </row>
    <row r="22054" spans="4:7" ht="15" x14ac:dyDescent="0.3">
      <c r="D22054" s="25"/>
      <c r="F22054" s="21"/>
      <c r="G22054" s="16"/>
    </row>
    <row r="22055" spans="4:7" ht="15" x14ac:dyDescent="0.3">
      <c r="D22055" s="25"/>
      <c r="F22055" s="21"/>
      <c r="G22055" s="16"/>
    </row>
    <row r="22056" spans="4:7" ht="15" x14ac:dyDescent="0.3">
      <c r="D22056" s="25"/>
      <c r="F22056" s="21"/>
      <c r="G22056" s="16"/>
    </row>
    <row r="22057" spans="4:7" ht="15" x14ac:dyDescent="0.3">
      <c r="D22057" s="25"/>
      <c r="F22057" s="21"/>
      <c r="G22057" s="16"/>
    </row>
    <row r="22058" spans="4:7" ht="15" x14ac:dyDescent="0.3">
      <c r="D22058" s="25"/>
      <c r="F22058" s="21"/>
      <c r="G22058" s="16"/>
    </row>
    <row r="22059" spans="4:7" ht="15" x14ac:dyDescent="0.3">
      <c r="D22059" s="25"/>
      <c r="F22059" s="21"/>
      <c r="G22059" s="16"/>
    </row>
    <row r="22060" spans="4:7" ht="15" x14ac:dyDescent="0.3">
      <c r="D22060" s="25"/>
      <c r="F22060" s="21"/>
      <c r="G22060" s="16"/>
    </row>
    <row r="22061" spans="4:7" ht="15" x14ac:dyDescent="0.3">
      <c r="D22061" s="25"/>
      <c r="F22061" s="21"/>
      <c r="G22061" s="16"/>
    </row>
    <row r="22062" spans="4:7" ht="15" x14ac:dyDescent="0.3">
      <c r="D22062" s="25"/>
      <c r="F22062" s="21"/>
      <c r="G22062" s="16"/>
    </row>
    <row r="22063" spans="4:7" ht="15" x14ac:dyDescent="0.3">
      <c r="D22063" s="25"/>
      <c r="F22063" s="21"/>
      <c r="G22063" s="16"/>
    </row>
    <row r="22064" spans="4:7" ht="15" x14ac:dyDescent="0.3">
      <c r="D22064" s="25"/>
      <c r="F22064" s="21"/>
      <c r="G22064" s="16"/>
    </row>
    <row r="22065" spans="4:7" ht="15" x14ac:dyDescent="0.3">
      <c r="D22065" s="25"/>
      <c r="F22065" s="21"/>
      <c r="G22065" s="16"/>
    </row>
    <row r="22066" spans="4:7" ht="15" x14ac:dyDescent="0.3">
      <c r="D22066" s="25"/>
      <c r="F22066" s="21"/>
      <c r="G22066" s="16"/>
    </row>
    <row r="22067" spans="4:7" ht="15" x14ac:dyDescent="0.3">
      <c r="D22067" s="25"/>
      <c r="F22067" s="21"/>
      <c r="G22067" s="16"/>
    </row>
    <row r="22068" spans="4:7" ht="15" x14ac:dyDescent="0.3">
      <c r="D22068" s="25"/>
      <c r="F22068" s="21"/>
      <c r="G22068" s="16"/>
    </row>
    <row r="22069" spans="4:7" ht="15" x14ac:dyDescent="0.3">
      <c r="D22069" s="25"/>
      <c r="F22069" s="21"/>
      <c r="G22069" s="16"/>
    </row>
    <row r="22070" spans="4:7" ht="15" x14ac:dyDescent="0.3">
      <c r="D22070" s="25"/>
      <c r="F22070" s="21"/>
      <c r="G22070" s="16"/>
    </row>
    <row r="22071" spans="4:7" ht="15" x14ac:dyDescent="0.3">
      <c r="D22071" s="25"/>
      <c r="F22071" s="21"/>
      <c r="G22071" s="16"/>
    </row>
    <row r="22072" spans="4:7" ht="15" x14ac:dyDescent="0.3">
      <c r="D22072" s="25"/>
      <c r="F22072" s="21"/>
      <c r="G22072" s="16"/>
    </row>
    <row r="22073" spans="4:7" ht="15" x14ac:dyDescent="0.3">
      <c r="D22073" s="25"/>
      <c r="F22073" s="21"/>
      <c r="G22073" s="16"/>
    </row>
    <row r="22074" spans="4:7" ht="15" x14ac:dyDescent="0.3">
      <c r="D22074" s="25"/>
      <c r="F22074" s="21"/>
      <c r="G22074" s="16"/>
    </row>
    <row r="22075" spans="4:7" ht="15" x14ac:dyDescent="0.3">
      <c r="D22075" s="25"/>
      <c r="F22075" s="21"/>
      <c r="G22075" s="16"/>
    </row>
    <row r="22076" spans="4:7" ht="15" x14ac:dyDescent="0.3">
      <c r="D22076" s="25"/>
      <c r="F22076" s="21"/>
      <c r="G22076" s="16"/>
    </row>
    <row r="22077" spans="4:7" ht="15" x14ac:dyDescent="0.3">
      <c r="D22077" s="25"/>
      <c r="F22077" s="21"/>
      <c r="G22077" s="16"/>
    </row>
    <row r="22078" spans="4:7" ht="15" x14ac:dyDescent="0.3">
      <c r="D22078" s="25"/>
      <c r="F22078" s="21"/>
      <c r="G22078" s="16"/>
    </row>
    <row r="22079" spans="4:7" ht="15" x14ac:dyDescent="0.3">
      <c r="D22079" s="25"/>
      <c r="F22079" s="21"/>
      <c r="G22079" s="16"/>
    </row>
    <row r="22080" spans="4:7" ht="15" x14ac:dyDescent="0.3">
      <c r="D22080" s="25"/>
      <c r="F22080" s="21"/>
      <c r="G22080" s="16"/>
    </row>
    <row r="22081" spans="4:7" ht="15" x14ac:dyDescent="0.3">
      <c r="D22081" s="25"/>
      <c r="F22081" s="21"/>
      <c r="G22081" s="16"/>
    </row>
    <row r="22082" spans="4:7" ht="15" x14ac:dyDescent="0.3">
      <c r="D22082" s="25"/>
      <c r="F22082" s="21"/>
      <c r="G22082" s="16"/>
    </row>
    <row r="22083" spans="4:7" ht="15" x14ac:dyDescent="0.3">
      <c r="D22083" s="25"/>
      <c r="F22083" s="21"/>
      <c r="G22083" s="16"/>
    </row>
    <row r="22084" spans="4:7" ht="15" x14ac:dyDescent="0.3">
      <c r="D22084" s="25"/>
      <c r="F22084" s="21"/>
      <c r="G22084" s="16"/>
    </row>
    <row r="22085" spans="4:7" ht="15" x14ac:dyDescent="0.3">
      <c r="D22085" s="25"/>
      <c r="F22085" s="21"/>
      <c r="G22085" s="16"/>
    </row>
    <row r="22086" spans="4:7" ht="15" x14ac:dyDescent="0.3">
      <c r="D22086" s="25"/>
      <c r="F22086" s="21"/>
      <c r="G22086" s="16"/>
    </row>
    <row r="22087" spans="4:7" ht="15" x14ac:dyDescent="0.3">
      <c r="D22087" s="25"/>
      <c r="F22087" s="21"/>
      <c r="G22087" s="16"/>
    </row>
    <row r="22088" spans="4:7" ht="15" x14ac:dyDescent="0.3">
      <c r="D22088" s="25"/>
      <c r="F22088" s="21"/>
      <c r="G22088" s="16"/>
    </row>
    <row r="22089" spans="4:7" ht="15" x14ac:dyDescent="0.3">
      <c r="D22089" s="25"/>
      <c r="F22089" s="21"/>
      <c r="G22089" s="16"/>
    </row>
    <row r="22090" spans="4:7" ht="15" x14ac:dyDescent="0.3">
      <c r="D22090" s="25"/>
      <c r="F22090" s="21"/>
      <c r="G22090" s="16"/>
    </row>
    <row r="22091" spans="4:7" ht="15" x14ac:dyDescent="0.3">
      <c r="D22091" s="25"/>
      <c r="F22091" s="21"/>
      <c r="G22091" s="16"/>
    </row>
    <row r="22092" spans="4:7" ht="15" x14ac:dyDescent="0.3">
      <c r="D22092" s="25"/>
      <c r="F22092" s="21"/>
      <c r="G22092" s="16"/>
    </row>
    <row r="22093" spans="4:7" ht="15" x14ac:dyDescent="0.3">
      <c r="D22093" s="25"/>
      <c r="F22093" s="21"/>
      <c r="G22093" s="16"/>
    </row>
    <row r="22094" spans="4:7" ht="15" x14ac:dyDescent="0.3">
      <c r="D22094" s="25"/>
      <c r="F22094" s="21"/>
      <c r="G22094" s="16"/>
    </row>
    <row r="22095" spans="4:7" ht="15" x14ac:dyDescent="0.3">
      <c r="D22095" s="25"/>
      <c r="F22095" s="21"/>
      <c r="G22095" s="16"/>
    </row>
    <row r="22096" spans="4:7" ht="15" x14ac:dyDescent="0.3">
      <c r="D22096" s="25"/>
      <c r="F22096" s="21"/>
      <c r="G22096" s="16"/>
    </row>
    <row r="22097" spans="4:7" ht="15" x14ac:dyDescent="0.3">
      <c r="D22097" s="25"/>
      <c r="F22097" s="21"/>
      <c r="G22097" s="16"/>
    </row>
    <row r="22098" spans="4:7" ht="15" x14ac:dyDescent="0.3">
      <c r="D22098" s="25"/>
      <c r="F22098" s="21"/>
      <c r="G22098" s="16"/>
    </row>
    <row r="22099" spans="4:7" ht="15" x14ac:dyDescent="0.3">
      <c r="D22099" s="25"/>
      <c r="F22099" s="21"/>
      <c r="G22099" s="16"/>
    </row>
    <row r="22100" spans="4:7" ht="15" x14ac:dyDescent="0.3">
      <c r="D22100" s="25"/>
      <c r="F22100" s="21"/>
      <c r="G22100" s="16"/>
    </row>
    <row r="22101" spans="4:7" ht="15" x14ac:dyDescent="0.3">
      <c r="D22101" s="25"/>
      <c r="F22101" s="21"/>
      <c r="G22101" s="16"/>
    </row>
    <row r="22102" spans="4:7" ht="15" x14ac:dyDescent="0.3">
      <c r="D22102" s="25"/>
      <c r="F22102" s="21"/>
      <c r="G22102" s="16"/>
    </row>
    <row r="22103" spans="4:7" ht="15" x14ac:dyDescent="0.3">
      <c r="D22103" s="25"/>
      <c r="F22103" s="21"/>
      <c r="G22103" s="16"/>
    </row>
    <row r="22104" spans="4:7" ht="15" x14ac:dyDescent="0.3">
      <c r="D22104" s="25"/>
      <c r="F22104" s="21"/>
      <c r="G22104" s="16"/>
    </row>
    <row r="22105" spans="4:7" ht="15" x14ac:dyDescent="0.3">
      <c r="D22105" s="25"/>
      <c r="F22105" s="21"/>
      <c r="G22105" s="16"/>
    </row>
    <row r="22106" spans="4:7" ht="15" x14ac:dyDescent="0.3">
      <c r="D22106" s="25"/>
      <c r="F22106" s="21"/>
      <c r="G22106" s="16"/>
    </row>
    <row r="22107" spans="4:7" ht="15" x14ac:dyDescent="0.3">
      <c r="D22107" s="25"/>
      <c r="F22107" s="21"/>
      <c r="G22107" s="16"/>
    </row>
    <row r="22108" spans="4:7" ht="15" x14ac:dyDescent="0.3">
      <c r="D22108" s="25"/>
      <c r="F22108" s="21"/>
      <c r="G22108" s="16"/>
    </row>
    <row r="22109" spans="4:7" ht="15" x14ac:dyDescent="0.3">
      <c r="D22109" s="25"/>
      <c r="F22109" s="21"/>
      <c r="G22109" s="16"/>
    </row>
    <row r="22110" spans="4:7" ht="15" x14ac:dyDescent="0.3">
      <c r="D22110" s="25"/>
      <c r="F22110" s="21"/>
      <c r="G22110" s="16"/>
    </row>
    <row r="22111" spans="4:7" ht="15" x14ac:dyDescent="0.3">
      <c r="D22111" s="25"/>
      <c r="F22111" s="21"/>
      <c r="G22111" s="16"/>
    </row>
    <row r="22112" spans="4:7" ht="15" x14ac:dyDescent="0.3">
      <c r="D22112" s="25"/>
      <c r="F22112" s="21"/>
      <c r="G22112" s="16"/>
    </row>
    <row r="22113" spans="4:7" ht="15" x14ac:dyDescent="0.3">
      <c r="D22113" s="25"/>
      <c r="F22113" s="21"/>
      <c r="G22113" s="16"/>
    </row>
    <row r="22114" spans="4:7" ht="15" x14ac:dyDescent="0.3">
      <c r="D22114" s="25"/>
      <c r="F22114" s="21"/>
      <c r="G22114" s="16"/>
    </row>
    <row r="22115" spans="4:7" ht="15" x14ac:dyDescent="0.3">
      <c r="D22115" s="25"/>
      <c r="F22115" s="21"/>
      <c r="G22115" s="16"/>
    </row>
    <row r="22116" spans="4:7" ht="15" x14ac:dyDescent="0.3">
      <c r="D22116" s="25"/>
      <c r="F22116" s="21"/>
      <c r="G22116" s="16"/>
    </row>
    <row r="22117" spans="4:7" ht="15" x14ac:dyDescent="0.3">
      <c r="D22117" s="25"/>
      <c r="F22117" s="21"/>
      <c r="G22117" s="16"/>
    </row>
    <row r="22118" spans="4:7" ht="15" x14ac:dyDescent="0.3">
      <c r="D22118" s="25"/>
      <c r="F22118" s="21"/>
      <c r="G22118" s="16"/>
    </row>
    <row r="22119" spans="4:7" ht="15" x14ac:dyDescent="0.3">
      <c r="D22119" s="25"/>
      <c r="F22119" s="21"/>
      <c r="G22119" s="16"/>
    </row>
    <row r="22120" spans="4:7" ht="15" x14ac:dyDescent="0.3">
      <c r="D22120" s="25"/>
      <c r="F22120" s="21"/>
      <c r="G22120" s="16"/>
    </row>
    <row r="22121" spans="4:7" ht="15" x14ac:dyDescent="0.3">
      <c r="D22121" s="25"/>
      <c r="F22121" s="21"/>
      <c r="G22121" s="16"/>
    </row>
    <row r="22122" spans="4:7" ht="15" x14ac:dyDescent="0.3">
      <c r="D22122" s="25"/>
      <c r="F22122" s="21"/>
      <c r="G22122" s="16"/>
    </row>
    <row r="22123" spans="4:7" ht="15" x14ac:dyDescent="0.3">
      <c r="D22123" s="25"/>
      <c r="F22123" s="21"/>
      <c r="G22123" s="16"/>
    </row>
    <row r="22124" spans="4:7" ht="15" x14ac:dyDescent="0.3">
      <c r="D22124" s="25"/>
      <c r="F22124" s="21"/>
      <c r="G22124" s="16"/>
    </row>
    <row r="22125" spans="4:7" ht="15" x14ac:dyDescent="0.3">
      <c r="D22125" s="25"/>
      <c r="F22125" s="21"/>
      <c r="G22125" s="16"/>
    </row>
    <row r="22126" spans="4:7" ht="15" x14ac:dyDescent="0.3">
      <c r="D22126" s="25"/>
      <c r="F22126" s="21"/>
      <c r="G22126" s="16"/>
    </row>
    <row r="22127" spans="4:7" ht="15" x14ac:dyDescent="0.3">
      <c r="D22127" s="25"/>
      <c r="F22127" s="21"/>
      <c r="G22127" s="16"/>
    </row>
    <row r="22128" spans="4:7" ht="15" x14ac:dyDescent="0.3">
      <c r="D22128" s="25"/>
      <c r="F22128" s="21"/>
      <c r="G22128" s="16"/>
    </row>
    <row r="22129" spans="4:7" ht="15" x14ac:dyDescent="0.3">
      <c r="D22129" s="25"/>
      <c r="F22129" s="21"/>
      <c r="G22129" s="16"/>
    </row>
    <row r="22130" spans="4:7" ht="15" x14ac:dyDescent="0.3">
      <c r="D22130" s="25"/>
      <c r="F22130" s="21"/>
      <c r="G22130" s="16"/>
    </row>
    <row r="22131" spans="4:7" ht="15" x14ac:dyDescent="0.3">
      <c r="D22131" s="25"/>
      <c r="F22131" s="21"/>
      <c r="G22131" s="16"/>
    </row>
    <row r="22132" spans="4:7" ht="15" x14ac:dyDescent="0.3">
      <c r="D22132" s="25"/>
      <c r="F22132" s="21"/>
      <c r="G22132" s="16"/>
    </row>
    <row r="22133" spans="4:7" ht="15" x14ac:dyDescent="0.3">
      <c r="D22133" s="25"/>
      <c r="F22133" s="21"/>
      <c r="G22133" s="16"/>
    </row>
    <row r="22134" spans="4:7" ht="15" x14ac:dyDescent="0.3">
      <c r="D22134" s="25"/>
      <c r="F22134" s="21"/>
      <c r="G22134" s="16"/>
    </row>
    <row r="22135" spans="4:7" ht="15" x14ac:dyDescent="0.3">
      <c r="D22135" s="25"/>
      <c r="F22135" s="21"/>
      <c r="G22135" s="16"/>
    </row>
    <row r="22136" spans="4:7" ht="15" x14ac:dyDescent="0.3">
      <c r="D22136" s="25"/>
      <c r="F22136" s="21"/>
      <c r="G22136" s="16"/>
    </row>
    <row r="22137" spans="4:7" ht="15" x14ac:dyDescent="0.3">
      <c r="D22137" s="25"/>
      <c r="F22137" s="21"/>
      <c r="G22137" s="16"/>
    </row>
    <row r="22138" spans="4:7" ht="15" x14ac:dyDescent="0.3">
      <c r="D22138" s="25"/>
      <c r="F22138" s="21"/>
      <c r="G22138" s="16"/>
    </row>
    <row r="22139" spans="4:7" ht="15" x14ac:dyDescent="0.3">
      <c r="D22139" s="25"/>
      <c r="F22139" s="21"/>
      <c r="G22139" s="16"/>
    </row>
    <row r="22140" spans="4:7" ht="15" x14ac:dyDescent="0.3">
      <c r="D22140" s="25"/>
      <c r="F22140" s="21"/>
      <c r="G22140" s="16"/>
    </row>
    <row r="22141" spans="4:7" ht="15" x14ac:dyDescent="0.3">
      <c r="D22141" s="25"/>
      <c r="F22141" s="21"/>
      <c r="G22141" s="16"/>
    </row>
    <row r="22142" spans="4:7" ht="15" x14ac:dyDescent="0.3">
      <c r="D22142" s="25"/>
      <c r="F22142" s="21"/>
      <c r="G22142" s="16"/>
    </row>
    <row r="22143" spans="4:7" ht="15" x14ac:dyDescent="0.3">
      <c r="D22143" s="25"/>
      <c r="F22143" s="21"/>
      <c r="G22143" s="16"/>
    </row>
    <row r="22144" spans="4:7" ht="15" x14ac:dyDescent="0.3">
      <c r="D22144" s="25"/>
      <c r="F22144" s="21"/>
      <c r="G22144" s="16"/>
    </row>
    <row r="22145" spans="4:7" ht="15" x14ac:dyDescent="0.3">
      <c r="D22145" s="25"/>
      <c r="F22145" s="21"/>
      <c r="G22145" s="16"/>
    </row>
    <row r="22146" spans="4:7" ht="15" x14ac:dyDescent="0.3">
      <c r="D22146" s="25"/>
      <c r="F22146" s="21"/>
      <c r="G22146" s="16"/>
    </row>
    <row r="22147" spans="4:7" ht="15" x14ac:dyDescent="0.3">
      <c r="D22147" s="25"/>
      <c r="F22147" s="21"/>
      <c r="G22147" s="16"/>
    </row>
    <row r="22148" spans="4:7" ht="15" x14ac:dyDescent="0.3">
      <c r="D22148" s="25"/>
      <c r="F22148" s="21"/>
      <c r="G22148" s="16"/>
    </row>
    <row r="22149" spans="4:7" ht="15" x14ac:dyDescent="0.3">
      <c r="D22149" s="25"/>
      <c r="F22149" s="21"/>
      <c r="G22149" s="16"/>
    </row>
    <row r="22150" spans="4:7" ht="15" x14ac:dyDescent="0.3">
      <c r="D22150" s="25"/>
      <c r="F22150" s="21"/>
      <c r="G22150" s="16"/>
    </row>
    <row r="22151" spans="4:7" ht="15" x14ac:dyDescent="0.3">
      <c r="D22151" s="25"/>
      <c r="F22151" s="21"/>
      <c r="G22151" s="16"/>
    </row>
    <row r="22152" spans="4:7" ht="15" x14ac:dyDescent="0.3">
      <c r="D22152" s="25"/>
      <c r="F22152" s="21"/>
      <c r="G22152" s="16"/>
    </row>
    <row r="22153" spans="4:7" ht="15" x14ac:dyDescent="0.3">
      <c r="D22153" s="25"/>
      <c r="F22153" s="21"/>
      <c r="G22153" s="16"/>
    </row>
    <row r="22154" spans="4:7" ht="15" x14ac:dyDescent="0.3">
      <c r="D22154" s="25"/>
      <c r="F22154" s="21"/>
      <c r="G22154" s="16"/>
    </row>
    <row r="22155" spans="4:7" ht="15" x14ac:dyDescent="0.3">
      <c r="D22155" s="25"/>
      <c r="F22155" s="21"/>
      <c r="G22155" s="16"/>
    </row>
    <row r="22156" spans="4:7" ht="15" x14ac:dyDescent="0.3">
      <c r="D22156" s="25"/>
      <c r="F22156" s="21"/>
      <c r="G22156" s="16"/>
    </row>
    <row r="22157" spans="4:7" ht="15" x14ac:dyDescent="0.3">
      <c r="D22157" s="25"/>
      <c r="F22157" s="21"/>
      <c r="G22157" s="16"/>
    </row>
    <row r="22158" spans="4:7" ht="15" x14ac:dyDescent="0.3">
      <c r="D22158" s="25"/>
      <c r="F22158" s="21"/>
      <c r="G22158" s="16"/>
    </row>
    <row r="22159" spans="4:7" ht="15" x14ac:dyDescent="0.3">
      <c r="D22159" s="25"/>
      <c r="F22159" s="21"/>
      <c r="G22159" s="16"/>
    </row>
    <row r="22160" spans="4:7" ht="15" x14ac:dyDescent="0.3">
      <c r="D22160" s="25"/>
      <c r="F22160" s="21"/>
      <c r="G22160" s="16"/>
    </row>
    <row r="22161" spans="4:7" ht="15" x14ac:dyDescent="0.3">
      <c r="D22161" s="25"/>
      <c r="F22161" s="21"/>
      <c r="G22161" s="16"/>
    </row>
    <row r="22162" spans="4:7" ht="15" x14ac:dyDescent="0.3">
      <c r="D22162" s="25"/>
      <c r="F22162" s="21"/>
      <c r="G22162" s="16"/>
    </row>
    <row r="22163" spans="4:7" ht="15" x14ac:dyDescent="0.3">
      <c r="D22163" s="25"/>
      <c r="F22163" s="21"/>
      <c r="G22163" s="16"/>
    </row>
    <row r="22164" spans="4:7" ht="15" x14ac:dyDescent="0.3">
      <c r="D22164" s="25"/>
      <c r="F22164" s="21"/>
      <c r="G22164" s="16"/>
    </row>
    <row r="22165" spans="4:7" ht="15" x14ac:dyDescent="0.3">
      <c r="D22165" s="25"/>
      <c r="F22165" s="21"/>
      <c r="G22165" s="16"/>
    </row>
    <row r="22166" spans="4:7" ht="15" x14ac:dyDescent="0.3">
      <c r="D22166" s="25"/>
      <c r="F22166" s="21"/>
      <c r="G22166" s="16"/>
    </row>
    <row r="22167" spans="4:7" ht="15" x14ac:dyDescent="0.3">
      <c r="D22167" s="25"/>
      <c r="F22167" s="21"/>
      <c r="G22167" s="16"/>
    </row>
    <row r="22168" spans="4:7" ht="15" x14ac:dyDescent="0.3">
      <c r="D22168" s="25"/>
      <c r="F22168" s="21"/>
      <c r="G22168" s="16"/>
    </row>
    <row r="22169" spans="4:7" ht="15" x14ac:dyDescent="0.3">
      <c r="D22169" s="25"/>
      <c r="F22169" s="21"/>
      <c r="G22169" s="16"/>
    </row>
    <row r="22170" spans="4:7" ht="15" x14ac:dyDescent="0.3">
      <c r="D22170" s="25"/>
      <c r="F22170" s="21"/>
      <c r="G22170" s="16"/>
    </row>
    <row r="22171" spans="4:7" ht="15" x14ac:dyDescent="0.3">
      <c r="D22171" s="25"/>
      <c r="F22171" s="21"/>
      <c r="G22171" s="16"/>
    </row>
    <row r="22172" spans="4:7" ht="15" x14ac:dyDescent="0.3">
      <c r="D22172" s="25"/>
      <c r="F22172" s="21"/>
      <c r="G22172" s="16"/>
    </row>
    <row r="22173" spans="4:7" ht="15" x14ac:dyDescent="0.3">
      <c r="D22173" s="25"/>
      <c r="F22173" s="21"/>
      <c r="G22173" s="16"/>
    </row>
    <row r="22174" spans="4:7" ht="15" x14ac:dyDescent="0.3">
      <c r="D22174" s="25"/>
      <c r="F22174" s="21"/>
      <c r="G22174" s="16"/>
    </row>
    <row r="22175" spans="4:7" ht="15" x14ac:dyDescent="0.3">
      <c r="D22175" s="25"/>
      <c r="F22175" s="21"/>
      <c r="G22175" s="16"/>
    </row>
    <row r="22176" spans="4:7" ht="15" x14ac:dyDescent="0.3">
      <c r="D22176" s="25"/>
      <c r="F22176" s="21"/>
      <c r="G22176" s="16"/>
    </row>
    <row r="22177" spans="4:7" ht="15" x14ac:dyDescent="0.3">
      <c r="D22177" s="25"/>
      <c r="F22177" s="21"/>
      <c r="G22177" s="16"/>
    </row>
    <row r="22178" spans="4:7" ht="15" x14ac:dyDescent="0.3">
      <c r="D22178" s="25"/>
      <c r="F22178" s="21"/>
      <c r="G22178" s="16"/>
    </row>
    <row r="22179" spans="4:7" ht="15" x14ac:dyDescent="0.3">
      <c r="D22179" s="25"/>
      <c r="F22179" s="21"/>
      <c r="G22179" s="16"/>
    </row>
    <row r="22180" spans="4:7" ht="15" x14ac:dyDescent="0.3">
      <c r="D22180" s="25"/>
      <c r="F22180" s="21"/>
      <c r="G22180" s="16"/>
    </row>
    <row r="22181" spans="4:7" ht="15" x14ac:dyDescent="0.3">
      <c r="D22181" s="25"/>
      <c r="F22181" s="21"/>
      <c r="G22181" s="16"/>
    </row>
    <row r="22182" spans="4:7" ht="15" x14ac:dyDescent="0.3">
      <c r="D22182" s="25"/>
      <c r="F22182" s="21"/>
      <c r="G22182" s="16"/>
    </row>
    <row r="22183" spans="4:7" ht="15" x14ac:dyDescent="0.3">
      <c r="D22183" s="25"/>
      <c r="F22183" s="21"/>
      <c r="G22183" s="16"/>
    </row>
    <row r="22184" spans="4:7" ht="15" x14ac:dyDescent="0.3">
      <c r="D22184" s="25"/>
      <c r="F22184" s="21"/>
      <c r="G22184" s="16"/>
    </row>
    <row r="22185" spans="4:7" ht="15" x14ac:dyDescent="0.3">
      <c r="D22185" s="25"/>
      <c r="F22185" s="21"/>
      <c r="G22185" s="16"/>
    </row>
    <row r="22186" spans="4:7" ht="15" x14ac:dyDescent="0.3">
      <c r="D22186" s="25"/>
      <c r="F22186" s="21"/>
      <c r="G22186" s="16"/>
    </row>
    <row r="22187" spans="4:7" ht="15" x14ac:dyDescent="0.3">
      <c r="D22187" s="25"/>
      <c r="F22187" s="21"/>
      <c r="G22187" s="16"/>
    </row>
    <row r="22188" spans="4:7" ht="15" x14ac:dyDescent="0.3">
      <c r="D22188" s="25"/>
      <c r="F22188" s="21"/>
      <c r="G22188" s="16"/>
    </row>
    <row r="22189" spans="4:7" ht="15" x14ac:dyDescent="0.3">
      <c r="D22189" s="25"/>
      <c r="F22189" s="21"/>
      <c r="G22189" s="16"/>
    </row>
    <row r="22190" spans="4:7" ht="15" x14ac:dyDescent="0.3">
      <c r="D22190" s="25"/>
      <c r="F22190" s="21"/>
      <c r="G22190" s="16"/>
    </row>
    <row r="22191" spans="4:7" ht="15" x14ac:dyDescent="0.3">
      <c r="D22191" s="25"/>
      <c r="F22191" s="21"/>
      <c r="G22191" s="16"/>
    </row>
    <row r="22192" spans="4:7" ht="15" x14ac:dyDescent="0.3">
      <c r="D22192" s="25"/>
      <c r="F22192" s="21"/>
      <c r="G22192" s="16"/>
    </row>
    <row r="22193" spans="4:7" ht="15" x14ac:dyDescent="0.3">
      <c r="D22193" s="25"/>
      <c r="F22193" s="21"/>
      <c r="G22193" s="16"/>
    </row>
    <row r="22194" spans="4:7" ht="15" x14ac:dyDescent="0.3">
      <c r="D22194" s="25"/>
      <c r="F22194" s="21"/>
      <c r="G22194" s="16"/>
    </row>
    <row r="22195" spans="4:7" ht="15" x14ac:dyDescent="0.3">
      <c r="D22195" s="25"/>
      <c r="F22195" s="21"/>
      <c r="G22195" s="16"/>
    </row>
    <row r="22196" spans="4:7" ht="15" x14ac:dyDescent="0.3">
      <c r="D22196" s="25"/>
      <c r="F22196" s="21"/>
      <c r="G22196" s="16"/>
    </row>
    <row r="22197" spans="4:7" ht="15" x14ac:dyDescent="0.3">
      <c r="D22197" s="25"/>
      <c r="F22197" s="21"/>
      <c r="G22197" s="16"/>
    </row>
    <row r="22198" spans="4:7" ht="15" x14ac:dyDescent="0.3">
      <c r="D22198" s="25"/>
      <c r="F22198" s="21"/>
      <c r="G22198" s="16"/>
    </row>
    <row r="22199" spans="4:7" ht="15" x14ac:dyDescent="0.3">
      <c r="D22199" s="25"/>
      <c r="F22199" s="21"/>
      <c r="G22199" s="16"/>
    </row>
    <row r="22200" spans="4:7" ht="15" x14ac:dyDescent="0.3">
      <c r="D22200" s="25"/>
      <c r="F22200" s="21"/>
      <c r="G22200" s="16"/>
    </row>
    <row r="22201" spans="4:7" ht="15" x14ac:dyDescent="0.3">
      <c r="D22201" s="25"/>
      <c r="F22201" s="21"/>
      <c r="G22201" s="16"/>
    </row>
    <row r="22202" spans="4:7" ht="15" x14ac:dyDescent="0.3">
      <c r="D22202" s="25"/>
      <c r="F22202" s="21"/>
      <c r="G22202" s="16"/>
    </row>
    <row r="22203" spans="4:7" ht="15" x14ac:dyDescent="0.3">
      <c r="D22203" s="25"/>
      <c r="F22203" s="21"/>
      <c r="G22203" s="16"/>
    </row>
    <row r="22204" spans="4:7" ht="15" x14ac:dyDescent="0.3">
      <c r="D22204" s="25"/>
      <c r="F22204" s="21"/>
      <c r="G22204" s="16"/>
    </row>
    <row r="22205" spans="4:7" ht="15" x14ac:dyDescent="0.3">
      <c r="D22205" s="25"/>
      <c r="F22205" s="21"/>
      <c r="G22205" s="16"/>
    </row>
    <row r="22206" spans="4:7" ht="15" x14ac:dyDescent="0.3">
      <c r="D22206" s="25"/>
      <c r="F22206" s="21"/>
      <c r="G22206" s="16"/>
    </row>
    <row r="22207" spans="4:7" ht="15" x14ac:dyDescent="0.3">
      <c r="D22207" s="25"/>
      <c r="F22207" s="21"/>
      <c r="G22207" s="16"/>
    </row>
    <row r="22208" spans="4:7" ht="15" x14ac:dyDescent="0.3">
      <c r="D22208" s="25"/>
      <c r="F22208" s="21"/>
      <c r="G22208" s="16"/>
    </row>
    <row r="22209" spans="4:7" ht="15" x14ac:dyDescent="0.3">
      <c r="D22209" s="25"/>
      <c r="F22209" s="21"/>
      <c r="G22209" s="16"/>
    </row>
    <row r="22210" spans="4:7" ht="15" x14ac:dyDescent="0.3">
      <c r="D22210" s="25"/>
      <c r="F22210" s="21"/>
      <c r="G22210" s="16"/>
    </row>
    <row r="22211" spans="4:7" ht="15" x14ac:dyDescent="0.3">
      <c r="D22211" s="25"/>
      <c r="F22211" s="21"/>
      <c r="G22211" s="16"/>
    </row>
    <row r="22212" spans="4:7" ht="15" x14ac:dyDescent="0.3">
      <c r="D22212" s="25"/>
      <c r="F22212" s="21"/>
      <c r="G22212" s="16"/>
    </row>
    <row r="22213" spans="4:7" ht="15" x14ac:dyDescent="0.3">
      <c r="D22213" s="25"/>
      <c r="F22213" s="21"/>
      <c r="G22213" s="16"/>
    </row>
    <row r="22214" spans="4:7" ht="15" x14ac:dyDescent="0.3">
      <c r="D22214" s="25"/>
      <c r="F22214" s="21"/>
      <c r="G22214" s="16"/>
    </row>
    <row r="22215" spans="4:7" ht="15" x14ac:dyDescent="0.3">
      <c r="D22215" s="25"/>
      <c r="F22215" s="21"/>
      <c r="G22215" s="16"/>
    </row>
    <row r="22216" spans="4:7" ht="15" x14ac:dyDescent="0.3">
      <c r="D22216" s="25"/>
      <c r="F22216" s="21"/>
      <c r="G22216" s="16"/>
    </row>
    <row r="22217" spans="4:7" ht="15" x14ac:dyDescent="0.3">
      <c r="D22217" s="25"/>
      <c r="F22217" s="21"/>
      <c r="G22217" s="16"/>
    </row>
    <row r="22218" spans="4:7" ht="15" x14ac:dyDescent="0.3">
      <c r="D22218" s="25"/>
      <c r="F22218" s="21"/>
      <c r="G22218" s="16"/>
    </row>
    <row r="22219" spans="4:7" ht="15" x14ac:dyDescent="0.3">
      <c r="D22219" s="25"/>
      <c r="F22219" s="21"/>
      <c r="G22219" s="16"/>
    </row>
    <row r="22220" spans="4:7" ht="15" x14ac:dyDescent="0.3">
      <c r="D22220" s="25"/>
      <c r="F22220" s="21"/>
      <c r="G22220" s="16"/>
    </row>
    <row r="22221" spans="4:7" ht="15" x14ac:dyDescent="0.3">
      <c r="D22221" s="25"/>
      <c r="F22221" s="21"/>
      <c r="G22221" s="16"/>
    </row>
    <row r="22222" spans="4:7" ht="15" x14ac:dyDescent="0.3">
      <c r="D22222" s="25"/>
      <c r="F22222" s="21"/>
      <c r="G22222" s="16"/>
    </row>
    <row r="22223" spans="4:7" ht="15" x14ac:dyDescent="0.3">
      <c r="D22223" s="25"/>
      <c r="F22223" s="21"/>
      <c r="G22223" s="16"/>
    </row>
    <row r="22224" spans="4:7" ht="15" x14ac:dyDescent="0.3">
      <c r="D22224" s="25"/>
      <c r="F22224" s="21"/>
      <c r="G22224" s="16"/>
    </row>
    <row r="22225" spans="4:7" ht="15" x14ac:dyDescent="0.3">
      <c r="D22225" s="25"/>
      <c r="F22225" s="21"/>
      <c r="G22225" s="16"/>
    </row>
    <row r="22226" spans="4:7" ht="15" x14ac:dyDescent="0.3">
      <c r="D22226" s="25"/>
      <c r="F22226" s="21"/>
      <c r="G22226" s="16"/>
    </row>
    <row r="22227" spans="4:7" ht="15" x14ac:dyDescent="0.3">
      <c r="D22227" s="25"/>
      <c r="F22227" s="21"/>
      <c r="G22227" s="16"/>
    </row>
    <row r="22228" spans="4:7" ht="15" x14ac:dyDescent="0.3">
      <c r="D22228" s="25"/>
      <c r="F22228" s="21"/>
      <c r="G22228" s="16"/>
    </row>
    <row r="22229" spans="4:7" ht="15" x14ac:dyDescent="0.3">
      <c r="D22229" s="25"/>
      <c r="F22229" s="21"/>
      <c r="G22229" s="16"/>
    </row>
    <row r="22230" spans="4:7" ht="15" x14ac:dyDescent="0.3">
      <c r="D22230" s="25"/>
      <c r="F22230" s="21"/>
      <c r="G22230" s="16"/>
    </row>
    <row r="22231" spans="4:7" ht="15" x14ac:dyDescent="0.3">
      <c r="D22231" s="25"/>
      <c r="F22231" s="21"/>
      <c r="G22231" s="16"/>
    </row>
    <row r="22232" spans="4:7" ht="15" x14ac:dyDescent="0.3">
      <c r="D22232" s="25"/>
      <c r="F22232" s="21"/>
      <c r="G22232" s="16"/>
    </row>
    <row r="22233" spans="4:7" ht="15" x14ac:dyDescent="0.3">
      <c r="D22233" s="25"/>
      <c r="F22233" s="21"/>
      <c r="G22233" s="16"/>
    </row>
    <row r="22234" spans="4:7" ht="15" x14ac:dyDescent="0.3">
      <c r="D22234" s="25"/>
      <c r="F22234" s="21"/>
      <c r="G22234" s="16"/>
    </row>
    <row r="22235" spans="4:7" ht="15" x14ac:dyDescent="0.3">
      <c r="D22235" s="25"/>
      <c r="F22235" s="21"/>
      <c r="G22235" s="16"/>
    </row>
    <row r="22236" spans="4:7" ht="15" x14ac:dyDescent="0.3">
      <c r="D22236" s="25"/>
      <c r="F22236" s="21"/>
      <c r="G22236" s="16"/>
    </row>
    <row r="22237" spans="4:7" ht="15" x14ac:dyDescent="0.3">
      <c r="D22237" s="25"/>
      <c r="F22237" s="21"/>
      <c r="G22237" s="16"/>
    </row>
    <row r="22238" spans="4:7" ht="15" x14ac:dyDescent="0.3">
      <c r="D22238" s="25"/>
      <c r="F22238" s="21"/>
      <c r="G22238" s="16"/>
    </row>
    <row r="22239" spans="4:7" ht="15" x14ac:dyDescent="0.3">
      <c r="D22239" s="25"/>
      <c r="F22239" s="21"/>
      <c r="G22239" s="16"/>
    </row>
    <row r="22240" spans="4:7" ht="15" x14ac:dyDescent="0.3">
      <c r="D22240" s="25"/>
      <c r="F22240" s="21"/>
      <c r="G22240" s="16"/>
    </row>
    <row r="22241" spans="4:7" ht="15" x14ac:dyDescent="0.3">
      <c r="D22241" s="25"/>
      <c r="F22241" s="21"/>
      <c r="G22241" s="16"/>
    </row>
    <row r="22242" spans="4:7" ht="15" x14ac:dyDescent="0.3">
      <c r="D22242" s="25"/>
      <c r="F22242" s="21"/>
      <c r="G22242" s="16"/>
    </row>
    <row r="22243" spans="4:7" ht="15" x14ac:dyDescent="0.3">
      <c r="D22243" s="25"/>
      <c r="F22243" s="21"/>
      <c r="G22243" s="16"/>
    </row>
    <row r="22244" spans="4:7" ht="15" x14ac:dyDescent="0.3">
      <c r="D22244" s="25"/>
      <c r="F22244" s="21"/>
      <c r="G22244" s="16"/>
    </row>
    <row r="22245" spans="4:7" ht="15" x14ac:dyDescent="0.3">
      <c r="D22245" s="25"/>
      <c r="F22245" s="21"/>
      <c r="G22245" s="16"/>
    </row>
    <row r="22246" spans="4:7" ht="15" x14ac:dyDescent="0.3">
      <c r="D22246" s="25"/>
      <c r="F22246" s="21"/>
      <c r="G22246" s="16"/>
    </row>
    <row r="22247" spans="4:7" ht="15" x14ac:dyDescent="0.3">
      <c r="D22247" s="25"/>
      <c r="F22247" s="21"/>
      <c r="G22247" s="16"/>
    </row>
    <row r="22248" spans="4:7" ht="15" x14ac:dyDescent="0.3">
      <c r="D22248" s="25"/>
      <c r="F22248" s="21"/>
      <c r="G22248" s="16"/>
    </row>
    <row r="22249" spans="4:7" ht="15" x14ac:dyDescent="0.3">
      <c r="D22249" s="25"/>
      <c r="F22249" s="21"/>
      <c r="G22249" s="16"/>
    </row>
    <row r="22250" spans="4:7" ht="15" x14ac:dyDescent="0.3">
      <c r="D22250" s="25"/>
      <c r="F22250" s="21"/>
      <c r="G22250" s="16"/>
    </row>
    <row r="22251" spans="4:7" ht="15" x14ac:dyDescent="0.3">
      <c r="D22251" s="25"/>
      <c r="F22251" s="21"/>
      <c r="G22251" s="16"/>
    </row>
    <row r="22252" spans="4:7" ht="15" x14ac:dyDescent="0.3">
      <c r="D22252" s="25"/>
      <c r="F22252" s="21"/>
      <c r="G22252" s="16"/>
    </row>
    <row r="22253" spans="4:7" ht="15" x14ac:dyDescent="0.3">
      <c r="D22253" s="25"/>
      <c r="F22253" s="21"/>
      <c r="G22253" s="16"/>
    </row>
    <row r="22254" spans="4:7" ht="15" x14ac:dyDescent="0.3">
      <c r="D22254" s="25"/>
      <c r="F22254" s="21"/>
      <c r="G22254" s="16"/>
    </row>
    <row r="22255" spans="4:7" ht="15" x14ac:dyDescent="0.3">
      <c r="D22255" s="25"/>
      <c r="F22255" s="21"/>
      <c r="G22255" s="16"/>
    </row>
    <row r="22256" spans="4:7" ht="15" x14ac:dyDescent="0.3">
      <c r="D22256" s="25"/>
      <c r="F22256" s="21"/>
      <c r="G22256" s="16"/>
    </row>
    <row r="22257" spans="4:7" ht="15" x14ac:dyDescent="0.3">
      <c r="D22257" s="25"/>
      <c r="F22257" s="21"/>
      <c r="G22257" s="16"/>
    </row>
    <row r="22258" spans="4:7" ht="15" x14ac:dyDescent="0.3">
      <c r="D22258" s="25"/>
      <c r="F22258" s="21"/>
      <c r="G22258" s="16"/>
    </row>
    <row r="22259" spans="4:7" ht="15" x14ac:dyDescent="0.3">
      <c r="D22259" s="25"/>
      <c r="F22259" s="21"/>
      <c r="G22259" s="16"/>
    </row>
    <row r="22260" spans="4:7" ht="15" x14ac:dyDescent="0.3">
      <c r="D22260" s="25"/>
      <c r="F22260" s="21"/>
      <c r="G22260" s="16"/>
    </row>
    <row r="22261" spans="4:7" ht="15" x14ac:dyDescent="0.3">
      <c r="D22261" s="25"/>
      <c r="F22261" s="21"/>
      <c r="G22261" s="16"/>
    </row>
    <row r="22262" spans="4:7" ht="15" x14ac:dyDescent="0.3">
      <c r="D22262" s="25"/>
      <c r="F22262" s="21"/>
      <c r="G22262" s="16"/>
    </row>
    <row r="22263" spans="4:7" ht="15" x14ac:dyDescent="0.3">
      <c r="D22263" s="25"/>
      <c r="F22263" s="21"/>
      <c r="G22263" s="16"/>
    </row>
    <row r="22264" spans="4:7" ht="15" x14ac:dyDescent="0.3">
      <c r="D22264" s="25"/>
      <c r="F22264" s="21"/>
      <c r="G22264" s="16"/>
    </row>
    <row r="22265" spans="4:7" ht="15" x14ac:dyDescent="0.3">
      <c r="D22265" s="25"/>
      <c r="F22265" s="21"/>
      <c r="G22265" s="16"/>
    </row>
    <row r="22266" spans="4:7" ht="15" x14ac:dyDescent="0.3">
      <c r="D22266" s="25"/>
      <c r="F22266" s="21"/>
      <c r="G22266" s="16"/>
    </row>
    <row r="22267" spans="4:7" ht="15" x14ac:dyDescent="0.3">
      <c r="D22267" s="25"/>
      <c r="F22267" s="21"/>
      <c r="G22267" s="16"/>
    </row>
    <row r="22268" spans="4:7" ht="15" x14ac:dyDescent="0.3">
      <c r="D22268" s="25"/>
      <c r="F22268" s="21"/>
      <c r="G22268" s="16"/>
    </row>
    <row r="22269" spans="4:7" ht="15" x14ac:dyDescent="0.3">
      <c r="D22269" s="25"/>
      <c r="F22269" s="21"/>
      <c r="G22269" s="16"/>
    </row>
    <row r="22270" spans="4:7" ht="15" x14ac:dyDescent="0.3">
      <c r="D22270" s="25"/>
      <c r="F22270" s="21"/>
      <c r="G22270" s="16"/>
    </row>
    <row r="22271" spans="4:7" ht="15" x14ac:dyDescent="0.3">
      <c r="D22271" s="25"/>
      <c r="F22271" s="21"/>
      <c r="G22271" s="16"/>
    </row>
    <row r="22272" spans="4:7" ht="15" x14ac:dyDescent="0.3">
      <c r="D22272" s="25"/>
      <c r="F22272" s="21"/>
      <c r="G22272" s="16"/>
    </row>
    <row r="22273" spans="4:7" ht="15" x14ac:dyDescent="0.3">
      <c r="D22273" s="25"/>
      <c r="F22273" s="21"/>
      <c r="G22273" s="16"/>
    </row>
    <row r="22274" spans="4:7" ht="15" x14ac:dyDescent="0.3">
      <c r="D22274" s="25"/>
      <c r="F22274" s="21"/>
      <c r="G22274" s="16"/>
    </row>
    <row r="22275" spans="4:7" ht="15" x14ac:dyDescent="0.3">
      <c r="D22275" s="25"/>
      <c r="F22275" s="21"/>
      <c r="G22275" s="16"/>
    </row>
    <row r="22276" spans="4:7" ht="15" x14ac:dyDescent="0.3">
      <c r="D22276" s="25"/>
      <c r="F22276" s="21"/>
      <c r="G22276" s="16"/>
    </row>
    <row r="22277" spans="4:7" ht="15" x14ac:dyDescent="0.3">
      <c r="D22277" s="25"/>
      <c r="F22277" s="21"/>
      <c r="G22277" s="16"/>
    </row>
    <row r="22278" spans="4:7" ht="15" x14ac:dyDescent="0.3">
      <c r="D22278" s="25"/>
      <c r="F22278" s="21"/>
      <c r="G22278" s="16"/>
    </row>
    <row r="22279" spans="4:7" ht="15" x14ac:dyDescent="0.3">
      <c r="D22279" s="25"/>
      <c r="F22279" s="21"/>
      <c r="G22279" s="16"/>
    </row>
    <row r="22280" spans="4:7" ht="15" x14ac:dyDescent="0.3">
      <c r="D22280" s="25"/>
      <c r="F22280" s="21"/>
      <c r="G22280" s="16"/>
    </row>
    <row r="22281" spans="4:7" ht="15" x14ac:dyDescent="0.3">
      <c r="D22281" s="25"/>
      <c r="F22281" s="21"/>
      <c r="G22281" s="16"/>
    </row>
    <row r="22282" spans="4:7" ht="15" x14ac:dyDescent="0.3">
      <c r="D22282" s="25"/>
      <c r="F22282" s="21"/>
      <c r="G22282" s="16"/>
    </row>
    <row r="22283" spans="4:7" ht="15" x14ac:dyDescent="0.3">
      <c r="D22283" s="25"/>
      <c r="F22283" s="21"/>
      <c r="G22283" s="16"/>
    </row>
    <row r="22284" spans="4:7" ht="15" x14ac:dyDescent="0.3">
      <c r="D22284" s="25"/>
      <c r="F22284" s="21"/>
      <c r="G22284" s="16"/>
    </row>
    <row r="22285" spans="4:7" ht="15" x14ac:dyDescent="0.3">
      <c r="D22285" s="25"/>
      <c r="F22285" s="21"/>
      <c r="G22285" s="16"/>
    </row>
    <row r="22286" spans="4:7" ht="15" x14ac:dyDescent="0.3">
      <c r="D22286" s="25"/>
      <c r="F22286" s="21"/>
      <c r="G22286" s="16"/>
    </row>
    <row r="22287" spans="4:7" ht="15" x14ac:dyDescent="0.3">
      <c r="D22287" s="25"/>
      <c r="F22287" s="21"/>
      <c r="G22287" s="16"/>
    </row>
    <row r="22288" spans="4:7" ht="15" x14ac:dyDescent="0.3">
      <c r="D22288" s="25"/>
      <c r="F22288" s="21"/>
      <c r="G22288" s="16"/>
    </row>
    <row r="22289" spans="4:7" ht="15" x14ac:dyDescent="0.3">
      <c r="D22289" s="25"/>
      <c r="F22289" s="21"/>
      <c r="G22289" s="16"/>
    </row>
    <row r="22290" spans="4:7" ht="15" x14ac:dyDescent="0.3">
      <c r="D22290" s="25"/>
      <c r="F22290" s="21"/>
      <c r="G22290" s="16"/>
    </row>
    <row r="22291" spans="4:7" ht="15" x14ac:dyDescent="0.3">
      <c r="D22291" s="25"/>
      <c r="F22291" s="21"/>
      <c r="G22291" s="16"/>
    </row>
    <row r="22292" spans="4:7" ht="15" x14ac:dyDescent="0.3">
      <c r="D22292" s="25"/>
      <c r="F22292" s="21"/>
      <c r="G22292" s="16"/>
    </row>
    <row r="22293" spans="4:7" ht="15" x14ac:dyDescent="0.3">
      <c r="D22293" s="25"/>
      <c r="F22293" s="21"/>
      <c r="G22293" s="16"/>
    </row>
    <row r="22294" spans="4:7" ht="15" x14ac:dyDescent="0.3">
      <c r="D22294" s="25"/>
      <c r="F22294" s="21"/>
      <c r="G22294" s="16"/>
    </row>
    <row r="22295" spans="4:7" ht="15" x14ac:dyDescent="0.3">
      <c r="D22295" s="25"/>
      <c r="F22295" s="21"/>
      <c r="G22295" s="16"/>
    </row>
    <row r="22296" spans="4:7" ht="15" x14ac:dyDescent="0.3">
      <c r="D22296" s="25"/>
      <c r="F22296" s="21"/>
      <c r="G22296" s="16"/>
    </row>
    <row r="22297" spans="4:7" ht="15" x14ac:dyDescent="0.3">
      <c r="D22297" s="25"/>
      <c r="F22297" s="21"/>
      <c r="G22297" s="16"/>
    </row>
    <row r="22298" spans="4:7" ht="15" x14ac:dyDescent="0.3">
      <c r="D22298" s="25"/>
      <c r="F22298" s="21"/>
      <c r="G22298" s="16"/>
    </row>
    <row r="22299" spans="4:7" ht="15" x14ac:dyDescent="0.3">
      <c r="D22299" s="25"/>
      <c r="F22299" s="21"/>
      <c r="G22299" s="16"/>
    </row>
    <row r="22300" spans="4:7" ht="15" x14ac:dyDescent="0.3">
      <c r="D22300" s="25"/>
      <c r="F22300" s="21"/>
      <c r="G22300" s="16"/>
    </row>
    <row r="22301" spans="4:7" ht="15" x14ac:dyDescent="0.3">
      <c r="D22301" s="25"/>
      <c r="F22301" s="21"/>
      <c r="G22301" s="16"/>
    </row>
    <row r="22302" spans="4:7" ht="15" x14ac:dyDescent="0.3">
      <c r="D22302" s="25"/>
      <c r="F22302" s="21"/>
      <c r="G22302" s="16"/>
    </row>
    <row r="22303" spans="4:7" ht="15" x14ac:dyDescent="0.3">
      <c r="D22303" s="25"/>
      <c r="F22303" s="21"/>
      <c r="G22303" s="16"/>
    </row>
    <row r="22304" spans="4:7" ht="15" x14ac:dyDescent="0.3">
      <c r="D22304" s="25"/>
      <c r="F22304" s="21"/>
      <c r="G22304" s="16"/>
    </row>
    <row r="22305" spans="4:7" ht="15" x14ac:dyDescent="0.3">
      <c r="D22305" s="25"/>
      <c r="F22305" s="21"/>
      <c r="G22305" s="16"/>
    </row>
    <row r="22306" spans="4:7" ht="15" x14ac:dyDescent="0.3">
      <c r="D22306" s="25"/>
      <c r="F22306" s="21"/>
      <c r="G22306" s="16"/>
    </row>
    <row r="22307" spans="4:7" ht="15" x14ac:dyDescent="0.3">
      <c r="D22307" s="25"/>
      <c r="F22307" s="21"/>
      <c r="G22307" s="16"/>
    </row>
    <row r="22308" spans="4:7" ht="15" x14ac:dyDescent="0.3">
      <c r="D22308" s="25"/>
      <c r="F22308" s="21"/>
      <c r="G22308" s="16"/>
    </row>
    <row r="22309" spans="4:7" ht="15" x14ac:dyDescent="0.3">
      <c r="D22309" s="25"/>
      <c r="F22309" s="21"/>
      <c r="G22309" s="16"/>
    </row>
    <row r="22310" spans="4:7" ht="15" x14ac:dyDescent="0.3">
      <c r="D22310" s="25"/>
      <c r="F22310" s="21"/>
      <c r="G22310" s="16"/>
    </row>
    <row r="22311" spans="4:7" ht="15" x14ac:dyDescent="0.3">
      <c r="D22311" s="25"/>
      <c r="F22311" s="21"/>
      <c r="G22311" s="16"/>
    </row>
    <row r="22312" spans="4:7" ht="15" x14ac:dyDescent="0.3">
      <c r="D22312" s="25"/>
      <c r="F22312" s="21"/>
      <c r="G22312" s="16"/>
    </row>
    <row r="22313" spans="4:7" ht="15" x14ac:dyDescent="0.3">
      <c r="D22313" s="25"/>
      <c r="F22313" s="21"/>
      <c r="G22313" s="16"/>
    </row>
    <row r="22314" spans="4:7" ht="15" x14ac:dyDescent="0.3">
      <c r="D22314" s="25"/>
      <c r="F22314" s="21"/>
      <c r="G22314" s="16"/>
    </row>
    <row r="22315" spans="4:7" ht="15" x14ac:dyDescent="0.3">
      <c r="D22315" s="25"/>
      <c r="F22315" s="21"/>
      <c r="G22315" s="16"/>
    </row>
    <row r="22316" spans="4:7" ht="15" x14ac:dyDescent="0.3">
      <c r="D22316" s="25"/>
      <c r="F22316" s="21"/>
      <c r="G22316" s="16"/>
    </row>
    <row r="22317" spans="4:7" ht="15" x14ac:dyDescent="0.3">
      <c r="D22317" s="25"/>
      <c r="F22317" s="21"/>
      <c r="G22317" s="16"/>
    </row>
    <row r="22318" spans="4:7" ht="15" x14ac:dyDescent="0.3">
      <c r="D22318" s="25"/>
      <c r="F22318" s="21"/>
      <c r="G22318" s="16"/>
    </row>
    <row r="22319" spans="4:7" ht="15" x14ac:dyDescent="0.3">
      <c r="D22319" s="25"/>
      <c r="F22319" s="21"/>
      <c r="G22319" s="16"/>
    </row>
    <row r="22320" spans="4:7" ht="15" x14ac:dyDescent="0.3">
      <c r="D22320" s="25"/>
      <c r="F22320" s="21"/>
      <c r="G22320" s="16"/>
    </row>
    <row r="22321" spans="4:7" ht="15" x14ac:dyDescent="0.3">
      <c r="D22321" s="25"/>
      <c r="F22321" s="21"/>
      <c r="G22321" s="16"/>
    </row>
    <row r="22322" spans="4:7" ht="15" x14ac:dyDescent="0.3">
      <c r="D22322" s="25"/>
      <c r="F22322" s="21"/>
      <c r="G22322" s="16"/>
    </row>
    <row r="22323" spans="4:7" ht="15" x14ac:dyDescent="0.3">
      <c r="D22323" s="25"/>
      <c r="F22323" s="21"/>
      <c r="G22323" s="16"/>
    </row>
    <row r="22324" spans="4:7" ht="15" x14ac:dyDescent="0.3">
      <c r="D22324" s="25"/>
      <c r="F22324" s="21"/>
      <c r="G22324" s="16"/>
    </row>
    <row r="22325" spans="4:7" ht="15" x14ac:dyDescent="0.3">
      <c r="D22325" s="25"/>
      <c r="F22325" s="21"/>
      <c r="G22325" s="16"/>
    </row>
    <row r="22326" spans="4:7" ht="15" x14ac:dyDescent="0.3">
      <c r="D22326" s="25"/>
      <c r="F22326" s="21"/>
      <c r="G22326" s="16"/>
    </row>
    <row r="22327" spans="4:7" ht="15" x14ac:dyDescent="0.3">
      <c r="D22327" s="25"/>
      <c r="F22327" s="21"/>
      <c r="G22327" s="16"/>
    </row>
    <row r="22328" spans="4:7" ht="15" x14ac:dyDescent="0.3">
      <c r="D22328" s="25"/>
      <c r="F22328" s="21"/>
      <c r="G22328" s="16"/>
    </row>
    <row r="22329" spans="4:7" ht="15" x14ac:dyDescent="0.3">
      <c r="D22329" s="25"/>
      <c r="F22329" s="21"/>
      <c r="G22329" s="16"/>
    </row>
    <row r="22330" spans="4:7" ht="15" x14ac:dyDescent="0.3">
      <c r="D22330" s="25"/>
      <c r="F22330" s="21"/>
      <c r="G22330" s="16"/>
    </row>
    <row r="22331" spans="4:7" ht="15" x14ac:dyDescent="0.3">
      <c r="D22331" s="25"/>
      <c r="F22331" s="21"/>
      <c r="G22331" s="16"/>
    </row>
    <row r="22332" spans="4:7" ht="15" x14ac:dyDescent="0.3">
      <c r="D22332" s="25"/>
      <c r="F22332" s="21"/>
      <c r="G22332" s="16"/>
    </row>
    <row r="22333" spans="4:7" ht="15" x14ac:dyDescent="0.3">
      <c r="D22333" s="25"/>
      <c r="F22333" s="21"/>
      <c r="G22333" s="16"/>
    </row>
    <row r="22334" spans="4:7" ht="15" x14ac:dyDescent="0.3">
      <c r="D22334" s="25"/>
      <c r="F22334" s="21"/>
      <c r="G22334" s="16"/>
    </row>
    <row r="22335" spans="4:7" ht="15" x14ac:dyDescent="0.3">
      <c r="D22335" s="25"/>
      <c r="F22335" s="21"/>
      <c r="G22335" s="16"/>
    </row>
    <row r="22336" spans="4:7" ht="15" x14ac:dyDescent="0.3">
      <c r="D22336" s="25"/>
      <c r="F22336" s="21"/>
      <c r="G22336" s="16"/>
    </row>
    <row r="22337" spans="4:7" ht="15" x14ac:dyDescent="0.3">
      <c r="D22337" s="25"/>
      <c r="F22337" s="21"/>
      <c r="G22337" s="16"/>
    </row>
    <row r="22338" spans="4:7" ht="15" x14ac:dyDescent="0.3">
      <c r="D22338" s="25"/>
      <c r="F22338" s="21"/>
      <c r="G22338" s="16"/>
    </row>
    <row r="22339" spans="4:7" ht="15" x14ac:dyDescent="0.3">
      <c r="D22339" s="25"/>
      <c r="F22339" s="21"/>
      <c r="G22339" s="16"/>
    </row>
    <row r="22340" spans="4:7" ht="15" x14ac:dyDescent="0.3">
      <c r="D22340" s="25"/>
      <c r="F22340" s="21"/>
      <c r="G22340" s="16"/>
    </row>
    <row r="22341" spans="4:7" ht="15" x14ac:dyDescent="0.3">
      <c r="D22341" s="25"/>
      <c r="F22341" s="21"/>
      <c r="G22341" s="16"/>
    </row>
    <row r="22342" spans="4:7" ht="15" x14ac:dyDescent="0.3">
      <c r="D22342" s="25"/>
      <c r="F22342" s="21"/>
      <c r="G22342" s="16"/>
    </row>
    <row r="22343" spans="4:7" ht="15" x14ac:dyDescent="0.3">
      <c r="D22343" s="25"/>
      <c r="F22343" s="21"/>
      <c r="G22343" s="16"/>
    </row>
    <row r="22344" spans="4:7" ht="15" x14ac:dyDescent="0.3">
      <c r="D22344" s="25"/>
      <c r="F22344" s="21"/>
      <c r="G22344" s="16"/>
    </row>
    <row r="22345" spans="4:7" ht="15" x14ac:dyDescent="0.3">
      <c r="D22345" s="25"/>
      <c r="F22345" s="21"/>
      <c r="G22345" s="16"/>
    </row>
    <row r="22346" spans="4:7" ht="15" x14ac:dyDescent="0.3">
      <c r="D22346" s="25"/>
      <c r="F22346" s="21"/>
      <c r="G22346" s="16"/>
    </row>
    <row r="22347" spans="4:7" ht="15" x14ac:dyDescent="0.3">
      <c r="D22347" s="25"/>
      <c r="F22347" s="21"/>
      <c r="G22347" s="16"/>
    </row>
    <row r="22348" spans="4:7" ht="15" x14ac:dyDescent="0.3">
      <c r="D22348" s="25"/>
      <c r="F22348" s="21"/>
      <c r="G22348" s="16"/>
    </row>
    <row r="22349" spans="4:7" ht="15" x14ac:dyDescent="0.3">
      <c r="D22349" s="25"/>
      <c r="F22349" s="21"/>
      <c r="G22349" s="16"/>
    </row>
    <row r="22350" spans="4:7" ht="15" x14ac:dyDescent="0.3">
      <c r="D22350" s="25"/>
      <c r="F22350" s="21"/>
      <c r="G22350" s="16"/>
    </row>
    <row r="22351" spans="4:7" ht="15" x14ac:dyDescent="0.3">
      <c r="D22351" s="25"/>
      <c r="F22351" s="21"/>
      <c r="G22351" s="16"/>
    </row>
    <row r="22352" spans="4:7" ht="15" x14ac:dyDescent="0.3">
      <c r="D22352" s="25"/>
      <c r="F22352" s="21"/>
      <c r="G22352" s="16"/>
    </row>
    <row r="22353" spans="4:7" ht="15" x14ac:dyDescent="0.3">
      <c r="D22353" s="25"/>
      <c r="F22353" s="21"/>
      <c r="G22353" s="16"/>
    </row>
    <row r="22354" spans="4:7" ht="15" x14ac:dyDescent="0.3">
      <c r="D22354" s="25"/>
      <c r="F22354" s="21"/>
      <c r="G22354" s="16"/>
    </row>
    <row r="22355" spans="4:7" ht="15" x14ac:dyDescent="0.3">
      <c r="D22355" s="25"/>
      <c r="F22355" s="21"/>
      <c r="G22355" s="16"/>
    </row>
    <row r="22356" spans="4:7" ht="15" x14ac:dyDescent="0.3">
      <c r="D22356" s="25"/>
      <c r="F22356" s="21"/>
      <c r="G22356" s="16"/>
    </row>
    <row r="22357" spans="4:7" ht="15" x14ac:dyDescent="0.3">
      <c r="D22357" s="25"/>
      <c r="F22357" s="21"/>
      <c r="G22357" s="16"/>
    </row>
    <row r="22358" spans="4:7" ht="15" x14ac:dyDescent="0.3">
      <c r="D22358" s="25"/>
      <c r="F22358" s="21"/>
      <c r="G22358" s="16"/>
    </row>
    <row r="22359" spans="4:7" ht="15" x14ac:dyDescent="0.3">
      <c r="D22359" s="25"/>
      <c r="F22359" s="21"/>
      <c r="G22359" s="16"/>
    </row>
    <row r="22360" spans="4:7" ht="15" x14ac:dyDescent="0.3">
      <c r="D22360" s="25"/>
      <c r="F22360" s="21"/>
      <c r="G22360" s="16"/>
    </row>
    <row r="22361" spans="4:7" ht="15" x14ac:dyDescent="0.3">
      <c r="D22361" s="25"/>
      <c r="F22361" s="21"/>
      <c r="G22361" s="16"/>
    </row>
    <row r="22362" spans="4:7" ht="15" x14ac:dyDescent="0.3">
      <c r="D22362" s="25"/>
      <c r="F22362" s="21"/>
      <c r="G22362" s="16"/>
    </row>
    <row r="22363" spans="4:7" ht="15" x14ac:dyDescent="0.3">
      <c r="D22363" s="25"/>
      <c r="F22363" s="21"/>
      <c r="G22363" s="16"/>
    </row>
    <row r="22364" spans="4:7" ht="15" x14ac:dyDescent="0.3">
      <c r="D22364" s="25"/>
      <c r="F22364" s="21"/>
      <c r="G22364" s="16"/>
    </row>
    <row r="22365" spans="4:7" ht="15" x14ac:dyDescent="0.3">
      <c r="D22365" s="25"/>
      <c r="F22365" s="21"/>
      <c r="G22365" s="16"/>
    </row>
    <row r="22366" spans="4:7" ht="15" x14ac:dyDescent="0.3">
      <c r="D22366" s="25"/>
      <c r="F22366" s="21"/>
      <c r="G22366" s="16"/>
    </row>
    <row r="22367" spans="4:7" ht="15" x14ac:dyDescent="0.3">
      <c r="D22367" s="25"/>
      <c r="F22367" s="21"/>
      <c r="G22367" s="16"/>
    </row>
    <row r="22368" spans="4:7" ht="15" x14ac:dyDescent="0.3">
      <c r="D22368" s="25"/>
      <c r="F22368" s="21"/>
      <c r="G22368" s="16"/>
    </row>
    <row r="22369" spans="4:7" ht="15" x14ac:dyDescent="0.3">
      <c r="D22369" s="25"/>
      <c r="F22369" s="21"/>
      <c r="G22369" s="16"/>
    </row>
    <row r="22370" spans="4:7" ht="15" x14ac:dyDescent="0.3">
      <c r="D22370" s="25"/>
      <c r="F22370" s="21"/>
      <c r="G22370" s="16"/>
    </row>
    <row r="22371" spans="4:7" ht="15" x14ac:dyDescent="0.3">
      <c r="D22371" s="25"/>
      <c r="F22371" s="21"/>
      <c r="G22371" s="16"/>
    </row>
    <row r="22372" spans="4:7" ht="15" x14ac:dyDescent="0.3">
      <c r="D22372" s="25"/>
      <c r="F22372" s="21"/>
      <c r="G22372" s="16"/>
    </row>
    <row r="22373" spans="4:7" ht="15" x14ac:dyDescent="0.3">
      <c r="D22373" s="25"/>
      <c r="F22373" s="21"/>
      <c r="G22373" s="16"/>
    </row>
    <row r="22374" spans="4:7" ht="15" x14ac:dyDescent="0.3">
      <c r="D22374" s="25"/>
      <c r="F22374" s="21"/>
      <c r="G22374" s="16"/>
    </row>
    <row r="22375" spans="4:7" ht="15" x14ac:dyDescent="0.3">
      <c r="D22375" s="25"/>
      <c r="F22375" s="21"/>
      <c r="G22375" s="16"/>
    </row>
    <row r="22376" spans="4:7" ht="15" x14ac:dyDescent="0.3">
      <c r="D22376" s="25"/>
      <c r="F22376" s="21"/>
      <c r="G22376" s="16"/>
    </row>
    <row r="22377" spans="4:7" ht="15" x14ac:dyDescent="0.3">
      <c r="D22377" s="25"/>
      <c r="F22377" s="21"/>
      <c r="G22377" s="16"/>
    </row>
    <row r="22378" spans="4:7" ht="15" x14ac:dyDescent="0.3">
      <c r="D22378" s="25"/>
      <c r="F22378" s="21"/>
      <c r="G22378" s="16"/>
    </row>
    <row r="22379" spans="4:7" ht="15" x14ac:dyDescent="0.3">
      <c r="D22379" s="25"/>
      <c r="F22379" s="21"/>
      <c r="G22379" s="16"/>
    </row>
    <row r="22380" spans="4:7" ht="15" x14ac:dyDescent="0.3">
      <c r="D22380" s="25"/>
      <c r="F22380" s="21"/>
      <c r="G22380" s="16"/>
    </row>
    <row r="22381" spans="4:7" ht="15" x14ac:dyDescent="0.3">
      <c r="D22381" s="25"/>
      <c r="F22381" s="21"/>
      <c r="G22381" s="16"/>
    </row>
    <row r="22382" spans="4:7" ht="15" x14ac:dyDescent="0.3">
      <c r="D22382" s="25"/>
      <c r="F22382" s="21"/>
      <c r="G22382" s="16"/>
    </row>
    <row r="22383" spans="4:7" ht="15" x14ac:dyDescent="0.3">
      <c r="D22383" s="25"/>
      <c r="F22383" s="21"/>
      <c r="G22383" s="16"/>
    </row>
    <row r="22384" spans="4:7" ht="15" x14ac:dyDescent="0.3">
      <c r="D22384" s="25"/>
      <c r="F22384" s="21"/>
      <c r="G22384" s="16"/>
    </row>
    <row r="22385" spans="4:7" ht="15" x14ac:dyDescent="0.3">
      <c r="D22385" s="25"/>
      <c r="F22385" s="21"/>
      <c r="G22385" s="16"/>
    </row>
    <row r="22386" spans="4:7" ht="15" x14ac:dyDescent="0.3">
      <c r="D22386" s="25"/>
      <c r="F22386" s="21"/>
      <c r="G22386" s="16"/>
    </row>
    <row r="22387" spans="4:7" ht="15" x14ac:dyDescent="0.3">
      <c r="D22387" s="25"/>
      <c r="F22387" s="21"/>
      <c r="G22387" s="16"/>
    </row>
    <row r="22388" spans="4:7" ht="15" x14ac:dyDescent="0.3">
      <c r="D22388" s="25"/>
      <c r="F22388" s="21"/>
      <c r="G22388" s="16"/>
    </row>
    <row r="22389" spans="4:7" ht="15" x14ac:dyDescent="0.3">
      <c r="D22389" s="25"/>
      <c r="F22389" s="21"/>
      <c r="G22389" s="16"/>
    </row>
    <row r="22390" spans="4:7" ht="15" x14ac:dyDescent="0.3">
      <c r="D22390" s="25"/>
      <c r="F22390" s="21"/>
      <c r="G22390" s="16"/>
    </row>
    <row r="22391" spans="4:7" ht="15" x14ac:dyDescent="0.3">
      <c r="D22391" s="25"/>
      <c r="F22391" s="21"/>
      <c r="G22391" s="16"/>
    </row>
    <row r="22392" spans="4:7" ht="15" x14ac:dyDescent="0.3">
      <c r="D22392" s="25"/>
      <c r="F22392" s="21"/>
      <c r="G22392" s="16"/>
    </row>
    <row r="22393" spans="4:7" ht="15" x14ac:dyDescent="0.3">
      <c r="D22393" s="25"/>
      <c r="F22393" s="21"/>
      <c r="G22393" s="16"/>
    </row>
    <row r="22394" spans="4:7" ht="15" x14ac:dyDescent="0.3">
      <c r="D22394" s="25"/>
      <c r="F22394" s="21"/>
      <c r="G22394" s="16"/>
    </row>
    <row r="22395" spans="4:7" ht="15" x14ac:dyDescent="0.3">
      <c r="D22395" s="25"/>
      <c r="F22395" s="21"/>
      <c r="G22395" s="16"/>
    </row>
    <row r="22396" spans="4:7" ht="15" x14ac:dyDescent="0.3">
      <c r="D22396" s="25"/>
      <c r="F22396" s="21"/>
      <c r="G22396" s="16"/>
    </row>
    <row r="22397" spans="4:7" ht="15" x14ac:dyDescent="0.3">
      <c r="D22397" s="25"/>
      <c r="F22397" s="21"/>
      <c r="G22397" s="16"/>
    </row>
    <row r="22398" spans="4:7" ht="15" x14ac:dyDescent="0.3">
      <c r="D22398" s="25"/>
      <c r="F22398" s="21"/>
      <c r="G22398" s="16"/>
    </row>
    <row r="22399" spans="4:7" ht="15" x14ac:dyDescent="0.3">
      <c r="D22399" s="25"/>
      <c r="F22399" s="21"/>
      <c r="G22399" s="16"/>
    </row>
    <row r="22400" spans="4:7" ht="15" x14ac:dyDescent="0.3">
      <c r="D22400" s="25"/>
      <c r="F22400" s="21"/>
      <c r="G22400" s="16"/>
    </row>
    <row r="22401" spans="4:7" ht="15" x14ac:dyDescent="0.3">
      <c r="D22401" s="25"/>
      <c r="F22401" s="21"/>
      <c r="G22401" s="16"/>
    </row>
    <row r="22402" spans="4:7" ht="15" x14ac:dyDescent="0.3">
      <c r="D22402" s="25"/>
      <c r="F22402" s="21"/>
      <c r="G22402" s="16"/>
    </row>
    <row r="22403" spans="4:7" ht="15" x14ac:dyDescent="0.3">
      <c r="D22403" s="25"/>
      <c r="F22403" s="21"/>
      <c r="G22403" s="16"/>
    </row>
    <row r="22404" spans="4:7" ht="15" x14ac:dyDescent="0.3">
      <c r="D22404" s="25"/>
      <c r="F22404" s="21"/>
      <c r="G22404" s="16"/>
    </row>
    <row r="22405" spans="4:7" ht="15" x14ac:dyDescent="0.3">
      <c r="D22405" s="25"/>
      <c r="F22405" s="21"/>
      <c r="G22405" s="16"/>
    </row>
    <row r="22406" spans="4:7" ht="15" x14ac:dyDescent="0.3">
      <c r="D22406" s="25"/>
      <c r="F22406" s="21"/>
      <c r="G22406" s="16"/>
    </row>
    <row r="22407" spans="4:7" ht="15" x14ac:dyDescent="0.3">
      <c r="D22407" s="25"/>
      <c r="F22407" s="21"/>
      <c r="G22407" s="16"/>
    </row>
    <row r="22408" spans="4:7" ht="15" x14ac:dyDescent="0.3">
      <c r="D22408" s="25"/>
      <c r="F22408" s="21"/>
      <c r="G22408" s="16"/>
    </row>
    <row r="22409" spans="4:7" ht="15" x14ac:dyDescent="0.3">
      <c r="D22409" s="25"/>
      <c r="F22409" s="21"/>
      <c r="G22409" s="16"/>
    </row>
    <row r="22410" spans="4:7" ht="15" x14ac:dyDescent="0.3">
      <c r="D22410" s="25"/>
      <c r="F22410" s="21"/>
      <c r="G22410" s="16"/>
    </row>
    <row r="22411" spans="4:7" ht="15" x14ac:dyDescent="0.3">
      <c r="D22411" s="25"/>
      <c r="F22411" s="21"/>
      <c r="G22411" s="16"/>
    </row>
    <row r="22412" spans="4:7" ht="15" x14ac:dyDescent="0.3">
      <c r="D22412" s="25"/>
      <c r="F22412" s="21"/>
      <c r="G22412" s="16"/>
    </row>
    <row r="22413" spans="4:7" ht="15" x14ac:dyDescent="0.3">
      <c r="D22413" s="25"/>
      <c r="F22413" s="21"/>
      <c r="G22413" s="16"/>
    </row>
    <row r="22414" spans="4:7" ht="15" x14ac:dyDescent="0.3">
      <c r="D22414" s="25"/>
      <c r="F22414" s="21"/>
      <c r="G22414" s="16"/>
    </row>
    <row r="22415" spans="4:7" ht="15" x14ac:dyDescent="0.3">
      <c r="D22415" s="25"/>
      <c r="F22415" s="21"/>
      <c r="G22415" s="16"/>
    </row>
    <row r="22416" spans="4:7" ht="15" x14ac:dyDescent="0.3">
      <c r="D22416" s="25"/>
      <c r="F22416" s="21"/>
      <c r="G22416" s="16"/>
    </row>
    <row r="22417" spans="4:7" ht="15" x14ac:dyDescent="0.3">
      <c r="D22417" s="25"/>
      <c r="F22417" s="21"/>
      <c r="G22417" s="16"/>
    </row>
    <row r="22418" spans="4:7" ht="15" x14ac:dyDescent="0.3">
      <c r="D22418" s="25"/>
      <c r="F22418" s="21"/>
      <c r="G22418" s="16"/>
    </row>
    <row r="22419" spans="4:7" ht="15" x14ac:dyDescent="0.3">
      <c r="D22419" s="25"/>
      <c r="F22419" s="21"/>
      <c r="G22419" s="16"/>
    </row>
    <row r="22420" spans="4:7" ht="15" x14ac:dyDescent="0.3">
      <c r="D22420" s="25"/>
      <c r="F22420" s="21"/>
      <c r="G22420" s="16"/>
    </row>
    <row r="22421" spans="4:7" ht="15" x14ac:dyDescent="0.3">
      <c r="D22421" s="25"/>
      <c r="F22421" s="21"/>
      <c r="G22421" s="16"/>
    </row>
    <row r="22422" spans="4:7" ht="15" x14ac:dyDescent="0.3">
      <c r="D22422" s="25"/>
      <c r="F22422" s="21"/>
      <c r="G22422" s="16"/>
    </row>
    <row r="22423" spans="4:7" ht="15" x14ac:dyDescent="0.3">
      <c r="D22423" s="25"/>
      <c r="F22423" s="21"/>
      <c r="G22423" s="16"/>
    </row>
    <row r="22424" spans="4:7" ht="15" x14ac:dyDescent="0.3">
      <c r="D22424" s="25"/>
      <c r="F22424" s="21"/>
      <c r="G22424" s="16"/>
    </row>
    <row r="22425" spans="4:7" ht="15" x14ac:dyDescent="0.3">
      <c r="D22425" s="25"/>
      <c r="F22425" s="21"/>
      <c r="G22425" s="16"/>
    </row>
    <row r="22426" spans="4:7" ht="15" x14ac:dyDescent="0.3">
      <c r="D22426" s="25"/>
      <c r="F22426" s="21"/>
      <c r="G22426" s="16"/>
    </row>
    <row r="22427" spans="4:7" ht="15" x14ac:dyDescent="0.3">
      <c r="D22427" s="25"/>
      <c r="F22427" s="21"/>
      <c r="G22427" s="16"/>
    </row>
    <row r="22428" spans="4:7" ht="15" x14ac:dyDescent="0.3">
      <c r="D22428" s="25"/>
      <c r="F22428" s="21"/>
      <c r="G22428" s="16"/>
    </row>
    <row r="22429" spans="4:7" ht="15" x14ac:dyDescent="0.3">
      <c r="D22429" s="25"/>
      <c r="F22429" s="21"/>
      <c r="G22429" s="16"/>
    </row>
    <row r="22430" spans="4:7" ht="15" x14ac:dyDescent="0.3">
      <c r="D22430" s="25"/>
      <c r="F22430" s="21"/>
      <c r="G22430" s="16"/>
    </row>
    <row r="22431" spans="4:7" ht="15" x14ac:dyDescent="0.3">
      <c r="D22431" s="25"/>
      <c r="F22431" s="21"/>
      <c r="G22431" s="16"/>
    </row>
    <row r="22432" spans="4:7" ht="15" x14ac:dyDescent="0.3">
      <c r="D22432" s="25"/>
      <c r="F22432" s="21"/>
      <c r="G22432" s="16"/>
    </row>
    <row r="22433" spans="4:7" ht="15" x14ac:dyDescent="0.3">
      <c r="D22433" s="25"/>
      <c r="F22433" s="21"/>
      <c r="G22433" s="16"/>
    </row>
    <row r="22434" spans="4:7" ht="15" x14ac:dyDescent="0.3">
      <c r="D22434" s="25"/>
      <c r="F22434" s="21"/>
      <c r="G22434" s="16"/>
    </row>
    <row r="22435" spans="4:7" ht="15" x14ac:dyDescent="0.3">
      <c r="D22435" s="25"/>
      <c r="F22435" s="21"/>
      <c r="G22435" s="16"/>
    </row>
    <row r="22436" spans="4:7" ht="15" x14ac:dyDescent="0.3">
      <c r="D22436" s="25"/>
      <c r="F22436" s="21"/>
      <c r="G22436" s="16"/>
    </row>
    <row r="22437" spans="4:7" ht="15" x14ac:dyDescent="0.3">
      <c r="D22437" s="25"/>
      <c r="F22437" s="21"/>
      <c r="G22437" s="16"/>
    </row>
    <row r="22438" spans="4:7" ht="15" x14ac:dyDescent="0.3">
      <c r="D22438" s="25"/>
      <c r="F22438" s="21"/>
      <c r="G22438" s="16"/>
    </row>
    <row r="22439" spans="4:7" ht="15" x14ac:dyDescent="0.3">
      <c r="D22439" s="25"/>
      <c r="F22439" s="21"/>
      <c r="G22439" s="16"/>
    </row>
    <row r="22440" spans="4:7" ht="15" x14ac:dyDescent="0.3">
      <c r="D22440" s="25"/>
      <c r="F22440" s="21"/>
      <c r="G22440" s="16"/>
    </row>
    <row r="22441" spans="4:7" ht="15" x14ac:dyDescent="0.3">
      <c r="D22441" s="25"/>
      <c r="F22441" s="21"/>
      <c r="G22441" s="16"/>
    </row>
    <row r="22442" spans="4:7" ht="15" x14ac:dyDescent="0.3">
      <c r="D22442" s="25"/>
      <c r="F22442" s="21"/>
      <c r="G22442" s="16"/>
    </row>
    <row r="22443" spans="4:7" ht="15" x14ac:dyDescent="0.3">
      <c r="D22443" s="25"/>
      <c r="F22443" s="21"/>
      <c r="G22443" s="16"/>
    </row>
    <row r="22444" spans="4:7" ht="15" x14ac:dyDescent="0.3">
      <c r="D22444" s="25"/>
      <c r="F22444" s="21"/>
      <c r="G22444" s="16"/>
    </row>
    <row r="22445" spans="4:7" ht="15" x14ac:dyDescent="0.3">
      <c r="D22445" s="25"/>
      <c r="F22445" s="21"/>
      <c r="G22445" s="16"/>
    </row>
    <row r="22446" spans="4:7" ht="15" x14ac:dyDescent="0.3">
      <c r="D22446" s="25"/>
      <c r="F22446" s="21"/>
      <c r="G22446" s="16"/>
    </row>
    <row r="22447" spans="4:7" ht="15" x14ac:dyDescent="0.3">
      <c r="D22447" s="25"/>
      <c r="F22447" s="21"/>
      <c r="G22447" s="16"/>
    </row>
    <row r="22448" spans="4:7" ht="15" x14ac:dyDescent="0.3">
      <c r="D22448" s="25"/>
      <c r="F22448" s="21"/>
      <c r="G22448" s="16"/>
    </row>
    <row r="22449" spans="4:7" ht="15" x14ac:dyDescent="0.3">
      <c r="D22449" s="25"/>
      <c r="F22449" s="21"/>
      <c r="G22449" s="16"/>
    </row>
    <row r="22450" spans="4:7" ht="15" x14ac:dyDescent="0.3">
      <c r="D22450" s="25"/>
      <c r="F22450" s="21"/>
      <c r="G22450" s="16"/>
    </row>
    <row r="22451" spans="4:7" ht="15" x14ac:dyDescent="0.3">
      <c r="D22451" s="25"/>
      <c r="F22451" s="21"/>
      <c r="G22451" s="16"/>
    </row>
    <row r="22452" spans="4:7" ht="15" x14ac:dyDescent="0.3">
      <c r="D22452" s="25"/>
      <c r="F22452" s="21"/>
      <c r="G22452" s="16"/>
    </row>
    <row r="22453" spans="4:7" ht="15" x14ac:dyDescent="0.3">
      <c r="D22453" s="25"/>
      <c r="F22453" s="21"/>
      <c r="G22453" s="16"/>
    </row>
    <row r="22454" spans="4:7" ht="15" x14ac:dyDescent="0.3">
      <c r="D22454" s="25"/>
      <c r="F22454" s="21"/>
      <c r="G22454" s="16"/>
    </row>
    <row r="22455" spans="4:7" ht="15" x14ac:dyDescent="0.3">
      <c r="D22455" s="25"/>
      <c r="F22455" s="21"/>
      <c r="G22455" s="16"/>
    </row>
    <row r="22456" spans="4:7" ht="15" x14ac:dyDescent="0.3">
      <c r="D22456" s="25"/>
      <c r="F22456" s="21"/>
      <c r="G22456" s="16"/>
    </row>
    <row r="22457" spans="4:7" ht="15" x14ac:dyDescent="0.3">
      <c r="D22457" s="25"/>
      <c r="F22457" s="21"/>
      <c r="G22457" s="16"/>
    </row>
    <row r="22458" spans="4:7" ht="15" x14ac:dyDescent="0.3">
      <c r="D22458" s="25"/>
      <c r="F22458" s="21"/>
      <c r="G22458" s="16"/>
    </row>
    <row r="22459" spans="4:7" ht="15" x14ac:dyDescent="0.3">
      <c r="D22459" s="25"/>
      <c r="F22459" s="21"/>
      <c r="G22459" s="16"/>
    </row>
    <row r="22460" spans="4:7" ht="15" x14ac:dyDescent="0.3">
      <c r="D22460" s="25"/>
      <c r="F22460" s="21"/>
      <c r="G22460" s="16"/>
    </row>
    <row r="22461" spans="4:7" ht="15" x14ac:dyDescent="0.3">
      <c r="D22461" s="25"/>
      <c r="F22461" s="21"/>
      <c r="G22461" s="16"/>
    </row>
    <row r="22462" spans="4:7" ht="15" x14ac:dyDescent="0.3">
      <c r="D22462" s="25"/>
      <c r="F22462" s="21"/>
      <c r="G22462" s="16"/>
    </row>
    <row r="22463" spans="4:7" ht="15" x14ac:dyDescent="0.3">
      <c r="D22463" s="25"/>
      <c r="F22463" s="21"/>
      <c r="G22463" s="16"/>
    </row>
    <row r="22464" spans="4:7" ht="15" x14ac:dyDescent="0.3">
      <c r="D22464" s="25"/>
      <c r="F22464" s="21"/>
      <c r="G22464" s="16"/>
    </row>
    <row r="22465" spans="4:7" ht="15" x14ac:dyDescent="0.3">
      <c r="D22465" s="25"/>
      <c r="F22465" s="21"/>
      <c r="G22465" s="16"/>
    </row>
    <row r="22466" spans="4:7" ht="15" x14ac:dyDescent="0.3">
      <c r="D22466" s="25"/>
      <c r="F22466" s="21"/>
      <c r="G22466" s="16"/>
    </row>
    <row r="22467" spans="4:7" ht="15" x14ac:dyDescent="0.3">
      <c r="D22467" s="25"/>
      <c r="F22467" s="21"/>
      <c r="G22467" s="16"/>
    </row>
    <row r="22468" spans="4:7" ht="15" x14ac:dyDescent="0.3">
      <c r="D22468" s="25"/>
      <c r="F22468" s="21"/>
      <c r="G22468" s="16"/>
    </row>
    <row r="22469" spans="4:7" ht="15" x14ac:dyDescent="0.3">
      <c r="D22469" s="25"/>
      <c r="F22469" s="21"/>
      <c r="G22469" s="16"/>
    </row>
    <row r="22470" spans="4:7" ht="15" x14ac:dyDescent="0.3">
      <c r="D22470" s="25"/>
      <c r="F22470" s="21"/>
      <c r="G22470" s="16"/>
    </row>
    <row r="22471" spans="4:7" ht="15" x14ac:dyDescent="0.3">
      <c r="D22471" s="25"/>
      <c r="F22471" s="21"/>
      <c r="G22471" s="16"/>
    </row>
    <row r="22472" spans="4:7" ht="15" x14ac:dyDescent="0.3">
      <c r="D22472" s="25"/>
      <c r="F22472" s="21"/>
      <c r="G22472" s="16"/>
    </row>
    <row r="22473" spans="4:7" ht="15" x14ac:dyDescent="0.3">
      <c r="D22473" s="25"/>
      <c r="F22473" s="21"/>
      <c r="G22473" s="16"/>
    </row>
    <row r="22474" spans="4:7" ht="15" x14ac:dyDescent="0.3">
      <c r="D22474" s="25"/>
      <c r="F22474" s="21"/>
      <c r="G22474" s="16"/>
    </row>
    <row r="22475" spans="4:7" ht="15" x14ac:dyDescent="0.3">
      <c r="D22475" s="25"/>
      <c r="F22475" s="21"/>
      <c r="G22475" s="16"/>
    </row>
    <row r="22476" spans="4:7" ht="15" x14ac:dyDescent="0.3">
      <c r="D22476" s="25"/>
      <c r="F22476" s="21"/>
      <c r="G22476" s="16"/>
    </row>
    <row r="22477" spans="4:7" ht="15" x14ac:dyDescent="0.3">
      <c r="D22477" s="25"/>
      <c r="F22477" s="21"/>
      <c r="G22477" s="16"/>
    </row>
    <row r="22478" spans="4:7" ht="15" x14ac:dyDescent="0.3">
      <c r="D22478" s="25"/>
      <c r="F22478" s="21"/>
      <c r="G22478" s="16"/>
    </row>
    <row r="22479" spans="4:7" ht="15" x14ac:dyDescent="0.3">
      <c r="D22479" s="25"/>
      <c r="F22479" s="21"/>
      <c r="G22479" s="16"/>
    </row>
    <row r="22480" spans="4:7" ht="15" x14ac:dyDescent="0.3">
      <c r="D22480" s="25"/>
      <c r="F22480" s="21"/>
      <c r="G22480" s="16"/>
    </row>
    <row r="22481" spans="4:7" ht="15" x14ac:dyDescent="0.3">
      <c r="D22481" s="25"/>
      <c r="F22481" s="21"/>
      <c r="G22481" s="16"/>
    </row>
    <row r="22482" spans="4:7" ht="15" x14ac:dyDescent="0.3">
      <c r="D22482" s="25"/>
      <c r="F22482" s="21"/>
      <c r="G22482" s="16"/>
    </row>
    <row r="22483" spans="4:7" ht="15" x14ac:dyDescent="0.3">
      <c r="D22483" s="25"/>
      <c r="F22483" s="21"/>
      <c r="G22483" s="16"/>
    </row>
    <row r="22484" spans="4:7" ht="15" x14ac:dyDescent="0.3">
      <c r="D22484" s="25"/>
      <c r="F22484" s="21"/>
      <c r="G22484" s="16"/>
    </row>
    <row r="22485" spans="4:7" ht="15" x14ac:dyDescent="0.3">
      <c r="D22485" s="25"/>
      <c r="F22485" s="21"/>
      <c r="G22485" s="16"/>
    </row>
    <row r="22486" spans="4:7" ht="15" x14ac:dyDescent="0.3">
      <c r="D22486" s="25"/>
      <c r="F22486" s="21"/>
      <c r="G22486" s="16"/>
    </row>
    <row r="22487" spans="4:7" ht="15" x14ac:dyDescent="0.3">
      <c r="D22487" s="25"/>
      <c r="F22487" s="21"/>
      <c r="G22487" s="16"/>
    </row>
    <row r="22488" spans="4:7" ht="15" x14ac:dyDescent="0.3">
      <c r="D22488" s="25"/>
      <c r="F22488" s="21"/>
      <c r="G22488" s="16"/>
    </row>
    <row r="22489" spans="4:7" ht="15" x14ac:dyDescent="0.3">
      <c r="D22489" s="25"/>
      <c r="F22489" s="21"/>
      <c r="G22489" s="16"/>
    </row>
    <row r="22490" spans="4:7" ht="15" x14ac:dyDescent="0.3">
      <c r="D22490" s="25"/>
      <c r="F22490" s="21"/>
      <c r="G22490" s="16"/>
    </row>
    <row r="22491" spans="4:7" ht="15" x14ac:dyDescent="0.3">
      <c r="D22491" s="25"/>
      <c r="F22491" s="21"/>
      <c r="G22491" s="16"/>
    </row>
    <row r="22492" spans="4:7" ht="15" x14ac:dyDescent="0.3">
      <c r="D22492" s="25"/>
      <c r="F22492" s="21"/>
      <c r="G22492" s="16"/>
    </row>
    <row r="22493" spans="4:7" ht="15" x14ac:dyDescent="0.3">
      <c r="D22493" s="25"/>
      <c r="F22493" s="21"/>
      <c r="G22493" s="16"/>
    </row>
    <row r="22494" spans="4:7" ht="15" x14ac:dyDescent="0.3">
      <c r="D22494" s="25"/>
      <c r="F22494" s="21"/>
      <c r="G22494" s="16"/>
    </row>
    <row r="22495" spans="4:7" ht="15" x14ac:dyDescent="0.3">
      <c r="D22495" s="25"/>
      <c r="F22495" s="21"/>
      <c r="G22495" s="16"/>
    </row>
    <row r="22496" spans="4:7" ht="15" x14ac:dyDescent="0.3">
      <c r="D22496" s="25"/>
      <c r="F22496" s="21"/>
      <c r="G22496" s="16"/>
    </row>
    <row r="22497" spans="4:7" ht="15" x14ac:dyDescent="0.3">
      <c r="D22497" s="25"/>
      <c r="F22497" s="21"/>
      <c r="G22497" s="16"/>
    </row>
    <row r="22498" spans="4:7" ht="15" x14ac:dyDescent="0.3">
      <c r="D22498" s="25"/>
      <c r="F22498" s="21"/>
      <c r="G22498" s="16"/>
    </row>
    <row r="22499" spans="4:7" ht="15" x14ac:dyDescent="0.3">
      <c r="D22499" s="25"/>
      <c r="F22499" s="21"/>
      <c r="G22499" s="16"/>
    </row>
    <row r="22500" spans="4:7" ht="15" x14ac:dyDescent="0.3">
      <c r="D22500" s="25"/>
      <c r="F22500" s="21"/>
      <c r="G22500" s="16"/>
    </row>
    <row r="22501" spans="4:7" ht="15" x14ac:dyDescent="0.3">
      <c r="D22501" s="25"/>
      <c r="F22501" s="21"/>
      <c r="G22501" s="16"/>
    </row>
    <row r="22502" spans="4:7" ht="15" x14ac:dyDescent="0.3">
      <c r="D22502" s="25"/>
      <c r="F22502" s="21"/>
      <c r="G22502" s="16"/>
    </row>
    <row r="22503" spans="4:7" ht="15" x14ac:dyDescent="0.3">
      <c r="D22503" s="25"/>
      <c r="F22503" s="21"/>
      <c r="G22503" s="16"/>
    </row>
    <row r="22504" spans="4:7" ht="15" x14ac:dyDescent="0.3">
      <c r="D22504" s="25"/>
      <c r="F22504" s="21"/>
      <c r="G22504" s="16"/>
    </row>
    <row r="22505" spans="4:7" ht="15" x14ac:dyDescent="0.3">
      <c r="D22505" s="25"/>
      <c r="F22505" s="21"/>
      <c r="G22505" s="16"/>
    </row>
    <row r="22506" spans="4:7" ht="15" x14ac:dyDescent="0.3">
      <c r="D22506" s="25"/>
      <c r="F22506" s="21"/>
      <c r="G22506" s="16"/>
    </row>
    <row r="22507" spans="4:7" ht="15" x14ac:dyDescent="0.3">
      <c r="D22507" s="25"/>
      <c r="F22507" s="21"/>
      <c r="G22507" s="16"/>
    </row>
    <row r="22508" spans="4:7" ht="15" x14ac:dyDescent="0.3">
      <c r="D22508" s="25"/>
      <c r="F22508" s="21"/>
      <c r="G22508" s="16"/>
    </row>
    <row r="22509" spans="4:7" ht="15" x14ac:dyDescent="0.3">
      <c r="D22509" s="25"/>
      <c r="F22509" s="21"/>
      <c r="G22509" s="16"/>
    </row>
    <row r="22510" spans="4:7" ht="15" x14ac:dyDescent="0.3">
      <c r="D22510" s="25"/>
      <c r="F22510" s="21"/>
      <c r="G22510" s="16"/>
    </row>
    <row r="22511" spans="4:7" ht="15" x14ac:dyDescent="0.3">
      <c r="D22511" s="25"/>
      <c r="F22511" s="21"/>
      <c r="G22511" s="16"/>
    </row>
    <row r="22512" spans="4:7" ht="15" x14ac:dyDescent="0.3">
      <c r="D22512" s="25"/>
      <c r="F22512" s="21"/>
      <c r="G22512" s="16"/>
    </row>
    <row r="22513" spans="4:7" ht="15" x14ac:dyDescent="0.3">
      <c r="D22513" s="25"/>
      <c r="F22513" s="21"/>
      <c r="G22513" s="16"/>
    </row>
    <row r="22514" spans="4:7" ht="15" x14ac:dyDescent="0.3">
      <c r="D22514" s="25"/>
      <c r="F22514" s="21"/>
      <c r="G22514" s="16"/>
    </row>
    <row r="22515" spans="4:7" ht="15" x14ac:dyDescent="0.3">
      <c r="D22515" s="25"/>
      <c r="F22515" s="21"/>
      <c r="G22515" s="16"/>
    </row>
    <row r="22516" spans="4:7" ht="15" x14ac:dyDescent="0.3">
      <c r="D22516" s="25"/>
      <c r="F22516" s="21"/>
      <c r="G22516" s="16"/>
    </row>
    <row r="22517" spans="4:7" ht="15" x14ac:dyDescent="0.3">
      <c r="D22517" s="25"/>
      <c r="F22517" s="21"/>
      <c r="G22517" s="16"/>
    </row>
    <row r="22518" spans="4:7" ht="15" x14ac:dyDescent="0.3">
      <c r="D22518" s="25"/>
      <c r="F22518" s="21"/>
      <c r="G22518" s="16"/>
    </row>
    <row r="22519" spans="4:7" ht="15" x14ac:dyDescent="0.3">
      <c r="D22519" s="25"/>
      <c r="F22519" s="21"/>
      <c r="G22519" s="16"/>
    </row>
    <row r="22520" spans="4:7" ht="15" x14ac:dyDescent="0.3">
      <c r="D22520" s="25"/>
      <c r="F22520" s="21"/>
      <c r="G22520" s="16"/>
    </row>
    <row r="22521" spans="4:7" ht="15" x14ac:dyDescent="0.3">
      <c r="D22521" s="25"/>
      <c r="F22521" s="21"/>
      <c r="G22521" s="16"/>
    </row>
    <row r="22522" spans="4:7" ht="15" x14ac:dyDescent="0.3">
      <c r="D22522" s="25"/>
      <c r="F22522" s="21"/>
      <c r="G22522" s="16"/>
    </row>
    <row r="22523" spans="4:7" ht="15" x14ac:dyDescent="0.3">
      <c r="D22523" s="25"/>
      <c r="F22523" s="21"/>
      <c r="G22523" s="16"/>
    </row>
    <row r="22524" spans="4:7" ht="15" x14ac:dyDescent="0.3">
      <c r="D22524" s="25"/>
      <c r="F22524" s="21"/>
      <c r="G22524" s="16"/>
    </row>
    <row r="22525" spans="4:7" ht="15" x14ac:dyDescent="0.3">
      <c r="D22525" s="25"/>
      <c r="F22525" s="21"/>
      <c r="G22525" s="16"/>
    </row>
    <row r="22526" spans="4:7" ht="15" x14ac:dyDescent="0.3">
      <c r="D22526" s="25"/>
      <c r="F22526" s="21"/>
      <c r="G22526" s="16"/>
    </row>
    <row r="22527" spans="4:7" ht="15" x14ac:dyDescent="0.3">
      <c r="D22527" s="25"/>
      <c r="F22527" s="21"/>
      <c r="G22527" s="16"/>
    </row>
    <row r="22528" spans="4:7" ht="15" x14ac:dyDescent="0.3">
      <c r="D22528" s="25"/>
      <c r="F22528" s="21"/>
      <c r="G22528" s="16"/>
    </row>
    <row r="22529" spans="4:7" ht="15" x14ac:dyDescent="0.3">
      <c r="D22529" s="25"/>
      <c r="F22529" s="21"/>
      <c r="G22529" s="16"/>
    </row>
    <row r="22530" spans="4:7" ht="15" x14ac:dyDescent="0.3">
      <c r="D22530" s="25"/>
      <c r="F22530" s="21"/>
      <c r="G22530" s="16"/>
    </row>
    <row r="22531" spans="4:7" ht="15" x14ac:dyDescent="0.3">
      <c r="D22531" s="25"/>
      <c r="F22531" s="21"/>
      <c r="G22531" s="16"/>
    </row>
    <row r="22532" spans="4:7" ht="15" x14ac:dyDescent="0.3">
      <c r="D22532" s="25"/>
      <c r="F22532" s="21"/>
      <c r="G22532" s="16"/>
    </row>
    <row r="22533" spans="4:7" ht="15" x14ac:dyDescent="0.3">
      <c r="D22533" s="25"/>
      <c r="F22533" s="21"/>
      <c r="G22533" s="16"/>
    </row>
    <row r="22534" spans="4:7" ht="15" x14ac:dyDescent="0.3">
      <c r="D22534" s="25"/>
      <c r="F22534" s="21"/>
      <c r="G22534" s="16"/>
    </row>
    <row r="22535" spans="4:7" ht="15" x14ac:dyDescent="0.3">
      <c r="D22535" s="25"/>
      <c r="F22535" s="21"/>
      <c r="G22535" s="16"/>
    </row>
    <row r="22536" spans="4:7" ht="15" x14ac:dyDescent="0.3">
      <c r="D22536" s="25"/>
      <c r="F22536" s="21"/>
      <c r="G22536" s="16"/>
    </row>
    <row r="22537" spans="4:7" ht="15" x14ac:dyDescent="0.3">
      <c r="D22537" s="25"/>
      <c r="F22537" s="21"/>
      <c r="G22537" s="16"/>
    </row>
    <row r="22538" spans="4:7" ht="15" x14ac:dyDescent="0.3">
      <c r="D22538" s="25"/>
      <c r="F22538" s="21"/>
      <c r="G22538" s="16"/>
    </row>
    <row r="22539" spans="4:7" ht="15" x14ac:dyDescent="0.3">
      <c r="D22539" s="25"/>
      <c r="F22539" s="21"/>
      <c r="G22539" s="16"/>
    </row>
    <row r="22540" spans="4:7" ht="15" x14ac:dyDescent="0.3">
      <c r="D22540" s="25"/>
      <c r="F22540" s="21"/>
      <c r="G22540" s="16"/>
    </row>
    <row r="22541" spans="4:7" ht="15" x14ac:dyDescent="0.3">
      <c r="D22541" s="25"/>
      <c r="F22541" s="21"/>
      <c r="G22541" s="16"/>
    </row>
    <row r="22542" spans="4:7" ht="15" x14ac:dyDescent="0.3">
      <c r="D22542" s="25"/>
      <c r="F22542" s="21"/>
      <c r="G22542" s="16"/>
    </row>
    <row r="22543" spans="4:7" ht="15" x14ac:dyDescent="0.3">
      <c r="D22543" s="25"/>
      <c r="F22543" s="21"/>
      <c r="G22543" s="16"/>
    </row>
    <row r="22544" spans="4:7" ht="15" x14ac:dyDescent="0.3">
      <c r="D22544" s="25"/>
      <c r="F22544" s="21"/>
      <c r="G22544" s="16"/>
    </row>
    <row r="22545" spans="4:7" ht="15" x14ac:dyDescent="0.3">
      <c r="D22545" s="25"/>
      <c r="F22545" s="21"/>
      <c r="G22545" s="16"/>
    </row>
    <row r="22546" spans="4:7" ht="15" x14ac:dyDescent="0.3">
      <c r="D22546" s="25"/>
      <c r="F22546" s="21"/>
      <c r="G22546" s="16"/>
    </row>
    <row r="22547" spans="4:7" ht="15" x14ac:dyDescent="0.3">
      <c r="D22547" s="25"/>
      <c r="F22547" s="21"/>
      <c r="G22547" s="16"/>
    </row>
    <row r="22548" spans="4:7" ht="15" x14ac:dyDescent="0.3">
      <c r="D22548" s="25"/>
      <c r="F22548" s="21"/>
      <c r="G22548" s="16"/>
    </row>
    <row r="22549" spans="4:7" ht="15" x14ac:dyDescent="0.3">
      <c r="D22549" s="25"/>
      <c r="F22549" s="21"/>
      <c r="G22549" s="16"/>
    </row>
    <row r="22550" spans="4:7" ht="15" x14ac:dyDescent="0.3">
      <c r="D22550" s="25"/>
      <c r="F22550" s="21"/>
      <c r="G22550" s="16"/>
    </row>
    <row r="22551" spans="4:7" ht="15" x14ac:dyDescent="0.3">
      <c r="D22551" s="25"/>
      <c r="F22551" s="21"/>
      <c r="G22551" s="16"/>
    </row>
    <row r="22552" spans="4:7" ht="15" x14ac:dyDescent="0.3">
      <c r="D22552" s="25"/>
      <c r="F22552" s="21"/>
      <c r="G22552" s="16"/>
    </row>
    <row r="22553" spans="4:7" ht="15" x14ac:dyDescent="0.3">
      <c r="D22553" s="25"/>
      <c r="F22553" s="21"/>
      <c r="G22553" s="16"/>
    </row>
    <row r="22554" spans="4:7" ht="15" x14ac:dyDescent="0.3">
      <c r="D22554" s="25"/>
      <c r="F22554" s="21"/>
      <c r="G22554" s="16"/>
    </row>
    <row r="22555" spans="4:7" ht="15" x14ac:dyDescent="0.3">
      <c r="D22555" s="25"/>
      <c r="F22555" s="21"/>
      <c r="G22555" s="16"/>
    </row>
    <row r="22556" spans="4:7" ht="15" x14ac:dyDescent="0.3">
      <c r="D22556" s="25"/>
      <c r="F22556" s="21"/>
      <c r="G22556" s="16"/>
    </row>
    <row r="22557" spans="4:7" ht="15" x14ac:dyDescent="0.3">
      <c r="D22557" s="25"/>
      <c r="F22557" s="21"/>
      <c r="G22557" s="16"/>
    </row>
    <row r="22558" spans="4:7" ht="15" x14ac:dyDescent="0.3">
      <c r="D22558" s="25"/>
      <c r="F22558" s="21"/>
      <c r="G22558" s="16"/>
    </row>
    <row r="22559" spans="4:7" ht="15" x14ac:dyDescent="0.3">
      <c r="D22559" s="25"/>
      <c r="F22559" s="21"/>
      <c r="G22559" s="16"/>
    </row>
    <row r="22560" spans="4:7" ht="15" x14ac:dyDescent="0.3">
      <c r="D22560" s="25"/>
      <c r="F22560" s="21"/>
      <c r="G22560" s="16"/>
    </row>
    <row r="22561" spans="4:7" ht="15" x14ac:dyDescent="0.3">
      <c r="D22561" s="25"/>
      <c r="F22561" s="21"/>
      <c r="G22561" s="16"/>
    </row>
    <row r="22562" spans="4:7" ht="15" x14ac:dyDescent="0.3">
      <c r="D22562" s="25"/>
      <c r="F22562" s="21"/>
      <c r="G22562" s="16"/>
    </row>
    <row r="22563" spans="4:7" ht="15" x14ac:dyDescent="0.3">
      <c r="D22563" s="25"/>
      <c r="F22563" s="21"/>
      <c r="G22563" s="16"/>
    </row>
    <row r="22564" spans="4:7" ht="15" x14ac:dyDescent="0.3">
      <c r="D22564" s="25"/>
      <c r="F22564" s="21"/>
      <c r="G22564" s="16"/>
    </row>
    <row r="22565" spans="4:7" ht="15" x14ac:dyDescent="0.3">
      <c r="D22565" s="25"/>
      <c r="F22565" s="21"/>
      <c r="G22565" s="16"/>
    </row>
    <row r="22566" spans="4:7" ht="15" x14ac:dyDescent="0.3">
      <c r="D22566" s="25"/>
      <c r="F22566" s="21"/>
      <c r="G22566" s="16"/>
    </row>
    <row r="22567" spans="4:7" ht="15" x14ac:dyDescent="0.3">
      <c r="D22567" s="25"/>
      <c r="F22567" s="21"/>
      <c r="G22567" s="16"/>
    </row>
    <row r="22568" spans="4:7" ht="15" x14ac:dyDescent="0.3">
      <c r="D22568" s="25"/>
      <c r="F22568" s="21"/>
      <c r="G22568" s="16"/>
    </row>
    <row r="22569" spans="4:7" ht="15" x14ac:dyDescent="0.3">
      <c r="D22569" s="25"/>
      <c r="F22569" s="21"/>
      <c r="G22569" s="16"/>
    </row>
    <row r="22570" spans="4:7" ht="15" x14ac:dyDescent="0.3">
      <c r="D22570" s="25"/>
      <c r="F22570" s="21"/>
      <c r="G22570" s="16"/>
    </row>
    <row r="22571" spans="4:7" ht="15" x14ac:dyDescent="0.3">
      <c r="D22571" s="25"/>
      <c r="F22571" s="21"/>
      <c r="G22571" s="16"/>
    </row>
    <row r="22572" spans="4:7" ht="15" x14ac:dyDescent="0.3">
      <c r="D22572" s="25"/>
      <c r="F22572" s="21"/>
      <c r="G22572" s="16"/>
    </row>
    <row r="22573" spans="4:7" ht="15" x14ac:dyDescent="0.3">
      <c r="D22573" s="25"/>
      <c r="F22573" s="21"/>
      <c r="G22573" s="16"/>
    </row>
    <row r="22574" spans="4:7" ht="15" x14ac:dyDescent="0.3">
      <c r="D22574" s="25"/>
      <c r="F22574" s="21"/>
      <c r="G22574" s="16"/>
    </row>
    <row r="22575" spans="4:7" ht="15" x14ac:dyDescent="0.3">
      <c r="D22575" s="25"/>
      <c r="F22575" s="21"/>
      <c r="G22575" s="16"/>
    </row>
    <row r="22576" spans="4:7" ht="15" x14ac:dyDescent="0.3">
      <c r="D22576" s="25"/>
      <c r="F22576" s="21"/>
      <c r="G22576" s="16"/>
    </row>
    <row r="22577" spans="4:7" ht="15" x14ac:dyDescent="0.3">
      <c r="D22577" s="25"/>
      <c r="F22577" s="21"/>
      <c r="G22577" s="16"/>
    </row>
    <row r="22578" spans="4:7" ht="15" x14ac:dyDescent="0.3">
      <c r="D22578" s="25"/>
      <c r="F22578" s="21"/>
      <c r="G22578" s="16"/>
    </row>
    <row r="22579" spans="4:7" ht="15" x14ac:dyDescent="0.3">
      <c r="D22579" s="25"/>
      <c r="F22579" s="21"/>
      <c r="G22579" s="16"/>
    </row>
    <row r="22580" spans="4:7" ht="15" x14ac:dyDescent="0.3">
      <c r="D22580" s="25"/>
      <c r="F22580" s="21"/>
      <c r="G22580" s="16"/>
    </row>
    <row r="22581" spans="4:7" ht="15" x14ac:dyDescent="0.3">
      <c r="D22581" s="25"/>
      <c r="F22581" s="21"/>
      <c r="G22581" s="16"/>
    </row>
    <row r="22582" spans="4:7" ht="15" x14ac:dyDescent="0.3">
      <c r="D22582" s="25"/>
      <c r="F22582" s="21"/>
      <c r="G22582" s="16"/>
    </row>
    <row r="22583" spans="4:7" ht="15" x14ac:dyDescent="0.3">
      <c r="D22583" s="25"/>
      <c r="F22583" s="21"/>
      <c r="G22583" s="16"/>
    </row>
    <row r="22584" spans="4:7" ht="15" x14ac:dyDescent="0.3">
      <c r="D22584" s="25"/>
      <c r="F22584" s="21"/>
      <c r="G22584" s="16"/>
    </row>
    <row r="22585" spans="4:7" ht="15" x14ac:dyDescent="0.3">
      <c r="D22585" s="25"/>
      <c r="F22585" s="21"/>
      <c r="G22585" s="16"/>
    </row>
    <row r="22586" spans="4:7" ht="15" x14ac:dyDescent="0.3">
      <c r="D22586" s="25"/>
      <c r="F22586" s="21"/>
      <c r="G22586" s="16"/>
    </row>
    <row r="22587" spans="4:7" ht="15" x14ac:dyDescent="0.3">
      <c r="D22587" s="25"/>
      <c r="F22587" s="21"/>
      <c r="G22587" s="16"/>
    </row>
    <row r="22588" spans="4:7" ht="15" x14ac:dyDescent="0.3">
      <c r="D22588" s="25"/>
      <c r="F22588" s="21"/>
      <c r="G22588" s="16"/>
    </row>
    <row r="22589" spans="4:7" ht="15" x14ac:dyDescent="0.3">
      <c r="D22589" s="25"/>
      <c r="F22589" s="21"/>
      <c r="G22589" s="16"/>
    </row>
    <row r="22590" spans="4:7" ht="15" x14ac:dyDescent="0.3">
      <c r="D22590" s="25"/>
      <c r="F22590" s="21"/>
      <c r="G22590" s="16"/>
    </row>
    <row r="22591" spans="4:7" ht="15" x14ac:dyDescent="0.3">
      <c r="D22591" s="25"/>
      <c r="F22591" s="21"/>
      <c r="G22591" s="16"/>
    </row>
    <row r="22592" spans="4:7" ht="15" x14ac:dyDescent="0.3">
      <c r="D22592" s="25"/>
      <c r="F22592" s="21"/>
      <c r="G22592" s="16"/>
    </row>
    <row r="22593" spans="4:7" ht="15" x14ac:dyDescent="0.3">
      <c r="D22593" s="25"/>
      <c r="F22593" s="21"/>
      <c r="G22593" s="16"/>
    </row>
    <row r="22594" spans="4:7" ht="15" x14ac:dyDescent="0.3">
      <c r="D22594" s="25"/>
      <c r="F22594" s="21"/>
      <c r="G22594" s="16"/>
    </row>
    <row r="22595" spans="4:7" ht="15" x14ac:dyDescent="0.3">
      <c r="D22595" s="25"/>
      <c r="F22595" s="21"/>
      <c r="G22595" s="16"/>
    </row>
    <row r="22596" spans="4:7" ht="15" x14ac:dyDescent="0.3">
      <c r="D22596" s="25"/>
      <c r="F22596" s="21"/>
      <c r="G22596" s="16"/>
    </row>
    <row r="22597" spans="4:7" ht="15" x14ac:dyDescent="0.3">
      <c r="D22597" s="25"/>
      <c r="F22597" s="21"/>
      <c r="G22597" s="16"/>
    </row>
    <row r="22598" spans="4:7" ht="15" x14ac:dyDescent="0.3">
      <c r="D22598" s="25"/>
      <c r="F22598" s="21"/>
      <c r="G22598" s="16"/>
    </row>
    <row r="22599" spans="4:7" ht="15" x14ac:dyDescent="0.3">
      <c r="D22599" s="25"/>
      <c r="F22599" s="21"/>
      <c r="G22599" s="16"/>
    </row>
    <row r="22600" spans="4:7" ht="15" x14ac:dyDescent="0.3">
      <c r="D22600" s="25"/>
      <c r="F22600" s="21"/>
      <c r="G22600" s="16"/>
    </row>
    <row r="22601" spans="4:7" ht="15" x14ac:dyDescent="0.3">
      <c r="D22601" s="25"/>
      <c r="F22601" s="21"/>
      <c r="G22601" s="16"/>
    </row>
    <row r="22602" spans="4:7" ht="15" x14ac:dyDescent="0.3">
      <c r="D22602" s="25"/>
      <c r="F22602" s="21"/>
      <c r="G22602" s="16"/>
    </row>
    <row r="22603" spans="4:7" ht="15" x14ac:dyDescent="0.3">
      <c r="D22603" s="25"/>
      <c r="F22603" s="21"/>
      <c r="G22603" s="16"/>
    </row>
    <row r="22604" spans="4:7" ht="15" x14ac:dyDescent="0.3">
      <c r="D22604" s="25"/>
      <c r="F22604" s="21"/>
      <c r="G22604" s="16"/>
    </row>
    <row r="22605" spans="4:7" ht="15" x14ac:dyDescent="0.3">
      <c r="D22605" s="25"/>
      <c r="F22605" s="21"/>
      <c r="G22605" s="16"/>
    </row>
    <row r="22606" spans="4:7" ht="15" x14ac:dyDescent="0.3">
      <c r="D22606" s="25"/>
      <c r="F22606" s="21"/>
      <c r="G22606" s="16"/>
    </row>
    <row r="22607" spans="4:7" ht="15" x14ac:dyDescent="0.3">
      <c r="D22607" s="25"/>
      <c r="F22607" s="21"/>
      <c r="G22607" s="16"/>
    </row>
    <row r="22608" spans="4:7" ht="15" x14ac:dyDescent="0.3">
      <c r="D22608" s="25"/>
      <c r="F22608" s="21"/>
      <c r="G22608" s="16"/>
    </row>
    <row r="22609" spans="4:7" ht="15" x14ac:dyDescent="0.3">
      <c r="D22609" s="25"/>
      <c r="F22609" s="21"/>
      <c r="G22609" s="16"/>
    </row>
    <row r="22610" spans="4:7" ht="15" x14ac:dyDescent="0.3">
      <c r="D22610" s="25"/>
      <c r="F22610" s="21"/>
      <c r="G22610" s="16"/>
    </row>
    <row r="22611" spans="4:7" ht="15" x14ac:dyDescent="0.3">
      <c r="D22611" s="25"/>
      <c r="F22611" s="21"/>
      <c r="G22611" s="16"/>
    </row>
    <row r="22612" spans="4:7" ht="15" x14ac:dyDescent="0.3">
      <c r="D22612" s="25"/>
      <c r="F22612" s="21"/>
      <c r="G22612" s="16"/>
    </row>
    <row r="22613" spans="4:7" ht="15" x14ac:dyDescent="0.3">
      <c r="D22613" s="25"/>
      <c r="F22613" s="21"/>
      <c r="G22613" s="16"/>
    </row>
    <row r="22614" spans="4:7" ht="15" x14ac:dyDescent="0.3">
      <c r="D22614" s="25"/>
      <c r="F22614" s="21"/>
      <c r="G22614" s="16"/>
    </row>
    <row r="22615" spans="4:7" ht="15" x14ac:dyDescent="0.3">
      <c r="D22615" s="25"/>
      <c r="F22615" s="21"/>
      <c r="G22615" s="16"/>
    </row>
    <row r="22616" spans="4:7" ht="15" x14ac:dyDescent="0.3">
      <c r="D22616" s="25"/>
      <c r="F22616" s="21"/>
      <c r="G22616" s="16"/>
    </row>
    <row r="22617" spans="4:7" ht="15" x14ac:dyDescent="0.3">
      <c r="D22617" s="25"/>
      <c r="F22617" s="21"/>
      <c r="G22617" s="16"/>
    </row>
    <row r="22618" spans="4:7" ht="15" x14ac:dyDescent="0.3">
      <c r="D22618" s="25"/>
      <c r="F22618" s="21"/>
      <c r="G22618" s="16"/>
    </row>
    <row r="22619" spans="4:7" ht="15" x14ac:dyDescent="0.3">
      <c r="D22619" s="25"/>
      <c r="F22619" s="21"/>
      <c r="G22619" s="16"/>
    </row>
    <row r="22620" spans="4:7" ht="15" x14ac:dyDescent="0.3">
      <c r="D22620" s="25"/>
      <c r="F22620" s="21"/>
      <c r="G22620" s="16"/>
    </row>
    <row r="22621" spans="4:7" ht="15" x14ac:dyDescent="0.3">
      <c r="D22621" s="25"/>
      <c r="F22621" s="21"/>
      <c r="G22621" s="16"/>
    </row>
    <row r="22622" spans="4:7" ht="15" x14ac:dyDescent="0.3">
      <c r="D22622" s="25"/>
      <c r="F22622" s="21"/>
      <c r="G22622" s="16"/>
    </row>
    <row r="22623" spans="4:7" ht="15" x14ac:dyDescent="0.3">
      <c r="D22623" s="25"/>
      <c r="F22623" s="21"/>
      <c r="G22623" s="16"/>
    </row>
    <row r="22624" spans="4:7" ht="15" x14ac:dyDescent="0.3">
      <c r="D22624" s="25"/>
      <c r="F22624" s="21"/>
      <c r="G22624" s="16"/>
    </row>
    <row r="22625" spans="4:7" ht="15" x14ac:dyDescent="0.3">
      <c r="D22625" s="25"/>
      <c r="F22625" s="21"/>
      <c r="G22625" s="16"/>
    </row>
    <row r="22626" spans="4:7" ht="15" x14ac:dyDescent="0.3">
      <c r="D22626" s="25"/>
      <c r="F22626" s="21"/>
      <c r="G22626" s="16"/>
    </row>
    <row r="22627" spans="4:7" ht="15" x14ac:dyDescent="0.3">
      <c r="D22627" s="25"/>
      <c r="F22627" s="21"/>
      <c r="G22627" s="16"/>
    </row>
    <row r="22628" spans="4:7" ht="15" x14ac:dyDescent="0.3">
      <c r="D22628" s="25"/>
      <c r="F22628" s="21"/>
      <c r="G22628" s="16"/>
    </row>
    <row r="22629" spans="4:7" ht="15" x14ac:dyDescent="0.3">
      <c r="D22629" s="25"/>
      <c r="F22629" s="21"/>
      <c r="G22629" s="16"/>
    </row>
    <row r="22630" spans="4:7" ht="15" x14ac:dyDescent="0.3">
      <c r="D22630" s="25"/>
      <c r="F22630" s="21"/>
      <c r="G22630" s="16"/>
    </row>
    <row r="22631" spans="4:7" x14ac:dyDescent="0.2">
      <c r="D22631" s="25"/>
      <c r="F22631" s="21"/>
    </row>
    <row r="22632" spans="4:7" ht="15" x14ac:dyDescent="0.3">
      <c r="D22632" s="25"/>
      <c r="F22632" s="21"/>
      <c r="G22632" s="16"/>
    </row>
    <row r="22633" spans="4:7" ht="15" x14ac:dyDescent="0.3">
      <c r="D22633" s="25"/>
      <c r="F22633" s="21"/>
      <c r="G22633" s="16"/>
    </row>
    <row r="22634" spans="4:7" ht="15" x14ac:dyDescent="0.3">
      <c r="D22634" s="25"/>
      <c r="F22634" s="21"/>
      <c r="G22634" s="16"/>
    </row>
    <row r="22635" spans="4:7" ht="15" x14ac:dyDescent="0.3">
      <c r="D22635" s="25"/>
      <c r="F22635" s="21"/>
      <c r="G22635" s="16"/>
    </row>
    <row r="22636" spans="4:7" ht="15" x14ac:dyDescent="0.3">
      <c r="D22636" s="25"/>
      <c r="F22636" s="21"/>
      <c r="G22636" s="16"/>
    </row>
    <row r="22637" spans="4:7" ht="15" x14ac:dyDescent="0.3">
      <c r="D22637" s="25"/>
      <c r="F22637" s="21"/>
      <c r="G22637" s="16"/>
    </row>
    <row r="22638" spans="4:7" ht="15" x14ac:dyDescent="0.3">
      <c r="D22638" s="25"/>
      <c r="F22638" s="21"/>
      <c r="G22638" s="16"/>
    </row>
    <row r="22639" spans="4:7" ht="15" x14ac:dyDescent="0.3">
      <c r="D22639" s="25"/>
      <c r="F22639" s="21"/>
      <c r="G22639" s="16"/>
    </row>
    <row r="22640" spans="4:7" ht="15" x14ac:dyDescent="0.3">
      <c r="D22640" s="25"/>
      <c r="F22640" s="21"/>
      <c r="G22640" s="16"/>
    </row>
    <row r="22641" spans="4:7" ht="15" x14ac:dyDescent="0.3">
      <c r="D22641" s="25"/>
      <c r="F22641" s="21"/>
      <c r="G22641" s="16"/>
    </row>
    <row r="22642" spans="4:7" ht="15" x14ac:dyDescent="0.3">
      <c r="D22642" s="25"/>
      <c r="F22642" s="21"/>
      <c r="G22642" s="16"/>
    </row>
    <row r="22643" spans="4:7" ht="15" x14ac:dyDescent="0.3">
      <c r="D22643" s="25"/>
      <c r="F22643" s="21"/>
      <c r="G22643" s="16"/>
    </row>
    <row r="22644" spans="4:7" ht="15" x14ac:dyDescent="0.3">
      <c r="D22644" s="25"/>
      <c r="F22644" s="21"/>
      <c r="G22644" s="16"/>
    </row>
    <row r="22645" spans="4:7" ht="15" x14ac:dyDescent="0.3">
      <c r="D22645" s="25"/>
      <c r="F22645" s="21"/>
      <c r="G22645" s="16"/>
    </row>
    <row r="22646" spans="4:7" ht="15" x14ac:dyDescent="0.3">
      <c r="D22646" s="25"/>
      <c r="F22646" s="21"/>
      <c r="G22646" s="16"/>
    </row>
    <row r="22647" spans="4:7" ht="15" x14ac:dyDescent="0.3">
      <c r="D22647" s="25"/>
      <c r="F22647" s="21"/>
      <c r="G22647" s="16"/>
    </row>
    <row r="22648" spans="4:7" ht="15" x14ac:dyDescent="0.3">
      <c r="D22648" s="25"/>
      <c r="F22648" s="21"/>
      <c r="G22648" s="16"/>
    </row>
    <row r="22649" spans="4:7" ht="15" x14ac:dyDescent="0.3">
      <c r="D22649" s="25"/>
      <c r="F22649" s="21"/>
      <c r="G22649" s="16"/>
    </row>
    <row r="22650" spans="4:7" ht="15" x14ac:dyDescent="0.3">
      <c r="D22650" s="25"/>
      <c r="F22650" s="21"/>
      <c r="G22650" s="16"/>
    </row>
    <row r="22651" spans="4:7" ht="15" x14ac:dyDescent="0.3">
      <c r="D22651" s="25"/>
      <c r="F22651" s="21"/>
      <c r="G22651" s="16"/>
    </row>
    <row r="22652" spans="4:7" ht="15" x14ac:dyDescent="0.3">
      <c r="D22652" s="25"/>
      <c r="F22652" s="21"/>
      <c r="G22652" s="16"/>
    </row>
    <row r="22653" spans="4:7" ht="15" x14ac:dyDescent="0.3">
      <c r="D22653" s="25"/>
      <c r="F22653" s="21"/>
      <c r="G22653" s="16"/>
    </row>
    <row r="22654" spans="4:7" ht="15" x14ac:dyDescent="0.3">
      <c r="D22654" s="25"/>
      <c r="F22654" s="21"/>
      <c r="G22654" s="16"/>
    </row>
    <row r="22655" spans="4:7" ht="15" x14ac:dyDescent="0.3">
      <c r="D22655" s="25"/>
      <c r="F22655" s="21"/>
      <c r="G22655" s="16"/>
    </row>
    <row r="22656" spans="4:7" ht="15" x14ac:dyDescent="0.3">
      <c r="D22656" s="25"/>
      <c r="F22656" s="21"/>
      <c r="G22656" s="16"/>
    </row>
    <row r="22657" spans="4:7" ht="15" x14ac:dyDescent="0.3">
      <c r="D22657" s="25"/>
      <c r="F22657" s="21"/>
      <c r="G22657" s="16"/>
    </row>
    <row r="22658" spans="4:7" ht="15" x14ac:dyDescent="0.3">
      <c r="D22658" s="25"/>
      <c r="F22658" s="21"/>
      <c r="G22658" s="16"/>
    </row>
    <row r="22659" spans="4:7" ht="15" x14ac:dyDescent="0.3">
      <c r="D22659" s="25"/>
      <c r="F22659" s="21"/>
      <c r="G22659" s="16"/>
    </row>
    <row r="22660" spans="4:7" ht="15" x14ac:dyDescent="0.3">
      <c r="D22660" s="25"/>
      <c r="F22660" s="21"/>
      <c r="G22660" s="16"/>
    </row>
    <row r="22661" spans="4:7" ht="15" x14ac:dyDescent="0.3">
      <c r="D22661" s="25"/>
      <c r="F22661" s="21"/>
      <c r="G22661" s="16"/>
    </row>
    <row r="22662" spans="4:7" ht="15" x14ac:dyDescent="0.3">
      <c r="D22662" s="25"/>
      <c r="F22662" s="21"/>
      <c r="G22662" s="16"/>
    </row>
    <row r="22663" spans="4:7" ht="15" x14ac:dyDescent="0.3">
      <c r="D22663" s="25"/>
      <c r="F22663" s="21"/>
      <c r="G22663" s="16"/>
    </row>
    <row r="22664" spans="4:7" ht="15" x14ac:dyDescent="0.3">
      <c r="D22664" s="25"/>
      <c r="F22664" s="21"/>
      <c r="G22664" s="16"/>
    </row>
    <row r="22665" spans="4:7" ht="15" x14ac:dyDescent="0.3">
      <c r="D22665" s="25"/>
      <c r="F22665" s="21"/>
      <c r="G22665" s="16"/>
    </row>
    <row r="22666" spans="4:7" ht="15" x14ac:dyDescent="0.3">
      <c r="D22666" s="25"/>
      <c r="F22666" s="21"/>
      <c r="G22666" s="16"/>
    </row>
    <row r="22667" spans="4:7" ht="15" x14ac:dyDescent="0.3">
      <c r="D22667" s="25"/>
      <c r="F22667" s="21"/>
      <c r="G22667" s="16"/>
    </row>
    <row r="22668" spans="4:7" ht="15" x14ac:dyDescent="0.3">
      <c r="D22668" s="25"/>
      <c r="F22668" s="21"/>
      <c r="G22668" s="16"/>
    </row>
    <row r="22669" spans="4:7" ht="15" x14ac:dyDescent="0.3">
      <c r="D22669" s="25"/>
      <c r="F22669" s="21"/>
      <c r="G22669" s="16"/>
    </row>
    <row r="22670" spans="4:7" ht="15" x14ac:dyDescent="0.3">
      <c r="D22670" s="25"/>
      <c r="F22670" s="21"/>
      <c r="G22670" s="16"/>
    </row>
    <row r="22671" spans="4:7" ht="15" x14ac:dyDescent="0.3">
      <c r="D22671" s="25"/>
      <c r="F22671" s="21"/>
      <c r="G22671" s="16"/>
    </row>
    <row r="22672" spans="4:7" ht="15" x14ac:dyDescent="0.3">
      <c r="D22672" s="25"/>
      <c r="F22672" s="21"/>
      <c r="G22672" s="16"/>
    </row>
    <row r="22673" spans="4:7" ht="15" x14ac:dyDescent="0.3">
      <c r="D22673" s="25"/>
      <c r="F22673" s="21"/>
      <c r="G22673" s="16"/>
    </row>
    <row r="22674" spans="4:7" ht="15" x14ac:dyDescent="0.3">
      <c r="D22674" s="25"/>
      <c r="F22674" s="21"/>
      <c r="G22674" s="16"/>
    </row>
    <row r="22675" spans="4:7" ht="15" x14ac:dyDescent="0.3">
      <c r="D22675" s="25"/>
      <c r="F22675" s="21"/>
      <c r="G22675" s="16"/>
    </row>
    <row r="22676" spans="4:7" ht="15" x14ac:dyDescent="0.3">
      <c r="D22676" s="25"/>
      <c r="F22676" s="21"/>
      <c r="G22676" s="16"/>
    </row>
    <row r="22677" spans="4:7" ht="15" x14ac:dyDescent="0.3">
      <c r="D22677" s="25"/>
      <c r="F22677" s="21"/>
      <c r="G22677" s="16"/>
    </row>
    <row r="22678" spans="4:7" ht="15" x14ac:dyDescent="0.3">
      <c r="D22678" s="25"/>
      <c r="F22678" s="21"/>
      <c r="G22678" s="16"/>
    </row>
    <row r="22679" spans="4:7" ht="15" x14ac:dyDescent="0.3">
      <c r="D22679" s="25"/>
      <c r="F22679" s="21"/>
      <c r="G22679" s="16"/>
    </row>
    <row r="22680" spans="4:7" ht="15" x14ac:dyDescent="0.3">
      <c r="D22680" s="25"/>
      <c r="F22680" s="21"/>
      <c r="G22680" s="16"/>
    </row>
    <row r="22681" spans="4:7" ht="15" x14ac:dyDescent="0.3">
      <c r="D22681" s="25"/>
      <c r="F22681" s="21"/>
      <c r="G22681" s="16"/>
    </row>
    <row r="22682" spans="4:7" ht="15" x14ac:dyDescent="0.3">
      <c r="D22682" s="25"/>
      <c r="F22682" s="21"/>
      <c r="G22682" s="16"/>
    </row>
    <row r="22683" spans="4:7" ht="15" x14ac:dyDescent="0.3">
      <c r="D22683" s="25"/>
      <c r="F22683" s="21"/>
      <c r="G22683" s="16"/>
    </row>
    <row r="22684" spans="4:7" ht="15" x14ac:dyDescent="0.3">
      <c r="D22684" s="25"/>
      <c r="F22684" s="21"/>
      <c r="G22684" s="16"/>
    </row>
    <row r="22685" spans="4:7" ht="15" x14ac:dyDescent="0.3">
      <c r="D22685" s="25"/>
      <c r="F22685" s="21"/>
      <c r="G22685" s="16"/>
    </row>
    <row r="22686" spans="4:7" ht="15" x14ac:dyDescent="0.3">
      <c r="D22686" s="25"/>
      <c r="F22686" s="21"/>
      <c r="G22686" s="16"/>
    </row>
    <row r="22687" spans="4:7" ht="15" x14ac:dyDescent="0.3">
      <c r="D22687" s="25"/>
      <c r="F22687" s="21"/>
      <c r="G22687" s="16"/>
    </row>
    <row r="22688" spans="4:7" ht="15" x14ac:dyDescent="0.3">
      <c r="D22688" s="25"/>
      <c r="F22688" s="21"/>
      <c r="G22688" s="16"/>
    </row>
    <row r="22689" spans="4:7" ht="15" x14ac:dyDescent="0.3">
      <c r="D22689" s="25"/>
      <c r="F22689" s="21"/>
      <c r="G22689" s="16"/>
    </row>
    <row r="22690" spans="4:7" ht="15" x14ac:dyDescent="0.3">
      <c r="D22690" s="25"/>
      <c r="F22690" s="21"/>
      <c r="G22690" s="16"/>
    </row>
    <row r="22691" spans="4:7" ht="15" x14ac:dyDescent="0.3">
      <c r="D22691" s="25"/>
      <c r="F22691" s="21"/>
      <c r="G22691" s="16"/>
    </row>
    <row r="22692" spans="4:7" ht="15" x14ac:dyDescent="0.3">
      <c r="D22692" s="25"/>
      <c r="F22692" s="21"/>
      <c r="G22692" s="16"/>
    </row>
    <row r="22693" spans="4:7" ht="15" x14ac:dyDescent="0.3">
      <c r="D22693" s="25"/>
      <c r="F22693" s="21"/>
      <c r="G22693" s="16"/>
    </row>
    <row r="22694" spans="4:7" ht="15" x14ac:dyDescent="0.3">
      <c r="D22694" s="25"/>
      <c r="F22694" s="21"/>
      <c r="G22694" s="16"/>
    </row>
    <row r="22695" spans="4:7" ht="15" x14ac:dyDescent="0.3">
      <c r="D22695" s="25"/>
      <c r="F22695" s="21"/>
      <c r="G22695" s="16"/>
    </row>
    <row r="22696" spans="4:7" ht="15" x14ac:dyDescent="0.3">
      <c r="D22696" s="25"/>
      <c r="F22696" s="21"/>
      <c r="G22696" s="16"/>
    </row>
    <row r="22697" spans="4:7" ht="15" x14ac:dyDescent="0.3">
      <c r="D22697" s="25"/>
      <c r="F22697" s="21"/>
      <c r="G22697" s="16"/>
    </row>
    <row r="22698" spans="4:7" ht="15" x14ac:dyDescent="0.3">
      <c r="D22698" s="25"/>
      <c r="F22698" s="21"/>
      <c r="G22698" s="16"/>
    </row>
    <row r="22699" spans="4:7" ht="15" x14ac:dyDescent="0.3">
      <c r="D22699" s="25"/>
      <c r="F22699" s="21"/>
      <c r="G22699" s="16"/>
    </row>
    <row r="22700" spans="4:7" ht="15" x14ac:dyDescent="0.3">
      <c r="D22700" s="25"/>
      <c r="F22700" s="21"/>
      <c r="G22700" s="16"/>
    </row>
    <row r="22701" spans="4:7" ht="15" x14ac:dyDescent="0.3">
      <c r="D22701" s="25"/>
      <c r="F22701" s="21"/>
      <c r="G22701" s="16"/>
    </row>
    <row r="22702" spans="4:7" ht="15" x14ac:dyDescent="0.3">
      <c r="D22702" s="25"/>
      <c r="F22702" s="21"/>
      <c r="G22702" s="16"/>
    </row>
    <row r="22703" spans="4:7" ht="15" x14ac:dyDescent="0.3">
      <c r="D22703" s="25"/>
      <c r="F22703" s="21"/>
      <c r="G22703" s="16"/>
    </row>
    <row r="22704" spans="4:7" ht="15" x14ac:dyDescent="0.3">
      <c r="D22704" s="25"/>
      <c r="F22704" s="21"/>
      <c r="G22704" s="16"/>
    </row>
    <row r="22705" spans="4:7" ht="15" x14ac:dyDescent="0.3">
      <c r="D22705" s="25"/>
      <c r="F22705" s="21"/>
      <c r="G22705" s="16"/>
    </row>
    <row r="22706" spans="4:7" ht="15" x14ac:dyDescent="0.3">
      <c r="D22706" s="25"/>
      <c r="F22706" s="21"/>
      <c r="G22706" s="16"/>
    </row>
    <row r="22707" spans="4:7" ht="15" x14ac:dyDescent="0.3">
      <c r="D22707" s="25"/>
      <c r="F22707" s="21"/>
      <c r="G22707" s="16"/>
    </row>
    <row r="22708" spans="4:7" ht="15" x14ac:dyDescent="0.3">
      <c r="D22708" s="25"/>
      <c r="F22708" s="21"/>
      <c r="G22708" s="16"/>
    </row>
    <row r="22709" spans="4:7" ht="15" x14ac:dyDescent="0.3">
      <c r="D22709" s="25"/>
      <c r="F22709" s="21"/>
      <c r="G22709" s="16"/>
    </row>
    <row r="22710" spans="4:7" ht="15" x14ac:dyDescent="0.3">
      <c r="D22710" s="25"/>
      <c r="F22710" s="21"/>
      <c r="G22710" s="16"/>
    </row>
    <row r="22711" spans="4:7" ht="15" x14ac:dyDescent="0.3">
      <c r="D22711" s="25"/>
      <c r="F22711" s="21"/>
      <c r="G22711" s="16"/>
    </row>
    <row r="22712" spans="4:7" ht="15" x14ac:dyDescent="0.3">
      <c r="D22712" s="25"/>
      <c r="F22712" s="21"/>
      <c r="G22712" s="16"/>
    </row>
    <row r="22713" spans="4:7" ht="15" x14ac:dyDescent="0.3">
      <c r="D22713" s="25"/>
      <c r="F22713" s="21"/>
      <c r="G22713" s="16"/>
    </row>
    <row r="22714" spans="4:7" ht="15" x14ac:dyDescent="0.3">
      <c r="D22714" s="25"/>
      <c r="F22714" s="21"/>
      <c r="G22714" s="16"/>
    </row>
    <row r="22715" spans="4:7" ht="15" x14ac:dyDescent="0.3">
      <c r="D22715" s="25"/>
      <c r="F22715" s="21"/>
      <c r="G22715" s="16"/>
    </row>
    <row r="22716" spans="4:7" ht="15" x14ac:dyDescent="0.3">
      <c r="D22716" s="25"/>
      <c r="F22716" s="21"/>
      <c r="G22716" s="16"/>
    </row>
    <row r="22717" spans="4:7" ht="15" x14ac:dyDescent="0.3">
      <c r="D22717" s="25"/>
      <c r="F22717" s="21"/>
      <c r="G22717" s="16"/>
    </row>
    <row r="22718" spans="4:7" ht="15" x14ac:dyDescent="0.3">
      <c r="D22718" s="25"/>
      <c r="F22718" s="21"/>
      <c r="G22718" s="16"/>
    </row>
    <row r="22719" spans="4:7" ht="15" x14ac:dyDescent="0.3">
      <c r="D22719" s="25"/>
      <c r="F22719" s="21"/>
      <c r="G22719" s="16"/>
    </row>
    <row r="22720" spans="4:7" ht="15" x14ac:dyDescent="0.3">
      <c r="D22720" s="25"/>
      <c r="F22720" s="21"/>
      <c r="G22720" s="16"/>
    </row>
    <row r="22721" spans="4:7" ht="15" x14ac:dyDescent="0.3">
      <c r="D22721" s="25"/>
      <c r="F22721" s="21"/>
      <c r="G22721" s="16"/>
    </row>
    <row r="22722" spans="4:7" ht="15" x14ac:dyDescent="0.3">
      <c r="D22722" s="25"/>
      <c r="F22722" s="21"/>
      <c r="G22722" s="16"/>
    </row>
    <row r="22723" spans="4:7" ht="15" x14ac:dyDescent="0.3">
      <c r="D22723" s="25"/>
      <c r="F22723" s="21"/>
      <c r="G22723" s="16"/>
    </row>
    <row r="22724" spans="4:7" ht="15" x14ac:dyDescent="0.3">
      <c r="D22724" s="25"/>
      <c r="F22724" s="21"/>
      <c r="G22724" s="16"/>
    </row>
    <row r="22725" spans="4:7" ht="15" x14ac:dyDescent="0.3">
      <c r="D22725" s="25"/>
      <c r="F22725" s="21"/>
      <c r="G22725" s="16"/>
    </row>
    <row r="22726" spans="4:7" ht="15" x14ac:dyDescent="0.3">
      <c r="D22726" s="25"/>
      <c r="F22726" s="21"/>
      <c r="G22726" s="16"/>
    </row>
    <row r="22727" spans="4:7" ht="15" x14ac:dyDescent="0.3">
      <c r="D22727" s="25"/>
      <c r="F22727" s="21"/>
      <c r="G22727" s="16"/>
    </row>
    <row r="22728" spans="4:7" ht="15" x14ac:dyDescent="0.3">
      <c r="D22728" s="25"/>
      <c r="F22728" s="21"/>
      <c r="G22728" s="16"/>
    </row>
    <row r="22729" spans="4:7" ht="15" x14ac:dyDescent="0.3">
      <c r="D22729" s="25"/>
      <c r="F22729" s="21"/>
      <c r="G22729" s="16"/>
    </row>
    <row r="22730" spans="4:7" ht="15" x14ac:dyDescent="0.3">
      <c r="D22730" s="25"/>
      <c r="F22730" s="21"/>
      <c r="G22730" s="16"/>
    </row>
    <row r="22731" spans="4:7" ht="15" x14ac:dyDescent="0.3">
      <c r="D22731" s="25"/>
      <c r="F22731" s="21"/>
      <c r="G22731" s="16"/>
    </row>
    <row r="22732" spans="4:7" ht="15" x14ac:dyDescent="0.3">
      <c r="D22732" s="25"/>
      <c r="F22732" s="21"/>
      <c r="G22732" s="16"/>
    </row>
    <row r="22733" spans="4:7" ht="15" x14ac:dyDescent="0.3">
      <c r="D22733" s="25"/>
      <c r="F22733" s="21"/>
      <c r="G22733" s="16"/>
    </row>
    <row r="22734" spans="4:7" ht="15" x14ac:dyDescent="0.3">
      <c r="D22734" s="25"/>
      <c r="F22734" s="21"/>
      <c r="G22734" s="16"/>
    </row>
    <row r="22735" spans="4:7" ht="15" x14ac:dyDescent="0.3">
      <c r="D22735" s="25"/>
      <c r="F22735" s="21"/>
      <c r="G22735" s="16"/>
    </row>
    <row r="22736" spans="4:7" ht="15" x14ac:dyDescent="0.3">
      <c r="D22736" s="25"/>
      <c r="F22736" s="21"/>
      <c r="G22736" s="16"/>
    </row>
    <row r="22737" spans="4:7" ht="15" x14ac:dyDescent="0.3">
      <c r="D22737" s="25"/>
      <c r="F22737" s="21"/>
      <c r="G22737" s="16"/>
    </row>
    <row r="22738" spans="4:7" ht="15" x14ac:dyDescent="0.3">
      <c r="D22738" s="25"/>
      <c r="F22738" s="21"/>
      <c r="G22738" s="16"/>
    </row>
    <row r="22739" spans="4:7" ht="15" x14ac:dyDescent="0.3">
      <c r="D22739" s="25"/>
      <c r="F22739" s="21"/>
      <c r="G22739" s="16"/>
    </row>
    <row r="22740" spans="4:7" ht="15" x14ac:dyDescent="0.3">
      <c r="D22740" s="25"/>
      <c r="F22740" s="21"/>
      <c r="G22740" s="16"/>
    </row>
    <row r="22741" spans="4:7" ht="15" x14ac:dyDescent="0.3">
      <c r="D22741" s="25"/>
      <c r="F22741" s="21"/>
      <c r="G22741" s="16"/>
    </row>
    <row r="22742" spans="4:7" ht="15" x14ac:dyDescent="0.3">
      <c r="D22742" s="25"/>
      <c r="F22742" s="21"/>
      <c r="G22742" s="16"/>
    </row>
    <row r="22743" spans="4:7" ht="15" x14ac:dyDescent="0.3">
      <c r="D22743" s="25"/>
      <c r="F22743" s="21"/>
      <c r="G22743" s="16"/>
    </row>
    <row r="22744" spans="4:7" ht="15" x14ac:dyDescent="0.3">
      <c r="D22744" s="25"/>
      <c r="F22744" s="21"/>
      <c r="G22744" s="16"/>
    </row>
    <row r="22745" spans="4:7" ht="15" x14ac:dyDescent="0.3">
      <c r="D22745" s="25"/>
      <c r="F22745" s="21"/>
      <c r="G22745" s="16"/>
    </row>
    <row r="22746" spans="4:7" ht="15" x14ac:dyDescent="0.3">
      <c r="D22746" s="25"/>
      <c r="F22746" s="21"/>
      <c r="G22746" s="16"/>
    </row>
    <row r="22747" spans="4:7" ht="15" x14ac:dyDescent="0.3">
      <c r="D22747" s="25"/>
      <c r="F22747" s="21"/>
      <c r="G22747" s="16"/>
    </row>
    <row r="22748" spans="4:7" ht="15" x14ac:dyDescent="0.3">
      <c r="D22748" s="25"/>
      <c r="F22748" s="21"/>
      <c r="G22748" s="16"/>
    </row>
    <row r="22749" spans="4:7" ht="15" x14ac:dyDescent="0.3">
      <c r="D22749" s="25"/>
      <c r="F22749" s="21"/>
      <c r="G22749" s="16"/>
    </row>
    <row r="22750" spans="4:7" ht="15" x14ac:dyDescent="0.3">
      <c r="D22750" s="25"/>
      <c r="F22750" s="21"/>
      <c r="G22750" s="16"/>
    </row>
    <row r="22751" spans="4:7" ht="15" x14ac:dyDescent="0.3">
      <c r="D22751" s="25"/>
      <c r="F22751" s="21"/>
      <c r="G22751" s="16"/>
    </row>
    <row r="22752" spans="4:7" ht="15" x14ac:dyDescent="0.3">
      <c r="D22752" s="25"/>
      <c r="F22752" s="21"/>
      <c r="G22752" s="16"/>
    </row>
    <row r="22753" spans="4:7" ht="15" x14ac:dyDescent="0.3">
      <c r="D22753" s="25"/>
      <c r="F22753" s="21"/>
      <c r="G22753" s="16"/>
    </row>
    <row r="22754" spans="4:7" ht="15" x14ac:dyDescent="0.3">
      <c r="D22754" s="25"/>
      <c r="F22754" s="21"/>
      <c r="G22754" s="16"/>
    </row>
    <row r="22755" spans="4:7" ht="15" x14ac:dyDescent="0.3">
      <c r="D22755" s="25"/>
      <c r="F22755" s="21"/>
      <c r="G22755" s="16"/>
    </row>
    <row r="22756" spans="4:7" ht="15" x14ac:dyDescent="0.3">
      <c r="D22756" s="25"/>
      <c r="F22756" s="21"/>
      <c r="G22756" s="16"/>
    </row>
    <row r="22757" spans="4:7" ht="15" x14ac:dyDescent="0.3">
      <c r="D22757" s="25"/>
      <c r="F22757" s="21"/>
      <c r="G22757" s="16"/>
    </row>
    <row r="22758" spans="4:7" ht="15" x14ac:dyDescent="0.3">
      <c r="D22758" s="25"/>
      <c r="F22758" s="21"/>
      <c r="G22758" s="16"/>
    </row>
    <row r="22759" spans="4:7" ht="15" x14ac:dyDescent="0.3">
      <c r="D22759" s="25"/>
      <c r="F22759" s="21"/>
      <c r="G22759" s="16"/>
    </row>
    <row r="22760" spans="4:7" ht="15" x14ac:dyDescent="0.3">
      <c r="D22760" s="25"/>
      <c r="F22760" s="21"/>
      <c r="G22760" s="16"/>
    </row>
    <row r="22761" spans="4:7" ht="15" x14ac:dyDescent="0.3">
      <c r="D22761" s="25"/>
      <c r="F22761" s="21"/>
      <c r="G22761" s="16"/>
    </row>
    <row r="22762" spans="4:7" ht="15" x14ac:dyDescent="0.3">
      <c r="D22762" s="25"/>
      <c r="F22762" s="21"/>
      <c r="G22762" s="16"/>
    </row>
    <row r="22763" spans="4:7" ht="15" x14ac:dyDescent="0.3">
      <c r="D22763" s="25"/>
      <c r="F22763" s="21"/>
      <c r="G22763" s="16"/>
    </row>
    <row r="22764" spans="4:7" ht="15" x14ac:dyDescent="0.3">
      <c r="D22764" s="25"/>
      <c r="F22764" s="21"/>
      <c r="G22764" s="16"/>
    </row>
    <row r="22765" spans="4:7" ht="15" x14ac:dyDescent="0.3">
      <c r="D22765" s="25"/>
      <c r="F22765" s="21"/>
      <c r="G22765" s="16"/>
    </row>
    <row r="22766" spans="4:7" ht="15" x14ac:dyDescent="0.3">
      <c r="D22766" s="25"/>
      <c r="F22766" s="21"/>
      <c r="G22766" s="16"/>
    </row>
    <row r="22767" spans="4:7" ht="15" x14ac:dyDescent="0.3">
      <c r="D22767" s="25"/>
      <c r="F22767" s="21"/>
      <c r="G22767" s="16"/>
    </row>
    <row r="22768" spans="4:7" ht="15" x14ac:dyDescent="0.3">
      <c r="D22768" s="25"/>
      <c r="F22768" s="21"/>
      <c r="G22768" s="16"/>
    </row>
    <row r="22769" spans="4:7" ht="15" x14ac:dyDescent="0.3">
      <c r="D22769" s="25"/>
      <c r="F22769" s="21"/>
      <c r="G22769" s="16"/>
    </row>
    <row r="22770" spans="4:7" ht="15" x14ac:dyDescent="0.3">
      <c r="D22770" s="25"/>
      <c r="F22770" s="21"/>
      <c r="G22770" s="16"/>
    </row>
    <row r="22771" spans="4:7" ht="15" x14ac:dyDescent="0.3">
      <c r="D22771" s="25"/>
      <c r="F22771" s="21"/>
      <c r="G22771" s="16"/>
    </row>
    <row r="22772" spans="4:7" ht="15" x14ac:dyDescent="0.3">
      <c r="D22772" s="25"/>
      <c r="F22772" s="21"/>
      <c r="G22772" s="16"/>
    </row>
    <row r="22773" spans="4:7" ht="15" x14ac:dyDescent="0.3">
      <c r="D22773" s="25"/>
      <c r="F22773" s="21"/>
      <c r="G22773" s="16"/>
    </row>
    <row r="22774" spans="4:7" ht="15" x14ac:dyDescent="0.3">
      <c r="D22774" s="25"/>
      <c r="F22774" s="21"/>
      <c r="G22774" s="16"/>
    </row>
    <row r="22775" spans="4:7" ht="15" x14ac:dyDescent="0.3">
      <c r="D22775" s="25"/>
      <c r="F22775" s="21"/>
      <c r="G22775" s="16"/>
    </row>
    <row r="22776" spans="4:7" ht="15" x14ac:dyDescent="0.3">
      <c r="D22776" s="25"/>
      <c r="F22776" s="21"/>
      <c r="G22776" s="16"/>
    </row>
    <row r="22777" spans="4:7" ht="15" x14ac:dyDescent="0.3">
      <c r="D22777" s="25"/>
      <c r="F22777" s="21"/>
      <c r="G22777" s="16"/>
    </row>
    <row r="22778" spans="4:7" ht="15" x14ac:dyDescent="0.3">
      <c r="D22778" s="25"/>
      <c r="F22778" s="21"/>
      <c r="G22778" s="16"/>
    </row>
    <row r="22779" spans="4:7" ht="15" x14ac:dyDescent="0.3">
      <c r="D22779" s="25"/>
      <c r="F22779" s="21"/>
      <c r="G22779" s="16"/>
    </row>
    <row r="22780" spans="4:7" ht="15" x14ac:dyDescent="0.3">
      <c r="D22780" s="25"/>
      <c r="F22780" s="21"/>
      <c r="G22780" s="16"/>
    </row>
    <row r="22781" spans="4:7" ht="15" x14ac:dyDescent="0.3">
      <c r="D22781" s="25"/>
      <c r="F22781" s="21"/>
      <c r="G22781" s="16"/>
    </row>
    <row r="22782" spans="4:7" ht="15" x14ac:dyDescent="0.3">
      <c r="D22782" s="25"/>
      <c r="F22782" s="21"/>
      <c r="G22782" s="16"/>
    </row>
    <row r="22783" spans="4:7" ht="15" x14ac:dyDescent="0.3">
      <c r="D22783" s="25"/>
      <c r="F22783" s="21"/>
      <c r="G22783" s="16"/>
    </row>
    <row r="22784" spans="4:7" ht="15" x14ac:dyDescent="0.3">
      <c r="D22784" s="25"/>
      <c r="F22784" s="21"/>
      <c r="G22784" s="16"/>
    </row>
    <row r="22785" spans="4:7" ht="15" x14ac:dyDescent="0.3">
      <c r="D22785" s="25"/>
      <c r="F22785" s="21"/>
      <c r="G22785" s="16"/>
    </row>
    <row r="22786" spans="4:7" ht="15" x14ac:dyDescent="0.3">
      <c r="D22786" s="25"/>
      <c r="F22786" s="21"/>
      <c r="G22786" s="16"/>
    </row>
    <row r="22787" spans="4:7" ht="15" x14ac:dyDescent="0.3">
      <c r="D22787" s="25"/>
      <c r="F22787" s="21"/>
      <c r="G22787" s="16"/>
    </row>
    <row r="22788" spans="4:7" ht="15" x14ac:dyDescent="0.3">
      <c r="D22788" s="25"/>
      <c r="F22788" s="21"/>
      <c r="G22788" s="16"/>
    </row>
    <row r="22789" spans="4:7" ht="15" x14ac:dyDescent="0.3">
      <c r="D22789" s="25"/>
      <c r="F22789" s="21"/>
      <c r="G22789" s="16"/>
    </row>
    <row r="22790" spans="4:7" ht="15" x14ac:dyDescent="0.3">
      <c r="D22790" s="25"/>
      <c r="F22790" s="21"/>
      <c r="G22790" s="16"/>
    </row>
    <row r="22791" spans="4:7" ht="15" x14ac:dyDescent="0.3">
      <c r="D22791" s="25"/>
      <c r="F22791" s="21"/>
      <c r="G22791" s="16"/>
    </row>
    <row r="22792" spans="4:7" ht="15" x14ac:dyDescent="0.3">
      <c r="D22792" s="25"/>
      <c r="F22792" s="21"/>
      <c r="G22792" s="16"/>
    </row>
    <row r="22793" spans="4:7" ht="15" x14ac:dyDescent="0.3">
      <c r="D22793" s="25"/>
      <c r="F22793" s="21"/>
      <c r="G22793" s="16"/>
    </row>
    <row r="22794" spans="4:7" ht="15" x14ac:dyDescent="0.3">
      <c r="D22794" s="25"/>
      <c r="F22794" s="21"/>
      <c r="G22794" s="16"/>
    </row>
    <row r="22795" spans="4:7" ht="15" x14ac:dyDescent="0.3">
      <c r="D22795" s="25"/>
      <c r="F22795" s="21"/>
      <c r="G22795" s="16"/>
    </row>
    <row r="22796" spans="4:7" ht="15" x14ac:dyDescent="0.3">
      <c r="D22796" s="25"/>
      <c r="F22796" s="21"/>
      <c r="G22796" s="16"/>
    </row>
    <row r="22797" spans="4:7" ht="15" x14ac:dyDescent="0.3">
      <c r="D22797" s="25"/>
      <c r="F22797" s="21"/>
      <c r="G22797" s="16"/>
    </row>
    <row r="22798" spans="4:7" ht="15" x14ac:dyDescent="0.3">
      <c r="D22798" s="25"/>
      <c r="F22798" s="21"/>
      <c r="G22798" s="16"/>
    </row>
    <row r="22799" spans="4:7" ht="15" x14ac:dyDescent="0.3">
      <c r="D22799" s="25"/>
      <c r="F22799" s="21"/>
      <c r="G22799" s="16"/>
    </row>
    <row r="22800" spans="4:7" ht="15" x14ac:dyDescent="0.3">
      <c r="D22800" s="25"/>
      <c r="F22800" s="21"/>
      <c r="G22800" s="16"/>
    </row>
    <row r="22801" spans="4:7" ht="15" x14ac:dyDescent="0.3">
      <c r="D22801" s="25"/>
      <c r="F22801" s="21"/>
      <c r="G22801" s="16"/>
    </row>
    <row r="22802" spans="4:7" ht="15" x14ac:dyDescent="0.3">
      <c r="D22802" s="25"/>
      <c r="F22802" s="21"/>
      <c r="G22802" s="16"/>
    </row>
    <row r="22803" spans="4:7" ht="15" x14ac:dyDescent="0.3">
      <c r="D22803" s="25"/>
      <c r="F22803" s="21"/>
      <c r="G22803" s="16"/>
    </row>
    <row r="22804" spans="4:7" ht="15" x14ac:dyDescent="0.3">
      <c r="D22804" s="25"/>
      <c r="F22804" s="21"/>
      <c r="G22804" s="16"/>
    </row>
    <row r="22805" spans="4:7" ht="15" x14ac:dyDescent="0.3">
      <c r="D22805" s="25"/>
      <c r="F22805" s="21"/>
      <c r="G22805" s="16"/>
    </row>
    <row r="22806" spans="4:7" ht="15" x14ac:dyDescent="0.3">
      <c r="D22806" s="25"/>
      <c r="F22806" s="21"/>
      <c r="G22806" s="16"/>
    </row>
    <row r="22807" spans="4:7" ht="15" x14ac:dyDescent="0.3">
      <c r="D22807" s="25"/>
      <c r="F22807" s="21"/>
      <c r="G22807" s="16"/>
    </row>
    <row r="22808" spans="4:7" ht="15" x14ac:dyDescent="0.3">
      <c r="D22808" s="25"/>
      <c r="F22808" s="21"/>
      <c r="G22808" s="16"/>
    </row>
    <row r="22809" spans="4:7" ht="15" x14ac:dyDescent="0.3">
      <c r="D22809" s="25"/>
      <c r="F22809" s="21"/>
      <c r="G22809" s="16"/>
    </row>
    <row r="22810" spans="4:7" ht="15" x14ac:dyDescent="0.3">
      <c r="D22810" s="25"/>
      <c r="F22810" s="21"/>
      <c r="G22810" s="16"/>
    </row>
    <row r="22811" spans="4:7" ht="15" x14ac:dyDescent="0.3">
      <c r="D22811" s="25"/>
      <c r="F22811" s="21"/>
      <c r="G22811" s="16"/>
    </row>
    <row r="22812" spans="4:7" ht="15" x14ac:dyDescent="0.3">
      <c r="D22812" s="25"/>
      <c r="F22812" s="21"/>
      <c r="G22812" s="16"/>
    </row>
    <row r="22813" spans="4:7" ht="15" x14ac:dyDescent="0.3">
      <c r="D22813" s="25"/>
      <c r="F22813" s="21"/>
      <c r="G22813" s="16"/>
    </row>
    <row r="22814" spans="4:7" ht="15" x14ac:dyDescent="0.3">
      <c r="D22814" s="25"/>
      <c r="F22814" s="21"/>
      <c r="G22814" s="16"/>
    </row>
    <row r="22815" spans="4:7" ht="15" x14ac:dyDescent="0.3">
      <c r="D22815" s="25"/>
      <c r="F22815" s="21"/>
      <c r="G22815" s="16"/>
    </row>
    <row r="22816" spans="4:7" ht="15" x14ac:dyDescent="0.3">
      <c r="D22816" s="25"/>
      <c r="F22816" s="21"/>
      <c r="G22816" s="16"/>
    </row>
    <row r="22817" spans="4:7" ht="15" x14ac:dyDescent="0.3">
      <c r="D22817" s="25"/>
      <c r="F22817" s="21"/>
      <c r="G22817" s="16"/>
    </row>
    <row r="22818" spans="4:7" ht="15" x14ac:dyDescent="0.3">
      <c r="D22818" s="25"/>
      <c r="F22818" s="21"/>
      <c r="G22818" s="16"/>
    </row>
    <row r="22819" spans="4:7" ht="15" x14ac:dyDescent="0.3">
      <c r="D22819" s="25"/>
      <c r="F22819" s="21"/>
      <c r="G22819" s="16"/>
    </row>
    <row r="22820" spans="4:7" ht="15" x14ac:dyDescent="0.3">
      <c r="D22820" s="25"/>
      <c r="F22820" s="21"/>
      <c r="G22820" s="16"/>
    </row>
    <row r="22821" spans="4:7" ht="15" x14ac:dyDescent="0.3">
      <c r="D22821" s="25"/>
      <c r="F22821" s="21"/>
      <c r="G22821" s="16"/>
    </row>
    <row r="22822" spans="4:7" ht="15" x14ac:dyDescent="0.3">
      <c r="D22822" s="25"/>
      <c r="F22822" s="21"/>
      <c r="G22822" s="16"/>
    </row>
    <row r="22823" spans="4:7" ht="15" x14ac:dyDescent="0.3">
      <c r="D22823" s="25"/>
      <c r="F22823" s="21"/>
      <c r="G22823" s="16"/>
    </row>
    <row r="22824" spans="4:7" ht="15" x14ac:dyDescent="0.3">
      <c r="D22824" s="25"/>
      <c r="F22824" s="21"/>
      <c r="G22824" s="16"/>
    </row>
    <row r="22825" spans="4:7" ht="15" x14ac:dyDescent="0.3">
      <c r="D22825" s="25"/>
      <c r="F22825" s="21"/>
      <c r="G22825" s="16"/>
    </row>
    <row r="22826" spans="4:7" ht="15" x14ac:dyDescent="0.3">
      <c r="D22826" s="25"/>
      <c r="F22826" s="21"/>
      <c r="G22826" s="16"/>
    </row>
    <row r="22827" spans="4:7" ht="15" x14ac:dyDescent="0.3">
      <c r="D22827" s="25"/>
      <c r="F22827" s="21"/>
      <c r="G22827" s="16"/>
    </row>
    <row r="22828" spans="4:7" ht="15" x14ac:dyDescent="0.3">
      <c r="D22828" s="25"/>
      <c r="F22828" s="21"/>
      <c r="G22828" s="16"/>
    </row>
    <row r="22829" spans="4:7" ht="15" x14ac:dyDescent="0.3">
      <c r="D22829" s="25"/>
      <c r="F22829" s="21"/>
      <c r="G22829" s="16"/>
    </row>
    <row r="22830" spans="4:7" ht="15" x14ac:dyDescent="0.3">
      <c r="D22830" s="25"/>
      <c r="F22830" s="21"/>
      <c r="G22830" s="16"/>
    </row>
    <row r="22831" spans="4:7" ht="15" x14ac:dyDescent="0.3">
      <c r="D22831" s="25"/>
      <c r="F22831" s="21"/>
      <c r="G22831" s="16"/>
    </row>
    <row r="22832" spans="4:7" ht="15" x14ac:dyDescent="0.3">
      <c r="D22832" s="25"/>
      <c r="F22832" s="21"/>
      <c r="G22832" s="16"/>
    </row>
    <row r="22833" spans="4:7" ht="15" x14ac:dyDescent="0.3">
      <c r="D22833" s="25"/>
      <c r="F22833" s="21"/>
      <c r="G22833" s="16"/>
    </row>
    <row r="22834" spans="4:7" ht="15" x14ac:dyDescent="0.3">
      <c r="D22834" s="25"/>
      <c r="F22834" s="21"/>
      <c r="G22834" s="16"/>
    </row>
    <row r="22835" spans="4:7" ht="15" x14ac:dyDescent="0.3">
      <c r="D22835" s="25"/>
      <c r="F22835" s="21"/>
      <c r="G22835" s="16"/>
    </row>
    <row r="22836" spans="4:7" ht="15" x14ac:dyDescent="0.3">
      <c r="D22836" s="25"/>
      <c r="F22836" s="21"/>
      <c r="G22836" s="16"/>
    </row>
    <row r="22837" spans="4:7" ht="15" x14ac:dyDescent="0.3">
      <c r="D22837" s="25"/>
      <c r="F22837" s="21"/>
      <c r="G22837" s="16"/>
    </row>
    <row r="22838" spans="4:7" ht="15" x14ac:dyDescent="0.3">
      <c r="D22838" s="25"/>
      <c r="F22838" s="21"/>
      <c r="G22838" s="16"/>
    </row>
    <row r="22839" spans="4:7" ht="15" x14ac:dyDescent="0.3">
      <c r="D22839" s="25"/>
      <c r="F22839" s="21"/>
      <c r="G22839" s="16"/>
    </row>
    <row r="22840" spans="4:7" ht="15" x14ac:dyDescent="0.3">
      <c r="D22840" s="25"/>
      <c r="F22840" s="21"/>
      <c r="G22840" s="16"/>
    </row>
    <row r="22841" spans="4:7" ht="15" x14ac:dyDescent="0.3">
      <c r="D22841" s="25"/>
      <c r="F22841" s="21"/>
      <c r="G22841" s="16"/>
    </row>
    <row r="22842" spans="4:7" ht="15" x14ac:dyDescent="0.3">
      <c r="D22842" s="25"/>
      <c r="F22842" s="21"/>
      <c r="G22842" s="16"/>
    </row>
    <row r="22843" spans="4:7" ht="15" x14ac:dyDescent="0.3">
      <c r="D22843" s="25"/>
      <c r="F22843" s="21"/>
      <c r="G22843" s="16"/>
    </row>
    <row r="22844" spans="4:7" ht="15" x14ac:dyDescent="0.3">
      <c r="D22844" s="25"/>
      <c r="F22844" s="21"/>
      <c r="G22844" s="16"/>
    </row>
    <row r="22845" spans="4:7" ht="15" x14ac:dyDescent="0.3">
      <c r="D22845" s="25"/>
      <c r="F22845" s="21"/>
      <c r="G22845" s="16"/>
    </row>
    <row r="22846" spans="4:7" ht="15" x14ac:dyDescent="0.3">
      <c r="D22846" s="25"/>
      <c r="F22846" s="21"/>
      <c r="G22846" s="16"/>
    </row>
    <row r="22847" spans="4:7" ht="15" x14ac:dyDescent="0.3">
      <c r="D22847" s="25"/>
      <c r="F22847" s="21"/>
      <c r="G22847" s="16"/>
    </row>
    <row r="22848" spans="4:7" ht="15" x14ac:dyDescent="0.3">
      <c r="D22848" s="25"/>
      <c r="F22848" s="21"/>
      <c r="G22848" s="16"/>
    </row>
    <row r="22849" spans="4:7" ht="15" x14ac:dyDescent="0.3">
      <c r="D22849" s="25"/>
      <c r="F22849" s="21"/>
      <c r="G22849" s="16"/>
    </row>
    <row r="22850" spans="4:7" ht="15" x14ac:dyDescent="0.3">
      <c r="D22850" s="25"/>
      <c r="F22850" s="21"/>
      <c r="G22850" s="16"/>
    </row>
    <row r="22851" spans="4:7" ht="15" x14ac:dyDescent="0.3">
      <c r="D22851" s="25"/>
      <c r="F22851" s="21"/>
      <c r="G22851" s="16"/>
    </row>
    <row r="22852" spans="4:7" ht="15" x14ac:dyDescent="0.3">
      <c r="D22852" s="25"/>
      <c r="F22852" s="21"/>
      <c r="G22852" s="16"/>
    </row>
    <row r="22853" spans="4:7" ht="15" x14ac:dyDescent="0.3">
      <c r="D22853" s="25"/>
      <c r="F22853" s="21"/>
      <c r="G22853" s="16"/>
    </row>
    <row r="22854" spans="4:7" ht="15" x14ac:dyDescent="0.3">
      <c r="D22854" s="25"/>
      <c r="F22854" s="21"/>
      <c r="G22854" s="16"/>
    </row>
    <row r="22855" spans="4:7" ht="15" x14ac:dyDescent="0.3">
      <c r="D22855" s="25"/>
      <c r="F22855" s="21"/>
      <c r="G22855" s="16"/>
    </row>
    <row r="22856" spans="4:7" ht="15" x14ac:dyDescent="0.3">
      <c r="D22856" s="25"/>
      <c r="F22856" s="21"/>
      <c r="G22856" s="16"/>
    </row>
    <row r="22857" spans="4:7" ht="15" x14ac:dyDescent="0.3">
      <c r="D22857" s="25"/>
      <c r="F22857" s="21"/>
      <c r="G22857" s="16"/>
    </row>
    <row r="22858" spans="4:7" ht="15" x14ac:dyDescent="0.3">
      <c r="D22858" s="25"/>
      <c r="F22858" s="21"/>
      <c r="G22858" s="16"/>
    </row>
    <row r="22859" spans="4:7" ht="15" x14ac:dyDescent="0.3">
      <c r="D22859" s="25"/>
      <c r="F22859" s="21"/>
      <c r="G22859" s="16"/>
    </row>
    <row r="22860" spans="4:7" ht="15" x14ac:dyDescent="0.3">
      <c r="D22860" s="25"/>
      <c r="F22860" s="21"/>
      <c r="G22860" s="16"/>
    </row>
    <row r="22861" spans="4:7" ht="15" x14ac:dyDescent="0.3">
      <c r="D22861" s="25"/>
      <c r="F22861" s="21"/>
      <c r="G22861" s="16"/>
    </row>
    <row r="22862" spans="4:7" ht="15" x14ac:dyDescent="0.3">
      <c r="D22862" s="25"/>
      <c r="F22862" s="21"/>
      <c r="G22862" s="16"/>
    </row>
    <row r="22863" spans="4:7" ht="15" x14ac:dyDescent="0.3">
      <c r="D22863" s="25"/>
      <c r="F22863" s="21"/>
      <c r="G22863" s="16"/>
    </row>
    <row r="22864" spans="4:7" ht="15" x14ac:dyDescent="0.3">
      <c r="D22864" s="25"/>
      <c r="F22864" s="21"/>
      <c r="G22864" s="16"/>
    </row>
    <row r="22865" spans="4:7" ht="15" x14ac:dyDescent="0.3">
      <c r="D22865" s="25"/>
      <c r="F22865" s="21"/>
      <c r="G22865" s="16"/>
    </row>
    <row r="22866" spans="4:7" ht="15" x14ac:dyDescent="0.3">
      <c r="D22866" s="25"/>
      <c r="F22866" s="21"/>
      <c r="G22866" s="16"/>
    </row>
    <row r="22867" spans="4:7" ht="15" x14ac:dyDescent="0.3">
      <c r="D22867" s="25"/>
      <c r="F22867" s="21"/>
      <c r="G22867" s="16"/>
    </row>
    <row r="22868" spans="4:7" ht="15" x14ac:dyDescent="0.3">
      <c r="D22868" s="25"/>
      <c r="F22868" s="21"/>
      <c r="G22868" s="16"/>
    </row>
    <row r="22869" spans="4:7" ht="15" x14ac:dyDescent="0.3">
      <c r="D22869" s="25"/>
      <c r="F22869" s="21"/>
      <c r="G22869" s="16"/>
    </row>
    <row r="22870" spans="4:7" ht="15" x14ac:dyDescent="0.3">
      <c r="D22870" s="25"/>
      <c r="F22870" s="21"/>
      <c r="G22870" s="16"/>
    </row>
    <row r="22871" spans="4:7" ht="15" x14ac:dyDescent="0.3">
      <c r="D22871" s="25"/>
      <c r="F22871" s="21"/>
      <c r="G22871" s="16"/>
    </row>
    <row r="22872" spans="4:7" ht="15" x14ac:dyDescent="0.3">
      <c r="D22872" s="25"/>
      <c r="F22872" s="21"/>
      <c r="G22872" s="16"/>
    </row>
    <row r="22873" spans="4:7" ht="15" x14ac:dyDescent="0.3">
      <c r="D22873" s="25"/>
      <c r="F22873" s="21"/>
      <c r="G22873" s="16"/>
    </row>
    <row r="22874" spans="4:7" ht="15" x14ac:dyDescent="0.3">
      <c r="D22874" s="25"/>
      <c r="F22874" s="21"/>
      <c r="G22874" s="16"/>
    </row>
    <row r="22875" spans="4:7" ht="15" x14ac:dyDescent="0.3">
      <c r="D22875" s="25"/>
      <c r="F22875" s="21"/>
      <c r="G22875" s="16"/>
    </row>
    <row r="22876" spans="4:7" ht="15" x14ac:dyDescent="0.3">
      <c r="D22876" s="25"/>
      <c r="F22876" s="21"/>
      <c r="G22876" s="16"/>
    </row>
    <row r="22877" spans="4:7" ht="15" x14ac:dyDescent="0.3">
      <c r="D22877" s="25"/>
      <c r="F22877" s="21"/>
      <c r="G22877" s="16"/>
    </row>
    <row r="22878" spans="4:7" ht="15" x14ac:dyDescent="0.3">
      <c r="D22878" s="25"/>
      <c r="F22878" s="21"/>
      <c r="G22878" s="16"/>
    </row>
    <row r="22879" spans="4:7" ht="15" x14ac:dyDescent="0.3">
      <c r="D22879" s="25"/>
      <c r="F22879" s="21"/>
      <c r="G22879" s="16"/>
    </row>
    <row r="22880" spans="4:7" ht="15" x14ac:dyDescent="0.3">
      <c r="D22880" s="25"/>
      <c r="F22880" s="21"/>
      <c r="G22880" s="16"/>
    </row>
    <row r="22881" spans="4:7" ht="15" x14ac:dyDescent="0.3">
      <c r="D22881" s="25"/>
      <c r="F22881" s="21"/>
      <c r="G22881" s="16"/>
    </row>
    <row r="22882" spans="4:7" ht="15" x14ac:dyDescent="0.3">
      <c r="D22882" s="25"/>
      <c r="F22882" s="21"/>
      <c r="G22882" s="16"/>
    </row>
    <row r="22883" spans="4:7" ht="15" x14ac:dyDescent="0.3">
      <c r="D22883" s="25"/>
      <c r="F22883" s="21"/>
      <c r="G22883" s="16"/>
    </row>
    <row r="22884" spans="4:7" ht="15" x14ac:dyDescent="0.3">
      <c r="D22884" s="25"/>
      <c r="F22884" s="21"/>
      <c r="G22884" s="16"/>
    </row>
    <row r="22885" spans="4:7" ht="15" x14ac:dyDescent="0.3">
      <c r="D22885" s="25"/>
      <c r="F22885" s="21"/>
      <c r="G22885" s="16"/>
    </row>
    <row r="22886" spans="4:7" ht="15" x14ac:dyDescent="0.3">
      <c r="D22886" s="25"/>
      <c r="F22886" s="21"/>
      <c r="G22886" s="16"/>
    </row>
    <row r="22887" spans="4:7" ht="15" x14ac:dyDescent="0.3">
      <c r="D22887" s="25"/>
      <c r="F22887" s="21"/>
      <c r="G22887" s="16"/>
    </row>
    <row r="22888" spans="4:7" ht="15" x14ac:dyDescent="0.3">
      <c r="D22888" s="25"/>
      <c r="F22888" s="21"/>
      <c r="G22888" s="16"/>
    </row>
    <row r="22889" spans="4:7" ht="15" x14ac:dyDescent="0.3">
      <c r="D22889" s="25"/>
      <c r="F22889" s="21"/>
      <c r="G22889" s="16"/>
    </row>
    <row r="22890" spans="4:7" ht="15" x14ac:dyDescent="0.3">
      <c r="D22890" s="25"/>
      <c r="F22890" s="21"/>
      <c r="G22890" s="16"/>
    </row>
    <row r="22891" spans="4:7" ht="15" x14ac:dyDescent="0.3">
      <c r="D22891" s="25"/>
      <c r="F22891" s="21"/>
      <c r="G22891" s="16"/>
    </row>
    <row r="22892" spans="4:7" ht="15" x14ac:dyDescent="0.3">
      <c r="D22892" s="25"/>
      <c r="F22892" s="21"/>
      <c r="G22892" s="16"/>
    </row>
    <row r="22893" spans="4:7" ht="15" x14ac:dyDescent="0.3">
      <c r="D22893" s="25"/>
      <c r="F22893" s="21"/>
      <c r="G22893" s="16"/>
    </row>
    <row r="22894" spans="4:7" ht="15" x14ac:dyDescent="0.3">
      <c r="D22894" s="25"/>
      <c r="F22894" s="21"/>
      <c r="G22894" s="16"/>
    </row>
    <row r="22895" spans="4:7" ht="15" x14ac:dyDescent="0.3">
      <c r="D22895" s="25"/>
      <c r="F22895" s="21"/>
      <c r="G22895" s="16"/>
    </row>
    <row r="22896" spans="4:7" ht="15" x14ac:dyDescent="0.3">
      <c r="D22896" s="25"/>
      <c r="F22896" s="21"/>
      <c r="G22896" s="16"/>
    </row>
    <row r="22897" spans="4:7" ht="15" x14ac:dyDescent="0.3">
      <c r="D22897" s="25"/>
      <c r="F22897" s="21"/>
      <c r="G22897" s="16"/>
    </row>
    <row r="22898" spans="4:7" ht="15" x14ac:dyDescent="0.3">
      <c r="D22898" s="25"/>
      <c r="F22898" s="21"/>
      <c r="G22898" s="16"/>
    </row>
    <row r="22899" spans="4:7" ht="15" x14ac:dyDescent="0.3">
      <c r="D22899" s="25"/>
      <c r="F22899" s="21"/>
      <c r="G22899" s="16"/>
    </row>
    <row r="22900" spans="4:7" ht="15" x14ac:dyDescent="0.3">
      <c r="D22900" s="25"/>
      <c r="F22900" s="21"/>
      <c r="G22900" s="16"/>
    </row>
    <row r="22901" spans="4:7" ht="15" x14ac:dyDescent="0.3">
      <c r="D22901" s="25"/>
      <c r="F22901" s="21"/>
      <c r="G22901" s="16"/>
    </row>
    <row r="22902" spans="4:7" ht="15" x14ac:dyDescent="0.3">
      <c r="D22902" s="25"/>
      <c r="F22902" s="21"/>
      <c r="G22902" s="16"/>
    </row>
    <row r="22903" spans="4:7" ht="15" x14ac:dyDescent="0.3">
      <c r="D22903" s="25"/>
      <c r="F22903" s="21"/>
      <c r="G22903" s="16"/>
    </row>
    <row r="22904" spans="4:7" ht="15" x14ac:dyDescent="0.3">
      <c r="D22904" s="25"/>
      <c r="F22904" s="21"/>
      <c r="G22904" s="16"/>
    </row>
    <row r="22905" spans="4:7" ht="15" x14ac:dyDescent="0.3">
      <c r="D22905" s="25"/>
      <c r="F22905" s="21"/>
      <c r="G22905" s="16"/>
    </row>
    <row r="22906" spans="4:7" ht="15" x14ac:dyDescent="0.3">
      <c r="D22906" s="25"/>
      <c r="F22906" s="21"/>
      <c r="G22906" s="16"/>
    </row>
    <row r="22907" spans="4:7" ht="15" x14ac:dyDescent="0.3">
      <c r="D22907" s="25"/>
      <c r="F22907" s="21"/>
      <c r="G22907" s="16"/>
    </row>
    <row r="22908" spans="4:7" ht="15" x14ac:dyDescent="0.3">
      <c r="D22908" s="25"/>
      <c r="F22908" s="21"/>
      <c r="G22908" s="16"/>
    </row>
    <row r="22909" spans="4:7" ht="15" x14ac:dyDescent="0.3">
      <c r="D22909" s="25"/>
      <c r="F22909" s="21"/>
      <c r="G22909" s="16"/>
    </row>
    <row r="22910" spans="4:7" ht="15" x14ac:dyDescent="0.3">
      <c r="D22910" s="25"/>
      <c r="F22910" s="21"/>
      <c r="G22910" s="16"/>
    </row>
    <row r="22911" spans="4:7" ht="15" x14ac:dyDescent="0.3">
      <c r="D22911" s="25"/>
      <c r="F22911" s="21"/>
      <c r="G22911" s="16"/>
    </row>
    <row r="22912" spans="4:7" ht="15" x14ac:dyDescent="0.3">
      <c r="D22912" s="25"/>
      <c r="F22912" s="21"/>
      <c r="G22912" s="16"/>
    </row>
    <row r="22913" spans="4:7" ht="15" x14ac:dyDescent="0.3">
      <c r="D22913" s="25"/>
      <c r="F22913" s="21"/>
      <c r="G22913" s="16"/>
    </row>
    <row r="22914" spans="4:7" ht="15" x14ac:dyDescent="0.3">
      <c r="D22914" s="25"/>
      <c r="F22914" s="21"/>
      <c r="G22914" s="16"/>
    </row>
    <row r="22915" spans="4:7" ht="15" x14ac:dyDescent="0.3">
      <c r="D22915" s="25"/>
      <c r="F22915" s="21"/>
      <c r="G22915" s="16"/>
    </row>
    <row r="22916" spans="4:7" ht="15" x14ac:dyDescent="0.3">
      <c r="D22916" s="25"/>
      <c r="F22916" s="21"/>
      <c r="G22916" s="16"/>
    </row>
    <row r="22917" spans="4:7" ht="15" x14ac:dyDescent="0.3">
      <c r="D22917" s="25"/>
      <c r="F22917" s="21"/>
      <c r="G22917" s="16"/>
    </row>
    <row r="22918" spans="4:7" ht="15" x14ac:dyDescent="0.3">
      <c r="D22918" s="25"/>
      <c r="F22918" s="21"/>
      <c r="G22918" s="16"/>
    </row>
    <row r="22919" spans="4:7" ht="15" x14ac:dyDescent="0.3">
      <c r="D22919" s="25"/>
      <c r="F22919" s="21"/>
      <c r="G22919" s="16"/>
    </row>
    <row r="22920" spans="4:7" ht="15" x14ac:dyDescent="0.3">
      <c r="D22920" s="25"/>
      <c r="F22920" s="21"/>
      <c r="G22920" s="16"/>
    </row>
    <row r="22921" spans="4:7" ht="15" x14ac:dyDescent="0.3">
      <c r="D22921" s="25"/>
      <c r="F22921" s="21"/>
      <c r="G22921" s="16"/>
    </row>
    <row r="22922" spans="4:7" ht="15" x14ac:dyDescent="0.3">
      <c r="D22922" s="25"/>
      <c r="F22922" s="21"/>
      <c r="G22922" s="16"/>
    </row>
    <row r="22923" spans="4:7" ht="15" x14ac:dyDescent="0.3">
      <c r="D22923" s="25"/>
      <c r="F22923" s="21"/>
      <c r="G22923" s="16"/>
    </row>
    <row r="22924" spans="4:7" ht="15" x14ac:dyDescent="0.3">
      <c r="D22924" s="25"/>
      <c r="F22924" s="21"/>
      <c r="G22924" s="16"/>
    </row>
    <row r="22925" spans="4:7" ht="15" x14ac:dyDescent="0.3">
      <c r="D22925" s="25"/>
      <c r="F22925" s="21"/>
      <c r="G22925" s="16"/>
    </row>
    <row r="22926" spans="4:7" ht="15" x14ac:dyDescent="0.3">
      <c r="D22926" s="25"/>
      <c r="F22926" s="21"/>
      <c r="G22926" s="16"/>
    </row>
    <row r="22927" spans="4:7" ht="15" x14ac:dyDescent="0.3">
      <c r="D22927" s="25"/>
      <c r="F22927" s="21"/>
      <c r="G22927" s="16"/>
    </row>
    <row r="22928" spans="4:7" ht="15" x14ac:dyDescent="0.3">
      <c r="D22928" s="25"/>
      <c r="F22928" s="21"/>
      <c r="G22928" s="16"/>
    </row>
    <row r="22929" spans="4:7" ht="15" x14ac:dyDescent="0.3">
      <c r="D22929" s="25"/>
      <c r="F22929" s="21"/>
      <c r="G22929" s="16"/>
    </row>
    <row r="22930" spans="4:7" ht="15" x14ac:dyDescent="0.3">
      <c r="D22930" s="25"/>
      <c r="F22930" s="21"/>
      <c r="G22930" s="16"/>
    </row>
    <row r="22931" spans="4:7" ht="15" x14ac:dyDescent="0.3">
      <c r="D22931" s="25"/>
      <c r="F22931" s="21"/>
      <c r="G22931" s="16"/>
    </row>
    <row r="22932" spans="4:7" ht="15" x14ac:dyDescent="0.3">
      <c r="D22932" s="25"/>
      <c r="F22932" s="21"/>
      <c r="G22932" s="16"/>
    </row>
    <row r="22933" spans="4:7" ht="15" x14ac:dyDescent="0.3">
      <c r="D22933" s="25"/>
      <c r="F22933" s="21"/>
      <c r="G22933" s="16"/>
    </row>
    <row r="22934" spans="4:7" ht="15" x14ac:dyDescent="0.3">
      <c r="D22934" s="25"/>
      <c r="F22934" s="21"/>
      <c r="G22934" s="16"/>
    </row>
    <row r="22935" spans="4:7" ht="15" x14ac:dyDescent="0.3">
      <c r="D22935" s="25"/>
      <c r="F22935" s="21"/>
      <c r="G22935" s="16"/>
    </row>
    <row r="22936" spans="4:7" ht="15" x14ac:dyDescent="0.3">
      <c r="D22936" s="25"/>
      <c r="F22936" s="21"/>
      <c r="G22936" s="16"/>
    </row>
    <row r="22937" spans="4:7" ht="15" x14ac:dyDescent="0.3">
      <c r="D22937" s="25"/>
      <c r="F22937" s="21"/>
      <c r="G22937" s="16"/>
    </row>
    <row r="22938" spans="4:7" ht="15" x14ac:dyDescent="0.3">
      <c r="D22938" s="25"/>
      <c r="F22938" s="21"/>
      <c r="G22938" s="16"/>
    </row>
    <row r="22939" spans="4:7" ht="15" x14ac:dyDescent="0.3">
      <c r="D22939" s="25"/>
      <c r="F22939" s="21"/>
      <c r="G22939" s="16"/>
    </row>
    <row r="22940" spans="4:7" ht="15" x14ac:dyDescent="0.3">
      <c r="D22940" s="25"/>
      <c r="F22940" s="21"/>
      <c r="G22940" s="16"/>
    </row>
    <row r="22941" spans="4:7" ht="15" x14ac:dyDescent="0.3">
      <c r="D22941" s="25"/>
      <c r="F22941" s="21"/>
      <c r="G22941" s="16"/>
    </row>
    <row r="22942" spans="4:7" ht="15" x14ac:dyDescent="0.3">
      <c r="D22942" s="25"/>
      <c r="F22942" s="21"/>
      <c r="G22942" s="16"/>
    </row>
    <row r="22943" spans="4:7" ht="15" x14ac:dyDescent="0.3">
      <c r="D22943" s="25"/>
      <c r="F22943" s="21"/>
      <c r="G22943" s="16"/>
    </row>
    <row r="22944" spans="4:7" ht="15" x14ac:dyDescent="0.3">
      <c r="D22944" s="25"/>
      <c r="F22944" s="21"/>
      <c r="G22944" s="16"/>
    </row>
    <row r="22945" spans="4:7" ht="15" x14ac:dyDescent="0.3">
      <c r="D22945" s="25"/>
      <c r="F22945" s="21"/>
      <c r="G22945" s="16"/>
    </row>
    <row r="22946" spans="4:7" ht="15" x14ac:dyDescent="0.3">
      <c r="D22946" s="25"/>
      <c r="F22946" s="21"/>
      <c r="G22946" s="16"/>
    </row>
    <row r="22947" spans="4:7" ht="15" x14ac:dyDescent="0.3">
      <c r="D22947" s="25"/>
      <c r="F22947" s="21"/>
      <c r="G22947" s="16"/>
    </row>
    <row r="22948" spans="4:7" ht="15" x14ac:dyDescent="0.3">
      <c r="D22948" s="25"/>
      <c r="F22948" s="21"/>
      <c r="G22948" s="16"/>
    </row>
    <row r="22949" spans="4:7" ht="15" x14ac:dyDescent="0.3">
      <c r="D22949" s="25"/>
      <c r="F22949" s="21"/>
      <c r="G22949" s="16"/>
    </row>
    <row r="22950" spans="4:7" ht="15" x14ac:dyDescent="0.3">
      <c r="D22950" s="25"/>
      <c r="F22950" s="21"/>
      <c r="G22950" s="16"/>
    </row>
    <row r="22951" spans="4:7" ht="15" x14ac:dyDescent="0.3">
      <c r="D22951" s="25"/>
      <c r="F22951" s="21"/>
      <c r="G22951" s="16"/>
    </row>
    <row r="22952" spans="4:7" ht="15" x14ac:dyDescent="0.3">
      <c r="D22952" s="25"/>
      <c r="F22952" s="21"/>
      <c r="G22952" s="16"/>
    </row>
    <row r="22953" spans="4:7" ht="15" x14ac:dyDescent="0.3">
      <c r="D22953" s="25"/>
      <c r="F22953" s="21"/>
      <c r="G22953" s="16"/>
    </row>
    <row r="22954" spans="4:7" ht="15" x14ac:dyDescent="0.3">
      <c r="D22954" s="25"/>
      <c r="F22954" s="21"/>
      <c r="G22954" s="16"/>
    </row>
    <row r="22955" spans="4:7" ht="15" x14ac:dyDescent="0.3">
      <c r="D22955" s="25"/>
      <c r="F22955" s="21"/>
      <c r="G22955" s="16"/>
    </row>
    <row r="22956" spans="4:7" ht="15" x14ac:dyDescent="0.3">
      <c r="D22956" s="25"/>
      <c r="F22956" s="21"/>
      <c r="G22956" s="16"/>
    </row>
    <row r="22957" spans="4:7" ht="15" x14ac:dyDescent="0.3">
      <c r="D22957" s="25"/>
      <c r="F22957" s="21"/>
      <c r="G22957" s="16"/>
    </row>
    <row r="22958" spans="4:7" ht="15" x14ac:dyDescent="0.3">
      <c r="D22958" s="25"/>
      <c r="F22958" s="21"/>
      <c r="G22958" s="16"/>
    </row>
    <row r="22959" spans="4:7" ht="15" x14ac:dyDescent="0.3">
      <c r="D22959" s="25"/>
      <c r="F22959" s="21"/>
      <c r="G22959" s="16"/>
    </row>
    <row r="22960" spans="4:7" ht="15" x14ac:dyDescent="0.3">
      <c r="D22960" s="25"/>
      <c r="F22960" s="21"/>
      <c r="G22960" s="16"/>
    </row>
    <row r="22961" spans="4:7" ht="15" x14ac:dyDescent="0.3">
      <c r="D22961" s="25"/>
      <c r="F22961" s="21"/>
      <c r="G22961" s="16"/>
    </row>
    <row r="22962" spans="4:7" ht="15" x14ac:dyDescent="0.3">
      <c r="D22962" s="25"/>
      <c r="F22962" s="21"/>
      <c r="G22962" s="16"/>
    </row>
    <row r="22963" spans="4:7" ht="15" x14ac:dyDescent="0.3">
      <c r="D22963" s="25"/>
      <c r="F22963" s="21"/>
      <c r="G22963" s="16"/>
    </row>
    <row r="22964" spans="4:7" ht="15" x14ac:dyDescent="0.3">
      <c r="D22964" s="25"/>
      <c r="F22964" s="21"/>
      <c r="G22964" s="16"/>
    </row>
    <row r="22965" spans="4:7" ht="15" x14ac:dyDescent="0.3">
      <c r="D22965" s="25"/>
      <c r="F22965" s="21"/>
      <c r="G22965" s="16"/>
    </row>
    <row r="22966" spans="4:7" ht="15" x14ac:dyDescent="0.3">
      <c r="D22966" s="25"/>
      <c r="F22966" s="21"/>
      <c r="G22966" s="16"/>
    </row>
    <row r="22967" spans="4:7" ht="15" x14ac:dyDescent="0.3">
      <c r="D22967" s="25"/>
      <c r="F22967" s="21"/>
      <c r="G22967" s="16"/>
    </row>
    <row r="22968" spans="4:7" ht="15" x14ac:dyDescent="0.3">
      <c r="D22968" s="25"/>
      <c r="F22968" s="21"/>
      <c r="G22968" s="16"/>
    </row>
    <row r="22969" spans="4:7" ht="15" x14ac:dyDescent="0.3">
      <c r="D22969" s="25"/>
      <c r="F22969" s="21"/>
      <c r="G22969" s="16"/>
    </row>
    <row r="22970" spans="4:7" ht="15" x14ac:dyDescent="0.3">
      <c r="D22970" s="25"/>
      <c r="F22970" s="21"/>
      <c r="G22970" s="16"/>
    </row>
    <row r="22971" spans="4:7" ht="15" x14ac:dyDescent="0.3">
      <c r="D22971" s="25"/>
      <c r="F22971" s="21"/>
      <c r="G22971" s="16"/>
    </row>
    <row r="22972" spans="4:7" ht="15" x14ac:dyDescent="0.3">
      <c r="D22972" s="25"/>
      <c r="F22972" s="21"/>
      <c r="G22972" s="16"/>
    </row>
    <row r="22973" spans="4:7" ht="15" x14ac:dyDescent="0.3">
      <c r="D22973" s="25"/>
      <c r="F22973" s="21"/>
      <c r="G22973" s="16"/>
    </row>
    <row r="22974" spans="4:7" ht="15" x14ac:dyDescent="0.3">
      <c r="D22974" s="25"/>
      <c r="F22974" s="21"/>
      <c r="G22974" s="16"/>
    </row>
    <row r="22975" spans="4:7" ht="15" x14ac:dyDescent="0.3">
      <c r="D22975" s="25"/>
      <c r="F22975" s="21"/>
      <c r="G22975" s="16"/>
    </row>
    <row r="22976" spans="4:7" ht="15" x14ac:dyDescent="0.3">
      <c r="D22976" s="25"/>
      <c r="F22976" s="21"/>
      <c r="G22976" s="16"/>
    </row>
    <row r="22977" spans="4:7" ht="15" x14ac:dyDescent="0.3">
      <c r="D22977" s="25"/>
      <c r="F22977" s="21"/>
      <c r="G22977" s="16"/>
    </row>
    <row r="22978" spans="4:7" ht="15" x14ac:dyDescent="0.3">
      <c r="D22978" s="25"/>
      <c r="F22978" s="21"/>
      <c r="G22978" s="16"/>
    </row>
    <row r="22979" spans="4:7" ht="15" x14ac:dyDescent="0.3">
      <c r="D22979" s="25"/>
      <c r="F22979" s="21"/>
      <c r="G22979" s="16"/>
    </row>
    <row r="22980" spans="4:7" ht="15" x14ac:dyDescent="0.3">
      <c r="D22980" s="25"/>
      <c r="F22980" s="21"/>
      <c r="G22980" s="16"/>
    </row>
    <row r="22981" spans="4:7" ht="15" x14ac:dyDescent="0.3">
      <c r="D22981" s="25"/>
      <c r="F22981" s="21"/>
      <c r="G22981" s="16"/>
    </row>
    <row r="22982" spans="4:7" ht="15" x14ac:dyDescent="0.3">
      <c r="D22982" s="25"/>
      <c r="F22982" s="21"/>
      <c r="G22982" s="16"/>
    </row>
    <row r="22983" spans="4:7" ht="15" x14ac:dyDescent="0.3">
      <c r="D22983" s="25"/>
      <c r="F22983" s="21"/>
      <c r="G22983" s="16"/>
    </row>
    <row r="22984" spans="4:7" ht="15" x14ac:dyDescent="0.3">
      <c r="D22984" s="25"/>
      <c r="F22984" s="21"/>
      <c r="G22984" s="16"/>
    </row>
    <row r="22985" spans="4:7" ht="15" x14ac:dyDescent="0.3">
      <c r="D22985" s="25"/>
      <c r="F22985" s="21"/>
      <c r="G22985" s="16"/>
    </row>
    <row r="22986" spans="4:7" ht="15" x14ac:dyDescent="0.3">
      <c r="D22986" s="25"/>
      <c r="F22986" s="21"/>
      <c r="G22986" s="16"/>
    </row>
    <row r="22987" spans="4:7" ht="15" x14ac:dyDescent="0.3">
      <c r="D22987" s="25"/>
      <c r="F22987" s="21"/>
      <c r="G22987" s="16"/>
    </row>
    <row r="22988" spans="4:7" ht="15" x14ac:dyDescent="0.3">
      <c r="D22988" s="25"/>
      <c r="F22988" s="21"/>
      <c r="G22988" s="16"/>
    </row>
    <row r="22989" spans="4:7" ht="15" x14ac:dyDescent="0.3">
      <c r="D22989" s="25"/>
      <c r="F22989" s="21"/>
      <c r="G22989" s="16"/>
    </row>
    <row r="22990" spans="4:7" ht="15" x14ac:dyDescent="0.3">
      <c r="D22990" s="25"/>
      <c r="F22990" s="21"/>
      <c r="G22990" s="16"/>
    </row>
    <row r="22991" spans="4:7" ht="15" x14ac:dyDescent="0.3">
      <c r="D22991" s="25"/>
      <c r="F22991" s="21"/>
      <c r="G22991" s="16"/>
    </row>
    <row r="22992" spans="4:7" ht="15" x14ac:dyDescent="0.3">
      <c r="D22992" s="25"/>
      <c r="F22992" s="21"/>
      <c r="G22992" s="16"/>
    </row>
    <row r="22993" spans="4:7" ht="15" x14ac:dyDescent="0.3">
      <c r="D22993" s="25"/>
      <c r="F22993" s="21"/>
      <c r="G22993" s="16"/>
    </row>
    <row r="22994" spans="4:7" ht="15" x14ac:dyDescent="0.3">
      <c r="D22994" s="25"/>
      <c r="F22994" s="21"/>
      <c r="G22994" s="16"/>
    </row>
    <row r="22995" spans="4:7" ht="15" x14ac:dyDescent="0.3">
      <c r="D22995" s="25"/>
      <c r="F22995" s="21"/>
      <c r="G22995" s="16"/>
    </row>
    <row r="22996" spans="4:7" ht="15" x14ac:dyDescent="0.3">
      <c r="D22996" s="25"/>
      <c r="F22996" s="21"/>
      <c r="G22996" s="16"/>
    </row>
    <row r="22997" spans="4:7" ht="15" x14ac:dyDescent="0.3">
      <c r="D22997" s="25"/>
      <c r="F22997" s="21"/>
      <c r="G22997" s="16"/>
    </row>
    <row r="22998" spans="4:7" ht="15" x14ac:dyDescent="0.3">
      <c r="D22998" s="25"/>
      <c r="F22998" s="21"/>
      <c r="G22998" s="16"/>
    </row>
    <row r="22999" spans="4:7" ht="15" x14ac:dyDescent="0.3">
      <c r="D22999" s="25"/>
      <c r="F22999" s="21"/>
      <c r="G22999" s="16"/>
    </row>
    <row r="23000" spans="4:7" ht="15" x14ac:dyDescent="0.3">
      <c r="D23000" s="25"/>
      <c r="F23000" s="21"/>
      <c r="G23000" s="16"/>
    </row>
    <row r="23001" spans="4:7" ht="15" x14ac:dyDescent="0.3">
      <c r="D23001" s="25"/>
      <c r="F23001" s="21"/>
      <c r="G23001" s="16"/>
    </row>
    <row r="23002" spans="4:7" ht="15" x14ac:dyDescent="0.3">
      <c r="D23002" s="25"/>
      <c r="F23002" s="21"/>
      <c r="G23002" s="16"/>
    </row>
    <row r="23003" spans="4:7" ht="15" x14ac:dyDescent="0.3">
      <c r="D23003" s="25"/>
      <c r="F23003" s="21"/>
      <c r="G23003" s="16"/>
    </row>
    <row r="23004" spans="4:7" ht="15" x14ac:dyDescent="0.3">
      <c r="D23004" s="25"/>
      <c r="F23004" s="21"/>
      <c r="G23004" s="16"/>
    </row>
    <row r="23005" spans="4:7" ht="15" x14ac:dyDescent="0.3">
      <c r="D23005" s="25"/>
      <c r="F23005" s="21"/>
      <c r="G23005" s="16"/>
    </row>
    <row r="23006" spans="4:7" ht="15" x14ac:dyDescent="0.3">
      <c r="D23006" s="25"/>
      <c r="F23006" s="21"/>
      <c r="G23006" s="16"/>
    </row>
    <row r="23007" spans="4:7" ht="15" x14ac:dyDescent="0.3">
      <c r="D23007" s="25"/>
      <c r="F23007" s="21"/>
      <c r="G23007" s="16"/>
    </row>
    <row r="23008" spans="4:7" ht="15" x14ac:dyDescent="0.3">
      <c r="D23008" s="25"/>
      <c r="F23008" s="21"/>
      <c r="G23008" s="16"/>
    </row>
    <row r="23009" spans="4:7" ht="15" x14ac:dyDescent="0.3">
      <c r="D23009" s="25"/>
      <c r="F23009" s="21"/>
      <c r="G23009" s="16"/>
    </row>
    <row r="23010" spans="4:7" ht="15" x14ac:dyDescent="0.3">
      <c r="D23010" s="25"/>
      <c r="F23010" s="21"/>
      <c r="G23010" s="16"/>
    </row>
    <row r="23011" spans="4:7" ht="15" x14ac:dyDescent="0.3">
      <c r="D23011" s="25"/>
      <c r="F23011" s="21"/>
      <c r="G23011" s="16"/>
    </row>
    <row r="23012" spans="4:7" ht="15" x14ac:dyDescent="0.3">
      <c r="D23012" s="25"/>
      <c r="F23012" s="21"/>
      <c r="G23012" s="16"/>
    </row>
    <row r="23013" spans="4:7" ht="15" x14ac:dyDescent="0.3">
      <c r="D23013" s="25"/>
      <c r="F23013" s="21"/>
      <c r="G23013" s="16"/>
    </row>
    <row r="23014" spans="4:7" ht="15" x14ac:dyDescent="0.3">
      <c r="D23014" s="25"/>
      <c r="F23014" s="21"/>
      <c r="G23014" s="16"/>
    </row>
    <row r="23015" spans="4:7" ht="15" x14ac:dyDescent="0.3">
      <c r="D23015" s="25"/>
      <c r="F23015" s="21"/>
      <c r="G23015" s="16"/>
    </row>
    <row r="23016" spans="4:7" ht="15" x14ac:dyDescent="0.3">
      <c r="D23016" s="25"/>
      <c r="F23016" s="21"/>
      <c r="G23016" s="16"/>
    </row>
    <row r="23017" spans="4:7" ht="15" x14ac:dyDescent="0.3">
      <c r="D23017" s="25"/>
      <c r="F23017" s="21"/>
      <c r="G23017" s="16"/>
    </row>
    <row r="23018" spans="4:7" ht="15" x14ac:dyDescent="0.3">
      <c r="D23018" s="25"/>
      <c r="F23018" s="21"/>
      <c r="G23018" s="16"/>
    </row>
    <row r="23019" spans="4:7" ht="15" x14ac:dyDescent="0.3">
      <c r="D23019" s="25"/>
      <c r="F23019" s="21"/>
      <c r="G23019" s="16"/>
    </row>
    <row r="23020" spans="4:7" ht="15" x14ac:dyDescent="0.3">
      <c r="D23020" s="25"/>
      <c r="F23020" s="21"/>
      <c r="G23020" s="16"/>
    </row>
    <row r="23021" spans="4:7" ht="15" x14ac:dyDescent="0.3">
      <c r="D23021" s="25"/>
      <c r="F23021" s="21"/>
      <c r="G23021" s="16"/>
    </row>
    <row r="23022" spans="4:7" ht="15" x14ac:dyDescent="0.3">
      <c r="D23022" s="25"/>
      <c r="F23022" s="21"/>
      <c r="G23022" s="16"/>
    </row>
    <row r="23023" spans="4:7" ht="15" x14ac:dyDescent="0.3">
      <c r="D23023" s="25"/>
      <c r="F23023" s="21"/>
      <c r="G23023" s="16"/>
    </row>
    <row r="23024" spans="4:7" ht="15" x14ac:dyDescent="0.3">
      <c r="D23024" s="25"/>
      <c r="F23024" s="21"/>
      <c r="G23024" s="16"/>
    </row>
    <row r="23025" spans="4:7" ht="15" x14ac:dyDescent="0.3">
      <c r="D23025" s="25"/>
      <c r="F23025" s="21"/>
      <c r="G23025" s="16"/>
    </row>
    <row r="23026" spans="4:7" ht="15" x14ac:dyDescent="0.3">
      <c r="D23026" s="25"/>
      <c r="F23026" s="21"/>
      <c r="G23026" s="16"/>
    </row>
    <row r="23027" spans="4:7" ht="15" x14ac:dyDescent="0.3">
      <c r="D23027" s="25"/>
      <c r="F23027" s="21"/>
      <c r="G23027" s="16"/>
    </row>
    <row r="23028" spans="4:7" ht="15" x14ac:dyDescent="0.3">
      <c r="D23028" s="25"/>
      <c r="F23028" s="21"/>
      <c r="G23028" s="16"/>
    </row>
    <row r="23029" spans="4:7" ht="15" x14ac:dyDescent="0.3">
      <c r="D23029" s="25"/>
      <c r="F23029" s="21"/>
      <c r="G23029" s="16"/>
    </row>
    <row r="23030" spans="4:7" ht="15" x14ac:dyDescent="0.3">
      <c r="D23030" s="25"/>
      <c r="F23030" s="21"/>
      <c r="G23030" s="16"/>
    </row>
    <row r="23031" spans="4:7" ht="15" x14ac:dyDescent="0.3">
      <c r="D23031" s="25"/>
      <c r="F23031" s="21"/>
      <c r="G23031" s="16"/>
    </row>
    <row r="23032" spans="4:7" ht="15" x14ac:dyDescent="0.3">
      <c r="D23032" s="25"/>
      <c r="F23032" s="21"/>
      <c r="G23032" s="16"/>
    </row>
    <row r="23033" spans="4:7" ht="15" x14ac:dyDescent="0.3">
      <c r="D23033" s="25"/>
      <c r="F23033" s="21"/>
      <c r="G23033" s="16"/>
    </row>
    <row r="23034" spans="4:7" ht="15" x14ac:dyDescent="0.3">
      <c r="D23034" s="25"/>
      <c r="F23034" s="21"/>
      <c r="G23034" s="16"/>
    </row>
    <row r="23035" spans="4:7" ht="15" x14ac:dyDescent="0.3">
      <c r="D23035" s="25"/>
      <c r="F23035" s="21"/>
      <c r="G23035" s="16"/>
    </row>
    <row r="23036" spans="4:7" ht="15" x14ac:dyDescent="0.3">
      <c r="D23036" s="25"/>
      <c r="F23036" s="21"/>
      <c r="G23036" s="16"/>
    </row>
    <row r="23037" spans="4:7" ht="15" x14ac:dyDescent="0.3">
      <c r="D23037" s="25"/>
      <c r="F23037" s="21"/>
      <c r="G23037" s="16"/>
    </row>
    <row r="23038" spans="4:7" ht="15" x14ac:dyDescent="0.3">
      <c r="D23038" s="25"/>
      <c r="F23038" s="21"/>
      <c r="G23038" s="16"/>
    </row>
    <row r="23039" spans="4:7" ht="15" x14ac:dyDescent="0.3">
      <c r="D23039" s="25"/>
      <c r="F23039" s="21"/>
      <c r="G23039" s="16"/>
    </row>
    <row r="23040" spans="4:7" ht="15" x14ac:dyDescent="0.3">
      <c r="D23040" s="25"/>
      <c r="F23040" s="21"/>
      <c r="G23040" s="16"/>
    </row>
    <row r="23041" spans="4:7" ht="15" x14ac:dyDescent="0.3">
      <c r="D23041" s="25"/>
      <c r="F23041" s="21"/>
      <c r="G23041" s="16"/>
    </row>
    <row r="23042" spans="4:7" ht="15" x14ac:dyDescent="0.3">
      <c r="D23042" s="25"/>
      <c r="F23042" s="21"/>
      <c r="G23042" s="16"/>
    </row>
    <row r="23043" spans="4:7" ht="15" x14ac:dyDescent="0.3">
      <c r="D23043" s="25"/>
      <c r="F23043" s="21"/>
      <c r="G23043" s="16"/>
    </row>
    <row r="23044" spans="4:7" ht="15" x14ac:dyDescent="0.3">
      <c r="D23044" s="25"/>
      <c r="F23044" s="21"/>
      <c r="G23044" s="16"/>
    </row>
    <row r="23045" spans="4:7" ht="15" x14ac:dyDescent="0.3">
      <c r="D23045" s="25"/>
      <c r="F23045" s="21"/>
      <c r="G23045" s="16"/>
    </row>
    <row r="23046" spans="4:7" ht="15" x14ac:dyDescent="0.3">
      <c r="D23046" s="25"/>
      <c r="F23046" s="21"/>
      <c r="G23046" s="16"/>
    </row>
    <row r="23047" spans="4:7" ht="15" x14ac:dyDescent="0.3">
      <c r="D23047" s="25"/>
      <c r="F23047" s="21"/>
      <c r="G23047" s="16"/>
    </row>
    <row r="23048" spans="4:7" ht="15" x14ac:dyDescent="0.3">
      <c r="D23048" s="25"/>
      <c r="F23048" s="21"/>
      <c r="G23048" s="16"/>
    </row>
    <row r="23049" spans="4:7" ht="15" x14ac:dyDescent="0.3">
      <c r="D23049" s="25"/>
      <c r="F23049" s="21"/>
      <c r="G23049" s="16"/>
    </row>
    <row r="23050" spans="4:7" ht="15" x14ac:dyDescent="0.3">
      <c r="D23050" s="25"/>
      <c r="F23050" s="21"/>
      <c r="G23050" s="16"/>
    </row>
    <row r="23051" spans="4:7" ht="15" x14ac:dyDescent="0.3">
      <c r="D23051" s="25"/>
      <c r="F23051" s="21"/>
      <c r="G23051" s="16"/>
    </row>
    <row r="23052" spans="4:7" ht="15" x14ac:dyDescent="0.3">
      <c r="D23052" s="25"/>
      <c r="F23052" s="21"/>
      <c r="G23052" s="16"/>
    </row>
    <row r="23053" spans="4:7" ht="15" x14ac:dyDescent="0.3">
      <c r="D23053" s="25"/>
      <c r="F23053" s="21"/>
      <c r="G23053" s="16"/>
    </row>
    <row r="23054" spans="4:7" ht="15" x14ac:dyDescent="0.3">
      <c r="D23054" s="25"/>
      <c r="F23054" s="21"/>
      <c r="G23054" s="16"/>
    </row>
    <row r="23055" spans="4:7" ht="15" x14ac:dyDescent="0.3">
      <c r="D23055" s="25"/>
      <c r="F23055" s="21"/>
      <c r="G23055" s="16"/>
    </row>
    <row r="23056" spans="4:7" ht="15" x14ac:dyDescent="0.3">
      <c r="D23056" s="25"/>
      <c r="F23056" s="21"/>
      <c r="G23056" s="16"/>
    </row>
    <row r="23057" spans="4:7" ht="15" x14ac:dyDescent="0.3">
      <c r="D23057" s="25"/>
      <c r="F23057" s="21"/>
      <c r="G23057" s="16"/>
    </row>
    <row r="23058" spans="4:7" ht="15" x14ac:dyDescent="0.3">
      <c r="D23058" s="25"/>
      <c r="F23058" s="21"/>
      <c r="G23058" s="16"/>
    </row>
    <row r="23059" spans="4:7" ht="15" x14ac:dyDescent="0.3">
      <c r="D23059" s="25"/>
      <c r="F23059" s="21"/>
      <c r="G23059" s="16"/>
    </row>
    <row r="23060" spans="4:7" ht="15" x14ac:dyDescent="0.3">
      <c r="D23060" s="25"/>
      <c r="F23060" s="21"/>
      <c r="G23060" s="16"/>
    </row>
    <row r="23061" spans="4:7" ht="15" x14ac:dyDescent="0.3">
      <c r="D23061" s="25"/>
      <c r="F23061" s="21"/>
      <c r="G23061" s="16"/>
    </row>
    <row r="23062" spans="4:7" ht="15" x14ac:dyDescent="0.3">
      <c r="D23062" s="25"/>
      <c r="F23062" s="21"/>
      <c r="G23062" s="16"/>
    </row>
    <row r="23063" spans="4:7" ht="15" x14ac:dyDescent="0.3">
      <c r="D23063" s="25"/>
      <c r="F23063" s="21"/>
      <c r="G23063" s="16"/>
    </row>
    <row r="23064" spans="4:7" ht="15" x14ac:dyDescent="0.3">
      <c r="D23064" s="25"/>
      <c r="F23064" s="21"/>
      <c r="G23064" s="16"/>
    </row>
    <row r="23065" spans="4:7" ht="15" x14ac:dyDescent="0.3">
      <c r="D23065" s="25"/>
      <c r="F23065" s="21"/>
      <c r="G23065" s="16"/>
    </row>
    <row r="23066" spans="4:7" ht="15" x14ac:dyDescent="0.3">
      <c r="D23066" s="25"/>
      <c r="F23066" s="21"/>
      <c r="G23066" s="16"/>
    </row>
    <row r="23067" spans="4:7" ht="15" x14ac:dyDescent="0.3">
      <c r="D23067" s="25"/>
      <c r="F23067" s="21"/>
      <c r="G23067" s="16"/>
    </row>
    <row r="23068" spans="4:7" ht="15" x14ac:dyDescent="0.3">
      <c r="D23068" s="25"/>
      <c r="F23068" s="21"/>
      <c r="G23068" s="16"/>
    </row>
    <row r="23069" spans="4:7" ht="15" x14ac:dyDescent="0.3">
      <c r="D23069" s="25"/>
      <c r="F23069" s="21"/>
      <c r="G23069" s="16"/>
    </row>
    <row r="23070" spans="4:7" ht="15" x14ac:dyDescent="0.3">
      <c r="D23070" s="25"/>
      <c r="F23070" s="21"/>
      <c r="G23070" s="16"/>
    </row>
    <row r="23071" spans="4:7" ht="15" x14ac:dyDescent="0.3">
      <c r="D23071" s="25"/>
      <c r="F23071" s="21"/>
      <c r="G23071" s="16"/>
    </row>
    <row r="23072" spans="4:7" ht="15" x14ac:dyDescent="0.3">
      <c r="D23072" s="25"/>
      <c r="F23072" s="21"/>
      <c r="G23072" s="16"/>
    </row>
    <row r="23073" spans="4:7" ht="15" x14ac:dyDescent="0.3">
      <c r="D23073" s="25"/>
      <c r="F23073" s="21"/>
      <c r="G23073" s="16"/>
    </row>
    <row r="23074" spans="4:7" ht="15" x14ac:dyDescent="0.3">
      <c r="D23074" s="25"/>
      <c r="F23074" s="21"/>
      <c r="G23074" s="16"/>
    </row>
    <row r="23075" spans="4:7" ht="15" x14ac:dyDescent="0.3">
      <c r="D23075" s="25"/>
      <c r="F23075" s="21"/>
      <c r="G23075" s="16"/>
    </row>
    <row r="23076" spans="4:7" ht="15" x14ac:dyDescent="0.3">
      <c r="D23076" s="25"/>
      <c r="F23076" s="21"/>
      <c r="G23076" s="16"/>
    </row>
    <row r="23077" spans="4:7" ht="15" x14ac:dyDescent="0.3">
      <c r="D23077" s="25"/>
      <c r="F23077" s="21"/>
      <c r="G23077" s="16"/>
    </row>
    <row r="23078" spans="4:7" ht="15" x14ac:dyDescent="0.3">
      <c r="D23078" s="25"/>
      <c r="F23078" s="21"/>
      <c r="G23078" s="16"/>
    </row>
    <row r="23079" spans="4:7" ht="15" x14ac:dyDescent="0.3">
      <c r="D23079" s="25"/>
      <c r="F23079" s="21"/>
      <c r="G23079" s="16"/>
    </row>
    <row r="23080" spans="4:7" ht="15" x14ac:dyDescent="0.3">
      <c r="D23080" s="25"/>
      <c r="F23080" s="21"/>
      <c r="G23080" s="16"/>
    </row>
    <row r="23081" spans="4:7" ht="15" x14ac:dyDescent="0.3">
      <c r="D23081" s="25"/>
      <c r="F23081" s="21"/>
      <c r="G23081" s="16"/>
    </row>
    <row r="23082" spans="4:7" ht="15" x14ac:dyDescent="0.3">
      <c r="D23082" s="25"/>
      <c r="F23082" s="21"/>
      <c r="G23082" s="16"/>
    </row>
    <row r="23083" spans="4:7" ht="15" x14ac:dyDescent="0.3">
      <c r="D23083" s="25"/>
      <c r="F23083" s="21"/>
      <c r="G23083" s="16"/>
    </row>
    <row r="23084" spans="4:7" ht="15" x14ac:dyDescent="0.3">
      <c r="D23084" s="25"/>
      <c r="F23084" s="21"/>
      <c r="G23084" s="16"/>
    </row>
    <row r="23085" spans="4:7" ht="15" x14ac:dyDescent="0.3">
      <c r="D23085" s="25"/>
      <c r="F23085" s="21"/>
      <c r="G23085" s="16"/>
    </row>
    <row r="23086" spans="4:7" ht="15" x14ac:dyDescent="0.3">
      <c r="D23086" s="25"/>
      <c r="F23086" s="21"/>
      <c r="G23086" s="16"/>
    </row>
    <row r="23087" spans="4:7" ht="15" x14ac:dyDescent="0.3">
      <c r="D23087" s="25"/>
      <c r="F23087" s="21"/>
      <c r="G23087" s="16"/>
    </row>
    <row r="23088" spans="4:7" ht="15" x14ac:dyDescent="0.3">
      <c r="D23088" s="25"/>
      <c r="F23088" s="21"/>
      <c r="G23088" s="16"/>
    </row>
    <row r="23089" spans="4:7" ht="15" x14ac:dyDescent="0.3">
      <c r="D23089" s="25"/>
      <c r="F23089" s="21"/>
      <c r="G23089" s="16"/>
    </row>
    <row r="23090" spans="4:7" ht="15" x14ac:dyDescent="0.3">
      <c r="D23090" s="25"/>
      <c r="F23090" s="21"/>
      <c r="G23090" s="16"/>
    </row>
    <row r="23091" spans="4:7" ht="15" x14ac:dyDescent="0.3">
      <c r="D23091" s="25"/>
      <c r="F23091" s="21"/>
      <c r="G23091" s="16"/>
    </row>
    <row r="23092" spans="4:7" ht="15" x14ac:dyDescent="0.3">
      <c r="D23092" s="25"/>
      <c r="F23092" s="21"/>
      <c r="G23092" s="16"/>
    </row>
    <row r="23093" spans="4:7" ht="15" x14ac:dyDescent="0.3">
      <c r="D23093" s="25"/>
      <c r="F23093" s="21"/>
      <c r="G23093" s="16"/>
    </row>
    <row r="23094" spans="4:7" ht="15" x14ac:dyDescent="0.3">
      <c r="D23094" s="25"/>
      <c r="F23094" s="21"/>
      <c r="G23094" s="16"/>
    </row>
    <row r="23095" spans="4:7" ht="15" x14ac:dyDescent="0.3">
      <c r="D23095" s="25"/>
      <c r="F23095" s="21"/>
      <c r="G23095" s="16"/>
    </row>
    <row r="23096" spans="4:7" ht="15" x14ac:dyDescent="0.3">
      <c r="D23096" s="25"/>
      <c r="F23096" s="21"/>
      <c r="G23096" s="16"/>
    </row>
    <row r="23097" spans="4:7" ht="15" x14ac:dyDescent="0.3">
      <c r="D23097" s="25"/>
      <c r="F23097" s="21"/>
      <c r="G23097" s="16"/>
    </row>
    <row r="23098" spans="4:7" ht="15" x14ac:dyDescent="0.3">
      <c r="D23098" s="25"/>
      <c r="F23098" s="21"/>
      <c r="G23098" s="16"/>
    </row>
    <row r="23099" spans="4:7" ht="15" x14ac:dyDescent="0.3">
      <c r="D23099" s="25"/>
      <c r="F23099" s="21"/>
      <c r="G23099" s="16"/>
    </row>
    <row r="23100" spans="4:7" ht="15" x14ac:dyDescent="0.3">
      <c r="D23100" s="25"/>
      <c r="F23100" s="21"/>
      <c r="G23100" s="16"/>
    </row>
    <row r="23101" spans="4:7" ht="15" x14ac:dyDescent="0.3">
      <c r="D23101" s="25"/>
      <c r="F23101" s="21"/>
      <c r="G23101" s="16"/>
    </row>
    <row r="23102" spans="4:7" ht="15" x14ac:dyDescent="0.3">
      <c r="D23102" s="25"/>
      <c r="F23102" s="21"/>
      <c r="G23102" s="16"/>
    </row>
    <row r="23103" spans="4:7" ht="15" x14ac:dyDescent="0.3">
      <c r="D23103" s="25"/>
      <c r="F23103" s="21"/>
      <c r="G23103" s="16"/>
    </row>
    <row r="23104" spans="4:7" ht="15" x14ac:dyDescent="0.3">
      <c r="D23104" s="25"/>
      <c r="F23104" s="21"/>
      <c r="G23104" s="16"/>
    </row>
    <row r="23105" spans="4:7" ht="15" x14ac:dyDescent="0.3">
      <c r="D23105" s="25"/>
      <c r="F23105" s="21"/>
      <c r="G23105" s="16"/>
    </row>
    <row r="23106" spans="4:7" ht="15" x14ac:dyDescent="0.3">
      <c r="D23106" s="25"/>
      <c r="F23106" s="21"/>
      <c r="G23106" s="16"/>
    </row>
    <row r="23107" spans="4:7" ht="15" x14ac:dyDescent="0.3">
      <c r="D23107" s="25"/>
      <c r="F23107" s="21"/>
      <c r="G23107" s="16"/>
    </row>
    <row r="23108" spans="4:7" ht="15" x14ac:dyDescent="0.3">
      <c r="D23108" s="25"/>
      <c r="F23108" s="21"/>
      <c r="G23108" s="16"/>
    </row>
    <row r="23109" spans="4:7" ht="15" x14ac:dyDescent="0.3">
      <c r="D23109" s="25"/>
      <c r="F23109" s="21"/>
      <c r="G23109" s="16"/>
    </row>
    <row r="23110" spans="4:7" ht="15" x14ac:dyDescent="0.3">
      <c r="D23110" s="25"/>
      <c r="F23110" s="21"/>
      <c r="G23110" s="16"/>
    </row>
    <row r="23111" spans="4:7" ht="15" x14ac:dyDescent="0.3">
      <c r="D23111" s="25"/>
      <c r="F23111" s="21"/>
      <c r="G23111" s="16"/>
    </row>
    <row r="23112" spans="4:7" ht="15" x14ac:dyDescent="0.3">
      <c r="D23112" s="25"/>
      <c r="F23112" s="21"/>
      <c r="G23112" s="16"/>
    </row>
    <row r="23113" spans="4:7" ht="15" x14ac:dyDescent="0.3">
      <c r="D23113" s="25"/>
      <c r="F23113" s="21"/>
      <c r="G23113" s="16"/>
    </row>
    <row r="23114" spans="4:7" ht="15" x14ac:dyDescent="0.3">
      <c r="D23114" s="25"/>
      <c r="F23114" s="21"/>
      <c r="G23114" s="16"/>
    </row>
    <row r="23115" spans="4:7" ht="15" x14ac:dyDescent="0.3">
      <c r="D23115" s="25"/>
      <c r="F23115" s="21"/>
      <c r="G23115" s="16"/>
    </row>
    <row r="23116" spans="4:7" ht="15" x14ac:dyDescent="0.3">
      <c r="D23116" s="25"/>
      <c r="F23116" s="21"/>
      <c r="G23116" s="16"/>
    </row>
    <row r="23117" spans="4:7" ht="15" x14ac:dyDescent="0.3">
      <c r="D23117" s="25"/>
      <c r="F23117" s="21"/>
      <c r="G23117" s="16"/>
    </row>
    <row r="23118" spans="4:7" ht="15" x14ac:dyDescent="0.3">
      <c r="D23118" s="25"/>
      <c r="F23118" s="21"/>
      <c r="G23118" s="16"/>
    </row>
    <row r="23119" spans="4:7" ht="15" x14ac:dyDescent="0.3">
      <c r="D23119" s="25"/>
      <c r="F23119" s="21"/>
      <c r="G23119" s="16"/>
    </row>
    <row r="23120" spans="4:7" ht="15" x14ac:dyDescent="0.3">
      <c r="D23120" s="25"/>
      <c r="F23120" s="21"/>
      <c r="G23120" s="16"/>
    </row>
    <row r="23121" spans="4:7" ht="15" x14ac:dyDescent="0.3">
      <c r="D23121" s="25"/>
      <c r="F23121" s="21"/>
      <c r="G23121" s="16"/>
    </row>
    <row r="23122" spans="4:7" ht="15" x14ac:dyDescent="0.3">
      <c r="D23122" s="25"/>
      <c r="F23122" s="21"/>
      <c r="G23122" s="16"/>
    </row>
    <row r="23123" spans="4:7" ht="15" x14ac:dyDescent="0.3">
      <c r="D23123" s="25"/>
      <c r="F23123" s="21"/>
      <c r="G23123" s="16"/>
    </row>
    <row r="23124" spans="4:7" ht="15" x14ac:dyDescent="0.3">
      <c r="D23124" s="25"/>
      <c r="F23124" s="21"/>
      <c r="G23124" s="16"/>
    </row>
    <row r="23125" spans="4:7" ht="15" x14ac:dyDescent="0.3">
      <c r="D23125" s="25"/>
      <c r="F23125" s="21"/>
      <c r="G23125" s="16"/>
    </row>
    <row r="23126" spans="4:7" ht="15" x14ac:dyDescent="0.3">
      <c r="D23126" s="25"/>
      <c r="F23126" s="21"/>
      <c r="G23126" s="16"/>
    </row>
    <row r="23127" spans="4:7" ht="15" x14ac:dyDescent="0.3">
      <c r="D23127" s="25"/>
      <c r="F23127" s="21"/>
      <c r="G23127" s="16"/>
    </row>
    <row r="23128" spans="4:7" ht="15" x14ac:dyDescent="0.3">
      <c r="D23128" s="25"/>
      <c r="F23128" s="21"/>
      <c r="G23128" s="16"/>
    </row>
    <row r="23129" spans="4:7" ht="15" x14ac:dyDescent="0.3">
      <c r="D23129" s="25"/>
      <c r="F23129" s="21"/>
      <c r="G23129" s="16"/>
    </row>
    <row r="23130" spans="4:7" ht="15" x14ac:dyDescent="0.3">
      <c r="D23130" s="25"/>
      <c r="F23130" s="21"/>
      <c r="G23130" s="16"/>
    </row>
    <row r="23131" spans="4:7" ht="15" x14ac:dyDescent="0.3">
      <c r="D23131" s="25"/>
      <c r="F23131" s="21"/>
      <c r="G23131" s="16"/>
    </row>
    <row r="23132" spans="4:7" ht="15" x14ac:dyDescent="0.3">
      <c r="D23132" s="25"/>
      <c r="F23132" s="21"/>
      <c r="G23132" s="16"/>
    </row>
    <row r="23133" spans="4:7" ht="15" x14ac:dyDescent="0.3">
      <c r="D23133" s="25"/>
      <c r="F23133" s="21"/>
      <c r="G23133" s="16"/>
    </row>
    <row r="23134" spans="4:7" ht="15" x14ac:dyDescent="0.3">
      <c r="D23134" s="25"/>
      <c r="F23134" s="21"/>
      <c r="G23134" s="16"/>
    </row>
    <row r="23135" spans="4:7" ht="15" x14ac:dyDescent="0.3">
      <c r="D23135" s="25"/>
      <c r="F23135" s="21"/>
      <c r="G23135" s="16"/>
    </row>
    <row r="23136" spans="4:7" ht="15" x14ac:dyDescent="0.3">
      <c r="D23136" s="25"/>
      <c r="F23136" s="21"/>
      <c r="G23136" s="16"/>
    </row>
    <row r="23137" spans="4:7" ht="15" x14ac:dyDescent="0.3">
      <c r="D23137" s="25"/>
      <c r="F23137" s="21"/>
      <c r="G23137" s="16"/>
    </row>
    <row r="23138" spans="4:7" ht="15" x14ac:dyDescent="0.3">
      <c r="D23138" s="25"/>
      <c r="F23138" s="21"/>
      <c r="G23138" s="16"/>
    </row>
    <row r="23139" spans="4:7" ht="15" x14ac:dyDescent="0.3">
      <c r="D23139" s="25"/>
      <c r="F23139" s="21"/>
      <c r="G23139" s="16"/>
    </row>
    <row r="23140" spans="4:7" ht="15" x14ac:dyDescent="0.3">
      <c r="D23140" s="25"/>
      <c r="F23140" s="21"/>
      <c r="G23140" s="16"/>
    </row>
    <row r="23141" spans="4:7" ht="15" x14ac:dyDescent="0.3">
      <c r="D23141" s="25"/>
      <c r="F23141" s="21"/>
      <c r="G23141" s="16"/>
    </row>
    <row r="23142" spans="4:7" ht="15" x14ac:dyDescent="0.3">
      <c r="D23142" s="25"/>
      <c r="F23142" s="21"/>
      <c r="G23142" s="16"/>
    </row>
    <row r="23143" spans="4:7" ht="15" x14ac:dyDescent="0.3">
      <c r="D23143" s="25"/>
      <c r="F23143" s="21"/>
      <c r="G23143" s="16"/>
    </row>
    <row r="23144" spans="4:7" ht="15" x14ac:dyDescent="0.3">
      <c r="D23144" s="25"/>
      <c r="F23144" s="21"/>
      <c r="G23144" s="16"/>
    </row>
    <row r="23145" spans="4:7" ht="15" x14ac:dyDescent="0.3">
      <c r="D23145" s="25"/>
      <c r="F23145" s="21"/>
      <c r="G23145" s="16"/>
    </row>
    <row r="23146" spans="4:7" ht="15" x14ac:dyDescent="0.3">
      <c r="D23146" s="25"/>
      <c r="F23146" s="21"/>
      <c r="G23146" s="16"/>
    </row>
    <row r="23147" spans="4:7" ht="15" x14ac:dyDescent="0.3">
      <c r="D23147" s="25"/>
      <c r="F23147" s="21"/>
      <c r="G23147" s="16"/>
    </row>
    <row r="23148" spans="4:7" ht="15" x14ac:dyDescent="0.3">
      <c r="D23148" s="25"/>
      <c r="F23148" s="21"/>
      <c r="G23148" s="16"/>
    </row>
    <row r="23149" spans="4:7" ht="15" x14ac:dyDescent="0.3">
      <c r="D23149" s="25"/>
      <c r="F23149" s="21"/>
      <c r="G23149" s="16"/>
    </row>
    <row r="23150" spans="4:7" ht="15" x14ac:dyDescent="0.3">
      <c r="D23150" s="25"/>
      <c r="F23150" s="21"/>
      <c r="G23150" s="16"/>
    </row>
    <row r="23151" spans="4:7" ht="15" x14ac:dyDescent="0.3">
      <c r="D23151" s="25"/>
      <c r="F23151" s="21"/>
      <c r="G23151" s="16"/>
    </row>
    <row r="23152" spans="4:7" ht="15" x14ac:dyDescent="0.3">
      <c r="D23152" s="25"/>
      <c r="F23152" s="21"/>
      <c r="G23152" s="16"/>
    </row>
    <row r="23153" spans="4:7" ht="15" x14ac:dyDescent="0.3">
      <c r="D23153" s="25"/>
      <c r="F23153" s="21"/>
      <c r="G23153" s="16"/>
    </row>
    <row r="23154" spans="4:7" ht="15" x14ac:dyDescent="0.3">
      <c r="D23154" s="25"/>
      <c r="F23154" s="21"/>
      <c r="G23154" s="16"/>
    </row>
    <row r="23155" spans="4:7" ht="15" x14ac:dyDescent="0.3">
      <c r="D23155" s="25"/>
      <c r="F23155" s="21"/>
      <c r="G23155" s="16"/>
    </row>
    <row r="23156" spans="4:7" ht="15" x14ac:dyDescent="0.3">
      <c r="D23156" s="25"/>
      <c r="F23156" s="21"/>
      <c r="G23156" s="16"/>
    </row>
    <row r="23157" spans="4:7" ht="15" x14ac:dyDescent="0.3">
      <c r="D23157" s="25"/>
      <c r="F23157" s="21"/>
      <c r="G23157" s="16"/>
    </row>
    <row r="23158" spans="4:7" ht="15" x14ac:dyDescent="0.3">
      <c r="D23158" s="25"/>
      <c r="F23158" s="21"/>
      <c r="G23158" s="16"/>
    </row>
    <row r="23159" spans="4:7" ht="15" x14ac:dyDescent="0.3">
      <c r="D23159" s="25"/>
      <c r="F23159" s="21"/>
      <c r="G23159" s="16"/>
    </row>
    <row r="23160" spans="4:7" ht="15" x14ac:dyDescent="0.3">
      <c r="D23160" s="25"/>
      <c r="F23160" s="21"/>
      <c r="G23160" s="16"/>
    </row>
    <row r="23161" spans="4:7" ht="15" x14ac:dyDescent="0.3">
      <c r="D23161" s="25"/>
      <c r="F23161" s="21"/>
      <c r="G23161" s="16"/>
    </row>
    <row r="23162" spans="4:7" ht="15" x14ac:dyDescent="0.3">
      <c r="D23162" s="25"/>
      <c r="F23162" s="21"/>
      <c r="G23162" s="16"/>
    </row>
    <row r="23163" spans="4:7" ht="15" x14ac:dyDescent="0.3">
      <c r="D23163" s="25"/>
      <c r="F23163" s="21"/>
      <c r="G23163" s="16"/>
    </row>
    <row r="23164" spans="4:7" ht="15" x14ac:dyDescent="0.3">
      <c r="D23164" s="25"/>
      <c r="F23164" s="21"/>
      <c r="G23164" s="16"/>
    </row>
    <row r="23165" spans="4:7" ht="15" x14ac:dyDescent="0.3">
      <c r="D23165" s="25"/>
      <c r="F23165" s="21"/>
      <c r="G23165" s="16"/>
    </row>
    <row r="23166" spans="4:7" ht="15" x14ac:dyDescent="0.3">
      <c r="D23166" s="25"/>
      <c r="F23166" s="21"/>
      <c r="G23166" s="16"/>
    </row>
    <row r="23167" spans="4:7" ht="15" x14ac:dyDescent="0.3">
      <c r="D23167" s="25"/>
      <c r="F23167" s="21"/>
      <c r="G23167" s="16"/>
    </row>
    <row r="23168" spans="4:7" ht="15" x14ac:dyDescent="0.3">
      <c r="D23168" s="25"/>
      <c r="F23168" s="21"/>
      <c r="G23168" s="16"/>
    </row>
    <row r="23169" spans="4:7" ht="15" x14ac:dyDescent="0.3">
      <c r="D23169" s="25"/>
      <c r="F23169" s="21"/>
      <c r="G23169" s="16"/>
    </row>
    <row r="23170" spans="4:7" ht="15" x14ac:dyDescent="0.3">
      <c r="D23170" s="25"/>
      <c r="F23170" s="21"/>
      <c r="G23170" s="16"/>
    </row>
    <row r="23171" spans="4:7" ht="15" x14ac:dyDescent="0.3">
      <c r="D23171" s="25"/>
      <c r="F23171" s="21"/>
      <c r="G23171" s="16"/>
    </row>
    <row r="23172" spans="4:7" ht="15" x14ac:dyDescent="0.3">
      <c r="D23172" s="25"/>
      <c r="F23172" s="21"/>
      <c r="G23172" s="16"/>
    </row>
    <row r="23173" spans="4:7" ht="15" x14ac:dyDescent="0.3">
      <c r="D23173" s="25"/>
      <c r="F23173" s="21"/>
      <c r="G23173" s="16"/>
    </row>
    <row r="23174" spans="4:7" ht="15" x14ac:dyDescent="0.3">
      <c r="D23174" s="25"/>
      <c r="F23174" s="21"/>
      <c r="G23174" s="16"/>
    </row>
    <row r="23175" spans="4:7" ht="15" x14ac:dyDescent="0.3">
      <c r="D23175" s="25"/>
      <c r="F23175" s="21"/>
      <c r="G23175" s="16"/>
    </row>
    <row r="23176" spans="4:7" ht="15" x14ac:dyDescent="0.3">
      <c r="D23176" s="25"/>
      <c r="F23176" s="21"/>
      <c r="G23176" s="16"/>
    </row>
    <row r="23177" spans="4:7" ht="15" x14ac:dyDescent="0.3">
      <c r="D23177" s="25"/>
      <c r="F23177" s="21"/>
      <c r="G23177" s="16"/>
    </row>
    <row r="23178" spans="4:7" ht="15" x14ac:dyDescent="0.3">
      <c r="D23178" s="25"/>
      <c r="F23178" s="21"/>
      <c r="G23178" s="16"/>
    </row>
    <row r="23179" spans="4:7" ht="15" x14ac:dyDescent="0.3">
      <c r="D23179" s="25"/>
      <c r="F23179" s="21"/>
      <c r="G23179" s="16"/>
    </row>
    <row r="23180" spans="4:7" ht="15" x14ac:dyDescent="0.3">
      <c r="D23180" s="25"/>
      <c r="F23180" s="21"/>
      <c r="G23180" s="16"/>
    </row>
    <row r="23181" spans="4:7" ht="15" x14ac:dyDescent="0.3">
      <c r="D23181" s="25"/>
      <c r="F23181" s="21"/>
      <c r="G23181" s="16"/>
    </row>
    <row r="23182" spans="4:7" ht="15" x14ac:dyDescent="0.3">
      <c r="D23182" s="25"/>
      <c r="F23182" s="21"/>
      <c r="G23182" s="16"/>
    </row>
    <row r="23183" spans="4:7" ht="15" x14ac:dyDescent="0.3">
      <c r="D23183" s="25"/>
      <c r="F23183" s="21"/>
      <c r="G23183" s="16"/>
    </row>
    <row r="23184" spans="4:7" ht="15" x14ac:dyDescent="0.3">
      <c r="D23184" s="25"/>
      <c r="F23184" s="21"/>
      <c r="G23184" s="16"/>
    </row>
    <row r="23185" spans="4:7" ht="15" x14ac:dyDescent="0.3">
      <c r="D23185" s="25"/>
      <c r="F23185" s="21"/>
      <c r="G23185" s="16"/>
    </row>
    <row r="23186" spans="4:7" ht="15" x14ac:dyDescent="0.3">
      <c r="D23186" s="25"/>
      <c r="F23186" s="21"/>
      <c r="G23186" s="16"/>
    </row>
    <row r="23187" spans="4:7" ht="15" x14ac:dyDescent="0.3">
      <c r="D23187" s="25"/>
      <c r="F23187" s="21"/>
      <c r="G23187" s="16"/>
    </row>
    <row r="23188" spans="4:7" ht="15" x14ac:dyDescent="0.3">
      <c r="D23188" s="25"/>
      <c r="F23188" s="21"/>
      <c r="G23188" s="16"/>
    </row>
    <row r="23189" spans="4:7" ht="15" x14ac:dyDescent="0.3">
      <c r="D23189" s="25"/>
      <c r="F23189" s="21"/>
      <c r="G23189" s="16"/>
    </row>
    <row r="23190" spans="4:7" ht="15" x14ac:dyDescent="0.3">
      <c r="D23190" s="25"/>
      <c r="F23190" s="21"/>
      <c r="G23190" s="16"/>
    </row>
    <row r="23191" spans="4:7" ht="15" x14ac:dyDescent="0.3">
      <c r="D23191" s="25"/>
      <c r="F23191" s="21"/>
      <c r="G23191" s="16"/>
    </row>
    <row r="23192" spans="4:7" ht="15" x14ac:dyDescent="0.3">
      <c r="D23192" s="25"/>
      <c r="F23192" s="21"/>
      <c r="G23192" s="16"/>
    </row>
    <row r="23193" spans="4:7" ht="15" x14ac:dyDescent="0.3">
      <c r="D23193" s="25"/>
      <c r="F23193" s="21"/>
      <c r="G23193" s="16"/>
    </row>
    <row r="23194" spans="4:7" ht="15" x14ac:dyDescent="0.3">
      <c r="D23194" s="25"/>
      <c r="F23194" s="21"/>
      <c r="G23194" s="16"/>
    </row>
    <row r="23195" spans="4:7" ht="15" x14ac:dyDescent="0.3">
      <c r="D23195" s="25"/>
      <c r="F23195" s="21"/>
      <c r="G23195" s="16"/>
    </row>
    <row r="23196" spans="4:7" ht="15" x14ac:dyDescent="0.3">
      <c r="D23196" s="25"/>
      <c r="F23196" s="21"/>
      <c r="G23196" s="16"/>
    </row>
    <row r="23197" spans="4:7" ht="15" x14ac:dyDescent="0.3">
      <c r="D23197" s="25"/>
      <c r="F23197" s="21"/>
      <c r="G23197" s="16"/>
    </row>
    <row r="23198" spans="4:7" ht="15" x14ac:dyDescent="0.3">
      <c r="D23198" s="25"/>
      <c r="F23198" s="21"/>
      <c r="G23198" s="16"/>
    </row>
    <row r="23199" spans="4:7" ht="15" x14ac:dyDescent="0.3">
      <c r="D23199" s="25"/>
      <c r="F23199" s="21"/>
      <c r="G23199" s="16"/>
    </row>
    <row r="23200" spans="4:7" ht="15" x14ac:dyDescent="0.3">
      <c r="D23200" s="25"/>
      <c r="F23200" s="21"/>
      <c r="G23200" s="16"/>
    </row>
    <row r="23201" spans="4:7" ht="15" x14ac:dyDescent="0.3">
      <c r="D23201" s="25"/>
      <c r="F23201" s="21"/>
      <c r="G23201" s="16"/>
    </row>
    <row r="23202" spans="4:7" ht="15" x14ac:dyDescent="0.3">
      <c r="D23202" s="25"/>
      <c r="F23202" s="21"/>
      <c r="G23202" s="16"/>
    </row>
    <row r="23203" spans="4:7" ht="15" x14ac:dyDescent="0.3">
      <c r="D23203" s="25"/>
      <c r="F23203" s="21"/>
      <c r="G23203" s="16"/>
    </row>
    <row r="23204" spans="4:7" ht="15" x14ac:dyDescent="0.3">
      <c r="D23204" s="25"/>
      <c r="F23204" s="21"/>
      <c r="G23204" s="16"/>
    </row>
    <row r="23205" spans="4:7" ht="15" x14ac:dyDescent="0.3">
      <c r="D23205" s="25"/>
      <c r="F23205" s="21"/>
      <c r="G23205" s="16"/>
    </row>
    <row r="23206" spans="4:7" ht="15" x14ac:dyDescent="0.3">
      <c r="D23206" s="25"/>
      <c r="F23206" s="21"/>
      <c r="G23206" s="16"/>
    </row>
    <row r="23207" spans="4:7" ht="15" x14ac:dyDescent="0.3">
      <c r="D23207" s="25"/>
      <c r="F23207" s="21"/>
      <c r="G23207" s="16"/>
    </row>
    <row r="23208" spans="4:7" ht="15" x14ac:dyDescent="0.3">
      <c r="D23208" s="25"/>
      <c r="F23208" s="21"/>
      <c r="G23208" s="16"/>
    </row>
    <row r="23209" spans="4:7" ht="15" x14ac:dyDescent="0.3">
      <c r="D23209" s="25"/>
      <c r="F23209" s="21"/>
      <c r="G23209" s="16"/>
    </row>
    <row r="23210" spans="4:7" ht="15" x14ac:dyDescent="0.3">
      <c r="D23210" s="25"/>
      <c r="F23210" s="21"/>
      <c r="G23210" s="16"/>
    </row>
    <row r="23211" spans="4:7" ht="15" x14ac:dyDescent="0.3">
      <c r="D23211" s="25"/>
      <c r="F23211" s="21"/>
      <c r="G23211" s="16"/>
    </row>
    <row r="23212" spans="4:7" ht="15" x14ac:dyDescent="0.3">
      <c r="D23212" s="25"/>
      <c r="F23212" s="21"/>
      <c r="G23212" s="16"/>
    </row>
    <row r="23213" spans="4:7" ht="15" x14ac:dyDescent="0.3">
      <c r="D23213" s="25"/>
      <c r="F23213" s="21"/>
      <c r="G23213" s="16"/>
    </row>
    <row r="23214" spans="4:7" ht="15" x14ac:dyDescent="0.3">
      <c r="D23214" s="25"/>
      <c r="F23214" s="21"/>
      <c r="G23214" s="16"/>
    </row>
    <row r="23215" spans="4:7" ht="15" x14ac:dyDescent="0.3">
      <c r="D23215" s="25"/>
      <c r="F23215" s="21"/>
      <c r="G23215" s="16"/>
    </row>
    <row r="23216" spans="4:7" ht="15" x14ac:dyDescent="0.3">
      <c r="D23216" s="25"/>
      <c r="F23216" s="21"/>
      <c r="G23216" s="16"/>
    </row>
    <row r="23217" spans="4:7" ht="15" x14ac:dyDescent="0.3">
      <c r="D23217" s="25"/>
      <c r="F23217" s="21"/>
      <c r="G23217" s="16"/>
    </row>
    <row r="23218" spans="4:7" ht="15" x14ac:dyDescent="0.3">
      <c r="D23218" s="25"/>
      <c r="F23218" s="21"/>
      <c r="G23218" s="16"/>
    </row>
    <row r="23219" spans="4:7" ht="15" x14ac:dyDescent="0.3">
      <c r="D23219" s="25"/>
      <c r="F23219" s="21"/>
      <c r="G23219" s="16"/>
    </row>
    <row r="23220" spans="4:7" ht="15" x14ac:dyDescent="0.3">
      <c r="D23220" s="25"/>
      <c r="F23220" s="21"/>
      <c r="G23220" s="16"/>
    </row>
    <row r="23221" spans="4:7" ht="15" x14ac:dyDescent="0.3">
      <c r="D23221" s="25"/>
      <c r="F23221" s="21"/>
      <c r="G23221" s="16"/>
    </row>
    <row r="23222" spans="4:7" ht="15" x14ac:dyDescent="0.3">
      <c r="D23222" s="25"/>
      <c r="F23222" s="21"/>
      <c r="G23222" s="16"/>
    </row>
    <row r="23223" spans="4:7" ht="15" x14ac:dyDescent="0.3">
      <c r="D23223" s="25"/>
      <c r="F23223" s="21"/>
      <c r="G23223" s="16"/>
    </row>
    <row r="23224" spans="4:7" ht="15" x14ac:dyDescent="0.3">
      <c r="D23224" s="25"/>
      <c r="F23224" s="21"/>
      <c r="G23224" s="16"/>
    </row>
    <row r="23225" spans="4:7" ht="15" x14ac:dyDescent="0.3">
      <c r="D23225" s="25"/>
      <c r="F23225" s="21"/>
      <c r="G23225" s="16"/>
    </row>
    <row r="23226" spans="4:7" ht="15" x14ac:dyDescent="0.3">
      <c r="D23226" s="25"/>
      <c r="F23226" s="21"/>
      <c r="G23226" s="16"/>
    </row>
    <row r="23227" spans="4:7" ht="15" x14ac:dyDescent="0.3">
      <c r="D23227" s="25"/>
      <c r="F23227" s="21"/>
      <c r="G23227" s="16"/>
    </row>
    <row r="23228" spans="4:7" ht="15" x14ac:dyDescent="0.3">
      <c r="D23228" s="25"/>
      <c r="F23228" s="21"/>
      <c r="G23228" s="16"/>
    </row>
    <row r="23229" spans="4:7" ht="15" x14ac:dyDescent="0.3">
      <c r="D23229" s="25"/>
      <c r="F23229" s="21"/>
      <c r="G23229" s="16"/>
    </row>
    <row r="23230" spans="4:7" ht="15" x14ac:dyDescent="0.3">
      <c r="D23230" s="25"/>
      <c r="F23230" s="21"/>
      <c r="G23230" s="16"/>
    </row>
    <row r="23231" spans="4:7" ht="15" x14ac:dyDescent="0.3">
      <c r="D23231" s="25"/>
      <c r="F23231" s="21"/>
      <c r="G23231" s="16"/>
    </row>
    <row r="23232" spans="4:7" ht="15" x14ac:dyDescent="0.3">
      <c r="D23232" s="25"/>
      <c r="F23232" s="21"/>
      <c r="G23232" s="16"/>
    </row>
    <row r="23233" spans="4:7" ht="15" x14ac:dyDescent="0.3">
      <c r="D23233" s="25"/>
      <c r="F23233" s="21"/>
      <c r="G23233" s="16"/>
    </row>
    <row r="23234" spans="4:7" ht="15" x14ac:dyDescent="0.3">
      <c r="D23234" s="25"/>
      <c r="F23234" s="21"/>
      <c r="G23234" s="16"/>
    </row>
    <row r="23235" spans="4:7" ht="15" x14ac:dyDescent="0.3">
      <c r="D23235" s="25"/>
      <c r="F23235" s="21"/>
      <c r="G23235" s="16"/>
    </row>
    <row r="23236" spans="4:7" ht="15" x14ac:dyDescent="0.3">
      <c r="D23236" s="25"/>
      <c r="F23236" s="21"/>
      <c r="G23236" s="16"/>
    </row>
    <row r="23237" spans="4:7" ht="15" x14ac:dyDescent="0.3">
      <c r="D23237" s="25"/>
      <c r="F23237" s="21"/>
      <c r="G23237" s="16"/>
    </row>
    <row r="23238" spans="4:7" ht="15" x14ac:dyDescent="0.3">
      <c r="D23238" s="25"/>
      <c r="F23238" s="21"/>
      <c r="G23238" s="16"/>
    </row>
    <row r="23239" spans="4:7" ht="15" x14ac:dyDescent="0.3">
      <c r="D23239" s="25"/>
      <c r="F23239" s="21"/>
      <c r="G23239" s="16"/>
    </row>
    <row r="23240" spans="4:7" ht="15" x14ac:dyDescent="0.3">
      <c r="D23240" s="25"/>
      <c r="F23240" s="21"/>
      <c r="G23240" s="16"/>
    </row>
    <row r="23241" spans="4:7" ht="15" x14ac:dyDescent="0.3">
      <c r="D23241" s="25"/>
      <c r="F23241" s="21"/>
      <c r="G23241" s="16"/>
    </row>
    <row r="23242" spans="4:7" ht="15" x14ac:dyDescent="0.3">
      <c r="D23242" s="25"/>
      <c r="F23242" s="21"/>
      <c r="G23242" s="16"/>
    </row>
    <row r="23243" spans="4:7" ht="15" x14ac:dyDescent="0.3">
      <c r="D23243" s="25"/>
      <c r="F23243" s="21"/>
      <c r="G23243" s="16"/>
    </row>
    <row r="23244" spans="4:7" ht="15" x14ac:dyDescent="0.3">
      <c r="D23244" s="25"/>
      <c r="F23244" s="21"/>
      <c r="G23244" s="16"/>
    </row>
    <row r="23245" spans="4:7" ht="15" x14ac:dyDescent="0.3">
      <c r="D23245" s="25"/>
      <c r="F23245" s="21"/>
      <c r="G23245" s="16"/>
    </row>
    <row r="23246" spans="4:7" ht="15" x14ac:dyDescent="0.3">
      <c r="D23246" s="25"/>
      <c r="F23246" s="21"/>
      <c r="G23246" s="16"/>
    </row>
    <row r="23247" spans="4:7" ht="15" x14ac:dyDescent="0.3">
      <c r="D23247" s="25"/>
      <c r="F23247" s="21"/>
      <c r="G23247" s="16"/>
    </row>
    <row r="23248" spans="4:7" ht="15" x14ac:dyDescent="0.3">
      <c r="D23248" s="25"/>
      <c r="F23248" s="21"/>
      <c r="G23248" s="16"/>
    </row>
    <row r="23249" spans="4:7" ht="15" x14ac:dyDescent="0.3">
      <c r="D23249" s="25"/>
      <c r="F23249" s="21"/>
      <c r="G23249" s="16"/>
    </row>
    <row r="23250" spans="4:7" ht="15" x14ac:dyDescent="0.3">
      <c r="D23250" s="25"/>
      <c r="F23250" s="21"/>
      <c r="G23250" s="16"/>
    </row>
    <row r="23251" spans="4:7" ht="15" x14ac:dyDescent="0.3">
      <c r="D23251" s="25"/>
      <c r="F23251" s="21"/>
      <c r="G23251" s="16"/>
    </row>
    <row r="23252" spans="4:7" ht="15" x14ac:dyDescent="0.3">
      <c r="D23252" s="25"/>
      <c r="F23252" s="21"/>
      <c r="G23252" s="16"/>
    </row>
    <row r="23253" spans="4:7" ht="15" x14ac:dyDescent="0.3">
      <c r="D23253" s="25"/>
      <c r="F23253" s="21"/>
      <c r="G23253" s="16"/>
    </row>
    <row r="23254" spans="4:7" ht="15" x14ac:dyDescent="0.3">
      <c r="D23254" s="25"/>
      <c r="F23254" s="21"/>
      <c r="G23254" s="16"/>
    </row>
    <row r="23255" spans="4:7" ht="15" x14ac:dyDescent="0.3">
      <c r="D23255" s="25"/>
      <c r="F23255" s="21"/>
      <c r="G23255" s="16"/>
    </row>
    <row r="23256" spans="4:7" ht="15" x14ac:dyDescent="0.3">
      <c r="D23256" s="25"/>
      <c r="F23256" s="21"/>
      <c r="G23256" s="16"/>
    </row>
    <row r="23257" spans="4:7" ht="15" x14ac:dyDescent="0.3">
      <c r="D23257" s="25"/>
      <c r="F23257" s="21"/>
      <c r="G23257" s="16"/>
    </row>
    <row r="23258" spans="4:7" ht="15" x14ac:dyDescent="0.3">
      <c r="D23258" s="25"/>
      <c r="F23258" s="21"/>
      <c r="G23258" s="16"/>
    </row>
    <row r="23259" spans="4:7" ht="15" x14ac:dyDescent="0.3">
      <c r="D23259" s="25"/>
      <c r="F23259" s="21"/>
      <c r="G23259" s="16"/>
    </row>
    <row r="23260" spans="4:7" ht="15" x14ac:dyDescent="0.3">
      <c r="D23260" s="25"/>
      <c r="F23260" s="21"/>
      <c r="G23260" s="16"/>
    </row>
    <row r="23261" spans="4:7" ht="15" x14ac:dyDescent="0.3">
      <c r="D23261" s="25"/>
      <c r="F23261" s="21"/>
      <c r="G23261" s="16"/>
    </row>
    <row r="23262" spans="4:7" ht="15" x14ac:dyDescent="0.3">
      <c r="D23262" s="25"/>
      <c r="F23262" s="21"/>
      <c r="G23262" s="16"/>
    </row>
    <row r="23263" spans="4:7" ht="15" x14ac:dyDescent="0.3">
      <c r="D23263" s="25"/>
      <c r="F23263" s="21"/>
      <c r="G23263" s="16"/>
    </row>
    <row r="23264" spans="4:7" ht="15" x14ac:dyDescent="0.3">
      <c r="D23264" s="25"/>
      <c r="F23264" s="21"/>
      <c r="G23264" s="16"/>
    </row>
    <row r="23265" spans="4:7" ht="15" x14ac:dyDescent="0.3">
      <c r="D23265" s="25"/>
      <c r="F23265" s="21"/>
      <c r="G23265" s="16"/>
    </row>
    <row r="23266" spans="4:7" ht="15" x14ac:dyDescent="0.3">
      <c r="D23266" s="25"/>
      <c r="F23266" s="21"/>
      <c r="G23266" s="16"/>
    </row>
    <row r="23267" spans="4:7" ht="15" x14ac:dyDescent="0.3">
      <c r="D23267" s="25"/>
      <c r="F23267" s="21"/>
      <c r="G23267" s="16"/>
    </row>
    <row r="23268" spans="4:7" ht="15" x14ac:dyDescent="0.3">
      <c r="D23268" s="25"/>
      <c r="F23268" s="21"/>
      <c r="G23268" s="16"/>
    </row>
    <row r="23269" spans="4:7" ht="15" x14ac:dyDescent="0.3">
      <c r="D23269" s="25"/>
      <c r="F23269" s="21"/>
      <c r="G23269" s="16"/>
    </row>
    <row r="23270" spans="4:7" ht="15" x14ac:dyDescent="0.3">
      <c r="D23270" s="25"/>
      <c r="F23270" s="21"/>
      <c r="G23270" s="16"/>
    </row>
    <row r="23271" spans="4:7" ht="15" x14ac:dyDescent="0.3">
      <c r="D23271" s="25"/>
      <c r="F23271" s="21"/>
      <c r="G23271" s="16"/>
    </row>
    <row r="23272" spans="4:7" ht="15" x14ac:dyDescent="0.3">
      <c r="D23272" s="25"/>
      <c r="F23272" s="21"/>
      <c r="G23272" s="16"/>
    </row>
    <row r="23273" spans="4:7" ht="15" x14ac:dyDescent="0.3">
      <c r="D23273" s="25"/>
      <c r="F23273" s="21"/>
      <c r="G23273" s="16"/>
    </row>
    <row r="23274" spans="4:7" ht="15" x14ac:dyDescent="0.3">
      <c r="D23274" s="25"/>
      <c r="F23274" s="21"/>
      <c r="G23274" s="16"/>
    </row>
    <row r="23275" spans="4:7" ht="15" x14ac:dyDescent="0.3">
      <c r="D23275" s="25"/>
      <c r="F23275" s="21"/>
      <c r="G23275" s="16"/>
    </row>
    <row r="23276" spans="4:7" ht="15" x14ac:dyDescent="0.3">
      <c r="D23276" s="25"/>
      <c r="F23276" s="21"/>
      <c r="G23276" s="16"/>
    </row>
    <row r="23277" spans="4:7" ht="15" x14ac:dyDescent="0.3">
      <c r="D23277" s="25"/>
      <c r="F23277" s="21"/>
      <c r="G23277" s="16"/>
    </row>
    <row r="23278" spans="4:7" ht="15" x14ac:dyDescent="0.3">
      <c r="D23278" s="25"/>
      <c r="F23278" s="21"/>
      <c r="G23278" s="16"/>
    </row>
    <row r="23279" spans="4:7" ht="15" x14ac:dyDescent="0.3">
      <c r="D23279" s="25"/>
      <c r="F23279" s="21"/>
      <c r="G23279" s="16"/>
    </row>
    <row r="23280" spans="4:7" ht="15" x14ac:dyDescent="0.3">
      <c r="D23280" s="25"/>
      <c r="F23280" s="21"/>
      <c r="G23280" s="16"/>
    </row>
    <row r="23281" spans="4:7" ht="15" x14ac:dyDescent="0.3">
      <c r="D23281" s="25"/>
      <c r="F23281" s="21"/>
      <c r="G23281" s="16"/>
    </row>
    <row r="23282" spans="4:7" ht="15" x14ac:dyDescent="0.3">
      <c r="D23282" s="25"/>
      <c r="F23282" s="21"/>
      <c r="G23282" s="16"/>
    </row>
    <row r="23283" spans="4:7" ht="15" x14ac:dyDescent="0.3">
      <c r="D23283" s="25"/>
      <c r="F23283" s="21"/>
      <c r="G23283" s="16"/>
    </row>
    <row r="23284" spans="4:7" ht="15" x14ac:dyDescent="0.3">
      <c r="D23284" s="25"/>
      <c r="F23284" s="21"/>
      <c r="G23284" s="16"/>
    </row>
    <row r="23285" spans="4:7" ht="15" x14ac:dyDescent="0.3">
      <c r="D23285" s="25"/>
      <c r="F23285" s="21"/>
      <c r="G23285" s="16"/>
    </row>
    <row r="23286" spans="4:7" ht="15" x14ac:dyDescent="0.3">
      <c r="D23286" s="25"/>
      <c r="F23286" s="21"/>
      <c r="G23286" s="16"/>
    </row>
    <row r="23287" spans="4:7" ht="15" x14ac:dyDescent="0.3">
      <c r="D23287" s="25"/>
      <c r="F23287" s="21"/>
      <c r="G23287" s="16"/>
    </row>
    <row r="23288" spans="4:7" ht="15" x14ac:dyDescent="0.3">
      <c r="D23288" s="25"/>
      <c r="F23288" s="21"/>
      <c r="G23288" s="16"/>
    </row>
    <row r="23289" spans="4:7" ht="15" x14ac:dyDescent="0.3">
      <c r="D23289" s="25"/>
      <c r="F23289" s="21"/>
      <c r="G23289" s="16"/>
    </row>
    <row r="23290" spans="4:7" ht="15" x14ac:dyDescent="0.3">
      <c r="D23290" s="25"/>
      <c r="F23290" s="21"/>
      <c r="G23290" s="16"/>
    </row>
    <row r="23291" spans="4:7" ht="15" x14ac:dyDescent="0.3">
      <c r="D23291" s="25"/>
      <c r="F23291" s="21"/>
      <c r="G23291" s="16"/>
    </row>
    <row r="23292" spans="4:7" ht="15" x14ac:dyDescent="0.3">
      <c r="D23292" s="25"/>
      <c r="F23292" s="21"/>
      <c r="G23292" s="16"/>
    </row>
    <row r="23293" spans="4:7" ht="15" x14ac:dyDescent="0.3">
      <c r="D23293" s="25"/>
      <c r="F23293" s="21"/>
      <c r="G23293" s="16"/>
    </row>
    <row r="23294" spans="4:7" ht="15" x14ac:dyDescent="0.3">
      <c r="D23294" s="25"/>
      <c r="F23294" s="21"/>
      <c r="G23294" s="16"/>
    </row>
    <row r="23295" spans="4:7" ht="15" x14ac:dyDescent="0.3">
      <c r="D23295" s="25"/>
      <c r="F23295" s="21"/>
      <c r="G23295" s="16"/>
    </row>
    <row r="23296" spans="4:7" ht="15" x14ac:dyDescent="0.3">
      <c r="D23296" s="25"/>
      <c r="F23296" s="21"/>
      <c r="G23296" s="16"/>
    </row>
    <row r="23297" spans="4:7" ht="15" x14ac:dyDescent="0.3">
      <c r="D23297" s="25"/>
      <c r="F23297" s="21"/>
      <c r="G23297" s="16"/>
    </row>
    <row r="23298" spans="4:7" ht="15" x14ac:dyDescent="0.3">
      <c r="D23298" s="25"/>
      <c r="F23298" s="21"/>
      <c r="G23298" s="16"/>
    </row>
    <row r="23299" spans="4:7" ht="15" x14ac:dyDescent="0.3">
      <c r="D23299" s="25"/>
      <c r="F23299" s="21"/>
      <c r="G23299" s="16"/>
    </row>
    <row r="23300" spans="4:7" ht="15" x14ac:dyDescent="0.3">
      <c r="D23300" s="25"/>
      <c r="F23300" s="21"/>
      <c r="G23300" s="16"/>
    </row>
    <row r="23301" spans="4:7" ht="15" x14ac:dyDescent="0.3">
      <c r="D23301" s="25"/>
      <c r="F23301" s="21"/>
      <c r="G23301" s="16"/>
    </row>
    <row r="23302" spans="4:7" ht="15" x14ac:dyDescent="0.3">
      <c r="D23302" s="25"/>
      <c r="F23302" s="21"/>
      <c r="G23302" s="16"/>
    </row>
    <row r="23303" spans="4:7" ht="15" x14ac:dyDescent="0.3">
      <c r="D23303" s="25"/>
      <c r="F23303" s="21"/>
      <c r="G23303" s="16"/>
    </row>
    <row r="23304" spans="4:7" ht="15" x14ac:dyDescent="0.3">
      <c r="D23304" s="25"/>
      <c r="F23304" s="21"/>
      <c r="G23304" s="16"/>
    </row>
    <row r="23305" spans="4:7" ht="15" x14ac:dyDescent="0.3">
      <c r="D23305" s="25"/>
      <c r="F23305" s="21"/>
      <c r="G23305" s="16"/>
    </row>
    <row r="23306" spans="4:7" ht="15" x14ac:dyDescent="0.3">
      <c r="D23306" s="25"/>
      <c r="F23306" s="21"/>
      <c r="G23306" s="16"/>
    </row>
    <row r="23307" spans="4:7" ht="15" x14ac:dyDescent="0.3">
      <c r="D23307" s="25"/>
      <c r="F23307" s="21"/>
      <c r="G23307" s="16"/>
    </row>
    <row r="23308" spans="4:7" ht="15" x14ac:dyDescent="0.3">
      <c r="D23308" s="25"/>
      <c r="F23308" s="21"/>
      <c r="G23308" s="16"/>
    </row>
    <row r="23309" spans="4:7" ht="15" x14ac:dyDescent="0.3">
      <c r="D23309" s="25"/>
      <c r="F23309" s="21"/>
      <c r="G23309" s="16"/>
    </row>
    <row r="23310" spans="4:7" ht="15" x14ac:dyDescent="0.3">
      <c r="D23310" s="25"/>
      <c r="F23310" s="21"/>
      <c r="G23310" s="16"/>
    </row>
    <row r="23311" spans="4:7" ht="15" x14ac:dyDescent="0.3">
      <c r="D23311" s="25"/>
      <c r="F23311" s="21"/>
      <c r="G23311" s="16"/>
    </row>
    <row r="23312" spans="4:7" ht="15" x14ac:dyDescent="0.3">
      <c r="D23312" s="25"/>
      <c r="F23312" s="21"/>
      <c r="G23312" s="16"/>
    </row>
    <row r="23313" spans="4:7" ht="15" x14ac:dyDescent="0.3">
      <c r="D23313" s="25"/>
      <c r="F23313" s="21"/>
      <c r="G23313" s="16"/>
    </row>
    <row r="23314" spans="4:7" ht="15" x14ac:dyDescent="0.3">
      <c r="D23314" s="25"/>
      <c r="F23314" s="21"/>
      <c r="G23314" s="16"/>
    </row>
    <row r="23315" spans="4:7" ht="15" x14ac:dyDescent="0.3">
      <c r="D23315" s="25"/>
      <c r="F23315" s="21"/>
      <c r="G23315" s="16"/>
    </row>
    <row r="23316" spans="4:7" ht="15" x14ac:dyDescent="0.3">
      <c r="D23316" s="25"/>
      <c r="F23316" s="21"/>
      <c r="G23316" s="16"/>
    </row>
    <row r="23317" spans="4:7" ht="15" x14ac:dyDescent="0.3">
      <c r="D23317" s="25"/>
      <c r="F23317" s="21"/>
      <c r="G23317" s="16"/>
    </row>
    <row r="23318" spans="4:7" ht="15" x14ac:dyDescent="0.3">
      <c r="D23318" s="25"/>
      <c r="F23318" s="21"/>
      <c r="G23318" s="16"/>
    </row>
    <row r="23319" spans="4:7" ht="15" x14ac:dyDescent="0.3">
      <c r="D23319" s="25"/>
      <c r="F23319" s="21"/>
      <c r="G23319" s="16"/>
    </row>
    <row r="23320" spans="4:7" ht="15" x14ac:dyDescent="0.3">
      <c r="D23320" s="25"/>
      <c r="F23320" s="21"/>
      <c r="G23320" s="16"/>
    </row>
    <row r="23321" spans="4:7" ht="15" x14ac:dyDescent="0.3">
      <c r="D23321" s="25"/>
      <c r="F23321" s="21"/>
      <c r="G23321" s="16"/>
    </row>
    <row r="23322" spans="4:7" ht="15" x14ac:dyDescent="0.3">
      <c r="D23322" s="25"/>
      <c r="F23322" s="21"/>
      <c r="G23322" s="16"/>
    </row>
    <row r="23323" spans="4:7" ht="15" x14ac:dyDescent="0.3">
      <c r="D23323" s="25"/>
      <c r="F23323" s="21"/>
      <c r="G23323" s="16"/>
    </row>
    <row r="23324" spans="4:7" ht="15" x14ac:dyDescent="0.3">
      <c r="D23324" s="25"/>
      <c r="F23324" s="21"/>
      <c r="G23324" s="16"/>
    </row>
    <row r="23325" spans="4:7" ht="15" x14ac:dyDescent="0.3">
      <c r="D23325" s="25"/>
      <c r="F23325" s="21"/>
      <c r="G23325" s="16"/>
    </row>
    <row r="23326" spans="4:7" ht="15" x14ac:dyDescent="0.3">
      <c r="D23326" s="25"/>
      <c r="F23326" s="21"/>
      <c r="G23326" s="16"/>
    </row>
    <row r="23327" spans="4:7" ht="15" x14ac:dyDescent="0.3">
      <c r="D23327" s="25"/>
      <c r="F23327" s="21"/>
      <c r="G23327" s="16"/>
    </row>
    <row r="23328" spans="4:7" ht="15" x14ac:dyDescent="0.3">
      <c r="D23328" s="25"/>
      <c r="F23328" s="21"/>
      <c r="G23328" s="16"/>
    </row>
    <row r="23329" spans="4:7" ht="15" x14ac:dyDescent="0.3">
      <c r="D23329" s="25"/>
      <c r="F23329" s="21"/>
      <c r="G23329" s="16"/>
    </row>
    <row r="23330" spans="4:7" ht="15" x14ac:dyDescent="0.3">
      <c r="D23330" s="25"/>
      <c r="F23330" s="21"/>
      <c r="G23330" s="16"/>
    </row>
    <row r="23331" spans="4:7" ht="15" x14ac:dyDescent="0.3">
      <c r="D23331" s="25"/>
      <c r="F23331" s="21"/>
      <c r="G23331" s="16"/>
    </row>
    <row r="23332" spans="4:7" ht="15" x14ac:dyDescent="0.3">
      <c r="D23332" s="25"/>
      <c r="F23332" s="21"/>
      <c r="G23332" s="16"/>
    </row>
    <row r="23333" spans="4:7" ht="15" x14ac:dyDescent="0.3">
      <c r="D23333" s="25"/>
      <c r="F23333" s="21"/>
      <c r="G23333" s="16"/>
    </row>
    <row r="23334" spans="4:7" ht="15" x14ac:dyDescent="0.3">
      <c r="D23334" s="25"/>
      <c r="F23334" s="21"/>
      <c r="G23334" s="16"/>
    </row>
    <row r="23335" spans="4:7" ht="15" x14ac:dyDescent="0.3">
      <c r="D23335" s="25"/>
      <c r="F23335" s="21"/>
      <c r="G23335" s="16"/>
    </row>
    <row r="23336" spans="4:7" ht="15" x14ac:dyDescent="0.3">
      <c r="D23336" s="25"/>
      <c r="F23336" s="21"/>
      <c r="G23336" s="16"/>
    </row>
    <row r="23337" spans="4:7" ht="15" x14ac:dyDescent="0.3">
      <c r="D23337" s="25"/>
      <c r="F23337" s="21"/>
      <c r="G23337" s="16"/>
    </row>
    <row r="23338" spans="4:7" ht="15" x14ac:dyDescent="0.3">
      <c r="D23338" s="25"/>
      <c r="F23338" s="21"/>
      <c r="G23338" s="16"/>
    </row>
    <row r="23339" spans="4:7" ht="15" x14ac:dyDescent="0.3">
      <c r="D23339" s="25"/>
      <c r="F23339" s="21"/>
      <c r="G23339" s="16"/>
    </row>
    <row r="23340" spans="4:7" ht="15" x14ac:dyDescent="0.3">
      <c r="D23340" s="25"/>
      <c r="F23340" s="21"/>
      <c r="G23340" s="16"/>
    </row>
    <row r="23341" spans="4:7" ht="15" x14ac:dyDescent="0.3">
      <c r="D23341" s="25"/>
      <c r="F23341" s="21"/>
      <c r="G23341" s="16"/>
    </row>
    <row r="23342" spans="4:7" ht="15" x14ac:dyDescent="0.3">
      <c r="D23342" s="25"/>
      <c r="F23342" s="21"/>
      <c r="G23342" s="16"/>
    </row>
    <row r="23343" spans="4:7" ht="15" x14ac:dyDescent="0.3">
      <c r="D23343" s="25"/>
      <c r="F23343" s="21"/>
      <c r="G23343" s="16"/>
    </row>
    <row r="23344" spans="4:7" ht="15" x14ac:dyDescent="0.3">
      <c r="D23344" s="25"/>
      <c r="F23344" s="21"/>
      <c r="G23344" s="16"/>
    </row>
    <row r="23345" spans="4:7" ht="15" x14ac:dyDescent="0.3">
      <c r="D23345" s="25"/>
      <c r="F23345" s="21"/>
      <c r="G23345" s="16"/>
    </row>
    <row r="23346" spans="4:7" ht="15" x14ac:dyDescent="0.3">
      <c r="D23346" s="25"/>
      <c r="F23346" s="21"/>
      <c r="G23346" s="16"/>
    </row>
    <row r="23347" spans="4:7" ht="15" x14ac:dyDescent="0.3">
      <c r="D23347" s="25"/>
      <c r="F23347" s="21"/>
      <c r="G23347" s="16"/>
    </row>
    <row r="23348" spans="4:7" ht="15" x14ac:dyDescent="0.3">
      <c r="D23348" s="25"/>
      <c r="F23348" s="21"/>
      <c r="G23348" s="16"/>
    </row>
    <row r="23349" spans="4:7" ht="15" x14ac:dyDescent="0.3">
      <c r="D23349" s="25"/>
      <c r="F23349" s="21"/>
      <c r="G23349" s="16"/>
    </row>
    <row r="23350" spans="4:7" ht="15" x14ac:dyDescent="0.3">
      <c r="D23350" s="25"/>
      <c r="F23350" s="21"/>
      <c r="G23350" s="16"/>
    </row>
    <row r="23351" spans="4:7" ht="15" x14ac:dyDescent="0.3">
      <c r="D23351" s="25"/>
      <c r="F23351" s="21"/>
      <c r="G23351" s="16"/>
    </row>
    <row r="23352" spans="4:7" ht="15" x14ac:dyDescent="0.3">
      <c r="D23352" s="25"/>
      <c r="F23352" s="21"/>
      <c r="G23352" s="16"/>
    </row>
    <row r="23353" spans="4:7" ht="15" x14ac:dyDescent="0.3">
      <c r="D23353" s="25"/>
      <c r="F23353" s="21"/>
      <c r="G23353" s="16"/>
    </row>
    <row r="23354" spans="4:7" ht="15" x14ac:dyDescent="0.3">
      <c r="D23354" s="25"/>
      <c r="F23354" s="21"/>
      <c r="G23354" s="16"/>
    </row>
    <row r="23355" spans="4:7" ht="15" x14ac:dyDescent="0.3">
      <c r="D23355" s="25"/>
      <c r="F23355" s="21"/>
      <c r="G23355" s="16"/>
    </row>
    <row r="23356" spans="4:7" ht="15" x14ac:dyDescent="0.3">
      <c r="D23356" s="25"/>
      <c r="F23356" s="21"/>
      <c r="G23356" s="16"/>
    </row>
    <row r="23357" spans="4:7" ht="15" x14ac:dyDescent="0.3">
      <c r="D23357" s="25"/>
      <c r="F23357" s="21"/>
      <c r="G23357" s="16"/>
    </row>
    <row r="23358" spans="4:7" ht="15" x14ac:dyDescent="0.3">
      <c r="D23358" s="25"/>
      <c r="F23358" s="21"/>
      <c r="G23358" s="16"/>
    </row>
    <row r="23359" spans="4:7" ht="15" x14ac:dyDescent="0.3">
      <c r="D23359" s="25"/>
      <c r="F23359" s="21"/>
      <c r="G23359" s="16"/>
    </row>
    <row r="23360" spans="4:7" ht="15" x14ac:dyDescent="0.3">
      <c r="D23360" s="25"/>
      <c r="F23360" s="21"/>
      <c r="G23360" s="16"/>
    </row>
    <row r="23361" spans="4:7" ht="15" x14ac:dyDescent="0.3">
      <c r="D23361" s="25"/>
      <c r="F23361" s="21"/>
      <c r="G23361" s="16"/>
    </row>
    <row r="23362" spans="4:7" ht="15" x14ac:dyDescent="0.3">
      <c r="D23362" s="25"/>
      <c r="F23362" s="21"/>
      <c r="G23362" s="16"/>
    </row>
    <row r="23363" spans="4:7" ht="15" x14ac:dyDescent="0.3">
      <c r="D23363" s="25"/>
      <c r="F23363" s="21"/>
      <c r="G23363" s="16"/>
    </row>
    <row r="23364" spans="4:7" ht="15" x14ac:dyDescent="0.3">
      <c r="D23364" s="25"/>
      <c r="F23364" s="21"/>
      <c r="G23364" s="16"/>
    </row>
    <row r="23365" spans="4:7" ht="15" x14ac:dyDescent="0.3">
      <c r="D23365" s="25"/>
      <c r="F23365" s="21"/>
      <c r="G23365" s="16"/>
    </row>
    <row r="23366" spans="4:7" ht="15" x14ac:dyDescent="0.3">
      <c r="D23366" s="25"/>
      <c r="F23366" s="21"/>
      <c r="G23366" s="16"/>
    </row>
    <row r="23367" spans="4:7" ht="15" x14ac:dyDescent="0.3">
      <c r="D23367" s="25"/>
      <c r="F23367" s="21"/>
      <c r="G23367" s="16"/>
    </row>
    <row r="23368" spans="4:7" ht="15" x14ac:dyDescent="0.3">
      <c r="D23368" s="25"/>
      <c r="F23368" s="21"/>
      <c r="G23368" s="16"/>
    </row>
    <row r="23369" spans="4:7" ht="15" x14ac:dyDescent="0.3">
      <c r="D23369" s="25"/>
      <c r="F23369" s="21"/>
      <c r="G23369" s="16"/>
    </row>
    <row r="23370" spans="4:7" ht="15" x14ac:dyDescent="0.3">
      <c r="D23370" s="25"/>
      <c r="F23370" s="21"/>
      <c r="G23370" s="16"/>
    </row>
    <row r="23371" spans="4:7" ht="15" x14ac:dyDescent="0.3">
      <c r="D23371" s="25"/>
      <c r="F23371" s="21"/>
      <c r="G23371" s="16"/>
    </row>
    <row r="23372" spans="4:7" ht="15" x14ac:dyDescent="0.3">
      <c r="D23372" s="25"/>
      <c r="F23372" s="21"/>
      <c r="G23372" s="16"/>
    </row>
    <row r="23373" spans="4:7" ht="15" x14ac:dyDescent="0.3">
      <c r="D23373" s="25"/>
      <c r="F23373" s="21"/>
      <c r="G23373" s="16"/>
    </row>
    <row r="23374" spans="4:7" ht="15" x14ac:dyDescent="0.3">
      <c r="D23374" s="25"/>
      <c r="F23374" s="21"/>
      <c r="G23374" s="16"/>
    </row>
    <row r="23375" spans="4:7" ht="15" x14ac:dyDescent="0.3">
      <c r="D23375" s="25"/>
      <c r="F23375" s="21"/>
      <c r="G23375" s="16"/>
    </row>
    <row r="23376" spans="4:7" ht="15" x14ac:dyDescent="0.3">
      <c r="D23376" s="25"/>
      <c r="F23376" s="21"/>
      <c r="G23376" s="16"/>
    </row>
    <row r="23377" spans="4:7" ht="15" x14ac:dyDescent="0.3">
      <c r="D23377" s="25"/>
      <c r="F23377" s="21"/>
      <c r="G23377" s="16"/>
    </row>
    <row r="23378" spans="4:7" ht="15" x14ac:dyDescent="0.3">
      <c r="D23378" s="25"/>
      <c r="F23378" s="21"/>
      <c r="G23378" s="16"/>
    </row>
    <row r="23379" spans="4:7" ht="15" x14ac:dyDescent="0.3">
      <c r="D23379" s="25"/>
      <c r="F23379" s="21"/>
      <c r="G23379" s="16"/>
    </row>
    <row r="23380" spans="4:7" ht="15" x14ac:dyDescent="0.3">
      <c r="D23380" s="25"/>
      <c r="F23380" s="21"/>
      <c r="G23380" s="16"/>
    </row>
    <row r="23381" spans="4:7" ht="15" x14ac:dyDescent="0.3">
      <c r="D23381" s="25"/>
      <c r="F23381" s="21"/>
      <c r="G23381" s="16"/>
    </row>
    <row r="23382" spans="4:7" ht="15" x14ac:dyDescent="0.3">
      <c r="D23382" s="25"/>
      <c r="F23382" s="21"/>
      <c r="G23382" s="16"/>
    </row>
    <row r="23383" spans="4:7" ht="15" x14ac:dyDescent="0.3">
      <c r="D23383" s="25"/>
      <c r="F23383" s="21"/>
      <c r="G23383" s="16"/>
    </row>
    <row r="23384" spans="4:7" ht="15" x14ac:dyDescent="0.3">
      <c r="D23384" s="25"/>
      <c r="F23384" s="21"/>
      <c r="G23384" s="16"/>
    </row>
    <row r="23385" spans="4:7" ht="15" x14ac:dyDescent="0.3">
      <c r="D23385" s="25"/>
      <c r="F23385" s="21"/>
      <c r="G23385" s="16"/>
    </row>
    <row r="23386" spans="4:7" ht="15" x14ac:dyDescent="0.3">
      <c r="D23386" s="25"/>
      <c r="F23386" s="21"/>
      <c r="G23386" s="16"/>
    </row>
    <row r="23387" spans="4:7" ht="15" x14ac:dyDescent="0.3">
      <c r="D23387" s="25"/>
      <c r="F23387" s="21"/>
      <c r="G23387" s="16"/>
    </row>
    <row r="23388" spans="4:7" ht="15" x14ac:dyDescent="0.3">
      <c r="D23388" s="25"/>
      <c r="F23388" s="21"/>
      <c r="G23388" s="16"/>
    </row>
    <row r="23389" spans="4:7" ht="15" x14ac:dyDescent="0.3">
      <c r="D23389" s="25"/>
      <c r="F23389" s="21"/>
      <c r="G23389" s="16"/>
    </row>
    <row r="23390" spans="4:7" ht="15" x14ac:dyDescent="0.3">
      <c r="D23390" s="25"/>
      <c r="F23390" s="21"/>
      <c r="G23390" s="16"/>
    </row>
    <row r="23391" spans="4:7" ht="15" x14ac:dyDescent="0.3">
      <c r="D23391" s="25"/>
      <c r="F23391" s="21"/>
      <c r="G23391" s="16"/>
    </row>
    <row r="23392" spans="4:7" ht="15" x14ac:dyDescent="0.3">
      <c r="D23392" s="25"/>
      <c r="F23392" s="21"/>
      <c r="G23392" s="16"/>
    </row>
    <row r="23393" spans="4:7" ht="15" x14ac:dyDescent="0.3">
      <c r="D23393" s="25"/>
      <c r="F23393" s="21"/>
      <c r="G23393" s="16"/>
    </row>
    <row r="23394" spans="4:7" ht="15" x14ac:dyDescent="0.3">
      <c r="D23394" s="25"/>
      <c r="F23394" s="21"/>
      <c r="G23394" s="16"/>
    </row>
    <row r="23395" spans="4:7" ht="15" x14ac:dyDescent="0.3">
      <c r="D23395" s="25"/>
      <c r="F23395" s="21"/>
      <c r="G23395" s="16"/>
    </row>
    <row r="23396" spans="4:7" ht="15" x14ac:dyDescent="0.3">
      <c r="D23396" s="25"/>
      <c r="F23396" s="21"/>
      <c r="G23396" s="16"/>
    </row>
    <row r="23397" spans="4:7" ht="15" x14ac:dyDescent="0.3">
      <c r="D23397" s="25"/>
      <c r="F23397" s="21"/>
      <c r="G23397" s="16"/>
    </row>
    <row r="23398" spans="4:7" ht="15" x14ac:dyDescent="0.3">
      <c r="D23398" s="25"/>
      <c r="F23398" s="21"/>
      <c r="G23398" s="16"/>
    </row>
    <row r="23399" spans="4:7" ht="15" x14ac:dyDescent="0.3">
      <c r="D23399" s="25"/>
      <c r="F23399" s="21"/>
      <c r="G23399" s="16"/>
    </row>
    <row r="23400" spans="4:7" ht="15" x14ac:dyDescent="0.3">
      <c r="D23400" s="25"/>
      <c r="F23400" s="21"/>
      <c r="G23400" s="16"/>
    </row>
    <row r="23401" spans="4:7" ht="15" x14ac:dyDescent="0.3">
      <c r="D23401" s="25"/>
      <c r="F23401" s="21"/>
      <c r="G23401" s="16"/>
    </row>
    <row r="23402" spans="4:7" ht="15" x14ac:dyDescent="0.3">
      <c r="D23402" s="25"/>
      <c r="F23402" s="21"/>
      <c r="G23402" s="16"/>
    </row>
    <row r="23403" spans="4:7" ht="15" x14ac:dyDescent="0.3">
      <c r="D23403" s="25"/>
      <c r="F23403" s="21"/>
      <c r="G23403" s="16"/>
    </row>
    <row r="23404" spans="4:7" ht="15" x14ac:dyDescent="0.3">
      <c r="D23404" s="25"/>
      <c r="F23404" s="21"/>
      <c r="G23404" s="16"/>
    </row>
    <row r="23405" spans="4:7" ht="15" x14ac:dyDescent="0.3">
      <c r="D23405" s="25"/>
      <c r="F23405" s="21"/>
      <c r="G23405" s="16"/>
    </row>
    <row r="23406" spans="4:7" ht="15" x14ac:dyDescent="0.3">
      <c r="D23406" s="25"/>
      <c r="F23406" s="21"/>
      <c r="G23406" s="16"/>
    </row>
    <row r="23407" spans="4:7" ht="15" x14ac:dyDescent="0.3">
      <c r="D23407" s="25"/>
      <c r="F23407" s="21"/>
      <c r="G23407" s="16"/>
    </row>
    <row r="23408" spans="4:7" ht="15" x14ac:dyDescent="0.3">
      <c r="D23408" s="25"/>
      <c r="F23408" s="21"/>
      <c r="G23408" s="16"/>
    </row>
    <row r="23409" spans="4:7" ht="15" x14ac:dyDescent="0.3">
      <c r="D23409" s="25"/>
      <c r="F23409" s="21"/>
      <c r="G23409" s="16"/>
    </row>
    <row r="23410" spans="4:7" ht="15" x14ac:dyDescent="0.3">
      <c r="D23410" s="25"/>
      <c r="F23410" s="21"/>
      <c r="G23410" s="16"/>
    </row>
    <row r="23411" spans="4:7" ht="15" x14ac:dyDescent="0.3">
      <c r="D23411" s="25"/>
      <c r="F23411" s="21"/>
      <c r="G23411" s="16"/>
    </row>
    <row r="23412" spans="4:7" ht="15" x14ac:dyDescent="0.3">
      <c r="D23412" s="25"/>
      <c r="F23412" s="21"/>
      <c r="G23412" s="16"/>
    </row>
    <row r="23413" spans="4:7" ht="15" x14ac:dyDescent="0.3">
      <c r="D23413" s="25"/>
      <c r="F23413" s="21"/>
      <c r="G23413" s="16"/>
    </row>
    <row r="23414" spans="4:7" ht="15" x14ac:dyDescent="0.3">
      <c r="D23414" s="25"/>
      <c r="F23414" s="21"/>
      <c r="G23414" s="16"/>
    </row>
    <row r="23415" spans="4:7" ht="15" x14ac:dyDescent="0.3">
      <c r="D23415" s="25"/>
      <c r="F23415" s="21"/>
      <c r="G23415" s="16"/>
    </row>
    <row r="23416" spans="4:7" ht="15" x14ac:dyDescent="0.3">
      <c r="D23416" s="25"/>
      <c r="F23416" s="21"/>
      <c r="G23416" s="16"/>
    </row>
    <row r="23417" spans="4:7" ht="15" x14ac:dyDescent="0.3">
      <c r="D23417" s="25"/>
      <c r="F23417" s="21"/>
      <c r="G23417" s="16"/>
    </row>
    <row r="23418" spans="4:7" ht="15" x14ac:dyDescent="0.3">
      <c r="D23418" s="25"/>
      <c r="F23418" s="21"/>
      <c r="G23418" s="16"/>
    </row>
    <row r="23419" spans="4:7" ht="15" x14ac:dyDescent="0.3">
      <c r="D23419" s="25"/>
      <c r="F23419" s="21"/>
      <c r="G23419" s="16"/>
    </row>
    <row r="23420" spans="4:7" ht="15" x14ac:dyDescent="0.3">
      <c r="D23420" s="25"/>
      <c r="F23420" s="21"/>
      <c r="G23420" s="16"/>
    </row>
    <row r="23421" spans="4:7" ht="15" x14ac:dyDescent="0.3">
      <c r="D23421" s="25"/>
      <c r="F23421" s="21"/>
      <c r="G23421" s="16"/>
    </row>
    <row r="23422" spans="4:7" ht="15" x14ac:dyDescent="0.3">
      <c r="D23422" s="25"/>
      <c r="F23422" s="21"/>
      <c r="G23422" s="16"/>
    </row>
    <row r="23423" spans="4:7" ht="15" x14ac:dyDescent="0.3">
      <c r="D23423" s="25"/>
      <c r="F23423" s="21"/>
      <c r="G23423" s="16"/>
    </row>
    <row r="23424" spans="4:7" ht="15" x14ac:dyDescent="0.3">
      <c r="D23424" s="25"/>
      <c r="F23424" s="21"/>
      <c r="G23424" s="16"/>
    </row>
    <row r="23425" spans="4:7" ht="15" x14ac:dyDescent="0.3">
      <c r="D23425" s="25"/>
      <c r="F23425" s="21"/>
      <c r="G23425" s="16"/>
    </row>
    <row r="23426" spans="4:7" ht="15" x14ac:dyDescent="0.3">
      <c r="D23426" s="25"/>
      <c r="F23426" s="21"/>
      <c r="G23426" s="16"/>
    </row>
    <row r="23427" spans="4:7" ht="15" x14ac:dyDescent="0.3">
      <c r="D23427" s="25"/>
      <c r="F23427" s="21"/>
      <c r="G23427" s="16"/>
    </row>
    <row r="23428" spans="4:7" ht="15" x14ac:dyDescent="0.3">
      <c r="D23428" s="25"/>
      <c r="F23428" s="21"/>
      <c r="G23428" s="16"/>
    </row>
    <row r="23429" spans="4:7" ht="15" x14ac:dyDescent="0.3">
      <c r="D23429" s="25"/>
      <c r="F23429" s="21"/>
      <c r="G23429" s="16"/>
    </row>
    <row r="23430" spans="4:7" ht="15" x14ac:dyDescent="0.3">
      <c r="D23430" s="25"/>
      <c r="F23430" s="21"/>
      <c r="G23430" s="16"/>
    </row>
    <row r="23431" spans="4:7" ht="15" x14ac:dyDescent="0.3">
      <c r="D23431" s="25"/>
      <c r="F23431" s="21"/>
      <c r="G23431" s="16"/>
    </row>
    <row r="23432" spans="4:7" ht="15" x14ac:dyDescent="0.3">
      <c r="D23432" s="25"/>
      <c r="F23432" s="21"/>
      <c r="G23432" s="16"/>
    </row>
    <row r="23433" spans="4:7" ht="15" x14ac:dyDescent="0.3">
      <c r="D23433" s="25"/>
      <c r="F23433" s="21"/>
      <c r="G23433" s="16"/>
    </row>
    <row r="23434" spans="4:7" ht="15" x14ac:dyDescent="0.3">
      <c r="D23434" s="25"/>
      <c r="F23434" s="21"/>
      <c r="G23434" s="16"/>
    </row>
    <row r="23435" spans="4:7" ht="15" x14ac:dyDescent="0.3">
      <c r="D23435" s="25"/>
      <c r="F23435" s="21"/>
      <c r="G23435" s="16"/>
    </row>
    <row r="23436" spans="4:7" ht="15" x14ac:dyDescent="0.3">
      <c r="D23436" s="25"/>
      <c r="F23436" s="21"/>
      <c r="G23436" s="16"/>
    </row>
    <row r="23437" spans="4:7" ht="15" x14ac:dyDescent="0.3">
      <c r="D23437" s="25"/>
      <c r="F23437" s="21"/>
      <c r="G23437" s="16"/>
    </row>
    <row r="23438" spans="4:7" ht="15" x14ac:dyDescent="0.3">
      <c r="D23438" s="25"/>
      <c r="F23438" s="21"/>
      <c r="G23438" s="16"/>
    </row>
    <row r="23439" spans="4:7" ht="15" x14ac:dyDescent="0.3">
      <c r="D23439" s="25"/>
      <c r="F23439" s="21"/>
      <c r="G23439" s="16"/>
    </row>
    <row r="23440" spans="4:7" ht="15" x14ac:dyDescent="0.3">
      <c r="D23440" s="25"/>
      <c r="F23440" s="21"/>
      <c r="G23440" s="16"/>
    </row>
    <row r="23441" spans="4:7" ht="15" x14ac:dyDescent="0.3">
      <c r="D23441" s="25"/>
      <c r="F23441" s="21"/>
      <c r="G23441" s="16"/>
    </row>
    <row r="23442" spans="4:7" ht="15" x14ac:dyDescent="0.3">
      <c r="D23442" s="25"/>
      <c r="F23442" s="21"/>
      <c r="G23442" s="16"/>
    </row>
    <row r="23443" spans="4:7" ht="15" x14ac:dyDescent="0.3">
      <c r="D23443" s="25"/>
      <c r="F23443" s="21"/>
      <c r="G23443" s="16"/>
    </row>
    <row r="23444" spans="4:7" ht="15" x14ac:dyDescent="0.3">
      <c r="D23444" s="25"/>
      <c r="F23444" s="21"/>
      <c r="G23444" s="16"/>
    </row>
    <row r="23445" spans="4:7" ht="15" x14ac:dyDescent="0.3">
      <c r="D23445" s="25"/>
      <c r="F23445" s="21"/>
      <c r="G23445" s="16"/>
    </row>
    <row r="23446" spans="4:7" ht="15" x14ac:dyDescent="0.3">
      <c r="D23446" s="25"/>
      <c r="F23446" s="21"/>
      <c r="G23446" s="16"/>
    </row>
    <row r="23447" spans="4:7" ht="15" x14ac:dyDescent="0.3">
      <c r="D23447" s="25"/>
      <c r="F23447" s="21"/>
      <c r="G23447" s="16"/>
    </row>
    <row r="23448" spans="4:7" ht="15" x14ac:dyDescent="0.3">
      <c r="D23448" s="25"/>
      <c r="F23448" s="21"/>
      <c r="G23448" s="16"/>
    </row>
    <row r="23449" spans="4:7" ht="15" x14ac:dyDescent="0.3">
      <c r="D23449" s="25"/>
      <c r="F23449" s="21"/>
      <c r="G23449" s="16"/>
    </row>
    <row r="23450" spans="4:7" ht="15" x14ac:dyDescent="0.3">
      <c r="D23450" s="25"/>
      <c r="F23450" s="21"/>
      <c r="G23450" s="16"/>
    </row>
    <row r="23451" spans="4:7" ht="15" x14ac:dyDescent="0.3">
      <c r="D23451" s="25"/>
      <c r="F23451" s="21"/>
      <c r="G23451" s="16"/>
    </row>
    <row r="23452" spans="4:7" ht="15" x14ac:dyDescent="0.3">
      <c r="D23452" s="25"/>
      <c r="F23452" s="21"/>
      <c r="G23452" s="16"/>
    </row>
    <row r="23453" spans="4:7" ht="15" x14ac:dyDescent="0.3">
      <c r="D23453" s="25"/>
      <c r="F23453" s="21"/>
      <c r="G23453" s="16"/>
    </row>
    <row r="23454" spans="4:7" ht="15" x14ac:dyDescent="0.3">
      <c r="D23454" s="25"/>
      <c r="F23454" s="21"/>
      <c r="G23454" s="16"/>
    </row>
    <row r="23455" spans="4:7" ht="15" x14ac:dyDescent="0.3">
      <c r="D23455" s="25"/>
      <c r="F23455" s="21"/>
      <c r="G23455" s="16"/>
    </row>
    <row r="23456" spans="4:7" ht="15" x14ac:dyDescent="0.3">
      <c r="D23456" s="25"/>
      <c r="F23456" s="21"/>
      <c r="G23456" s="16"/>
    </row>
    <row r="23457" spans="4:7" ht="15" x14ac:dyDescent="0.3">
      <c r="D23457" s="25"/>
      <c r="F23457" s="21"/>
      <c r="G23457" s="16"/>
    </row>
    <row r="23458" spans="4:7" ht="15" x14ac:dyDescent="0.3">
      <c r="D23458" s="25"/>
      <c r="F23458" s="21"/>
      <c r="G23458" s="16"/>
    </row>
    <row r="23459" spans="4:7" ht="15" x14ac:dyDescent="0.3">
      <c r="D23459" s="25"/>
      <c r="F23459" s="21"/>
      <c r="G23459" s="16"/>
    </row>
    <row r="23460" spans="4:7" ht="15" x14ac:dyDescent="0.3">
      <c r="D23460" s="25"/>
      <c r="F23460" s="21"/>
      <c r="G23460" s="16"/>
    </row>
    <row r="23461" spans="4:7" ht="15" x14ac:dyDescent="0.3">
      <c r="D23461" s="25"/>
      <c r="F23461" s="21"/>
      <c r="G23461" s="16"/>
    </row>
    <row r="23462" spans="4:7" ht="15" x14ac:dyDescent="0.3">
      <c r="D23462" s="25"/>
      <c r="F23462" s="21"/>
      <c r="G23462" s="16"/>
    </row>
    <row r="23463" spans="4:7" ht="15" x14ac:dyDescent="0.3">
      <c r="D23463" s="25"/>
      <c r="F23463" s="21"/>
      <c r="G23463" s="16"/>
    </row>
    <row r="23464" spans="4:7" ht="15" x14ac:dyDescent="0.3">
      <c r="D23464" s="25"/>
      <c r="F23464" s="21"/>
      <c r="G23464" s="16"/>
    </row>
    <row r="23465" spans="4:7" ht="15" x14ac:dyDescent="0.3">
      <c r="D23465" s="25"/>
      <c r="F23465" s="21"/>
      <c r="G23465" s="16"/>
    </row>
    <row r="23466" spans="4:7" ht="15" x14ac:dyDescent="0.3">
      <c r="D23466" s="25"/>
      <c r="F23466" s="21"/>
      <c r="G23466" s="16"/>
    </row>
    <row r="23467" spans="4:7" ht="15" x14ac:dyDescent="0.3">
      <c r="D23467" s="25"/>
      <c r="F23467" s="21"/>
      <c r="G23467" s="16"/>
    </row>
    <row r="23468" spans="4:7" ht="15" x14ac:dyDescent="0.3">
      <c r="D23468" s="25"/>
      <c r="F23468" s="21"/>
      <c r="G23468" s="16"/>
    </row>
    <row r="23469" spans="4:7" ht="15" x14ac:dyDescent="0.3">
      <c r="D23469" s="25"/>
      <c r="F23469" s="21"/>
      <c r="G23469" s="16"/>
    </row>
    <row r="23470" spans="4:7" ht="15" x14ac:dyDescent="0.3">
      <c r="D23470" s="25"/>
      <c r="F23470" s="21"/>
      <c r="G23470" s="16"/>
    </row>
    <row r="23471" spans="4:7" ht="15" x14ac:dyDescent="0.3">
      <c r="D23471" s="25"/>
      <c r="F23471" s="21"/>
      <c r="G23471" s="16"/>
    </row>
    <row r="23472" spans="4:7" ht="15" x14ac:dyDescent="0.3">
      <c r="D23472" s="25"/>
      <c r="F23472" s="21"/>
      <c r="G23472" s="16"/>
    </row>
    <row r="23473" spans="4:7" ht="15" x14ac:dyDescent="0.3">
      <c r="D23473" s="25"/>
      <c r="F23473" s="21"/>
      <c r="G23473" s="16"/>
    </row>
    <row r="23474" spans="4:7" ht="15" x14ac:dyDescent="0.3">
      <c r="D23474" s="25"/>
      <c r="F23474" s="21"/>
      <c r="G23474" s="16"/>
    </row>
    <row r="23475" spans="4:7" ht="15" x14ac:dyDescent="0.3">
      <c r="D23475" s="25"/>
      <c r="F23475" s="21"/>
      <c r="G23475" s="16"/>
    </row>
    <row r="23476" spans="4:7" ht="15" x14ac:dyDescent="0.3">
      <c r="D23476" s="25"/>
      <c r="F23476" s="21"/>
      <c r="G23476" s="16"/>
    </row>
    <row r="23477" spans="4:7" ht="15" x14ac:dyDescent="0.3">
      <c r="D23477" s="25"/>
      <c r="F23477" s="21"/>
      <c r="G23477" s="16"/>
    </row>
    <row r="23478" spans="4:7" ht="15" x14ac:dyDescent="0.3">
      <c r="D23478" s="25"/>
      <c r="F23478" s="21"/>
      <c r="G23478" s="16"/>
    </row>
    <row r="23479" spans="4:7" ht="15" x14ac:dyDescent="0.3">
      <c r="D23479" s="25"/>
      <c r="F23479" s="21"/>
      <c r="G23479" s="16"/>
    </row>
    <row r="23480" spans="4:7" ht="15" x14ac:dyDescent="0.3">
      <c r="D23480" s="25"/>
      <c r="F23480" s="21"/>
      <c r="G23480" s="16"/>
    </row>
    <row r="23481" spans="4:7" ht="15" x14ac:dyDescent="0.3">
      <c r="D23481" s="25"/>
      <c r="F23481" s="21"/>
      <c r="G23481" s="16"/>
    </row>
    <row r="23482" spans="4:7" ht="15" x14ac:dyDescent="0.3">
      <c r="D23482" s="25"/>
      <c r="F23482" s="21"/>
      <c r="G23482" s="16"/>
    </row>
    <row r="23483" spans="4:7" ht="15" x14ac:dyDescent="0.3">
      <c r="D23483" s="25"/>
      <c r="F23483" s="21"/>
      <c r="G23483" s="16"/>
    </row>
    <row r="23484" spans="4:7" ht="15" x14ac:dyDescent="0.3">
      <c r="D23484" s="25"/>
      <c r="F23484" s="21"/>
      <c r="G23484" s="16"/>
    </row>
    <row r="23485" spans="4:7" ht="15" x14ac:dyDescent="0.3">
      <c r="D23485" s="25"/>
      <c r="F23485" s="21"/>
      <c r="G23485" s="16"/>
    </row>
    <row r="23486" spans="4:7" ht="15" x14ac:dyDescent="0.3">
      <c r="D23486" s="25"/>
      <c r="F23486" s="21"/>
      <c r="G23486" s="16"/>
    </row>
    <row r="23487" spans="4:7" ht="15" x14ac:dyDescent="0.3">
      <c r="D23487" s="25"/>
      <c r="F23487" s="21"/>
      <c r="G23487" s="16"/>
    </row>
    <row r="23488" spans="4:7" ht="15" x14ac:dyDescent="0.3">
      <c r="D23488" s="25"/>
      <c r="F23488" s="21"/>
      <c r="G23488" s="16"/>
    </row>
    <row r="23489" spans="4:7" ht="15" x14ac:dyDescent="0.3">
      <c r="D23489" s="25"/>
      <c r="F23489" s="21"/>
      <c r="G23489" s="16"/>
    </row>
    <row r="23490" spans="4:7" ht="15" x14ac:dyDescent="0.3">
      <c r="D23490" s="25"/>
      <c r="F23490" s="21"/>
      <c r="G23490" s="16"/>
    </row>
    <row r="23491" spans="4:7" ht="15" x14ac:dyDescent="0.3">
      <c r="D23491" s="25"/>
      <c r="F23491" s="21"/>
      <c r="G23491" s="16"/>
    </row>
    <row r="23492" spans="4:7" ht="15" x14ac:dyDescent="0.3">
      <c r="D23492" s="25"/>
      <c r="F23492" s="21"/>
      <c r="G23492" s="16"/>
    </row>
    <row r="23493" spans="4:7" ht="15" x14ac:dyDescent="0.3">
      <c r="D23493" s="25"/>
      <c r="F23493" s="21"/>
      <c r="G23493" s="16"/>
    </row>
    <row r="23494" spans="4:7" ht="15" x14ac:dyDescent="0.3">
      <c r="D23494" s="25"/>
      <c r="F23494" s="21"/>
      <c r="G23494" s="16"/>
    </row>
    <row r="23495" spans="4:7" ht="15" x14ac:dyDescent="0.3">
      <c r="D23495" s="25"/>
      <c r="F23495" s="21"/>
      <c r="G23495" s="16"/>
    </row>
    <row r="23496" spans="4:7" ht="15" x14ac:dyDescent="0.3">
      <c r="D23496" s="25"/>
      <c r="F23496" s="21"/>
      <c r="G23496" s="16"/>
    </row>
    <row r="23497" spans="4:7" ht="15" x14ac:dyDescent="0.3">
      <c r="D23497" s="25"/>
      <c r="F23497" s="21"/>
      <c r="G23497" s="16"/>
    </row>
    <row r="23498" spans="4:7" ht="15" x14ac:dyDescent="0.3">
      <c r="D23498" s="25"/>
      <c r="F23498" s="21"/>
      <c r="G23498" s="16"/>
    </row>
    <row r="23499" spans="4:7" ht="15" x14ac:dyDescent="0.3">
      <c r="D23499" s="25"/>
      <c r="F23499" s="21"/>
      <c r="G23499" s="16"/>
    </row>
    <row r="23500" spans="4:7" ht="15" x14ac:dyDescent="0.3">
      <c r="D23500" s="25"/>
      <c r="F23500" s="21"/>
      <c r="G23500" s="16"/>
    </row>
    <row r="23501" spans="4:7" ht="15" x14ac:dyDescent="0.3">
      <c r="D23501" s="25"/>
      <c r="F23501" s="21"/>
      <c r="G23501" s="16"/>
    </row>
    <row r="23502" spans="4:7" ht="15" x14ac:dyDescent="0.3">
      <c r="D23502" s="25"/>
      <c r="F23502" s="21"/>
      <c r="G23502" s="16"/>
    </row>
    <row r="23503" spans="4:7" ht="15" x14ac:dyDescent="0.3">
      <c r="D23503" s="25"/>
      <c r="F23503" s="21"/>
      <c r="G23503" s="16"/>
    </row>
    <row r="23504" spans="4:7" ht="15" x14ac:dyDescent="0.3">
      <c r="D23504" s="25"/>
      <c r="F23504" s="21"/>
      <c r="G23504" s="16"/>
    </row>
    <row r="23505" spans="4:7" ht="15" x14ac:dyDescent="0.3">
      <c r="D23505" s="25"/>
      <c r="F23505" s="21"/>
      <c r="G23505" s="16"/>
    </row>
    <row r="23506" spans="4:7" ht="15" x14ac:dyDescent="0.3">
      <c r="D23506" s="25"/>
      <c r="F23506" s="21"/>
      <c r="G23506" s="16"/>
    </row>
    <row r="23507" spans="4:7" ht="15" x14ac:dyDescent="0.3">
      <c r="D23507" s="25"/>
      <c r="F23507" s="21"/>
      <c r="G23507" s="16"/>
    </row>
    <row r="23508" spans="4:7" ht="15" x14ac:dyDescent="0.3">
      <c r="D23508" s="25"/>
      <c r="F23508" s="21"/>
      <c r="G23508" s="16"/>
    </row>
    <row r="23509" spans="4:7" ht="15" x14ac:dyDescent="0.3">
      <c r="D23509" s="25"/>
      <c r="F23509" s="21"/>
      <c r="G23509" s="16"/>
    </row>
    <row r="23510" spans="4:7" ht="15" x14ac:dyDescent="0.3">
      <c r="D23510" s="25"/>
      <c r="F23510" s="21"/>
      <c r="G23510" s="16"/>
    </row>
    <row r="23511" spans="4:7" ht="15" x14ac:dyDescent="0.3">
      <c r="D23511" s="25"/>
      <c r="F23511" s="21"/>
      <c r="G23511" s="16"/>
    </row>
    <row r="23512" spans="4:7" ht="15" x14ac:dyDescent="0.3">
      <c r="D23512" s="25"/>
      <c r="F23512" s="21"/>
      <c r="G23512" s="16"/>
    </row>
    <row r="23513" spans="4:7" ht="15" x14ac:dyDescent="0.3">
      <c r="D23513" s="25"/>
      <c r="F23513" s="21"/>
      <c r="G23513" s="16"/>
    </row>
    <row r="23514" spans="4:7" ht="15" x14ac:dyDescent="0.3">
      <c r="D23514" s="25"/>
      <c r="F23514" s="21"/>
      <c r="G23514" s="16"/>
    </row>
    <row r="23515" spans="4:7" ht="15" x14ac:dyDescent="0.3">
      <c r="D23515" s="25"/>
      <c r="F23515" s="21"/>
      <c r="G23515" s="16"/>
    </row>
    <row r="23516" spans="4:7" ht="15" x14ac:dyDescent="0.3">
      <c r="D23516" s="25"/>
      <c r="F23516" s="21"/>
      <c r="G23516" s="16"/>
    </row>
    <row r="23517" spans="4:7" ht="15" x14ac:dyDescent="0.3">
      <c r="D23517" s="25"/>
      <c r="F23517" s="21"/>
      <c r="G23517" s="16"/>
    </row>
    <row r="23518" spans="4:7" ht="15" x14ac:dyDescent="0.3">
      <c r="D23518" s="25"/>
      <c r="F23518" s="21"/>
      <c r="G23518" s="16"/>
    </row>
    <row r="23519" spans="4:7" ht="15" x14ac:dyDescent="0.3">
      <c r="D23519" s="25"/>
      <c r="F23519" s="21"/>
      <c r="G23519" s="16"/>
    </row>
    <row r="23520" spans="4:7" ht="15" x14ac:dyDescent="0.3">
      <c r="D23520" s="25"/>
      <c r="F23520" s="21"/>
      <c r="G23520" s="16"/>
    </row>
    <row r="23521" spans="4:7" ht="15" x14ac:dyDescent="0.3">
      <c r="D23521" s="25"/>
      <c r="F23521" s="21"/>
      <c r="G23521" s="16"/>
    </row>
    <row r="23522" spans="4:7" ht="15" x14ac:dyDescent="0.3">
      <c r="D23522" s="25"/>
      <c r="F23522" s="21"/>
      <c r="G23522" s="16"/>
    </row>
    <row r="23523" spans="4:7" ht="15" x14ac:dyDescent="0.3">
      <c r="D23523" s="25"/>
      <c r="F23523" s="21"/>
      <c r="G23523" s="16"/>
    </row>
    <row r="23524" spans="4:7" ht="15" x14ac:dyDescent="0.3">
      <c r="D23524" s="25"/>
      <c r="F23524" s="21"/>
      <c r="G23524" s="16"/>
    </row>
    <row r="23525" spans="4:7" ht="15" x14ac:dyDescent="0.3">
      <c r="D23525" s="25"/>
      <c r="F23525" s="21"/>
      <c r="G23525" s="16"/>
    </row>
    <row r="23526" spans="4:7" ht="15" x14ac:dyDescent="0.3">
      <c r="D23526" s="25"/>
      <c r="F23526" s="21"/>
      <c r="G23526" s="16"/>
    </row>
    <row r="23527" spans="4:7" ht="15" x14ac:dyDescent="0.3">
      <c r="D23527" s="25"/>
      <c r="F23527" s="21"/>
      <c r="G23527" s="16"/>
    </row>
    <row r="23528" spans="4:7" ht="15" x14ac:dyDescent="0.3">
      <c r="D23528" s="25"/>
      <c r="F23528" s="21"/>
      <c r="G23528" s="16"/>
    </row>
    <row r="23529" spans="4:7" ht="15" x14ac:dyDescent="0.3">
      <c r="D23529" s="25"/>
      <c r="F23529" s="21"/>
      <c r="G23529" s="16"/>
    </row>
    <row r="23530" spans="4:7" ht="15" x14ac:dyDescent="0.3">
      <c r="D23530" s="25"/>
      <c r="F23530" s="21"/>
      <c r="G23530" s="16"/>
    </row>
    <row r="23531" spans="4:7" ht="15" x14ac:dyDescent="0.3">
      <c r="D23531" s="25"/>
      <c r="F23531" s="21"/>
      <c r="G23531" s="16"/>
    </row>
    <row r="23532" spans="4:7" ht="15" x14ac:dyDescent="0.3">
      <c r="D23532" s="25"/>
      <c r="F23532" s="21"/>
      <c r="G23532" s="16"/>
    </row>
    <row r="23533" spans="4:7" ht="15" x14ac:dyDescent="0.3">
      <c r="D23533" s="25"/>
      <c r="F23533" s="21"/>
      <c r="G23533" s="16"/>
    </row>
    <row r="23534" spans="4:7" ht="15" x14ac:dyDescent="0.3">
      <c r="D23534" s="25"/>
      <c r="F23534" s="21"/>
      <c r="G23534" s="16"/>
    </row>
    <row r="23535" spans="4:7" ht="15" x14ac:dyDescent="0.3">
      <c r="D23535" s="25"/>
      <c r="F23535" s="21"/>
      <c r="G23535" s="16"/>
    </row>
    <row r="23536" spans="4:7" ht="15" x14ac:dyDescent="0.3">
      <c r="D23536" s="25"/>
      <c r="F23536" s="21"/>
      <c r="G23536" s="16"/>
    </row>
    <row r="23537" spans="4:7" ht="15" x14ac:dyDescent="0.3">
      <c r="D23537" s="25"/>
      <c r="F23537" s="21"/>
      <c r="G23537" s="16"/>
    </row>
    <row r="23538" spans="4:7" ht="15" x14ac:dyDescent="0.3">
      <c r="D23538" s="25"/>
      <c r="F23538" s="21"/>
      <c r="G23538" s="16"/>
    </row>
    <row r="23539" spans="4:7" ht="15" x14ac:dyDescent="0.3">
      <c r="D23539" s="25"/>
      <c r="F23539" s="21"/>
      <c r="G23539" s="16"/>
    </row>
    <row r="23540" spans="4:7" ht="15" x14ac:dyDescent="0.3">
      <c r="D23540" s="25"/>
      <c r="F23540" s="21"/>
      <c r="G23540" s="16"/>
    </row>
    <row r="23541" spans="4:7" ht="15" x14ac:dyDescent="0.3">
      <c r="D23541" s="25"/>
      <c r="F23541" s="21"/>
      <c r="G23541" s="16"/>
    </row>
    <row r="23542" spans="4:7" ht="15" x14ac:dyDescent="0.3">
      <c r="D23542" s="25"/>
      <c r="F23542" s="21"/>
      <c r="G23542" s="16"/>
    </row>
    <row r="23543" spans="4:7" ht="15" x14ac:dyDescent="0.3">
      <c r="D23543" s="25"/>
      <c r="F23543" s="21"/>
      <c r="G23543" s="16"/>
    </row>
    <row r="23544" spans="4:7" ht="15" x14ac:dyDescent="0.3">
      <c r="D23544" s="25"/>
      <c r="F23544" s="21"/>
      <c r="G23544" s="16"/>
    </row>
    <row r="23545" spans="4:7" ht="15" x14ac:dyDescent="0.3">
      <c r="D23545" s="25"/>
      <c r="F23545" s="21"/>
      <c r="G23545" s="16"/>
    </row>
    <row r="23546" spans="4:7" ht="15" x14ac:dyDescent="0.3">
      <c r="D23546" s="25"/>
      <c r="F23546" s="21"/>
      <c r="G23546" s="16"/>
    </row>
    <row r="23547" spans="4:7" ht="15" x14ac:dyDescent="0.3">
      <c r="D23547" s="25"/>
      <c r="F23547" s="21"/>
      <c r="G23547" s="16"/>
    </row>
    <row r="23548" spans="4:7" ht="15" x14ac:dyDescent="0.3">
      <c r="D23548" s="25"/>
      <c r="F23548" s="21"/>
      <c r="G23548" s="16"/>
    </row>
    <row r="23549" spans="4:7" ht="15" x14ac:dyDescent="0.3">
      <c r="D23549" s="25"/>
      <c r="F23549" s="21"/>
      <c r="G23549" s="16"/>
    </row>
    <row r="23550" spans="4:7" ht="15" x14ac:dyDescent="0.3">
      <c r="D23550" s="25"/>
      <c r="F23550" s="21"/>
      <c r="G23550" s="16"/>
    </row>
    <row r="23551" spans="4:7" ht="15" x14ac:dyDescent="0.3">
      <c r="D23551" s="25"/>
      <c r="F23551" s="21"/>
      <c r="G23551" s="16"/>
    </row>
    <row r="23552" spans="4:7" ht="15" x14ac:dyDescent="0.3">
      <c r="D23552" s="25"/>
      <c r="F23552" s="21"/>
      <c r="G23552" s="16"/>
    </row>
    <row r="23553" spans="4:7" ht="15" x14ac:dyDescent="0.3">
      <c r="D23553" s="25"/>
      <c r="F23553" s="21"/>
      <c r="G23553" s="16"/>
    </row>
    <row r="23554" spans="4:7" ht="15" x14ac:dyDescent="0.3">
      <c r="D23554" s="25"/>
      <c r="F23554" s="21"/>
      <c r="G23554" s="16"/>
    </row>
    <row r="23555" spans="4:7" ht="15" x14ac:dyDescent="0.3">
      <c r="D23555" s="25"/>
      <c r="F23555" s="21"/>
      <c r="G23555" s="16"/>
    </row>
    <row r="23556" spans="4:7" ht="15" x14ac:dyDescent="0.3">
      <c r="D23556" s="25"/>
      <c r="F23556" s="21"/>
      <c r="G23556" s="16"/>
    </row>
    <row r="23557" spans="4:7" ht="15" x14ac:dyDescent="0.3">
      <c r="D23557" s="25"/>
      <c r="F23557" s="21"/>
      <c r="G23557" s="16"/>
    </row>
    <row r="23558" spans="4:7" ht="15" x14ac:dyDescent="0.3">
      <c r="D23558" s="25"/>
      <c r="F23558" s="21"/>
      <c r="G23558" s="16"/>
    </row>
    <row r="23559" spans="4:7" ht="15" x14ac:dyDescent="0.3">
      <c r="D23559" s="25"/>
      <c r="F23559" s="21"/>
      <c r="G23559" s="16"/>
    </row>
    <row r="23560" spans="4:7" ht="15" x14ac:dyDescent="0.3">
      <c r="D23560" s="25"/>
      <c r="F23560" s="21"/>
      <c r="G23560" s="16"/>
    </row>
    <row r="23561" spans="4:7" ht="15" x14ac:dyDescent="0.3">
      <c r="D23561" s="25"/>
      <c r="F23561" s="21"/>
      <c r="G23561" s="16"/>
    </row>
    <row r="23562" spans="4:7" ht="15" x14ac:dyDescent="0.3">
      <c r="D23562" s="25"/>
      <c r="F23562" s="21"/>
      <c r="G23562" s="16"/>
    </row>
    <row r="23563" spans="4:7" ht="15" x14ac:dyDescent="0.3">
      <c r="D23563" s="25"/>
      <c r="F23563" s="21"/>
      <c r="G23563" s="16"/>
    </row>
    <row r="23564" spans="4:7" ht="15" x14ac:dyDescent="0.3">
      <c r="D23564" s="25"/>
      <c r="F23564" s="21"/>
      <c r="G23564" s="16"/>
    </row>
    <row r="23565" spans="4:7" ht="15" x14ac:dyDescent="0.3">
      <c r="D23565" s="25"/>
      <c r="F23565" s="21"/>
      <c r="G23565" s="16"/>
    </row>
    <row r="23566" spans="4:7" ht="15" x14ac:dyDescent="0.3">
      <c r="D23566" s="25"/>
      <c r="F23566" s="21"/>
      <c r="G23566" s="16"/>
    </row>
    <row r="23567" spans="4:7" ht="15" x14ac:dyDescent="0.3">
      <c r="D23567" s="25"/>
      <c r="F23567" s="21"/>
      <c r="G23567" s="16"/>
    </row>
    <row r="23568" spans="4:7" ht="15" x14ac:dyDescent="0.3">
      <c r="D23568" s="25"/>
      <c r="F23568" s="21"/>
      <c r="G23568" s="16"/>
    </row>
    <row r="23569" spans="4:7" ht="15" x14ac:dyDescent="0.3">
      <c r="D23569" s="25"/>
      <c r="F23569" s="21"/>
      <c r="G23569" s="16"/>
    </row>
    <row r="23570" spans="4:7" ht="15" x14ac:dyDescent="0.3">
      <c r="D23570" s="25"/>
      <c r="F23570" s="21"/>
      <c r="G23570" s="16"/>
    </row>
    <row r="23571" spans="4:7" ht="15" x14ac:dyDescent="0.3">
      <c r="D23571" s="25"/>
      <c r="F23571" s="21"/>
      <c r="G23571" s="16"/>
    </row>
    <row r="23572" spans="4:7" ht="15" x14ac:dyDescent="0.3">
      <c r="D23572" s="25"/>
      <c r="F23572" s="21"/>
      <c r="G23572" s="16"/>
    </row>
    <row r="23573" spans="4:7" ht="15" x14ac:dyDescent="0.3">
      <c r="D23573" s="25"/>
      <c r="F23573" s="21"/>
      <c r="G23573" s="16"/>
    </row>
    <row r="23574" spans="4:7" ht="15" x14ac:dyDescent="0.3">
      <c r="D23574" s="25"/>
      <c r="F23574" s="21"/>
      <c r="G23574" s="16"/>
    </row>
    <row r="23575" spans="4:7" ht="15" x14ac:dyDescent="0.3">
      <c r="D23575" s="25"/>
      <c r="F23575" s="21"/>
      <c r="G23575" s="16"/>
    </row>
    <row r="23576" spans="4:7" ht="15" x14ac:dyDescent="0.3">
      <c r="D23576" s="25"/>
      <c r="F23576" s="21"/>
      <c r="G23576" s="16"/>
    </row>
    <row r="23577" spans="4:7" ht="15" x14ac:dyDescent="0.3">
      <c r="D23577" s="25"/>
      <c r="F23577" s="21"/>
      <c r="G23577" s="16"/>
    </row>
    <row r="23578" spans="4:7" ht="15" x14ac:dyDescent="0.3">
      <c r="D23578" s="25"/>
      <c r="F23578" s="21"/>
      <c r="G23578" s="16"/>
    </row>
    <row r="23579" spans="4:7" ht="15" x14ac:dyDescent="0.3">
      <c r="D23579" s="25"/>
      <c r="F23579" s="21"/>
      <c r="G23579" s="16"/>
    </row>
    <row r="23580" spans="4:7" ht="15" x14ac:dyDescent="0.3">
      <c r="D23580" s="25"/>
      <c r="F23580" s="21"/>
      <c r="G23580" s="16"/>
    </row>
    <row r="23581" spans="4:7" ht="15" x14ac:dyDescent="0.3">
      <c r="D23581" s="25"/>
      <c r="F23581" s="21"/>
      <c r="G23581" s="16"/>
    </row>
    <row r="23582" spans="4:7" ht="15" x14ac:dyDescent="0.3">
      <c r="D23582" s="25"/>
      <c r="F23582" s="21"/>
      <c r="G23582" s="16"/>
    </row>
    <row r="23583" spans="4:7" ht="15" x14ac:dyDescent="0.3">
      <c r="D23583" s="25"/>
      <c r="F23583" s="21"/>
      <c r="G23583" s="16"/>
    </row>
    <row r="23584" spans="4:7" ht="15" x14ac:dyDescent="0.3">
      <c r="D23584" s="25"/>
      <c r="F23584" s="21"/>
      <c r="G23584" s="16"/>
    </row>
    <row r="23585" spans="4:7" ht="15" x14ac:dyDescent="0.3">
      <c r="D23585" s="25"/>
      <c r="F23585" s="21"/>
      <c r="G23585" s="16"/>
    </row>
    <row r="23586" spans="4:7" ht="15" x14ac:dyDescent="0.3">
      <c r="D23586" s="25"/>
      <c r="F23586" s="21"/>
      <c r="G23586" s="16"/>
    </row>
    <row r="23587" spans="4:7" ht="15" x14ac:dyDescent="0.3">
      <c r="D23587" s="25"/>
      <c r="F23587" s="21"/>
      <c r="G23587" s="16"/>
    </row>
    <row r="23588" spans="4:7" ht="15" x14ac:dyDescent="0.3">
      <c r="D23588" s="25"/>
      <c r="F23588" s="21"/>
      <c r="G23588" s="16"/>
    </row>
    <row r="23589" spans="4:7" ht="15" x14ac:dyDescent="0.3">
      <c r="D23589" s="25"/>
      <c r="F23589" s="21"/>
      <c r="G23589" s="16"/>
    </row>
    <row r="23590" spans="4:7" ht="15" x14ac:dyDescent="0.3">
      <c r="D23590" s="25"/>
      <c r="F23590" s="21"/>
      <c r="G23590" s="16"/>
    </row>
    <row r="23591" spans="4:7" ht="15" x14ac:dyDescent="0.3">
      <c r="D23591" s="25"/>
      <c r="F23591" s="21"/>
      <c r="G23591" s="16"/>
    </row>
    <row r="23592" spans="4:7" ht="15" x14ac:dyDescent="0.3">
      <c r="D23592" s="25"/>
      <c r="F23592" s="21"/>
      <c r="G23592" s="16"/>
    </row>
    <row r="23593" spans="4:7" ht="15" x14ac:dyDescent="0.3">
      <c r="D23593" s="25"/>
      <c r="F23593" s="21"/>
      <c r="G23593" s="16"/>
    </row>
    <row r="23594" spans="4:7" ht="15" x14ac:dyDescent="0.3">
      <c r="D23594" s="25"/>
      <c r="F23594" s="21"/>
      <c r="G23594" s="16"/>
    </row>
    <row r="23595" spans="4:7" ht="15" x14ac:dyDescent="0.3">
      <c r="D23595" s="25"/>
      <c r="F23595" s="21"/>
      <c r="G23595" s="16"/>
    </row>
    <row r="23596" spans="4:7" ht="15" x14ac:dyDescent="0.3">
      <c r="D23596" s="25"/>
      <c r="F23596" s="21"/>
      <c r="G23596" s="16"/>
    </row>
    <row r="23597" spans="4:7" ht="15" x14ac:dyDescent="0.3">
      <c r="D23597" s="25"/>
      <c r="F23597" s="21"/>
      <c r="G23597" s="16"/>
    </row>
    <row r="23598" spans="4:7" ht="15" x14ac:dyDescent="0.3">
      <c r="D23598" s="25"/>
      <c r="F23598" s="21"/>
      <c r="G23598" s="16"/>
    </row>
    <row r="23599" spans="4:7" ht="15" x14ac:dyDescent="0.3">
      <c r="D23599" s="25"/>
      <c r="F23599" s="21"/>
      <c r="G23599" s="16"/>
    </row>
    <row r="23600" spans="4:7" ht="15" x14ac:dyDescent="0.3">
      <c r="D23600" s="25"/>
      <c r="F23600" s="21"/>
      <c r="G23600" s="16"/>
    </row>
    <row r="23601" spans="4:7" ht="15" x14ac:dyDescent="0.3">
      <c r="D23601" s="25"/>
      <c r="F23601" s="21"/>
      <c r="G23601" s="16"/>
    </row>
    <row r="23602" spans="4:7" ht="15" x14ac:dyDescent="0.3">
      <c r="D23602" s="25"/>
      <c r="F23602" s="21"/>
      <c r="G23602" s="16"/>
    </row>
    <row r="23603" spans="4:7" ht="15" x14ac:dyDescent="0.3">
      <c r="D23603" s="25"/>
      <c r="F23603" s="21"/>
      <c r="G23603" s="16"/>
    </row>
    <row r="23604" spans="4:7" ht="15" x14ac:dyDescent="0.3">
      <c r="D23604" s="25"/>
      <c r="F23604" s="21"/>
      <c r="G23604" s="16"/>
    </row>
    <row r="23605" spans="4:7" ht="15" x14ac:dyDescent="0.3">
      <c r="D23605" s="25"/>
      <c r="F23605" s="21"/>
      <c r="G23605" s="16"/>
    </row>
    <row r="23606" spans="4:7" ht="15" x14ac:dyDescent="0.3">
      <c r="D23606" s="25"/>
      <c r="F23606" s="21"/>
      <c r="G23606" s="16"/>
    </row>
    <row r="23607" spans="4:7" ht="15" x14ac:dyDescent="0.3">
      <c r="D23607" s="25"/>
      <c r="F23607" s="21"/>
      <c r="G23607" s="16"/>
    </row>
    <row r="23608" spans="4:7" ht="15" x14ac:dyDescent="0.3">
      <c r="D23608" s="25"/>
      <c r="F23608" s="21"/>
      <c r="G23608" s="16"/>
    </row>
    <row r="23609" spans="4:7" ht="15" x14ac:dyDescent="0.3">
      <c r="D23609" s="25"/>
      <c r="F23609" s="21"/>
      <c r="G23609" s="16"/>
    </row>
    <row r="23610" spans="4:7" ht="15" x14ac:dyDescent="0.3">
      <c r="D23610" s="25"/>
      <c r="F23610" s="21"/>
      <c r="G23610" s="16"/>
    </row>
    <row r="23611" spans="4:7" ht="15" x14ac:dyDescent="0.3">
      <c r="D23611" s="25"/>
      <c r="F23611" s="21"/>
      <c r="G23611" s="16"/>
    </row>
    <row r="23612" spans="4:7" ht="15" x14ac:dyDescent="0.3">
      <c r="D23612" s="25"/>
      <c r="F23612" s="21"/>
      <c r="G23612" s="16"/>
    </row>
    <row r="23613" spans="4:7" ht="15" x14ac:dyDescent="0.3">
      <c r="D23613" s="25"/>
      <c r="F23613" s="21"/>
      <c r="G23613" s="16"/>
    </row>
    <row r="23614" spans="4:7" ht="15" x14ac:dyDescent="0.3">
      <c r="D23614" s="25"/>
      <c r="F23614" s="21"/>
      <c r="G23614" s="16"/>
    </row>
    <row r="23615" spans="4:7" ht="15" x14ac:dyDescent="0.3">
      <c r="D23615" s="25"/>
      <c r="F23615" s="21"/>
      <c r="G23615" s="16"/>
    </row>
    <row r="23616" spans="4:7" ht="15" x14ac:dyDescent="0.3">
      <c r="D23616" s="25"/>
      <c r="F23616" s="21"/>
      <c r="G23616" s="16"/>
    </row>
    <row r="23617" spans="4:7" ht="15" x14ac:dyDescent="0.3">
      <c r="D23617" s="25"/>
      <c r="F23617" s="21"/>
      <c r="G23617" s="16"/>
    </row>
    <row r="23618" spans="4:7" ht="15" x14ac:dyDescent="0.3">
      <c r="D23618" s="25"/>
      <c r="F23618" s="21"/>
      <c r="G23618" s="16"/>
    </row>
    <row r="23619" spans="4:7" ht="15" x14ac:dyDescent="0.3">
      <c r="D23619" s="25"/>
      <c r="F23619" s="21"/>
      <c r="G23619" s="16"/>
    </row>
    <row r="23620" spans="4:7" ht="15" x14ac:dyDescent="0.3">
      <c r="D23620" s="25"/>
      <c r="F23620" s="21"/>
      <c r="G23620" s="16"/>
    </row>
    <row r="23621" spans="4:7" ht="15" x14ac:dyDescent="0.3">
      <c r="D23621" s="25"/>
      <c r="F23621" s="21"/>
      <c r="G23621" s="16"/>
    </row>
    <row r="23622" spans="4:7" ht="15" x14ac:dyDescent="0.3">
      <c r="D23622" s="25"/>
      <c r="F23622" s="21"/>
      <c r="G23622" s="16"/>
    </row>
    <row r="23623" spans="4:7" ht="15" x14ac:dyDescent="0.3">
      <c r="D23623" s="25"/>
      <c r="F23623" s="21"/>
      <c r="G23623" s="16"/>
    </row>
    <row r="23624" spans="4:7" ht="15" x14ac:dyDescent="0.3">
      <c r="D23624" s="25"/>
      <c r="F23624" s="21"/>
      <c r="G23624" s="16"/>
    </row>
    <row r="23625" spans="4:7" ht="15" x14ac:dyDescent="0.3">
      <c r="D23625" s="25"/>
      <c r="F23625" s="21"/>
      <c r="G23625" s="16"/>
    </row>
    <row r="23626" spans="4:7" ht="15" x14ac:dyDescent="0.3">
      <c r="D23626" s="25"/>
      <c r="F23626" s="21"/>
      <c r="G23626" s="16"/>
    </row>
    <row r="23627" spans="4:7" ht="15" x14ac:dyDescent="0.3">
      <c r="D23627" s="25"/>
      <c r="F23627" s="21"/>
      <c r="G23627" s="16"/>
    </row>
    <row r="23628" spans="4:7" ht="15" x14ac:dyDescent="0.3">
      <c r="D23628" s="25"/>
      <c r="F23628" s="21"/>
      <c r="G23628" s="16"/>
    </row>
    <row r="23629" spans="4:7" ht="15" x14ac:dyDescent="0.3">
      <c r="D23629" s="25"/>
      <c r="F23629" s="21"/>
      <c r="G23629" s="16"/>
    </row>
    <row r="23630" spans="4:7" ht="15" x14ac:dyDescent="0.3">
      <c r="D23630" s="25"/>
      <c r="F23630" s="21"/>
      <c r="G23630" s="16"/>
    </row>
    <row r="23631" spans="4:7" ht="15" x14ac:dyDescent="0.3">
      <c r="D23631" s="25"/>
      <c r="F23631" s="21"/>
      <c r="G23631" s="16"/>
    </row>
    <row r="23632" spans="4:7" ht="15" x14ac:dyDescent="0.3">
      <c r="D23632" s="25"/>
      <c r="F23632" s="21"/>
      <c r="G23632" s="16"/>
    </row>
    <row r="23633" spans="4:7" ht="15" x14ac:dyDescent="0.3">
      <c r="D23633" s="25"/>
      <c r="F23633" s="21"/>
      <c r="G23633" s="16"/>
    </row>
    <row r="23634" spans="4:7" ht="15" x14ac:dyDescent="0.3">
      <c r="D23634" s="25"/>
      <c r="F23634" s="21"/>
      <c r="G23634" s="16"/>
    </row>
    <row r="23635" spans="4:7" ht="15" x14ac:dyDescent="0.3">
      <c r="D23635" s="25"/>
      <c r="F23635" s="21"/>
      <c r="G23635" s="16"/>
    </row>
    <row r="23636" spans="4:7" ht="15" x14ac:dyDescent="0.3">
      <c r="D23636" s="25"/>
      <c r="F23636" s="21"/>
      <c r="G23636" s="16"/>
    </row>
    <row r="23637" spans="4:7" ht="15" x14ac:dyDescent="0.3">
      <c r="D23637" s="25"/>
      <c r="F23637" s="21"/>
      <c r="G23637" s="16"/>
    </row>
    <row r="23638" spans="4:7" ht="15" x14ac:dyDescent="0.3">
      <c r="D23638" s="25"/>
      <c r="F23638" s="21"/>
      <c r="G23638" s="16"/>
    </row>
    <row r="23639" spans="4:7" ht="15" x14ac:dyDescent="0.3">
      <c r="D23639" s="25"/>
      <c r="F23639" s="21"/>
      <c r="G23639" s="16"/>
    </row>
    <row r="23640" spans="4:7" ht="15" x14ac:dyDescent="0.3">
      <c r="D23640" s="25"/>
      <c r="F23640" s="21"/>
      <c r="G23640" s="16"/>
    </row>
    <row r="23641" spans="4:7" ht="15" x14ac:dyDescent="0.3">
      <c r="D23641" s="25"/>
      <c r="F23641" s="21"/>
      <c r="G23641" s="16"/>
    </row>
    <row r="23642" spans="4:7" ht="15" x14ac:dyDescent="0.3">
      <c r="D23642" s="25"/>
      <c r="F23642" s="21"/>
      <c r="G23642" s="16"/>
    </row>
    <row r="23643" spans="4:7" ht="15" x14ac:dyDescent="0.3">
      <c r="D23643" s="25"/>
      <c r="F23643" s="21"/>
      <c r="G23643" s="16"/>
    </row>
    <row r="23644" spans="4:7" ht="15" x14ac:dyDescent="0.3">
      <c r="D23644" s="25"/>
      <c r="F23644" s="21"/>
      <c r="G23644" s="16"/>
    </row>
    <row r="23645" spans="4:7" ht="15" x14ac:dyDescent="0.3">
      <c r="D23645" s="25"/>
      <c r="F23645" s="21"/>
      <c r="G23645" s="16"/>
    </row>
    <row r="23646" spans="4:7" ht="15" x14ac:dyDescent="0.3">
      <c r="D23646" s="25"/>
      <c r="F23646" s="21"/>
      <c r="G23646" s="16"/>
    </row>
    <row r="23647" spans="4:7" ht="15" x14ac:dyDescent="0.3">
      <c r="D23647" s="25"/>
      <c r="F23647" s="21"/>
      <c r="G23647" s="16"/>
    </row>
    <row r="23648" spans="4:7" ht="15" x14ac:dyDescent="0.3">
      <c r="D23648" s="25"/>
      <c r="F23648" s="21"/>
      <c r="G23648" s="16"/>
    </row>
    <row r="23649" spans="4:7" ht="15" x14ac:dyDescent="0.3">
      <c r="D23649" s="25"/>
      <c r="F23649" s="21"/>
      <c r="G23649" s="16"/>
    </row>
    <row r="23650" spans="4:7" ht="15" x14ac:dyDescent="0.3">
      <c r="D23650" s="25"/>
      <c r="F23650" s="21"/>
      <c r="G23650" s="16"/>
    </row>
    <row r="23651" spans="4:7" ht="15" x14ac:dyDescent="0.3">
      <c r="D23651" s="25"/>
      <c r="F23651" s="21"/>
      <c r="G23651" s="16"/>
    </row>
    <row r="23652" spans="4:7" ht="15" x14ac:dyDescent="0.3">
      <c r="D23652" s="25"/>
      <c r="F23652" s="21"/>
      <c r="G23652" s="16"/>
    </row>
    <row r="23653" spans="4:7" ht="15" x14ac:dyDescent="0.3">
      <c r="D23653" s="25"/>
      <c r="F23653" s="21"/>
      <c r="G23653" s="16"/>
    </row>
    <row r="23654" spans="4:7" ht="15" x14ac:dyDescent="0.3">
      <c r="D23654" s="25"/>
      <c r="F23654" s="21"/>
      <c r="G23654" s="16"/>
    </row>
    <row r="23655" spans="4:7" ht="15" x14ac:dyDescent="0.3">
      <c r="D23655" s="25"/>
      <c r="F23655" s="21"/>
      <c r="G23655" s="16"/>
    </row>
    <row r="23656" spans="4:7" ht="15" x14ac:dyDescent="0.3">
      <c r="D23656" s="25"/>
      <c r="F23656" s="21"/>
      <c r="G23656" s="16"/>
    </row>
    <row r="23657" spans="4:7" ht="15" x14ac:dyDescent="0.3">
      <c r="D23657" s="25"/>
      <c r="F23657" s="21"/>
      <c r="G23657" s="16"/>
    </row>
    <row r="23658" spans="4:7" ht="15" x14ac:dyDescent="0.3">
      <c r="D23658" s="25"/>
      <c r="F23658" s="21"/>
      <c r="G23658" s="16"/>
    </row>
    <row r="23659" spans="4:7" ht="15" x14ac:dyDescent="0.3">
      <c r="D23659" s="25"/>
      <c r="F23659" s="21"/>
      <c r="G23659" s="16"/>
    </row>
    <row r="23660" spans="4:7" ht="15" x14ac:dyDescent="0.3">
      <c r="D23660" s="25"/>
      <c r="F23660" s="21"/>
      <c r="G23660" s="16"/>
    </row>
    <row r="23661" spans="4:7" ht="15" x14ac:dyDescent="0.3">
      <c r="D23661" s="25"/>
      <c r="F23661" s="21"/>
      <c r="G23661" s="16"/>
    </row>
    <row r="23662" spans="4:7" ht="15" x14ac:dyDescent="0.3">
      <c r="D23662" s="25"/>
      <c r="F23662" s="21"/>
      <c r="G23662" s="16"/>
    </row>
    <row r="23663" spans="4:7" ht="15" x14ac:dyDescent="0.3">
      <c r="D23663" s="25"/>
      <c r="F23663" s="21"/>
      <c r="G23663" s="16"/>
    </row>
    <row r="23664" spans="4:7" ht="15" x14ac:dyDescent="0.3">
      <c r="D23664" s="25"/>
      <c r="F23664" s="21"/>
      <c r="G23664" s="16"/>
    </row>
    <row r="23665" spans="4:7" ht="15" x14ac:dyDescent="0.3">
      <c r="D23665" s="25"/>
      <c r="F23665" s="21"/>
      <c r="G23665" s="16"/>
    </row>
    <row r="23666" spans="4:7" ht="15" x14ac:dyDescent="0.3">
      <c r="D23666" s="25"/>
      <c r="F23666" s="21"/>
      <c r="G23666" s="16"/>
    </row>
    <row r="23667" spans="4:7" ht="15" x14ac:dyDescent="0.3">
      <c r="D23667" s="25"/>
      <c r="F23667" s="21"/>
      <c r="G23667" s="16"/>
    </row>
    <row r="23668" spans="4:7" ht="15" x14ac:dyDescent="0.3">
      <c r="D23668" s="25"/>
      <c r="F23668" s="21"/>
      <c r="G23668" s="16"/>
    </row>
    <row r="23669" spans="4:7" ht="15" x14ac:dyDescent="0.3">
      <c r="D23669" s="25"/>
      <c r="F23669" s="21"/>
      <c r="G23669" s="16"/>
    </row>
    <row r="23670" spans="4:7" ht="15" x14ac:dyDescent="0.3">
      <c r="D23670" s="25"/>
      <c r="F23670" s="21"/>
      <c r="G23670" s="16"/>
    </row>
    <row r="23671" spans="4:7" ht="15" x14ac:dyDescent="0.3">
      <c r="D23671" s="25"/>
      <c r="F23671" s="21"/>
      <c r="G23671" s="16"/>
    </row>
    <row r="23672" spans="4:7" ht="15" x14ac:dyDescent="0.3">
      <c r="D23672" s="25"/>
      <c r="F23672" s="21"/>
      <c r="G23672" s="16"/>
    </row>
    <row r="23673" spans="4:7" ht="15" x14ac:dyDescent="0.3">
      <c r="D23673" s="25"/>
      <c r="F23673" s="21"/>
      <c r="G23673" s="16"/>
    </row>
    <row r="23674" spans="4:7" ht="15" x14ac:dyDescent="0.3">
      <c r="D23674" s="25"/>
      <c r="F23674" s="21"/>
      <c r="G23674" s="16"/>
    </row>
    <row r="23675" spans="4:7" ht="15" x14ac:dyDescent="0.3">
      <c r="D23675" s="25"/>
      <c r="F23675" s="21"/>
      <c r="G23675" s="16"/>
    </row>
    <row r="23676" spans="4:7" ht="15" x14ac:dyDescent="0.3">
      <c r="D23676" s="25"/>
      <c r="F23676" s="21"/>
      <c r="G23676" s="16"/>
    </row>
    <row r="23677" spans="4:7" ht="15" x14ac:dyDescent="0.3">
      <c r="D23677" s="25"/>
      <c r="F23677" s="21"/>
      <c r="G23677" s="16"/>
    </row>
    <row r="23678" spans="4:7" ht="15" x14ac:dyDescent="0.3">
      <c r="D23678" s="25"/>
      <c r="F23678" s="21"/>
      <c r="G23678" s="16"/>
    </row>
    <row r="23679" spans="4:7" ht="15" x14ac:dyDescent="0.3">
      <c r="D23679" s="25"/>
      <c r="F23679" s="21"/>
      <c r="G23679" s="16"/>
    </row>
    <row r="23680" spans="4:7" ht="15" x14ac:dyDescent="0.3">
      <c r="D23680" s="25"/>
      <c r="F23680" s="21"/>
      <c r="G23680" s="16"/>
    </row>
    <row r="23681" spans="4:7" ht="15" x14ac:dyDescent="0.3">
      <c r="D23681" s="25"/>
      <c r="F23681" s="21"/>
      <c r="G23681" s="16"/>
    </row>
    <row r="23682" spans="4:7" ht="15" x14ac:dyDescent="0.3">
      <c r="D23682" s="25"/>
      <c r="F23682" s="21"/>
      <c r="G23682" s="16"/>
    </row>
    <row r="23683" spans="4:7" ht="15" x14ac:dyDescent="0.3">
      <c r="D23683" s="25"/>
      <c r="F23683" s="21"/>
      <c r="G23683" s="16"/>
    </row>
    <row r="23684" spans="4:7" ht="15" x14ac:dyDescent="0.3">
      <c r="D23684" s="25"/>
      <c r="F23684" s="21"/>
      <c r="G23684" s="16"/>
    </row>
    <row r="23685" spans="4:7" ht="15" x14ac:dyDescent="0.3">
      <c r="D23685" s="25"/>
      <c r="F23685" s="21"/>
      <c r="G23685" s="16"/>
    </row>
    <row r="23686" spans="4:7" ht="15" x14ac:dyDescent="0.3">
      <c r="D23686" s="25"/>
      <c r="F23686" s="21"/>
      <c r="G23686" s="16"/>
    </row>
    <row r="23687" spans="4:7" ht="15" x14ac:dyDescent="0.3">
      <c r="D23687" s="25"/>
      <c r="F23687" s="21"/>
      <c r="G23687" s="16"/>
    </row>
    <row r="23688" spans="4:7" ht="15" x14ac:dyDescent="0.3">
      <c r="D23688" s="25"/>
      <c r="F23688" s="21"/>
      <c r="G23688" s="16"/>
    </row>
    <row r="23689" spans="4:7" ht="15" x14ac:dyDescent="0.3">
      <c r="D23689" s="25"/>
      <c r="F23689" s="21"/>
      <c r="G23689" s="16"/>
    </row>
    <row r="23690" spans="4:7" ht="15" x14ac:dyDescent="0.3">
      <c r="D23690" s="25"/>
      <c r="F23690" s="21"/>
      <c r="G23690" s="16"/>
    </row>
    <row r="23691" spans="4:7" ht="15" x14ac:dyDescent="0.3">
      <c r="D23691" s="25"/>
      <c r="F23691" s="21"/>
      <c r="G23691" s="16"/>
    </row>
    <row r="23692" spans="4:7" ht="15" x14ac:dyDescent="0.3">
      <c r="D23692" s="25"/>
      <c r="F23692" s="21"/>
      <c r="G23692" s="16"/>
    </row>
    <row r="23693" spans="4:7" ht="15" x14ac:dyDescent="0.3">
      <c r="D23693" s="25"/>
      <c r="F23693" s="21"/>
      <c r="G23693" s="16"/>
    </row>
    <row r="23694" spans="4:7" ht="15" x14ac:dyDescent="0.3">
      <c r="D23694" s="25"/>
      <c r="F23694" s="21"/>
      <c r="G23694" s="16"/>
    </row>
    <row r="23695" spans="4:7" ht="15" x14ac:dyDescent="0.3">
      <c r="D23695" s="25"/>
      <c r="F23695" s="21"/>
      <c r="G23695" s="16"/>
    </row>
    <row r="23696" spans="4:7" ht="15" x14ac:dyDescent="0.3">
      <c r="D23696" s="25"/>
      <c r="F23696" s="21"/>
      <c r="G23696" s="16"/>
    </row>
    <row r="23697" spans="4:7" ht="15" x14ac:dyDescent="0.3">
      <c r="D23697" s="25"/>
      <c r="F23697" s="21"/>
      <c r="G23697" s="16"/>
    </row>
    <row r="23698" spans="4:7" ht="15" x14ac:dyDescent="0.3">
      <c r="D23698" s="25"/>
      <c r="F23698" s="21"/>
      <c r="G23698" s="16"/>
    </row>
    <row r="23699" spans="4:7" ht="15" x14ac:dyDescent="0.3">
      <c r="D23699" s="25"/>
      <c r="F23699" s="21"/>
      <c r="G23699" s="16"/>
    </row>
    <row r="23700" spans="4:7" ht="15" x14ac:dyDescent="0.3">
      <c r="D23700" s="25"/>
      <c r="F23700" s="21"/>
      <c r="G23700" s="16"/>
    </row>
    <row r="23701" spans="4:7" ht="15" x14ac:dyDescent="0.3">
      <c r="D23701" s="25"/>
      <c r="F23701" s="21"/>
      <c r="G23701" s="16"/>
    </row>
    <row r="23702" spans="4:7" ht="15" x14ac:dyDescent="0.3">
      <c r="D23702" s="25"/>
      <c r="F23702" s="21"/>
      <c r="G23702" s="16"/>
    </row>
    <row r="23703" spans="4:7" ht="15" x14ac:dyDescent="0.3">
      <c r="D23703" s="25"/>
      <c r="F23703" s="21"/>
      <c r="G23703" s="16"/>
    </row>
    <row r="23704" spans="4:7" ht="15" x14ac:dyDescent="0.3">
      <c r="D23704" s="25"/>
      <c r="F23704" s="21"/>
      <c r="G23704" s="16"/>
    </row>
    <row r="23705" spans="4:7" ht="15" x14ac:dyDescent="0.3">
      <c r="D23705" s="25"/>
      <c r="F23705" s="21"/>
      <c r="G23705" s="16"/>
    </row>
    <row r="23706" spans="4:7" ht="15" x14ac:dyDescent="0.3">
      <c r="D23706" s="25"/>
      <c r="F23706" s="21"/>
      <c r="G23706" s="16"/>
    </row>
    <row r="23707" spans="4:7" ht="15" x14ac:dyDescent="0.3">
      <c r="D23707" s="25"/>
      <c r="F23707" s="21"/>
      <c r="G23707" s="16"/>
    </row>
    <row r="23708" spans="4:7" ht="15" x14ac:dyDescent="0.3">
      <c r="D23708" s="25"/>
      <c r="F23708" s="21"/>
      <c r="G23708" s="16"/>
    </row>
    <row r="23709" spans="4:7" ht="15" x14ac:dyDescent="0.3">
      <c r="D23709" s="25"/>
      <c r="F23709" s="21"/>
      <c r="G23709" s="16"/>
    </row>
    <row r="23710" spans="4:7" ht="15" x14ac:dyDescent="0.3">
      <c r="D23710" s="25"/>
      <c r="F23710" s="21"/>
      <c r="G23710" s="16"/>
    </row>
    <row r="23711" spans="4:7" ht="15" x14ac:dyDescent="0.3">
      <c r="D23711" s="25"/>
      <c r="F23711" s="21"/>
      <c r="G23711" s="16"/>
    </row>
    <row r="23712" spans="4:7" ht="15" x14ac:dyDescent="0.3">
      <c r="D23712" s="25"/>
      <c r="F23712" s="21"/>
      <c r="G23712" s="16"/>
    </row>
    <row r="23713" spans="4:7" ht="15" x14ac:dyDescent="0.3">
      <c r="D23713" s="25"/>
      <c r="F23713" s="21"/>
      <c r="G23713" s="16"/>
    </row>
    <row r="23714" spans="4:7" ht="15" x14ac:dyDescent="0.3">
      <c r="D23714" s="25"/>
      <c r="F23714" s="21"/>
      <c r="G23714" s="16"/>
    </row>
    <row r="23715" spans="4:7" ht="15" x14ac:dyDescent="0.3">
      <c r="D23715" s="25"/>
      <c r="F23715" s="21"/>
      <c r="G23715" s="16"/>
    </row>
    <row r="23716" spans="4:7" ht="15" x14ac:dyDescent="0.3">
      <c r="D23716" s="25"/>
      <c r="F23716" s="21"/>
      <c r="G23716" s="16"/>
    </row>
    <row r="23717" spans="4:7" ht="15" x14ac:dyDescent="0.3">
      <c r="D23717" s="25"/>
      <c r="F23717" s="21"/>
      <c r="G23717" s="16"/>
    </row>
    <row r="23718" spans="4:7" ht="15" x14ac:dyDescent="0.3">
      <c r="D23718" s="25"/>
      <c r="F23718" s="21"/>
      <c r="G23718" s="16"/>
    </row>
    <row r="23719" spans="4:7" ht="15" x14ac:dyDescent="0.3">
      <c r="D23719" s="25"/>
      <c r="F23719" s="21"/>
      <c r="G23719" s="16"/>
    </row>
    <row r="23720" spans="4:7" ht="15" x14ac:dyDescent="0.3">
      <c r="D23720" s="25"/>
      <c r="F23720" s="21"/>
      <c r="G23720" s="16"/>
    </row>
    <row r="23721" spans="4:7" ht="15" x14ac:dyDescent="0.3">
      <c r="D23721" s="25"/>
      <c r="F23721" s="21"/>
      <c r="G23721" s="16"/>
    </row>
    <row r="23722" spans="4:7" ht="15" x14ac:dyDescent="0.3">
      <c r="D23722" s="25"/>
      <c r="F23722" s="21"/>
      <c r="G23722" s="16"/>
    </row>
    <row r="23723" spans="4:7" ht="15" x14ac:dyDescent="0.3">
      <c r="D23723" s="25"/>
      <c r="F23723" s="21"/>
      <c r="G23723" s="16"/>
    </row>
    <row r="23724" spans="4:7" ht="15" x14ac:dyDescent="0.3">
      <c r="D23724" s="25"/>
      <c r="F23724" s="21"/>
      <c r="G23724" s="16"/>
    </row>
    <row r="23725" spans="4:7" ht="15" x14ac:dyDescent="0.3">
      <c r="D23725" s="25"/>
      <c r="F23725" s="21"/>
      <c r="G23725" s="16"/>
    </row>
    <row r="23726" spans="4:7" ht="15" x14ac:dyDescent="0.3">
      <c r="D23726" s="25"/>
      <c r="F23726" s="21"/>
      <c r="G23726" s="16"/>
    </row>
    <row r="23727" spans="4:7" ht="15" x14ac:dyDescent="0.3">
      <c r="D23727" s="25"/>
      <c r="F23727" s="21"/>
      <c r="G23727" s="16"/>
    </row>
    <row r="23728" spans="4:7" ht="15" x14ac:dyDescent="0.3">
      <c r="D23728" s="25"/>
      <c r="F23728" s="21"/>
      <c r="G23728" s="16"/>
    </row>
    <row r="23729" spans="4:7" ht="15" x14ac:dyDescent="0.3">
      <c r="D23729" s="25"/>
      <c r="F23729" s="21"/>
      <c r="G23729" s="16"/>
    </row>
    <row r="23730" spans="4:7" ht="15" x14ac:dyDescent="0.3">
      <c r="D23730" s="25"/>
      <c r="F23730" s="21"/>
      <c r="G23730" s="16"/>
    </row>
    <row r="23731" spans="4:7" ht="15" x14ac:dyDescent="0.3">
      <c r="D23731" s="25"/>
      <c r="F23731" s="21"/>
      <c r="G23731" s="16"/>
    </row>
    <row r="23732" spans="4:7" ht="15" x14ac:dyDescent="0.3">
      <c r="D23732" s="25"/>
      <c r="F23732" s="21"/>
      <c r="G23732" s="16"/>
    </row>
    <row r="23733" spans="4:7" ht="15" x14ac:dyDescent="0.3">
      <c r="D23733" s="25"/>
      <c r="F23733" s="21"/>
      <c r="G23733" s="16"/>
    </row>
    <row r="23734" spans="4:7" ht="15" x14ac:dyDescent="0.3">
      <c r="D23734" s="25"/>
      <c r="F23734" s="21"/>
      <c r="G23734" s="16"/>
    </row>
    <row r="23735" spans="4:7" ht="15" x14ac:dyDescent="0.3">
      <c r="D23735" s="25"/>
      <c r="F23735" s="21"/>
      <c r="G23735" s="16"/>
    </row>
    <row r="23736" spans="4:7" ht="15" x14ac:dyDescent="0.3">
      <c r="D23736" s="25"/>
      <c r="F23736" s="21"/>
      <c r="G23736" s="16"/>
    </row>
    <row r="23737" spans="4:7" ht="15" x14ac:dyDescent="0.3">
      <c r="D23737" s="25"/>
      <c r="F23737" s="21"/>
      <c r="G23737" s="16"/>
    </row>
    <row r="23738" spans="4:7" ht="15" x14ac:dyDescent="0.3">
      <c r="D23738" s="25"/>
      <c r="F23738" s="21"/>
      <c r="G23738" s="16"/>
    </row>
    <row r="23739" spans="4:7" ht="15" x14ac:dyDescent="0.3">
      <c r="D23739" s="25"/>
      <c r="F23739" s="21"/>
      <c r="G23739" s="16"/>
    </row>
    <row r="23740" spans="4:7" ht="15" x14ac:dyDescent="0.3">
      <c r="D23740" s="25"/>
      <c r="F23740" s="21"/>
      <c r="G23740" s="16"/>
    </row>
    <row r="23741" spans="4:7" ht="15" x14ac:dyDescent="0.3">
      <c r="D23741" s="25"/>
      <c r="F23741" s="21"/>
      <c r="G23741" s="16"/>
    </row>
    <row r="23742" spans="4:7" ht="15" x14ac:dyDescent="0.3">
      <c r="D23742" s="25"/>
      <c r="F23742" s="21"/>
      <c r="G23742" s="16"/>
    </row>
    <row r="23743" spans="4:7" ht="15" x14ac:dyDescent="0.3">
      <c r="D23743" s="25"/>
      <c r="F23743" s="21"/>
      <c r="G23743" s="16"/>
    </row>
    <row r="23744" spans="4:7" ht="15" x14ac:dyDescent="0.3">
      <c r="D23744" s="25"/>
      <c r="F23744" s="21"/>
      <c r="G23744" s="16"/>
    </row>
    <row r="23745" spans="4:7" ht="15" x14ac:dyDescent="0.3">
      <c r="D23745" s="25"/>
      <c r="F23745" s="21"/>
      <c r="G23745" s="16"/>
    </row>
    <row r="23746" spans="4:7" ht="15" x14ac:dyDescent="0.3">
      <c r="D23746" s="25"/>
      <c r="F23746" s="21"/>
      <c r="G23746" s="16"/>
    </row>
    <row r="23747" spans="4:7" ht="15" x14ac:dyDescent="0.3">
      <c r="D23747" s="25"/>
      <c r="F23747" s="21"/>
      <c r="G23747" s="16"/>
    </row>
    <row r="23748" spans="4:7" ht="15" x14ac:dyDescent="0.3">
      <c r="D23748" s="25"/>
      <c r="F23748" s="21"/>
      <c r="G23748" s="16"/>
    </row>
    <row r="23749" spans="4:7" ht="15" x14ac:dyDescent="0.3">
      <c r="D23749" s="25"/>
      <c r="F23749" s="21"/>
      <c r="G23749" s="16"/>
    </row>
    <row r="23750" spans="4:7" ht="15" x14ac:dyDescent="0.3">
      <c r="D23750" s="25"/>
      <c r="F23750" s="21"/>
      <c r="G23750" s="16"/>
    </row>
    <row r="23751" spans="4:7" ht="15" x14ac:dyDescent="0.3">
      <c r="D23751" s="25"/>
      <c r="F23751" s="21"/>
      <c r="G23751" s="16"/>
    </row>
    <row r="23752" spans="4:7" ht="15" x14ac:dyDescent="0.3">
      <c r="D23752" s="25"/>
      <c r="F23752" s="21"/>
      <c r="G23752" s="16"/>
    </row>
    <row r="23753" spans="4:7" ht="15" x14ac:dyDescent="0.3">
      <c r="D23753" s="25"/>
      <c r="F23753" s="21"/>
      <c r="G23753" s="16"/>
    </row>
    <row r="23754" spans="4:7" ht="15" x14ac:dyDescent="0.3">
      <c r="D23754" s="25"/>
      <c r="F23754" s="21"/>
      <c r="G23754" s="16"/>
    </row>
    <row r="23755" spans="4:7" ht="15" x14ac:dyDescent="0.3">
      <c r="D23755" s="25"/>
      <c r="F23755" s="21"/>
      <c r="G23755" s="16"/>
    </row>
    <row r="23756" spans="4:7" ht="15" x14ac:dyDescent="0.3">
      <c r="D23756" s="25"/>
      <c r="F23756" s="21"/>
      <c r="G23756" s="16"/>
    </row>
    <row r="23757" spans="4:7" ht="15" x14ac:dyDescent="0.3">
      <c r="D23757" s="25"/>
      <c r="F23757" s="21"/>
      <c r="G23757" s="16"/>
    </row>
    <row r="23758" spans="4:7" ht="15" x14ac:dyDescent="0.3">
      <c r="D23758" s="25"/>
      <c r="F23758" s="21"/>
      <c r="G23758" s="16"/>
    </row>
    <row r="23759" spans="4:7" ht="15" x14ac:dyDescent="0.3">
      <c r="D23759" s="25"/>
      <c r="F23759" s="21"/>
      <c r="G23759" s="16"/>
    </row>
    <row r="23760" spans="4:7" ht="15" x14ac:dyDescent="0.3">
      <c r="D23760" s="25"/>
      <c r="F23760" s="21"/>
      <c r="G23760" s="16"/>
    </row>
    <row r="23761" spans="4:7" ht="15" x14ac:dyDescent="0.3">
      <c r="D23761" s="25"/>
      <c r="F23761" s="21"/>
      <c r="G23761" s="16"/>
    </row>
    <row r="23762" spans="4:7" ht="15" x14ac:dyDescent="0.3">
      <c r="D23762" s="25"/>
      <c r="F23762" s="21"/>
      <c r="G23762" s="16"/>
    </row>
    <row r="23763" spans="4:7" ht="15" x14ac:dyDescent="0.3">
      <c r="D23763" s="25"/>
      <c r="F23763" s="21"/>
      <c r="G23763" s="16"/>
    </row>
    <row r="23764" spans="4:7" ht="15" x14ac:dyDescent="0.3">
      <c r="D23764" s="25"/>
      <c r="F23764" s="21"/>
      <c r="G23764" s="16"/>
    </row>
    <row r="23765" spans="4:7" ht="15" x14ac:dyDescent="0.3">
      <c r="D23765" s="25"/>
      <c r="F23765" s="21"/>
      <c r="G23765" s="16"/>
    </row>
    <row r="23766" spans="4:7" ht="15" x14ac:dyDescent="0.3">
      <c r="D23766" s="25"/>
      <c r="F23766" s="21"/>
      <c r="G23766" s="16"/>
    </row>
    <row r="23767" spans="4:7" ht="15" x14ac:dyDescent="0.3">
      <c r="D23767" s="25"/>
      <c r="F23767" s="21"/>
      <c r="G23767" s="16"/>
    </row>
    <row r="23768" spans="4:7" ht="15" x14ac:dyDescent="0.3">
      <c r="D23768" s="25"/>
      <c r="F23768" s="21"/>
      <c r="G23768" s="16"/>
    </row>
    <row r="23769" spans="4:7" ht="15" x14ac:dyDescent="0.3">
      <c r="D23769" s="25"/>
      <c r="F23769" s="21"/>
      <c r="G23769" s="16"/>
    </row>
    <row r="23770" spans="4:7" ht="15" x14ac:dyDescent="0.3">
      <c r="D23770" s="25"/>
      <c r="F23770" s="21"/>
      <c r="G23770" s="16"/>
    </row>
    <row r="23771" spans="4:7" ht="15" x14ac:dyDescent="0.3">
      <c r="D23771" s="25"/>
      <c r="F23771" s="21"/>
      <c r="G23771" s="16"/>
    </row>
    <row r="23772" spans="4:7" ht="15" x14ac:dyDescent="0.3">
      <c r="D23772" s="25"/>
      <c r="F23772" s="21"/>
      <c r="G23772" s="16"/>
    </row>
    <row r="23773" spans="4:7" ht="15" x14ac:dyDescent="0.3">
      <c r="D23773" s="25"/>
      <c r="F23773" s="21"/>
      <c r="G23773" s="16"/>
    </row>
    <row r="23774" spans="4:7" ht="15" x14ac:dyDescent="0.3">
      <c r="D23774" s="25"/>
      <c r="F23774" s="21"/>
      <c r="G23774" s="16"/>
    </row>
    <row r="23775" spans="4:7" ht="15" x14ac:dyDescent="0.3">
      <c r="D23775" s="25"/>
      <c r="F23775" s="21"/>
      <c r="G23775" s="16"/>
    </row>
    <row r="23776" spans="4:7" ht="15" x14ac:dyDescent="0.3">
      <c r="D23776" s="25"/>
      <c r="F23776" s="21"/>
      <c r="G23776" s="16"/>
    </row>
    <row r="23777" spans="4:7" ht="15" x14ac:dyDescent="0.3">
      <c r="D23777" s="25"/>
      <c r="F23777" s="21"/>
      <c r="G23777" s="16"/>
    </row>
    <row r="23778" spans="4:7" ht="15" x14ac:dyDescent="0.3">
      <c r="D23778" s="25"/>
      <c r="F23778" s="21"/>
      <c r="G23778" s="16"/>
    </row>
    <row r="23779" spans="4:7" ht="15" x14ac:dyDescent="0.3">
      <c r="D23779" s="25"/>
      <c r="F23779" s="21"/>
      <c r="G23779" s="16"/>
    </row>
    <row r="23780" spans="4:7" ht="15" x14ac:dyDescent="0.3">
      <c r="D23780" s="25"/>
      <c r="F23780" s="21"/>
      <c r="G23780" s="16"/>
    </row>
    <row r="23781" spans="4:7" ht="15" x14ac:dyDescent="0.3">
      <c r="D23781" s="25"/>
      <c r="F23781" s="21"/>
      <c r="G23781" s="16"/>
    </row>
    <row r="23782" spans="4:7" ht="15" x14ac:dyDescent="0.3">
      <c r="D23782" s="25"/>
      <c r="F23782" s="21"/>
      <c r="G23782" s="16"/>
    </row>
    <row r="23783" spans="4:7" ht="15" x14ac:dyDescent="0.3">
      <c r="D23783" s="25"/>
      <c r="F23783" s="21"/>
      <c r="G23783" s="16"/>
    </row>
    <row r="23784" spans="4:7" ht="15" x14ac:dyDescent="0.3">
      <c r="D23784" s="25"/>
      <c r="F23784" s="21"/>
      <c r="G23784" s="16"/>
    </row>
    <row r="23785" spans="4:7" ht="15" x14ac:dyDescent="0.3">
      <c r="D23785" s="25"/>
      <c r="F23785" s="21"/>
      <c r="G23785" s="16"/>
    </row>
    <row r="23786" spans="4:7" ht="15" x14ac:dyDescent="0.3">
      <c r="D23786" s="25"/>
      <c r="F23786" s="21"/>
      <c r="G23786" s="16"/>
    </row>
    <row r="23787" spans="4:7" ht="15" x14ac:dyDescent="0.3">
      <c r="D23787" s="25"/>
      <c r="F23787" s="21"/>
      <c r="G23787" s="16"/>
    </row>
    <row r="23788" spans="4:7" ht="15" x14ac:dyDescent="0.3">
      <c r="D23788" s="25"/>
      <c r="F23788" s="21"/>
      <c r="G23788" s="16"/>
    </row>
    <row r="23789" spans="4:7" ht="15" x14ac:dyDescent="0.3">
      <c r="D23789" s="25"/>
      <c r="F23789" s="21"/>
      <c r="G23789" s="16"/>
    </row>
    <row r="23790" spans="4:7" ht="15" x14ac:dyDescent="0.3">
      <c r="D23790" s="25"/>
      <c r="F23790" s="21"/>
      <c r="G23790" s="16"/>
    </row>
    <row r="23791" spans="4:7" ht="15" x14ac:dyDescent="0.3">
      <c r="D23791" s="25"/>
      <c r="F23791" s="21"/>
      <c r="G23791" s="16"/>
    </row>
    <row r="23792" spans="4:7" ht="15" x14ac:dyDescent="0.3">
      <c r="D23792" s="25"/>
      <c r="F23792" s="21"/>
      <c r="G23792" s="16"/>
    </row>
    <row r="23793" spans="4:7" ht="15" x14ac:dyDescent="0.3">
      <c r="D23793" s="25"/>
      <c r="F23793" s="21"/>
      <c r="G23793" s="16"/>
    </row>
    <row r="23794" spans="4:7" ht="15" x14ac:dyDescent="0.3">
      <c r="D23794" s="25"/>
      <c r="F23794" s="21"/>
      <c r="G23794" s="16"/>
    </row>
    <row r="23795" spans="4:7" ht="15" x14ac:dyDescent="0.3">
      <c r="D23795" s="25"/>
      <c r="F23795" s="21"/>
      <c r="G23795" s="16"/>
    </row>
    <row r="23796" spans="4:7" ht="15" x14ac:dyDescent="0.3">
      <c r="D23796" s="25"/>
      <c r="F23796" s="21"/>
      <c r="G23796" s="16"/>
    </row>
    <row r="23797" spans="4:7" ht="15" x14ac:dyDescent="0.3">
      <c r="D23797" s="25"/>
      <c r="F23797" s="21"/>
      <c r="G23797" s="16"/>
    </row>
    <row r="23798" spans="4:7" ht="15" x14ac:dyDescent="0.3">
      <c r="D23798" s="25"/>
      <c r="F23798" s="21"/>
      <c r="G23798" s="16"/>
    </row>
    <row r="23799" spans="4:7" ht="15" x14ac:dyDescent="0.3">
      <c r="D23799" s="25"/>
      <c r="F23799" s="21"/>
      <c r="G23799" s="16"/>
    </row>
    <row r="23800" spans="4:7" ht="15" x14ac:dyDescent="0.3">
      <c r="D23800" s="25"/>
      <c r="F23800" s="21"/>
      <c r="G23800" s="16"/>
    </row>
    <row r="23801" spans="4:7" ht="15" x14ac:dyDescent="0.3">
      <c r="D23801" s="25"/>
      <c r="F23801" s="21"/>
      <c r="G23801" s="16"/>
    </row>
    <row r="23802" spans="4:7" ht="15" x14ac:dyDescent="0.3">
      <c r="D23802" s="25"/>
      <c r="F23802" s="21"/>
      <c r="G23802" s="16"/>
    </row>
    <row r="23803" spans="4:7" ht="15" x14ac:dyDescent="0.3">
      <c r="D23803" s="25"/>
      <c r="F23803" s="21"/>
      <c r="G23803" s="16"/>
    </row>
    <row r="23804" spans="4:7" ht="15" x14ac:dyDescent="0.3">
      <c r="D23804" s="25"/>
      <c r="F23804" s="21"/>
      <c r="G23804" s="16"/>
    </row>
    <row r="23805" spans="4:7" ht="15" x14ac:dyDescent="0.3">
      <c r="D23805" s="25"/>
      <c r="F23805" s="21"/>
      <c r="G23805" s="16"/>
    </row>
    <row r="23806" spans="4:7" ht="15" x14ac:dyDescent="0.3">
      <c r="D23806" s="25"/>
      <c r="F23806" s="21"/>
      <c r="G23806" s="16"/>
    </row>
    <row r="23807" spans="4:7" ht="15" x14ac:dyDescent="0.3">
      <c r="D23807" s="25"/>
      <c r="F23807" s="21"/>
      <c r="G23807" s="16"/>
    </row>
    <row r="23808" spans="4:7" ht="15" x14ac:dyDescent="0.3">
      <c r="D23808" s="25"/>
      <c r="F23808" s="21"/>
      <c r="G23808" s="16"/>
    </row>
    <row r="23809" spans="4:7" ht="15" x14ac:dyDescent="0.3">
      <c r="D23809" s="25"/>
      <c r="F23809" s="21"/>
      <c r="G23809" s="16"/>
    </row>
    <row r="23810" spans="4:7" ht="15" x14ac:dyDescent="0.3">
      <c r="D23810" s="25"/>
      <c r="F23810" s="21"/>
      <c r="G23810" s="16"/>
    </row>
    <row r="23811" spans="4:7" ht="15" x14ac:dyDescent="0.3">
      <c r="D23811" s="25"/>
      <c r="F23811" s="21"/>
      <c r="G23811" s="16"/>
    </row>
    <row r="23812" spans="4:7" ht="15" x14ac:dyDescent="0.3">
      <c r="D23812" s="25"/>
      <c r="F23812" s="21"/>
      <c r="G23812" s="16"/>
    </row>
    <row r="23813" spans="4:7" ht="15" x14ac:dyDescent="0.3">
      <c r="D23813" s="25"/>
      <c r="F23813" s="21"/>
      <c r="G23813" s="16"/>
    </row>
    <row r="23814" spans="4:7" ht="15" x14ac:dyDescent="0.3">
      <c r="D23814" s="25"/>
      <c r="F23814" s="21"/>
      <c r="G23814" s="16"/>
    </row>
    <row r="23815" spans="4:7" ht="15" x14ac:dyDescent="0.3">
      <c r="D23815" s="25"/>
      <c r="F23815" s="21"/>
      <c r="G23815" s="16"/>
    </row>
    <row r="23816" spans="4:7" ht="15" x14ac:dyDescent="0.3">
      <c r="D23816" s="25"/>
      <c r="F23816" s="21"/>
      <c r="G23816" s="16"/>
    </row>
    <row r="23817" spans="4:7" ht="15" x14ac:dyDescent="0.3">
      <c r="D23817" s="25"/>
      <c r="F23817" s="21"/>
      <c r="G23817" s="16"/>
    </row>
    <row r="23818" spans="4:7" ht="15" x14ac:dyDescent="0.3">
      <c r="D23818" s="25"/>
      <c r="F23818" s="21"/>
      <c r="G23818" s="16"/>
    </row>
    <row r="23819" spans="4:7" ht="15" x14ac:dyDescent="0.3">
      <c r="D23819" s="25"/>
      <c r="F23819" s="21"/>
      <c r="G23819" s="16"/>
    </row>
    <row r="23820" spans="4:7" ht="15" x14ac:dyDescent="0.3">
      <c r="D23820" s="25"/>
      <c r="F23820" s="21"/>
      <c r="G23820" s="16"/>
    </row>
    <row r="23821" spans="4:7" ht="15" x14ac:dyDescent="0.3">
      <c r="D23821" s="25"/>
      <c r="F23821" s="21"/>
      <c r="G23821" s="16"/>
    </row>
    <row r="23822" spans="4:7" ht="15" x14ac:dyDescent="0.3">
      <c r="D23822" s="25"/>
      <c r="F23822" s="21"/>
      <c r="G23822" s="16"/>
    </row>
    <row r="23823" spans="4:7" ht="15" x14ac:dyDescent="0.3">
      <c r="D23823" s="25"/>
      <c r="F23823" s="21"/>
      <c r="G23823" s="16"/>
    </row>
    <row r="23824" spans="4:7" ht="15" x14ac:dyDescent="0.3">
      <c r="D23824" s="25"/>
      <c r="F23824" s="21"/>
      <c r="G23824" s="16"/>
    </row>
    <row r="23825" spans="4:7" ht="15" x14ac:dyDescent="0.3">
      <c r="D23825" s="25"/>
      <c r="F23825" s="21"/>
      <c r="G23825" s="16"/>
    </row>
    <row r="23826" spans="4:7" ht="15" x14ac:dyDescent="0.3">
      <c r="D23826" s="25"/>
      <c r="F23826" s="21"/>
      <c r="G23826" s="16"/>
    </row>
    <row r="23827" spans="4:7" ht="15" x14ac:dyDescent="0.3">
      <c r="D23827" s="25"/>
      <c r="F23827" s="21"/>
      <c r="G23827" s="16"/>
    </row>
    <row r="23828" spans="4:7" ht="15" x14ac:dyDescent="0.3">
      <c r="D23828" s="25"/>
      <c r="F23828" s="21"/>
      <c r="G23828" s="16"/>
    </row>
    <row r="23829" spans="4:7" ht="15" x14ac:dyDescent="0.3">
      <c r="D23829" s="25"/>
      <c r="F23829" s="21"/>
      <c r="G23829" s="16"/>
    </row>
    <row r="23830" spans="4:7" ht="15" x14ac:dyDescent="0.3">
      <c r="D23830" s="25"/>
      <c r="F23830" s="21"/>
      <c r="G23830" s="16"/>
    </row>
    <row r="23831" spans="4:7" ht="15" x14ac:dyDescent="0.3">
      <c r="D23831" s="25"/>
      <c r="F23831" s="21"/>
      <c r="G23831" s="16"/>
    </row>
    <row r="23832" spans="4:7" ht="15" x14ac:dyDescent="0.3">
      <c r="D23832" s="25"/>
      <c r="F23832" s="21"/>
      <c r="G23832" s="16"/>
    </row>
    <row r="23833" spans="4:7" ht="15" x14ac:dyDescent="0.3">
      <c r="D23833" s="25"/>
      <c r="F23833" s="21"/>
      <c r="G23833" s="16"/>
    </row>
    <row r="23834" spans="4:7" ht="15" x14ac:dyDescent="0.3">
      <c r="D23834" s="25"/>
      <c r="F23834" s="21"/>
      <c r="G23834" s="16"/>
    </row>
    <row r="23835" spans="4:7" ht="15" x14ac:dyDescent="0.3">
      <c r="D23835" s="25"/>
      <c r="F23835" s="21"/>
      <c r="G23835" s="16"/>
    </row>
    <row r="23836" spans="4:7" ht="15" x14ac:dyDescent="0.3">
      <c r="D23836" s="25"/>
      <c r="F23836" s="21"/>
      <c r="G23836" s="16"/>
    </row>
    <row r="23837" spans="4:7" ht="15" x14ac:dyDescent="0.3">
      <c r="D23837" s="25"/>
      <c r="F23837" s="21"/>
      <c r="G23837" s="16"/>
    </row>
    <row r="23838" spans="4:7" ht="15" x14ac:dyDescent="0.3">
      <c r="D23838" s="25"/>
      <c r="F23838" s="21"/>
      <c r="G23838" s="16"/>
    </row>
    <row r="23839" spans="4:7" ht="15" x14ac:dyDescent="0.3">
      <c r="D23839" s="25"/>
      <c r="F23839" s="21"/>
      <c r="G23839" s="16"/>
    </row>
    <row r="23840" spans="4:7" ht="15" x14ac:dyDescent="0.3">
      <c r="D23840" s="25"/>
      <c r="F23840" s="21"/>
      <c r="G23840" s="16"/>
    </row>
    <row r="23841" spans="4:7" ht="15" x14ac:dyDescent="0.3">
      <c r="D23841" s="25"/>
      <c r="F23841" s="21"/>
      <c r="G23841" s="16"/>
    </row>
    <row r="23842" spans="4:7" ht="15" x14ac:dyDescent="0.3">
      <c r="D23842" s="25"/>
      <c r="F23842" s="21"/>
      <c r="G23842" s="16"/>
    </row>
    <row r="23843" spans="4:7" ht="15" x14ac:dyDescent="0.3">
      <c r="D23843" s="25"/>
      <c r="F23843" s="21"/>
      <c r="G23843" s="16"/>
    </row>
    <row r="23844" spans="4:7" ht="15" x14ac:dyDescent="0.3">
      <c r="D23844" s="25"/>
      <c r="F23844" s="21"/>
      <c r="G23844" s="16"/>
    </row>
    <row r="23845" spans="4:7" ht="15" x14ac:dyDescent="0.3">
      <c r="D23845" s="25"/>
      <c r="F23845" s="21"/>
      <c r="G23845" s="16"/>
    </row>
    <row r="23846" spans="4:7" ht="15" x14ac:dyDescent="0.3">
      <c r="D23846" s="25"/>
      <c r="F23846" s="21"/>
      <c r="G23846" s="16"/>
    </row>
    <row r="23847" spans="4:7" ht="15" x14ac:dyDescent="0.3">
      <c r="D23847" s="25"/>
      <c r="F23847" s="21"/>
      <c r="G23847" s="16"/>
    </row>
    <row r="23848" spans="4:7" ht="15" x14ac:dyDescent="0.3">
      <c r="D23848" s="25"/>
      <c r="F23848" s="21"/>
      <c r="G23848" s="16"/>
    </row>
    <row r="23849" spans="4:7" ht="15" x14ac:dyDescent="0.3">
      <c r="D23849" s="25"/>
      <c r="F23849" s="21"/>
      <c r="G23849" s="16"/>
    </row>
    <row r="23850" spans="4:7" ht="15" x14ac:dyDescent="0.3">
      <c r="D23850" s="25"/>
      <c r="F23850" s="21"/>
      <c r="G23850" s="16"/>
    </row>
    <row r="23851" spans="4:7" ht="15" x14ac:dyDescent="0.3">
      <c r="D23851" s="25"/>
      <c r="F23851" s="21"/>
      <c r="G23851" s="16"/>
    </row>
    <row r="23852" spans="4:7" ht="15" x14ac:dyDescent="0.3">
      <c r="D23852" s="25"/>
      <c r="F23852" s="21"/>
      <c r="G23852" s="16"/>
    </row>
    <row r="23853" spans="4:7" ht="15" x14ac:dyDescent="0.3">
      <c r="D23853" s="25"/>
      <c r="F23853" s="21"/>
      <c r="G23853" s="16"/>
    </row>
    <row r="23854" spans="4:7" ht="15" x14ac:dyDescent="0.3">
      <c r="D23854" s="25"/>
      <c r="F23854" s="21"/>
      <c r="G23854" s="16"/>
    </row>
    <row r="23855" spans="4:7" ht="15" x14ac:dyDescent="0.3">
      <c r="D23855" s="25"/>
      <c r="F23855" s="21"/>
      <c r="G23855" s="16"/>
    </row>
    <row r="23856" spans="4:7" ht="15" x14ac:dyDescent="0.3">
      <c r="D23856" s="25"/>
      <c r="F23856" s="21"/>
      <c r="G23856" s="16"/>
    </row>
    <row r="23857" spans="4:7" ht="15" x14ac:dyDescent="0.3">
      <c r="D23857" s="25"/>
      <c r="F23857" s="21"/>
      <c r="G23857" s="16"/>
    </row>
    <row r="23858" spans="4:7" ht="15" x14ac:dyDescent="0.3">
      <c r="D23858" s="25"/>
      <c r="F23858" s="21"/>
      <c r="G23858" s="16"/>
    </row>
    <row r="23859" spans="4:7" ht="15" x14ac:dyDescent="0.3">
      <c r="D23859" s="25"/>
      <c r="F23859" s="21"/>
      <c r="G23859" s="16"/>
    </row>
    <row r="23860" spans="4:7" ht="15" x14ac:dyDescent="0.3">
      <c r="D23860" s="25"/>
      <c r="F23860" s="21"/>
      <c r="G23860" s="16"/>
    </row>
    <row r="23861" spans="4:7" ht="15" x14ac:dyDescent="0.3">
      <c r="D23861" s="25"/>
      <c r="F23861" s="21"/>
      <c r="G23861" s="16"/>
    </row>
    <row r="23862" spans="4:7" ht="15" x14ac:dyDescent="0.3">
      <c r="D23862" s="25"/>
      <c r="F23862" s="21"/>
      <c r="G23862" s="16"/>
    </row>
    <row r="23863" spans="4:7" ht="15" x14ac:dyDescent="0.3">
      <c r="D23863" s="25"/>
      <c r="F23863" s="21"/>
      <c r="G23863" s="16"/>
    </row>
    <row r="23864" spans="4:7" ht="15" x14ac:dyDescent="0.3">
      <c r="D23864" s="25"/>
      <c r="F23864" s="21"/>
      <c r="G23864" s="16"/>
    </row>
    <row r="23865" spans="4:7" ht="15" x14ac:dyDescent="0.3">
      <c r="D23865" s="25"/>
      <c r="F23865" s="21"/>
      <c r="G23865" s="16"/>
    </row>
    <row r="23866" spans="4:7" ht="15" x14ac:dyDescent="0.3">
      <c r="D23866" s="25"/>
      <c r="F23866" s="21"/>
      <c r="G23866" s="16"/>
    </row>
    <row r="23867" spans="4:7" ht="15" x14ac:dyDescent="0.3">
      <c r="D23867" s="25"/>
      <c r="F23867" s="21"/>
      <c r="G23867" s="16"/>
    </row>
    <row r="23868" spans="4:7" ht="15" x14ac:dyDescent="0.3">
      <c r="D23868" s="25"/>
      <c r="F23868" s="21"/>
      <c r="G23868" s="16"/>
    </row>
    <row r="23869" spans="4:7" ht="15" x14ac:dyDescent="0.3">
      <c r="D23869" s="25"/>
      <c r="F23869" s="21"/>
      <c r="G23869" s="16"/>
    </row>
    <row r="23870" spans="4:7" ht="15" x14ac:dyDescent="0.3">
      <c r="D23870" s="25"/>
      <c r="F23870" s="21"/>
      <c r="G23870" s="16"/>
    </row>
    <row r="23871" spans="4:7" ht="15" x14ac:dyDescent="0.3">
      <c r="D23871" s="25"/>
      <c r="F23871" s="21"/>
      <c r="G23871" s="16"/>
    </row>
    <row r="23872" spans="4:7" ht="15" x14ac:dyDescent="0.3">
      <c r="D23872" s="25"/>
      <c r="F23872" s="21"/>
      <c r="G23872" s="16"/>
    </row>
    <row r="23873" spans="4:7" ht="15" x14ac:dyDescent="0.3">
      <c r="D23873" s="25"/>
      <c r="F23873" s="21"/>
      <c r="G23873" s="16"/>
    </row>
    <row r="23874" spans="4:7" ht="15" x14ac:dyDescent="0.3">
      <c r="D23874" s="25"/>
      <c r="F23874" s="21"/>
      <c r="G23874" s="16"/>
    </row>
    <row r="23875" spans="4:7" ht="15" x14ac:dyDescent="0.3">
      <c r="D23875" s="25"/>
      <c r="F23875" s="21"/>
      <c r="G23875" s="16"/>
    </row>
    <row r="23876" spans="4:7" ht="15" x14ac:dyDescent="0.3">
      <c r="D23876" s="25"/>
      <c r="F23876" s="21"/>
      <c r="G23876" s="16"/>
    </row>
    <row r="23877" spans="4:7" ht="15" x14ac:dyDescent="0.3">
      <c r="D23877" s="25"/>
      <c r="F23877" s="21"/>
      <c r="G23877" s="16"/>
    </row>
    <row r="23878" spans="4:7" ht="15" x14ac:dyDescent="0.3">
      <c r="D23878" s="25"/>
      <c r="F23878" s="21"/>
      <c r="G23878" s="16"/>
    </row>
    <row r="23879" spans="4:7" ht="15" x14ac:dyDescent="0.3">
      <c r="D23879" s="25"/>
      <c r="F23879" s="21"/>
      <c r="G23879" s="16"/>
    </row>
    <row r="23880" spans="4:7" ht="15" x14ac:dyDescent="0.3">
      <c r="D23880" s="25"/>
      <c r="F23880" s="21"/>
      <c r="G23880" s="16"/>
    </row>
    <row r="23881" spans="4:7" ht="15" x14ac:dyDescent="0.3">
      <c r="D23881" s="25"/>
      <c r="F23881" s="21"/>
      <c r="G23881" s="16"/>
    </row>
    <row r="23882" spans="4:7" ht="15" x14ac:dyDescent="0.3">
      <c r="D23882" s="25"/>
      <c r="F23882" s="21"/>
      <c r="G23882" s="16"/>
    </row>
    <row r="23883" spans="4:7" ht="15" x14ac:dyDescent="0.3">
      <c r="D23883" s="25"/>
      <c r="F23883" s="21"/>
      <c r="G23883" s="16"/>
    </row>
    <row r="23884" spans="4:7" ht="15" x14ac:dyDescent="0.3">
      <c r="D23884" s="25"/>
      <c r="F23884" s="21"/>
      <c r="G23884" s="16"/>
    </row>
    <row r="23885" spans="4:7" ht="15" x14ac:dyDescent="0.3">
      <c r="D23885" s="25"/>
      <c r="F23885" s="21"/>
      <c r="G23885" s="16"/>
    </row>
    <row r="23886" spans="4:7" ht="15" x14ac:dyDescent="0.3">
      <c r="D23886" s="25"/>
      <c r="F23886" s="21"/>
      <c r="G23886" s="16"/>
    </row>
    <row r="23887" spans="4:7" ht="15" x14ac:dyDescent="0.3">
      <c r="D23887" s="25"/>
      <c r="F23887" s="21"/>
      <c r="G23887" s="16"/>
    </row>
    <row r="23888" spans="4:7" ht="15" x14ac:dyDescent="0.3">
      <c r="D23888" s="25"/>
      <c r="F23888" s="21"/>
      <c r="G23888" s="16"/>
    </row>
    <row r="23889" spans="4:7" ht="15" x14ac:dyDescent="0.3">
      <c r="D23889" s="25"/>
      <c r="F23889" s="21"/>
      <c r="G23889" s="16"/>
    </row>
    <row r="23890" spans="4:7" ht="15" x14ac:dyDescent="0.3">
      <c r="D23890" s="25"/>
      <c r="F23890" s="21"/>
      <c r="G23890" s="16"/>
    </row>
    <row r="23891" spans="4:7" ht="15" x14ac:dyDescent="0.3">
      <c r="D23891" s="25"/>
      <c r="F23891" s="21"/>
      <c r="G23891" s="16"/>
    </row>
    <row r="23892" spans="4:7" ht="15" x14ac:dyDescent="0.3">
      <c r="D23892" s="25"/>
      <c r="F23892" s="21"/>
      <c r="G23892" s="16"/>
    </row>
    <row r="23893" spans="4:7" ht="15" x14ac:dyDescent="0.3">
      <c r="D23893" s="25"/>
      <c r="F23893" s="21"/>
      <c r="G23893" s="16"/>
    </row>
    <row r="23894" spans="4:7" ht="15" x14ac:dyDescent="0.3">
      <c r="D23894" s="25"/>
      <c r="F23894" s="21"/>
      <c r="G23894" s="16"/>
    </row>
    <row r="23895" spans="4:7" ht="15" x14ac:dyDescent="0.3">
      <c r="D23895" s="25"/>
      <c r="F23895" s="21"/>
      <c r="G23895" s="16"/>
    </row>
    <row r="23896" spans="4:7" ht="15" x14ac:dyDescent="0.3">
      <c r="D23896" s="25"/>
      <c r="F23896" s="21"/>
      <c r="G23896" s="16"/>
    </row>
    <row r="23897" spans="4:7" ht="15" x14ac:dyDescent="0.3">
      <c r="D23897" s="25"/>
      <c r="F23897" s="21"/>
      <c r="G23897" s="16"/>
    </row>
    <row r="23898" spans="4:7" ht="15" x14ac:dyDescent="0.3">
      <c r="D23898" s="25"/>
      <c r="F23898" s="21"/>
      <c r="G23898" s="16"/>
    </row>
    <row r="23899" spans="4:7" ht="15" x14ac:dyDescent="0.3">
      <c r="D23899" s="25"/>
      <c r="F23899" s="21"/>
      <c r="G23899" s="16"/>
    </row>
    <row r="23900" spans="4:7" ht="15" x14ac:dyDescent="0.3">
      <c r="D23900" s="25"/>
      <c r="F23900" s="21"/>
      <c r="G23900" s="16"/>
    </row>
    <row r="23901" spans="4:7" ht="15" x14ac:dyDescent="0.3">
      <c r="D23901" s="25"/>
      <c r="F23901" s="21"/>
      <c r="G23901" s="16"/>
    </row>
    <row r="23902" spans="4:7" ht="15" x14ac:dyDescent="0.3">
      <c r="D23902" s="25"/>
      <c r="F23902" s="21"/>
      <c r="G23902" s="16"/>
    </row>
    <row r="23903" spans="4:7" ht="15" x14ac:dyDescent="0.3">
      <c r="D23903" s="25"/>
      <c r="F23903" s="21"/>
      <c r="G23903" s="16"/>
    </row>
    <row r="23904" spans="4:7" ht="15" x14ac:dyDescent="0.3">
      <c r="D23904" s="25"/>
      <c r="F23904" s="21"/>
      <c r="G23904" s="16"/>
    </row>
    <row r="23905" spans="4:7" ht="15" x14ac:dyDescent="0.3">
      <c r="D23905" s="25"/>
      <c r="F23905" s="21"/>
      <c r="G23905" s="16"/>
    </row>
    <row r="23906" spans="4:7" ht="15" x14ac:dyDescent="0.3">
      <c r="D23906" s="25"/>
      <c r="F23906" s="21"/>
      <c r="G23906" s="16"/>
    </row>
    <row r="23907" spans="4:7" ht="15" x14ac:dyDescent="0.3">
      <c r="D23907" s="25"/>
      <c r="F23907" s="21"/>
      <c r="G23907" s="16"/>
    </row>
    <row r="23908" spans="4:7" ht="15" x14ac:dyDescent="0.3">
      <c r="D23908" s="25"/>
      <c r="F23908" s="21"/>
      <c r="G23908" s="16"/>
    </row>
    <row r="23909" spans="4:7" ht="15" x14ac:dyDescent="0.3">
      <c r="D23909" s="25"/>
      <c r="F23909" s="21"/>
      <c r="G23909" s="16"/>
    </row>
    <row r="23910" spans="4:7" ht="15" x14ac:dyDescent="0.3">
      <c r="D23910" s="25"/>
      <c r="F23910" s="21"/>
      <c r="G23910" s="16"/>
    </row>
    <row r="23911" spans="4:7" ht="15" x14ac:dyDescent="0.3">
      <c r="D23911" s="25"/>
      <c r="F23911" s="21"/>
      <c r="G23911" s="16"/>
    </row>
    <row r="23912" spans="4:7" ht="15" x14ac:dyDescent="0.3">
      <c r="D23912" s="25"/>
      <c r="F23912" s="21"/>
      <c r="G23912" s="16"/>
    </row>
    <row r="23913" spans="4:7" ht="15" x14ac:dyDescent="0.3">
      <c r="D23913" s="25"/>
      <c r="F23913" s="21"/>
      <c r="G23913" s="16"/>
    </row>
    <row r="23914" spans="4:7" ht="15" x14ac:dyDescent="0.3">
      <c r="D23914" s="25"/>
      <c r="F23914" s="21"/>
      <c r="G23914" s="16"/>
    </row>
    <row r="23915" spans="4:7" ht="15" x14ac:dyDescent="0.3">
      <c r="D23915" s="25"/>
      <c r="F23915" s="21"/>
      <c r="G23915" s="16"/>
    </row>
    <row r="23916" spans="4:7" ht="15" x14ac:dyDescent="0.3">
      <c r="D23916" s="25"/>
      <c r="F23916" s="21"/>
      <c r="G23916" s="16"/>
    </row>
    <row r="23917" spans="4:7" ht="15" x14ac:dyDescent="0.3">
      <c r="D23917" s="25"/>
      <c r="F23917" s="21"/>
      <c r="G23917" s="16"/>
    </row>
    <row r="23918" spans="4:7" ht="15" x14ac:dyDescent="0.3">
      <c r="D23918" s="25"/>
      <c r="F23918" s="21"/>
      <c r="G23918" s="16"/>
    </row>
    <row r="23919" spans="4:7" ht="15" x14ac:dyDescent="0.3">
      <c r="D23919" s="25"/>
      <c r="F23919" s="21"/>
      <c r="G23919" s="16"/>
    </row>
    <row r="23920" spans="4:7" ht="15" x14ac:dyDescent="0.3">
      <c r="D23920" s="25"/>
      <c r="F23920" s="21"/>
      <c r="G23920" s="16"/>
    </row>
    <row r="23921" spans="4:7" ht="15" x14ac:dyDescent="0.3">
      <c r="D23921" s="25"/>
      <c r="F23921" s="21"/>
      <c r="G23921" s="16"/>
    </row>
    <row r="23922" spans="4:7" ht="15" x14ac:dyDescent="0.3">
      <c r="D23922" s="25"/>
      <c r="F23922" s="21"/>
      <c r="G23922" s="16"/>
    </row>
    <row r="23923" spans="4:7" ht="15" x14ac:dyDescent="0.3">
      <c r="D23923" s="25"/>
      <c r="F23923" s="21"/>
      <c r="G23923" s="16"/>
    </row>
    <row r="23924" spans="4:7" ht="15" x14ac:dyDescent="0.3">
      <c r="D23924" s="25"/>
      <c r="F23924" s="21"/>
      <c r="G23924" s="16"/>
    </row>
    <row r="23925" spans="4:7" ht="15" x14ac:dyDescent="0.3">
      <c r="D23925" s="25"/>
      <c r="F23925" s="21"/>
      <c r="G23925" s="16"/>
    </row>
    <row r="23926" spans="4:7" ht="15" x14ac:dyDescent="0.3">
      <c r="D23926" s="25"/>
      <c r="F23926" s="21"/>
      <c r="G23926" s="16"/>
    </row>
    <row r="23927" spans="4:7" ht="15" x14ac:dyDescent="0.3">
      <c r="D23927" s="25"/>
      <c r="F23927" s="21"/>
      <c r="G23927" s="16"/>
    </row>
    <row r="23928" spans="4:7" ht="15" x14ac:dyDescent="0.3">
      <c r="D23928" s="25"/>
      <c r="F23928" s="21"/>
      <c r="G23928" s="16"/>
    </row>
    <row r="23929" spans="4:7" ht="15" x14ac:dyDescent="0.3">
      <c r="D23929" s="25"/>
      <c r="F23929" s="21"/>
      <c r="G23929" s="16"/>
    </row>
    <row r="23930" spans="4:7" ht="15" x14ac:dyDescent="0.3">
      <c r="D23930" s="25"/>
      <c r="F23930" s="21"/>
      <c r="G23930" s="16"/>
    </row>
    <row r="23931" spans="4:7" ht="15" x14ac:dyDescent="0.3">
      <c r="D23931" s="25"/>
      <c r="F23931" s="21"/>
      <c r="G23931" s="16"/>
    </row>
    <row r="23932" spans="4:7" ht="15" x14ac:dyDescent="0.3">
      <c r="D23932" s="25"/>
      <c r="F23932" s="21"/>
      <c r="G23932" s="16"/>
    </row>
    <row r="23933" spans="4:7" ht="15" x14ac:dyDescent="0.3">
      <c r="D23933" s="25"/>
      <c r="F23933" s="21"/>
      <c r="G23933" s="16"/>
    </row>
    <row r="23934" spans="4:7" ht="15" x14ac:dyDescent="0.3">
      <c r="D23934" s="25"/>
      <c r="F23934" s="21"/>
      <c r="G23934" s="16"/>
    </row>
    <row r="23935" spans="4:7" ht="15" x14ac:dyDescent="0.3">
      <c r="D23935" s="25"/>
      <c r="F23935" s="21"/>
      <c r="G23935" s="16"/>
    </row>
    <row r="23936" spans="4:7" ht="15" x14ac:dyDescent="0.3">
      <c r="D23936" s="25"/>
      <c r="F23936" s="21"/>
      <c r="G23936" s="16"/>
    </row>
    <row r="23937" spans="4:7" ht="15" x14ac:dyDescent="0.3">
      <c r="D23937" s="25"/>
      <c r="F23937" s="21"/>
      <c r="G23937" s="16"/>
    </row>
    <row r="23938" spans="4:7" ht="15" x14ac:dyDescent="0.3">
      <c r="D23938" s="25"/>
      <c r="F23938" s="21"/>
      <c r="G23938" s="16"/>
    </row>
    <row r="23939" spans="4:7" ht="15" x14ac:dyDescent="0.3">
      <c r="D23939" s="25"/>
      <c r="F23939" s="21"/>
      <c r="G23939" s="16"/>
    </row>
    <row r="23940" spans="4:7" ht="15" x14ac:dyDescent="0.3">
      <c r="D23940" s="25"/>
      <c r="F23940" s="21"/>
      <c r="G23940" s="16"/>
    </row>
    <row r="23941" spans="4:7" ht="15" x14ac:dyDescent="0.3">
      <c r="D23941" s="25"/>
      <c r="F23941" s="21"/>
      <c r="G23941" s="16"/>
    </row>
    <row r="23942" spans="4:7" ht="15" x14ac:dyDescent="0.3">
      <c r="D23942" s="25"/>
      <c r="F23942" s="21"/>
      <c r="G23942" s="16"/>
    </row>
    <row r="23943" spans="4:7" ht="15" x14ac:dyDescent="0.3">
      <c r="D23943" s="25"/>
      <c r="F23943" s="21"/>
      <c r="G23943" s="16"/>
    </row>
    <row r="23944" spans="4:7" ht="15" x14ac:dyDescent="0.3">
      <c r="D23944" s="25"/>
      <c r="F23944" s="21"/>
      <c r="G23944" s="16"/>
    </row>
    <row r="23945" spans="4:7" ht="15" x14ac:dyDescent="0.3">
      <c r="D23945" s="25"/>
      <c r="F23945" s="21"/>
      <c r="G23945" s="16"/>
    </row>
    <row r="23946" spans="4:7" ht="15" x14ac:dyDescent="0.3">
      <c r="D23946" s="25"/>
      <c r="F23946" s="21"/>
      <c r="G23946" s="16"/>
    </row>
    <row r="23947" spans="4:7" ht="15" x14ac:dyDescent="0.3">
      <c r="D23947" s="25"/>
      <c r="F23947" s="21"/>
      <c r="G23947" s="16"/>
    </row>
    <row r="23948" spans="4:7" ht="15" x14ac:dyDescent="0.3">
      <c r="D23948" s="25"/>
      <c r="F23948" s="21"/>
      <c r="G23948" s="16"/>
    </row>
    <row r="23949" spans="4:7" ht="15" x14ac:dyDescent="0.3">
      <c r="D23949" s="25"/>
      <c r="F23949" s="21"/>
      <c r="G23949" s="16"/>
    </row>
    <row r="23950" spans="4:7" ht="15" x14ac:dyDescent="0.3">
      <c r="D23950" s="25"/>
      <c r="F23950" s="21"/>
      <c r="G23950" s="16"/>
    </row>
    <row r="23951" spans="4:7" ht="15" x14ac:dyDescent="0.3">
      <c r="D23951" s="25"/>
      <c r="F23951" s="21"/>
      <c r="G23951" s="16"/>
    </row>
    <row r="23952" spans="4:7" ht="15" x14ac:dyDescent="0.3">
      <c r="D23952" s="25"/>
      <c r="F23952" s="21"/>
      <c r="G23952" s="16"/>
    </row>
    <row r="23953" spans="4:7" ht="15" x14ac:dyDescent="0.3">
      <c r="D23953" s="25"/>
      <c r="F23953" s="21"/>
      <c r="G23953" s="16"/>
    </row>
    <row r="23954" spans="4:7" ht="15" x14ac:dyDescent="0.3">
      <c r="D23954" s="25"/>
      <c r="F23954" s="21"/>
      <c r="G23954" s="16"/>
    </row>
    <row r="23955" spans="4:7" ht="15" x14ac:dyDescent="0.3">
      <c r="D23955" s="25"/>
      <c r="F23955" s="21"/>
      <c r="G23955" s="16"/>
    </row>
    <row r="23956" spans="4:7" ht="15" x14ac:dyDescent="0.3">
      <c r="D23956" s="25"/>
      <c r="F23956" s="21"/>
      <c r="G23956" s="16"/>
    </row>
    <row r="23957" spans="4:7" ht="15" x14ac:dyDescent="0.3">
      <c r="D23957" s="25"/>
      <c r="F23957" s="21"/>
      <c r="G23957" s="16"/>
    </row>
    <row r="23958" spans="4:7" ht="15" x14ac:dyDescent="0.3">
      <c r="D23958" s="25"/>
      <c r="F23958" s="21"/>
      <c r="G23958" s="16"/>
    </row>
    <row r="23959" spans="4:7" ht="15" x14ac:dyDescent="0.3">
      <c r="D23959" s="25"/>
      <c r="F23959" s="21"/>
      <c r="G23959" s="16"/>
    </row>
    <row r="23960" spans="4:7" ht="15" x14ac:dyDescent="0.3">
      <c r="D23960" s="25"/>
      <c r="F23960" s="21"/>
      <c r="G23960" s="16"/>
    </row>
    <row r="23961" spans="4:7" ht="15" x14ac:dyDescent="0.3">
      <c r="D23961" s="25"/>
      <c r="F23961" s="21"/>
      <c r="G23961" s="16"/>
    </row>
    <row r="23962" spans="4:7" ht="15" x14ac:dyDescent="0.3">
      <c r="D23962" s="25"/>
      <c r="F23962" s="21"/>
      <c r="G23962" s="16"/>
    </row>
    <row r="23963" spans="4:7" ht="15" x14ac:dyDescent="0.3">
      <c r="D23963" s="25"/>
      <c r="F23963" s="21"/>
      <c r="G23963" s="16"/>
    </row>
    <row r="23964" spans="4:7" ht="15" x14ac:dyDescent="0.3">
      <c r="D23964" s="25"/>
      <c r="F23964" s="21"/>
      <c r="G23964" s="16"/>
    </row>
    <row r="23965" spans="4:7" ht="15" x14ac:dyDescent="0.3">
      <c r="D23965" s="25"/>
      <c r="F23965" s="21"/>
      <c r="G23965" s="16"/>
    </row>
    <row r="23966" spans="4:7" ht="15" x14ac:dyDescent="0.3">
      <c r="D23966" s="25"/>
      <c r="F23966" s="21"/>
      <c r="G23966" s="16"/>
    </row>
    <row r="23967" spans="4:7" ht="15" x14ac:dyDescent="0.3">
      <c r="D23967" s="25"/>
      <c r="F23967" s="21"/>
      <c r="G23967" s="16"/>
    </row>
    <row r="23968" spans="4:7" ht="15" x14ac:dyDescent="0.3">
      <c r="D23968" s="25"/>
      <c r="F23968" s="21"/>
      <c r="G23968" s="16"/>
    </row>
    <row r="23969" spans="4:7" ht="15" x14ac:dyDescent="0.3">
      <c r="D23969" s="25"/>
      <c r="F23969" s="21"/>
      <c r="G23969" s="16"/>
    </row>
    <row r="23970" spans="4:7" ht="15" x14ac:dyDescent="0.3">
      <c r="D23970" s="25"/>
      <c r="F23970" s="21"/>
      <c r="G23970" s="16"/>
    </row>
    <row r="23971" spans="4:7" ht="15" x14ac:dyDescent="0.3">
      <c r="D23971" s="25"/>
      <c r="F23971" s="21"/>
      <c r="G23971" s="16"/>
    </row>
    <row r="23972" spans="4:7" ht="15" x14ac:dyDescent="0.3">
      <c r="D23972" s="25"/>
      <c r="F23972" s="21"/>
      <c r="G23972" s="16"/>
    </row>
    <row r="23973" spans="4:7" ht="15" x14ac:dyDescent="0.3">
      <c r="D23973" s="25"/>
      <c r="F23973" s="21"/>
      <c r="G23973" s="16"/>
    </row>
    <row r="23974" spans="4:7" ht="15" x14ac:dyDescent="0.3">
      <c r="D23974" s="25"/>
      <c r="F23974" s="21"/>
      <c r="G23974" s="16"/>
    </row>
    <row r="23975" spans="4:7" ht="15" x14ac:dyDescent="0.3">
      <c r="D23975" s="25"/>
      <c r="F23975" s="21"/>
      <c r="G23975" s="16"/>
    </row>
    <row r="23976" spans="4:7" ht="15" x14ac:dyDescent="0.3">
      <c r="D23976" s="25"/>
      <c r="F23976" s="21"/>
      <c r="G23976" s="16"/>
    </row>
    <row r="23977" spans="4:7" ht="15" x14ac:dyDescent="0.3">
      <c r="D23977" s="25"/>
      <c r="F23977" s="21"/>
      <c r="G23977" s="16"/>
    </row>
    <row r="23978" spans="4:7" ht="15" x14ac:dyDescent="0.3">
      <c r="D23978" s="25"/>
      <c r="F23978" s="21"/>
      <c r="G23978" s="16"/>
    </row>
    <row r="23979" spans="4:7" ht="15" x14ac:dyDescent="0.3">
      <c r="D23979" s="25"/>
      <c r="F23979" s="21"/>
      <c r="G23979" s="16"/>
    </row>
    <row r="23980" spans="4:7" ht="15" x14ac:dyDescent="0.3">
      <c r="D23980" s="25"/>
      <c r="F23980" s="21"/>
      <c r="G23980" s="16"/>
    </row>
    <row r="23981" spans="4:7" ht="15" x14ac:dyDescent="0.3">
      <c r="D23981" s="25"/>
      <c r="F23981" s="21"/>
      <c r="G23981" s="16"/>
    </row>
    <row r="23982" spans="4:7" ht="15" x14ac:dyDescent="0.3">
      <c r="D23982" s="25"/>
      <c r="F23982" s="21"/>
      <c r="G23982" s="16"/>
    </row>
    <row r="23983" spans="4:7" ht="15" x14ac:dyDescent="0.3">
      <c r="D23983" s="25"/>
      <c r="F23983" s="21"/>
      <c r="G23983" s="16"/>
    </row>
    <row r="23984" spans="4:7" ht="15" x14ac:dyDescent="0.3">
      <c r="D23984" s="25"/>
      <c r="F23984" s="21"/>
      <c r="G23984" s="16"/>
    </row>
    <row r="23985" spans="4:7" ht="15" x14ac:dyDescent="0.3">
      <c r="D23985" s="25"/>
      <c r="F23985" s="21"/>
      <c r="G23985" s="16"/>
    </row>
    <row r="23986" spans="4:7" ht="15" x14ac:dyDescent="0.3">
      <c r="D23986" s="25"/>
      <c r="F23986" s="21"/>
      <c r="G23986" s="16"/>
    </row>
    <row r="23987" spans="4:7" ht="15" x14ac:dyDescent="0.3">
      <c r="D23987" s="25"/>
      <c r="F23987" s="21"/>
      <c r="G23987" s="16"/>
    </row>
    <row r="23988" spans="4:7" ht="15" x14ac:dyDescent="0.3">
      <c r="D23988" s="25"/>
      <c r="F23988" s="21"/>
      <c r="G23988" s="16"/>
    </row>
    <row r="23989" spans="4:7" ht="15" x14ac:dyDescent="0.3">
      <c r="D23989" s="25"/>
      <c r="F23989" s="21"/>
      <c r="G23989" s="16"/>
    </row>
    <row r="23990" spans="4:7" ht="15" x14ac:dyDescent="0.3">
      <c r="D23990" s="25"/>
      <c r="F23990" s="21"/>
      <c r="G23990" s="16"/>
    </row>
    <row r="23991" spans="4:7" ht="15" x14ac:dyDescent="0.3">
      <c r="D23991" s="25"/>
      <c r="F23991" s="21"/>
      <c r="G23991" s="16"/>
    </row>
    <row r="23992" spans="4:7" ht="15" x14ac:dyDescent="0.3">
      <c r="D23992" s="25"/>
      <c r="F23992" s="21"/>
      <c r="G23992" s="16"/>
    </row>
    <row r="23993" spans="4:7" ht="15" x14ac:dyDescent="0.3">
      <c r="D23993" s="25"/>
      <c r="F23993" s="21"/>
      <c r="G23993" s="16"/>
    </row>
    <row r="23994" spans="4:7" ht="15" x14ac:dyDescent="0.3">
      <c r="D23994" s="25"/>
      <c r="F23994" s="21"/>
      <c r="G23994" s="16"/>
    </row>
    <row r="23995" spans="4:7" ht="15" x14ac:dyDescent="0.3">
      <c r="D23995" s="25"/>
      <c r="F23995" s="21"/>
      <c r="G23995" s="16"/>
    </row>
    <row r="23996" spans="4:7" ht="15" x14ac:dyDescent="0.3">
      <c r="D23996" s="25"/>
      <c r="F23996" s="21"/>
      <c r="G23996" s="16"/>
    </row>
    <row r="23997" spans="4:7" ht="15" x14ac:dyDescent="0.3">
      <c r="D23997" s="25"/>
      <c r="F23997" s="21"/>
      <c r="G23997" s="16"/>
    </row>
    <row r="23998" spans="4:7" ht="15" x14ac:dyDescent="0.3">
      <c r="D23998" s="25"/>
      <c r="F23998" s="21"/>
      <c r="G23998" s="16"/>
    </row>
    <row r="23999" spans="4:7" ht="15" x14ac:dyDescent="0.3">
      <c r="D23999" s="25"/>
      <c r="F23999" s="21"/>
      <c r="G23999" s="16"/>
    </row>
    <row r="24000" spans="4:7" ht="15" x14ac:dyDescent="0.3">
      <c r="D24000" s="25"/>
      <c r="F24000" s="21"/>
      <c r="G24000" s="16"/>
    </row>
    <row r="24001" spans="4:7" ht="15" x14ac:dyDescent="0.3">
      <c r="D24001" s="25"/>
      <c r="F24001" s="21"/>
      <c r="G24001" s="16"/>
    </row>
    <row r="24002" spans="4:7" ht="15" x14ac:dyDescent="0.3">
      <c r="D24002" s="25"/>
      <c r="F24002" s="21"/>
      <c r="G24002" s="16"/>
    </row>
    <row r="24003" spans="4:7" ht="15" x14ac:dyDescent="0.3">
      <c r="D24003" s="25"/>
      <c r="F24003" s="21"/>
      <c r="G24003" s="16"/>
    </row>
    <row r="24004" spans="4:7" ht="15" x14ac:dyDescent="0.3">
      <c r="D24004" s="25"/>
      <c r="F24004" s="21"/>
      <c r="G24004" s="16"/>
    </row>
    <row r="24005" spans="4:7" ht="15" x14ac:dyDescent="0.3">
      <c r="D24005" s="25"/>
      <c r="F24005" s="21"/>
      <c r="G24005" s="16"/>
    </row>
    <row r="24006" spans="4:7" ht="15" x14ac:dyDescent="0.3">
      <c r="D24006" s="25"/>
      <c r="F24006" s="21"/>
      <c r="G24006" s="16"/>
    </row>
    <row r="24007" spans="4:7" ht="15" x14ac:dyDescent="0.3">
      <c r="D24007" s="25"/>
      <c r="F24007" s="21"/>
      <c r="G24007" s="16"/>
    </row>
    <row r="24008" spans="4:7" ht="15" x14ac:dyDescent="0.3">
      <c r="D24008" s="25"/>
      <c r="F24008" s="21"/>
      <c r="G24008" s="16"/>
    </row>
    <row r="24009" spans="4:7" ht="15" x14ac:dyDescent="0.3">
      <c r="D24009" s="25"/>
      <c r="F24009" s="21"/>
      <c r="G24009" s="16"/>
    </row>
    <row r="24010" spans="4:7" ht="15" x14ac:dyDescent="0.3">
      <c r="D24010" s="25"/>
      <c r="F24010" s="21"/>
      <c r="G24010" s="16"/>
    </row>
    <row r="24011" spans="4:7" ht="15" x14ac:dyDescent="0.3">
      <c r="D24011" s="25"/>
      <c r="F24011" s="21"/>
      <c r="G24011" s="16"/>
    </row>
    <row r="24012" spans="4:7" ht="15" x14ac:dyDescent="0.3">
      <c r="D24012" s="25"/>
      <c r="F24012" s="21"/>
      <c r="G24012" s="16"/>
    </row>
    <row r="24013" spans="4:7" ht="15" x14ac:dyDescent="0.3">
      <c r="D24013" s="25"/>
      <c r="F24013" s="21"/>
      <c r="G24013" s="16"/>
    </row>
    <row r="24014" spans="4:7" ht="15" x14ac:dyDescent="0.3">
      <c r="D24014" s="25"/>
      <c r="F24014" s="21"/>
      <c r="G24014" s="16"/>
    </row>
    <row r="24015" spans="4:7" ht="15" x14ac:dyDescent="0.3">
      <c r="D24015" s="25"/>
      <c r="F24015" s="21"/>
      <c r="G24015" s="16"/>
    </row>
    <row r="24016" spans="4:7" ht="15" x14ac:dyDescent="0.3">
      <c r="D24016" s="25"/>
      <c r="F24016" s="21"/>
      <c r="G24016" s="16"/>
    </row>
    <row r="24017" spans="4:7" ht="15" x14ac:dyDescent="0.3">
      <c r="D24017" s="25"/>
      <c r="F24017" s="21"/>
      <c r="G24017" s="16"/>
    </row>
    <row r="24018" spans="4:7" ht="15" x14ac:dyDescent="0.3">
      <c r="D24018" s="25"/>
      <c r="F24018" s="21"/>
      <c r="G24018" s="16"/>
    </row>
    <row r="24019" spans="4:7" ht="15" x14ac:dyDescent="0.3">
      <c r="D24019" s="25"/>
      <c r="F24019" s="21"/>
      <c r="G24019" s="16"/>
    </row>
    <row r="24020" spans="4:7" ht="15" x14ac:dyDescent="0.3">
      <c r="D24020" s="25"/>
      <c r="F24020" s="21"/>
      <c r="G24020" s="16"/>
    </row>
    <row r="24021" spans="4:7" ht="15" x14ac:dyDescent="0.3">
      <c r="D24021" s="25"/>
      <c r="F24021" s="21"/>
      <c r="G24021" s="16"/>
    </row>
    <row r="24022" spans="4:7" ht="15" x14ac:dyDescent="0.3">
      <c r="D24022" s="25"/>
      <c r="F24022" s="21"/>
      <c r="G24022" s="16"/>
    </row>
    <row r="24023" spans="4:7" ht="15" x14ac:dyDescent="0.3">
      <c r="D24023" s="25"/>
      <c r="F24023" s="21"/>
      <c r="G24023" s="16"/>
    </row>
    <row r="24024" spans="4:7" ht="15" x14ac:dyDescent="0.3">
      <c r="D24024" s="25"/>
      <c r="F24024" s="21"/>
      <c r="G24024" s="16"/>
    </row>
    <row r="24025" spans="4:7" ht="15" x14ac:dyDescent="0.3">
      <c r="D24025" s="25"/>
      <c r="F24025" s="21"/>
      <c r="G24025" s="16"/>
    </row>
    <row r="24026" spans="4:7" ht="15" x14ac:dyDescent="0.3">
      <c r="D24026" s="25"/>
      <c r="F24026" s="21"/>
      <c r="G24026" s="16"/>
    </row>
    <row r="24027" spans="4:7" ht="15" x14ac:dyDescent="0.3">
      <c r="D24027" s="25"/>
      <c r="F24027" s="21"/>
      <c r="G24027" s="16"/>
    </row>
    <row r="24028" spans="4:7" ht="15" x14ac:dyDescent="0.3">
      <c r="D24028" s="25"/>
      <c r="F24028" s="21"/>
      <c r="G24028" s="16"/>
    </row>
    <row r="24029" spans="4:7" ht="15" x14ac:dyDescent="0.3">
      <c r="D24029" s="25"/>
      <c r="F24029" s="21"/>
      <c r="G24029" s="16"/>
    </row>
    <row r="24030" spans="4:7" ht="15" x14ac:dyDescent="0.3">
      <c r="D24030" s="25"/>
      <c r="F24030" s="21"/>
      <c r="G24030" s="16"/>
    </row>
    <row r="24031" spans="4:7" ht="15" x14ac:dyDescent="0.3">
      <c r="D24031" s="25"/>
      <c r="F24031" s="21"/>
      <c r="G24031" s="16"/>
    </row>
    <row r="24032" spans="4:7" ht="15" x14ac:dyDescent="0.3">
      <c r="D24032" s="25"/>
      <c r="F24032" s="21"/>
      <c r="G24032" s="16"/>
    </row>
    <row r="24033" spans="4:7" ht="15" x14ac:dyDescent="0.3">
      <c r="D24033" s="25"/>
      <c r="F24033" s="21"/>
      <c r="G24033" s="16"/>
    </row>
    <row r="24034" spans="4:7" ht="15" x14ac:dyDescent="0.3">
      <c r="D24034" s="25"/>
      <c r="F24034" s="21"/>
      <c r="G24034" s="16"/>
    </row>
    <row r="24035" spans="4:7" ht="15" x14ac:dyDescent="0.3">
      <c r="D24035" s="25"/>
      <c r="F24035" s="21"/>
      <c r="G24035" s="16"/>
    </row>
    <row r="24036" spans="4:7" ht="15" x14ac:dyDescent="0.3">
      <c r="D24036" s="25"/>
      <c r="F24036" s="21"/>
      <c r="G24036" s="16"/>
    </row>
    <row r="24037" spans="4:7" ht="15" x14ac:dyDescent="0.3">
      <c r="D24037" s="25"/>
      <c r="F24037" s="21"/>
      <c r="G24037" s="16"/>
    </row>
    <row r="24038" spans="4:7" ht="15" x14ac:dyDescent="0.3">
      <c r="D24038" s="25"/>
      <c r="F24038" s="21"/>
      <c r="G24038" s="16"/>
    </row>
    <row r="24039" spans="4:7" ht="15" x14ac:dyDescent="0.3">
      <c r="D24039" s="25"/>
      <c r="F24039" s="21"/>
      <c r="G24039" s="16"/>
    </row>
    <row r="24040" spans="4:7" ht="15" x14ac:dyDescent="0.3">
      <c r="D24040" s="25"/>
      <c r="F24040" s="21"/>
      <c r="G24040" s="16"/>
    </row>
    <row r="24041" spans="4:7" ht="15" x14ac:dyDescent="0.3">
      <c r="D24041" s="25"/>
      <c r="F24041" s="21"/>
      <c r="G24041" s="16"/>
    </row>
    <row r="24042" spans="4:7" ht="15" x14ac:dyDescent="0.3">
      <c r="D24042" s="25"/>
      <c r="F24042" s="21"/>
      <c r="G24042" s="16"/>
    </row>
    <row r="24043" spans="4:7" ht="15" x14ac:dyDescent="0.3">
      <c r="D24043" s="25"/>
      <c r="F24043" s="21"/>
      <c r="G24043" s="16"/>
    </row>
    <row r="24044" spans="4:7" ht="15" x14ac:dyDescent="0.3">
      <c r="D24044" s="25"/>
      <c r="F24044" s="21"/>
      <c r="G24044" s="16"/>
    </row>
    <row r="24045" spans="4:7" ht="15" x14ac:dyDescent="0.3">
      <c r="D24045" s="25"/>
      <c r="F24045" s="21"/>
      <c r="G24045" s="16"/>
    </row>
    <row r="24046" spans="4:7" ht="15" x14ac:dyDescent="0.3">
      <c r="D24046" s="25"/>
      <c r="F24046" s="21"/>
      <c r="G24046" s="16"/>
    </row>
    <row r="24047" spans="4:7" ht="15" x14ac:dyDescent="0.3">
      <c r="D24047" s="25"/>
      <c r="F24047" s="21"/>
      <c r="G24047" s="16"/>
    </row>
    <row r="24048" spans="4:7" ht="15" x14ac:dyDescent="0.3">
      <c r="D24048" s="25"/>
      <c r="F24048" s="21"/>
      <c r="G24048" s="16"/>
    </row>
    <row r="24049" spans="4:7" ht="15" x14ac:dyDescent="0.3">
      <c r="D24049" s="25"/>
      <c r="F24049" s="21"/>
      <c r="G24049" s="16"/>
    </row>
    <row r="24050" spans="4:7" ht="15" x14ac:dyDescent="0.3">
      <c r="D24050" s="25"/>
      <c r="F24050" s="21"/>
      <c r="G24050" s="16"/>
    </row>
    <row r="24051" spans="4:7" ht="15" x14ac:dyDescent="0.3">
      <c r="D24051" s="25"/>
      <c r="F24051" s="21"/>
      <c r="G24051" s="16"/>
    </row>
    <row r="24052" spans="4:7" ht="15" x14ac:dyDescent="0.3">
      <c r="D24052" s="25"/>
      <c r="F24052" s="21"/>
      <c r="G24052" s="16"/>
    </row>
    <row r="24053" spans="4:7" ht="15" x14ac:dyDescent="0.3">
      <c r="D24053" s="25"/>
      <c r="F24053" s="21"/>
      <c r="G24053" s="16"/>
    </row>
    <row r="24054" spans="4:7" ht="15" x14ac:dyDescent="0.3">
      <c r="D24054" s="25"/>
      <c r="F24054" s="21"/>
      <c r="G24054" s="16"/>
    </row>
    <row r="24055" spans="4:7" ht="15" x14ac:dyDescent="0.3">
      <c r="D24055" s="25"/>
      <c r="F24055" s="21"/>
      <c r="G24055" s="16"/>
    </row>
    <row r="24056" spans="4:7" ht="15" x14ac:dyDescent="0.3">
      <c r="D24056" s="25"/>
      <c r="F24056" s="21"/>
      <c r="G24056" s="16"/>
    </row>
    <row r="24057" spans="4:7" ht="15" x14ac:dyDescent="0.3">
      <c r="D24057" s="25"/>
      <c r="F24057" s="21"/>
      <c r="G24057" s="16"/>
    </row>
    <row r="24058" spans="4:7" ht="15" x14ac:dyDescent="0.3">
      <c r="D24058" s="25"/>
      <c r="F24058" s="21"/>
      <c r="G24058" s="16"/>
    </row>
    <row r="24059" spans="4:7" ht="15" x14ac:dyDescent="0.3">
      <c r="D24059" s="25"/>
      <c r="F24059" s="21"/>
      <c r="G24059" s="16"/>
    </row>
    <row r="24060" spans="4:7" ht="15" x14ac:dyDescent="0.3">
      <c r="D24060" s="25"/>
      <c r="F24060" s="21"/>
      <c r="G24060" s="16"/>
    </row>
    <row r="24061" spans="4:7" ht="15" x14ac:dyDescent="0.3">
      <c r="D24061" s="25"/>
      <c r="F24061" s="21"/>
      <c r="G24061" s="16"/>
    </row>
    <row r="24062" spans="4:7" ht="15" x14ac:dyDescent="0.3">
      <c r="D24062" s="25"/>
      <c r="F24062" s="21"/>
      <c r="G24062" s="16"/>
    </row>
    <row r="24063" spans="4:7" ht="15" x14ac:dyDescent="0.3">
      <c r="D24063" s="25"/>
      <c r="F24063" s="21"/>
      <c r="G24063" s="16"/>
    </row>
    <row r="24064" spans="4:7" ht="15" x14ac:dyDescent="0.3">
      <c r="D24064" s="25"/>
      <c r="F24064" s="21"/>
      <c r="G24064" s="16"/>
    </row>
    <row r="24065" spans="4:7" ht="15" x14ac:dyDescent="0.3">
      <c r="D24065" s="25"/>
      <c r="F24065" s="21"/>
      <c r="G24065" s="16"/>
    </row>
    <row r="24066" spans="4:7" ht="15" x14ac:dyDescent="0.3">
      <c r="D24066" s="25"/>
      <c r="F24066" s="21"/>
      <c r="G24066" s="16"/>
    </row>
    <row r="24067" spans="4:7" ht="15" x14ac:dyDescent="0.3">
      <c r="D24067" s="25"/>
      <c r="F24067" s="21"/>
      <c r="G24067" s="16"/>
    </row>
    <row r="24068" spans="4:7" ht="15" x14ac:dyDescent="0.3">
      <c r="D24068" s="25"/>
      <c r="F24068" s="21"/>
      <c r="G24068" s="16"/>
    </row>
    <row r="24069" spans="4:7" ht="15" x14ac:dyDescent="0.3">
      <c r="D24069" s="25"/>
      <c r="F24069" s="21"/>
      <c r="G24069" s="16"/>
    </row>
    <row r="24070" spans="4:7" ht="15" x14ac:dyDescent="0.3">
      <c r="D24070" s="25"/>
      <c r="F24070" s="21"/>
      <c r="G24070" s="16"/>
    </row>
    <row r="24071" spans="4:7" ht="15" x14ac:dyDescent="0.3">
      <c r="D24071" s="25"/>
      <c r="F24071" s="21"/>
      <c r="G24071" s="16"/>
    </row>
    <row r="24072" spans="4:7" ht="15" x14ac:dyDescent="0.3">
      <c r="D24072" s="25"/>
      <c r="F24072" s="21"/>
      <c r="G24072" s="16"/>
    </row>
    <row r="24073" spans="4:7" ht="15" x14ac:dyDescent="0.3">
      <c r="D24073" s="25"/>
      <c r="F24073" s="21"/>
      <c r="G24073" s="16"/>
    </row>
    <row r="24074" spans="4:7" ht="15" x14ac:dyDescent="0.3">
      <c r="D24074" s="25"/>
      <c r="F24074" s="21"/>
      <c r="G24074" s="16"/>
    </row>
    <row r="24075" spans="4:7" ht="15" x14ac:dyDescent="0.3">
      <c r="D24075" s="25"/>
      <c r="F24075" s="21"/>
      <c r="G24075" s="16"/>
    </row>
    <row r="24076" spans="4:7" ht="15" x14ac:dyDescent="0.3">
      <c r="D24076" s="25"/>
      <c r="F24076" s="21"/>
      <c r="G24076" s="16"/>
    </row>
    <row r="24077" spans="4:7" ht="15" x14ac:dyDescent="0.3">
      <c r="D24077" s="25"/>
      <c r="F24077" s="21"/>
      <c r="G24077" s="16"/>
    </row>
    <row r="24078" spans="4:7" ht="15" x14ac:dyDescent="0.3">
      <c r="D24078" s="25"/>
      <c r="F24078" s="21"/>
      <c r="G24078" s="16"/>
    </row>
    <row r="24079" spans="4:7" ht="15" x14ac:dyDescent="0.3">
      <c r="D24079" s="25"/>
      <c r="F24079" s="21"/>
      <c r="G24079" s="16"/>
    </row>
    <row r="24080" spans="4:7" ht="15" x14ac:dyDescent="0.3">
      <c r="D24080" s="25"/>
      <c r="F24080" s="21"/>
      <c r="G24080" s="16"/>
    </row>
    <row r="24081" spans="4:7" ht="15" x14ac:dyDescent="0.3">
      <c r="D24081" s="25"/>
      <c r="F24081" s="21"/>
      <c r="G24081" s="16"/>
    </row>
    <row r="24082" spans="4:7" ht="15" x14ac:dyDescent="0.3">
      <c r="D24082" s="25"/>
      <c r="F24082" s="21"/>
      <c r="G24082" s="16"/>
    </row>
    <row r="24083" spans="4:7" ht="15" x14ac:dyDescent="0.3">
      <c r="D24083" s="25"/>
      <c r="F24083" s="21"/>
      <c r="G24083" s="16"/>
    </row>
    <row r="24084" spans="4:7" ht="15" x14ac:dyDescent="0.3">
      <c r="D24084" s="25"/>
      <c r="F24084" s="21"/>
      <c r="G24084" s="16"/>
    </row>
    <row r="24085" spans="4:7" ht="15" x14ac:dyDescent="0.3">
      <c r="D24085" s="25"/>
      <c r="F24085" s="21"/>
      <c r="G24085" s="16"/>
    </row>
    <row r="24086" spans="4:7" ht="15" x14ac:dyDescent="0.3">
      <c r="D24086" s="25"/>
      <c r="F24086" s="21"/>
      <c r="G24086" s="16"/>
    </row>
    <row r="24087" spans="4:7" ht="15" x14ac:dyDescent="0.3">
      <c r="D24087" s="25"/>
      <c r="F24087" s="21"/>
      <c r="G24087" s="16"/>
    </row>
    <row r="24088" spans="4:7" ht="15" x14ac:dyDescent="0.3">
      <c r="D24088" s="25"/>
      <c r="F24088" s="21"/>
      <c r="G24088" s="16"/>
    </row>
    <row r="24089" spans="4:7" ht="15" x14ac:dyDescent="0.3">
      <c r="D24089" s="25"/>
      <c r="F24089" s="21"/>
      <c r="G24089" s="16"/>
    </row>
    <row r="24090" spans="4:7" ht="15" x14ac:dyDescent="0.3">
      <c r="D24090" s="25"/>
      <c r="F24090" s="21"/>
      <c r="G24090" s="16"/>
    </row>
    <row r="24091" spans="4:7" ht="15" x14ac:dyDescent="0.3">
      <c r="D24091" s="25"/>
      <c r="F24091" s="21"/>
      <c r="G24091" s="16"/>
    </row>
    <row r="24092" spans="4:7" ht="15" x14ac:dyDescent="0.3">
      <c r="D24092" s="25"/>
      <c r="F24092" s="21"/>
      <c r="G24092" s="16"/>
    </row>
    <row r="24093" spans="4:7" ht="15" x14ac:dyDescent="0.3">
      <c r="D24093" s="25"/>
      <c r="F24093" s="21"/>
      <c r="G24093" s="16"/>
    </row>
    <row r="24094" spans="4:7" ht="15" x14ac:dyDescent="0.3">
      <c r="D24094" s="25"/>
      <c r="F24094" s="21"/>
      <c r="G24094" s="16"/>
    </row>
    <row r="24095" spans="4:7" ht="15" x14ac:dyDescent="0.3">
      <c r="D24095" s="25"/>
      <c r="F24095" s="21"/>
      <c r="G24095" s="16"/>
    </row>
    <row r="24096" spans="4:7" ht="15" x14ac:dyDescent="0.3">
      <c r="D24096" s="25"/>
      <c r="F24096" s="21"/>
      <c r="G24096" s="16"/>
    </row>
    <row r="24097" spans="4:7" ht="15" x14ac:dyDescent="0.3">
      <c r="D24097" s="25"/>
      <c r="F24097" s="21"/>
      <c r="G24097" s="16"/>
    </row>
    <row r="24098" spans="4:7" ht="15" x14ac:dyDescent="0.3">
      <c r="D24098" s="25"/>
      <c r="F24098" s="21"/>
      <c r="G24098" s="16"/>
    </row>
    <row r="24099" spans="4:7" ht="15" x14ac:dyDescent="0.3">
      <c r="D24099" s="25"/>
      <c r="F24099" s="21"/>
      <c r="G24099" s="16"/>
    </row>
    <row r="24100" spans="4:7" ht="15" x14ac:dyDescent="0.3">
      <c r="D24100" s="25"/>
      <c r="F24100" s="21"/>
      <c r="G24100" s="16"/>
    </row>
    <row r="24101" spans="4:7" ht="15" x14ac:dyDescent="0.3">
      <c r="D24101" s="25"/>
      <c r="F24101" s="21"/>
      <c r="G24101" s="16"/>
    </row>
    <row r="24102" spans="4:7" ht="15" x14ac:dyDescent="0.3">
      <c r="D24102" s="25"/>
      <c r="F24102" s="21"/>
      <c r="G24102" s="16"/>
    </row>
    <row r="24103" spans="4:7" ht="15" x14ac:dyDescent="0.3">
      <c r="D24103" s="25"/>
      <c r="F24103" s="21"/>
      <c r="G24103" s="16"/>
    </row>
    <row r="24104" spans="4:7" ht="15" x14ac:dyDescent="0.3">
      <c r="D24104" s="25"/>
      <c r="F24104" s="21"/>
      <c r="G24104" s="16"/>
    </row>
    <row r="24105" spans="4:7" ht="15" x14ac:dyDescent="0.3">
      <c r="D24105" s="25"/>
      <c r="F24105" s="21"/>
      <c r="G24105" s="16"/>
    </row>
    <row r="24106" spans="4:7" ht="15" x14ac:dyDescent="0.3">
      <c r="D24106" s="25"/>
      <c r="F24106" s="21"/>
      <c r="G24106" s="16"/>
    </row>
    <row r="24107" spans="4:7" ht="15" x14ac:dyDescent="0.3">
      <c r="D24107" s="25"/>
      <c r="F24107" s="21"/>
      <c r="G24107" s="16"/>
    </row>
    <row r="24108" spans="4:7" ht="15" x14ac:dyDescent="0.3">
      <c r="D24108" s="25"/>
      <c r="F24108" s="21"/>
      <c r="G24108" s="16"/>
    </row>
    <row r="24109" spans="4:7" ht="15" x14ac:dyDescent="0.3">
      <c r="D24109" s="25"/>
      <c r="F24109" s="21"/>
      <c r="G24109" s="16"/>
    </row>
    <row r="24110" spans="4:7" ht="15" x14ac:dyDescent="0.3">
      <c r="D24110" s="25"/>
      <c r="F24110" s="21"/>
      <c r="G24110" s="16"/>
    </row>
    <row r="24111" spans="4:7" ht="15" x14ac:dyDescent="0.3">
      <c r="D24111" s="25"/>
      <c r="F24111" s="21"/>
      <c r="G24111" s="16"/>
    </row>
    <row r="24112" spans="4:7" ht="15" x14ac:dyDescent="0.3">
      <c r="D24112" s="25"/>
      <c r="F24112" s="21"/>
      <c r="G24112" s="16"/>
    </row>
    <row r="24113" spans="4:7" ht="15" x14ac:dyDescent="0.3">
      <c r="D24113" s="25"/>
      <c r="F24113" s="21"/>
      <c r="G24113" s="16"/>
    </row>
    <row r="24114" spans="4:7" ht="15" x14ac:dyDescent="0.3">
      <c r="D24114" s="25"/>
      <c r="F24114" s="21"/>
      <c r="G24114" s="16"/>
    </row>
    <row r="24115" spans="4:7" ht="15" x14ac:dyDescent="0.3">
      <c r="D24115" s="25"/>
      <c r="F24115" s="21"/>
      <c r="G24115" s="16"/>
    </row>
    <row r="24116" spans="4:7" ht="15" x14ac:dyDescent="0.3">
      <c r="D24116" s="25"/>
      <c r="F24116" s="21"/>
      <c r="G24116" s="16"/>
    </row>
    <row r="24117" spans="4:7" ht="15" x14ac:dyDescent="0.3">
      <c r="D24117" s="25"/>
      <c r="F24117" s="21"/>
      <c r="G24117" s="16"/>
    </row>
    <row r="24118" spans="4:7" ht="15" x14ac:dyDescent="0.3">
      <c r="D24118" s="25"/>
      <c r="F24118" s="21"/>
      <c r="G24118" s="16"/>
    </row>
    <row r="24119" spans="4:7" ht="15" x14ac:dyDescent="0.3">
      <c r="D24119" s="25"/>
      <c r="F24119" s="21"/>
      <c r="G24119" s="16"/>
    </row>
    <row r="24120" spans="4:7" ht="15" x14ac:dyDescent="0.3">
      <c r="D24120" s="25"/>
      <c r="F24120" s="21"/>
      <c r="G24120" s="16"/>
    </row>
    <row r="24121" spans="4:7" ht="15" x14ac:dyDescent="0.3">
      <c r="D24121" s="25"/>
      <c r="F24121" s="21"/>
      <c r="G24121" s="16"/>
    </row>
    <row r="24122" spans="4:7" ht="15" x14ac:dyDescent="0.3">
      <c r="D24122" s="25"/>
      <c r="F24122" s="21"/>
      <c r="G24122" s="16"/>
    </row>
    <row r="24123" spans="4:7" ht="15" x14ac:dyDescent="0.3">
      <c r="D24123" s="25"/>
      <c r="F24123" s="21"/>
      <c r="G24123" s="16"/>
    </row>
    <row r="24124" spans="4:7" ht="15" x14ac:dyDescent="0.3">
      <c r="D24124" s="25"/>
      <c r="F24124" s="21"/>
      <c r="G24124" s="16"/>
    </row>
    <row r="24125" spans="4:7" ht="15" x14ac:dyDescent="0.3">
      <c r="D24125" s="25"/>
      <c r="F24125" s="21"/>
      <c r="G24125" s="16"/>
    </row>
    <row r="24126" spans="4:7" ht="15" x14ac:dyDescent="0.3">
      <c r="D24126" s="25"/>
      <c r="F24126" s="21"/>
      <c r="G24126" s="16"/>
    </row>
    <row r="24127" spans="4:7" ht="15" x14ac:dyDescent="0.3">
      <c r="D24127" s="25"/>
      <c r="F24127" s="21"/>
      <c r="G24127" s="16"/>
    </row>
    <row r="24128" spans="4:7" ht="15" x14ac:dyDescent="0.3">
      <c r="D24128" s="25"/>
      <c r="F24128" s="21"/>
      <c r="G24128" s="16"/>
    </row>
    <row r="24129" spans="4:7" ht="15" x14ac:dyDescent="0.3">
      <c r="D24129" s="25"/>
      <c r="F24129" s="21"/>
      <c r="G24129" s="16"/>
    </row>
    <row r="24130" spans="4:7" ht="15" x14ac:dyDescent="0.3">
      <c r="D24130" s="25"/>
      <c r="F24130" s="21"/>
      <c r="G24130" s="16"/>
    </row>
    <row r="24131" spans="4:7" ht="15" x14ac:dyDescent="0.3">
      <c r="D24131" s="25"/>
      <c r="F24131" s="21"/>
      <c r="G24131" s="16"/>
    </row>
    <row r="24132" spans="4:7" ht="15" x14ac:dyDescent="0.3">
      <c r="D24132" s="25"/>
      <c r="F24132" s="21"/>
      <c r="G24132" s="16"/>
    </row>
    <row r="24133" spans="4:7" ht="15" x14ac:dyDescent="0.3">
      <c r="D24133" s="25"/>
      <c r="F24133" s="21"/>
      <c r="G24133" s="16"/>
    </row>
    <row r="24134" spans="4:7" ht="15" x14ac:dyDescent="0.3">
      <c r="D24134" s="25"/>
      <c r="F24134" s="21"/>
      <c r="G24134" s="16"/>
    </row>
    <row r="24135" spans="4:7" ht="15" x14ac:dyDescent="0.3">
      <c r="D24135" s="25"/>
      <c r="F24135" s="21"/>
      <c r="G24135" s="16"/>
    </row>
    <row r="24136" spans="4:7" ht="15" x14ac:dyDescent="0.3">
      <c r="D24136" s="25"/>
      <c r="F24136" s="21"/>
      <c r="G24136" s="16"/>
    </row>
    <row r="24137" spans="4:7" ht="15" x14ac:dyDescent="0.3">
      <c r="D24137" s="25"/>
      <c r="F24137" s="21"/>
      <c r="G24137" s="16"/>
    </row>
    <row r="24138" spans="4:7" ht="15" x14ac:dyDescent="0.3">
      <c r="D24138" s="25"/>
      <c r="F24138" s="21"/>
      <c r="G24138" s="16"/>
    </row>
    <row r="24139" spans="4:7" ht="15" x14ac:dyDescent="0.3">
      <c r="D24139" s="25"/>
      <c r="F24139" s="21"/>
      <c r="G24139" s="16"/>
    </row>
    <row r="24140" spans="4:7" ht="15" x14ac:dyDescent="0.3">
      <c r="D24140" s="25"/>
      <c r="F24140" s="21"/>
      <c r="G24140" s="16"/>
    </row>
    <row r="24141" spans="4:7" ht="15" x14ac:dyDescent="0.3">
      <c r="D24141" s="25"/>
      <c r="F24141" s="21"/>
      <c r="G24141" s="16"/>
    </row>
    <row r="24142" spans="4:7" ht="15" x14ac:dyDescent="0.3">
      <c r="D24142" s="25"/>
      <c r="F24142" s="21"/>
      <c r="G24142" s="16"/>
    </row>
    <row r="24143" spans="4:7" ht="15" x14ac:dyDescent="0.3">
      <c r="D24143" s="25"/>
      <c r="F24143" s="21"/>
      <c r="G24143" s="16"/>
    </row>
    <row r="24144" spans="4:7" ht="15" x14ac:dyDescent="0.3">
      <c r="D24144" s="25"/>
      <c r="F24144" s="21"/>
      <c r="G24144" s="16"/>
    </row>
    <row r="24145" spans="4:7" ht="15" x14ac:dyDescent="0.3">
      <c r="D24145" s="25"/>
      <c r="F24145" s="21"/>
      <c r="G24145" s="16"/>
    </row>
    <row r="24146" spans="4:7" ht="15" x14ac:dyDescent="0.3">
      <c r="D24146" s="25"/>
      <c r="F24146" s="21"/>
      <c r="G24146" s="16"/>
    </row>
    <row r="24147" spans="4:7" ht="15" x14ac:dyDescent="0.3">
      <c r="D24147" s="25"/>
      <c r="F24147" s="21"/>
      <c r="G24147" s="16"/>
    </row>
    <row r="24148" spans="4:7" ht="15" x14ac:dyDescent="0.3">
      <c r="D24148" s="25"/>
      <c r="F24148" s="21"/>
      <c r="G24148" s="16"/>
    </row>
    <row r="24149" spans="4:7" ht="15" x14ac:dyDescent="0.3">
      <c r="D24149" s="25"/>
      <c r="F24149" s="21"/>
      <c r="G24149" s="16"/>
    </row>
    <row r="24150" spans="4:7" ht="15" x14ac:dyDescent="0.3">
      <c r="D24150" s="25"/>
      <c r="F24150" s="21"/>
      <c r="G24150" s="16"/>
    </row>
    <row r="24151" spans="4:7" ht="15" x14ac:dyDescent="0.3">
      <c r="D24151" s="25"/>
      <c r="F24151" s="21"/>
      <c r="G24151" s="16"/>
    </row>
    <row r="24152" spans="4:7" ht="15" x14ac:dyDescent="0.3">
      <c r="D24152" s="25"/>
      <c r="F24152" s="21"/>
      <c r="G24152" s="16"/>
    </row>
    <row r="24153" spans="4:7" ht="15" x14ac:dyDescent="0.3">
      <c r="D24153" s="25"/>
      <c r="F24153" s="21"/>
      <c r="G24153" s="16"/>
    </row>
    <row r="24154" spans="4:7" ht="15" x14ac:dyDescent="0.3">
      <c r="D24154" s="25"/>
      <c r="F24154" s="21"/>
      <c r="G24154" s="16"/>
    </row>
    <row r="24155" spans="4:7" ht="15" x14ac:dyDescent="0.3">
      <c r="D24155" s="25"/>
      <c r="F24155" s="21"/>
      <c r="G24155" s="16"/>
    </row>
    <row r="24156" spans="4:7" ht="15" x14ac:dyDescent="0.3">
      <c r="D24156" s="25"/>
      <c r="F24156" s="21"/>
      <c r="G24156" s="16"/>
    </row>
    <row r="24157" spans="4:7" ht="15" x14ac:dyDescent="0.3">
      <c r="D24157" s="25"/>
      <c r="F24157" s="21"/>
      <c r="G24157" s="16"/>
    </row>
    <row r="24158" spans="4:7" ht="15" x14ac:dyDescent="0.3">
      <c r="D24158" s="25"/>
      <c r="F24158" s="21"/>
      <c r="G24158" s="16"/>
    </row>
    <row r="24159" spans="4:7" ht="15" x14ac:dyDescent="0.3">
      <c r="D24159" s="25"/>
      <c r="F24159" s="21"/>
      <c r="G24159" s="16"/>
    </row>
    <row r="24160" spans="4:7" ht="15" x14ac:dyDescent="0.3">
      <c r="D24160" s="25"/>
      <c r="F24160" s="21"/>
      <c r="G24160" s="16"/>
    </row>
    <row r="24161" spans="4:7" ht="15" x14ac:dyDescent="0.3">
      <c r="D24161" s="25"/>
      <c r="F24161" s="21"/>
      <c r="G24161" s="16"/>
    </row>
    <row r="24162" spans="4:7" ht="15" x14ac:dyDescent="0.3">
      <c r="D24162" s="25"/>
      <c r="F24162" s="21"/>
      <c r="G24162" s="16"/>
    </row>
    <row r="24163" spans="4:7" ht="15" x14ac:dyDescent="0.3">
      <c r="D24163" s="25"/>
      <c r="F24163" s="21"/>
      <c r="G24163" s="16"/>
    </row>
    <row r="24164" spans="4:7" ht="15" x14ac:dyDescent="0.3">
      <c r="D24164" s="25"/>
      <c r="F24164" s="21"/>
      <c r="G24164" s="16"/>
    </row>
    <row r="24165" spans="4:7" ht="15" x14ac:dyDescent="0.3">
      <c r="D24165" s="25"/>
      <c r="F24165" s="21"/>
      <c r="G24165" s="16"/>
    </row>
    <row r="24166" spans="4:7" ht="15" x14ac:dyDescent="0.3">
      <c r="D24166" s="25"/>
      <c r="F24166" s="21"/>
      <c r="G24166" s="16"/>
    </row>
    <row r="24167" spans="4:7" ht="15" x14ac:dyDescent="0.3">
      <c r="D24167" s="25"/>
      <c r="F24167" s="21"/>
      <c r="G24167" s="16"/>
    </row>
    <row r="24168" spans="4:7" ht="15" x14ac:dyDescent="0.3">
      <c r="D24168" s="25"/>
      <c r="F24168" s="21"/>
      <c r="G24168" s="16"/>
    </row>
    <row r="24169" spans="4:7" ht="15" x14ac:dyDescent="0.3">
      <c r="D24169" s="25"/>
      <c r="F24169" s="21"/>
      <c r="G24169" s="16"/>
    </row>
    <row r="24170" spans="4:7" ht="15" x14ac:dyDescent="0.3">
      <c r="D24170" s="25"/>
      <c r="F24170" s="21"/>
      <c r="G24170" s="16"/>
    </row>
    <row r="24171" spans="4:7" ht="15" x14ac:dyDescent="0.3">
      <c r="D24171" s="25"/>
      <c r="F24171" s="21"/>
      <c r="G24171" s="16"/>
    </row>
    <row r="24172" spans="4:7" ht="15" x14ac:dyDescent="0.3">
      <c r="D24172" s="25"/>
      <c r="F24172" s="21"/>
      <c r="G24172" s="16"/>
    </row>
    <row r="24173" spans="4:7" ht="15" x14ac:dyDescent="0.3">
      <c r="D24173" s="25"/>
      <c r="F24173" s="21"/>
      <c r="G24173" s="16"/>
    </row>
    <row r="24174" spans="4:7" ht="15" x14ac:dyDescent="0.3">
      <c r="D24174" s="25"/>
      <c r="F24174" s="21"/>
      <c r="G24174" s="16"/>
    </row>
    <row r="24175" spans="4:7" ht="15" x14ac:dyDescent="0.3">
      <c r="D24175" s="25"/>
      <c r="F24175" s="21"/>
      <c r="G24175" s="16"/>
    </row>
    <row r="24176" spans="4:7" ht="15" x14ac:dyDescent="0.3">
      <c r="D24176" s="25"/>
      <c r="F24176" s="21"/>
      <c r="G24176" s="16"/>
    </row>
    <row r="24177" spans="4:7" ht="15" x14ac:dyDescent="0.3">
      <c r="D24177" s="25"/>
      <c r="F24177" s="21"/>
      <c r="G24177" s="16"/>
    </row>
    <row r="24178" spans="4:7" ht="15" x14ac:dyDescent="0.3">
      <c r="D24178" s="25"/>
      <c r="F24178" s="21"/>
      <c r="G24178" s="16"/>
    </row>
    <row r="24179" spans="4:7" ht="15" x14ac:dyDescent="0.3">
      <c r="D24179" s="25"/>
      <c r="F24179" s="21"/>
      <c r="G24179" s="16"/>
    </row>
    <row r="24180" spans="4:7" ht="15" x14ac:dyDescent="0.3">
      <c r="D24180" s="25"/>
      <c r="F24180" s="21"/>
      <c r="G24180" s="16"/>
    </row>
    <row r="24181" spans="4:7" ht="15" x14ac:dyDescent="0.3">
      <c r="D24181" s="25"/>
      <c r="F24181" s="21"/>
      <c r="G24181" s="16"/>
    </row>
    <row r="24182" spans="4:7" ht="15" x14ac:dyDescent="0.3">
      <c r="D24182" s="25"/>
      <c r="F24182" s="21"/>
      <c r="G24182" s="16"/>
    </row>
    <row r="24183" spans="4:7" ht="15" x14ac:dyDescent="0.3">
      <c r="D24183" s="25"/>
      <c r="F24183" s="21"/>
      <c r="G24183" s="16"/>
    </row>
    <row r="24184" spans="4:7" ht="15" x14ac:dyDescent="0.3">
      <c r="D24184" s="25"/>
      <c r="F24184" s="21"/>
      <c r="G24184" s="16"/>
    </row>
    <row r="24185" spans="4:7" ht="15" x14ac:dyDescent="0.3">
      <c r="D24185" s="25"/>
      <c r="F24185" s="21"/>
      <c r="G24185" s="16"/>
    </row>
    <row r="24186" spans="4:7" ht="15" x14ac:dyDescent="0.3">
      <c r="D24186" s="25"/>
      <c r="F24186" s="21"/>
      <c r="G24186" s="16"/>
    </row>
    <row r="24187" spans="4:7" ht="15" x14ac:dyDescent="0.3">
      <c r="D24187" s="25"/>
      <c r="F24187" s="21"/>
      <c r="G24187" s="16"/>
    </row>
    <row r="24188" spans="4:7" ht="15" x14ac:dyDescent="0.3">
      <c r="D24188" s="25"/>
      <c r="F24188" s="21"/>
      <c r="G24188" s="16"/>
    </row>
    <row r="24189" spans="4:7" ht="15" x14ac:dyDescent="0.3">
      <c r="D24189" s="25"/>
      <c r="F24189" s="21"/>
      <c r="G24189" s="16"/>
    </row>
    <row r="24190" spans="4:7" ht="15" x14ac:dyDescent="0.3">
      <c r="D24190" s="25"/>
      <c r="F24190" s="21"/>
      <c r="G24190" s="16"/>
    </row>
    <row r="24191" spans="4:7" ht="15" x14ac:dyDescent="0.3">
      <c r="D24191" s="25"/>
      <c r="F24191" s="21"/>
      <c r="G24191" s="16"/>
    </row>
    <row r="24192" spans="4:7" ht="15" x14ac:dyDescent="0.3">
      <c r="D24192" s="25"/>
      <c r="F24192" s="21"/>
      <c r="G24192" s="16"/>
    </row>
    <row r="24193" spans="4:7" ht="15" x14ac:dyDescent="0.3">
      <c r="D24193" s="25"/>
      <c r="F24193" s="21"/>
      <c r="G24193" s="16"/>
    </row>
    <row r="24194" spans="4:7" ht="15" x14ac:dyDescent="0.3">
      <c r="D24194" s="25"/>
      <c r="F24194" s="21"/>
      <c r="G24194" s="16"/>
    </row>
    <row r="24195" spans="4:7" ht="15" x14ac:dyDescent="0.3">
      <c r="D24195" s="25"/>
      <c r="F24195" s="21"/>
      <c r="G24195" s="16"/>
    </row>
    <row r="24196" spans="4:7" ht="15" x14ac:dyDescent="0.3">
      <c r="D24196" s="25"/>
      <c r="F24196" s="21"/>
      <c r="G24196" s="16"/>
    </row>
    <row r="24197" spans="4:7" ht="15" x14ac:dyDescent="0.3">
      <c r="D24197" s="25"/>
      <c r="F24197" s="21"/>
      <c r="G24197" s="16"/>
    </row>
    <row r="24198" spans="4:7" ht="15" x14ac:dyDescent="0.3">
      <c r="D24198" s="25"/>
      <c r="F24198" s="21"/>
      <c r="G24198" s="16"/>
    </row>
    <row r="24199" spans="4:7" ht="15" x14ac:dyDescent="0.3">
      <c r="D24199" s="25"/>
      <c r="F24199" s="21"/>
      <c r="G24199" s="16"/>
    </row>
    <row r="24200" spans="4:7" ht="15" x14ac:dyDescent="0.3">
      <c r="D24200" s="25"/>
      <c r="F24200" s="21"/>
      <c r="G24200" s="16"/>
    </row>
    <row r="24201" spans="4:7" ht="15" x14ac:dyDescent="0.3">
      <c r="D24201" s="25"/>
      <c r="F24201" s="21"/>
      <c r="G24201" s="16"/>
    </row>
    <row r="24202" spans="4:7" ht="15" x14ac:dyDescent="0.3">
      <c r="D24202" s="25"/>
      <c r="F24202" s="21"/>
      <c r="G24202" s="16"/>
    </row>
    <row r="24203" spans="4:7" ht="15" x14ac:dyDescent="0.3">
      <c r="D24203" s="25"/>
      <c r="F24203" s="21"/>
      <c r="G24203" s="16"/>
    </row>
    <row r="24204" spans="4:7" ht="15" x14ac:dyDescent="0.3">
      <c r="D24204" s="25"/>
      <c r="F24204" s="21"/>
      <c r="G24204" s="16"/>
    </row>
    <row r="24205" spans="4:7" ht="15" x14ac:dyDescent="0.3">
      <c r="D24205" s="25"/>
      <c r="F24205" s="21"/>
      <c r="G24205" s="16"/>
    </row>
    <row r="24206" spans="4:7" ht="15" x14ac:dyDescent="0.3">
      <c r="D24206" s="25"/>
      <c r="F24206" s="21"/>
      <c r="G24206" s="16"/>
    </row>
    <row r="24207" spans="4:7" ht="15" x14ac:dyDescent="0.3">
      <c r="D24207" s="25"/>
      <c r="F24207" s="21"/>
      <c r="G24207" s="16"/>
    </row>
    <row r="24208" spans="4:7" ht="15" x14ac:dyDescent="0.3">
      <c r="D24208" s="25"/>
      <c r="F24208" s="21"/>
      <c r="G24208" s="16"/>
    </row>
    <row r="24209" spans="4:7" ht="15" x14ac:dyDescent="0.3">
      <c r="D24209" s="25"/>
      <c r="F24209" s="21"/>
      <c r="G24209" s="16"/>
    </row>
    <row r="24210" spans="4:7" ht="15" x14ac:dyDescent="0.3">
      <c r="D24210" s="25"/>
      <c r="F24210" s="21"/>
      <c r="G24210" s="16"/>
    </row>
    <row r="24211" spans="4:7" ht="15" x14ac:dyDescent="0.3">
      <c r="D24211" s="25"/>
      <c r="F24211" s="21"/>
      <c r="G24211" s="16"/>
    </row>
    <row r="24212" spans="4:7" ht="15" x14ac:dyDescent="0.3">
      <c r="D24212" s="25"/>
      <c r="F24212" s="21"/>
      <c r="G24212" s="16"/>
    </row>
    <row r="24213" spans="4:7" ht="15" x14ac:dyDescent="0.3">
      <c r="D24213" s="25"/>
      <c r="F24213" s="21"/>
      <c r="G24213" s="16"/>
    </row>
    <row r="24214" spans="4:7" ht="15" x14ac:dyDescent="0.3">
      <c r="D24214" s="25"/>
      <c r="F24214" s="21"/>
      <c r="G24214" s="16"/>
    </row>
    <row r="24215" spans="4:7" ht="15" x14ac:dyDescent="0.3">
      <c r="D24215" s="25"/>
      <c r="F24215" s="21"/>
      <c r="G24215" s="16"/>
    </row>
    <row r="24216" spans="4:7" ht="15" x14ac:dyDescent="0.3">
      <c r="D24216" s="25"/>
      <c r="F24216" s="21"/>
      <c r="G24216" s="16"/>
    </row>
    <row r="24217" spans="4:7" ht="15" x14ac:dyDescent="0.3">
      <c r="D24217" s="25"/>
      <c r="F24217" s="21"/>
      <c r="G24217" s="16"/>
    </row>
    <row r="24218" spans="4:7" ht="15" x14ac:dyDescent="0.3">
      <c r="D24218" s="25"/>
      <c r="F24218" s="21"/>
      <c r="G24218" s="16"/>
    </row>
    <row r="24219" spans="4:7" ht="15" x14ac:dyDescent="0.3">
      <c r="D24219" s="25"/>
      <c r="F24219" s="21"/>
      <c r="G24219" s="16"/>
    </row>
    <row r="24220" spans="4:7" ht="15" x14ac:dyDescent="0.3">
      <c r="D24220" s="25"/>
      <c r="F24220" s="21"/>
      <c r="G24220" s="16"/>
    </row>
    <row r="24221" spans="4:7" ht="15" x14ac:dyDescent="0.3">
      <c r="D24221" s="25"/>
      <c r="F24221" s="21"/>
      <c r="G24221" s="16"/>
    </row>
    <row r="24222" spans="4:7" ht="15" x14ac:dyDescent="0.3">
      <c r="D24222" s="25"/>
      <c r="F24222" s="21"/>
      <c r="G24222" s="16"/>
    </row>
    <row r="24223" spans="4:7" ht="15" x14ac:dyDescent="0.3">
      <c r="D24223" s="25"/>
      <c r="F24223" s="21"/>
      <c r="G24223" s="16"/>
    </row>
    <row r="24224" spans="4:7" ht="15" x14ac:dyDescent="0.3">
      <c r="D24224" s="25"/>
      <c r="F24224" s="21"/>
      <c r="G24224" s="16"/>
    </row>
    <row r="24225" spans="4:7" ht="15" x14ac:dyDescent="0.3">
      <c r="D24225" s="25"/>
      <c r="F24225" s="21"/>
      <c r="G24225" s="16"/>
    </row>
    <row r="24226" spans="4:7" ht="15" x14ac:dyDescent="0.3">
      <c r="D24226" s="25"/>
      <c r="F24226" s="21"/>
      <c r="G24226" s="16"/>
    </row>
    <row r="24227" spans="4:7" ht="15" x14ac:dyDescent="0.3">
      <c r="D24227" s="25"/>
      <c r="F24227" s="21"/>
      <c r="G24227" s="16"/>
    </row>
    <row r="24228" spans="4:7" ht="15" x14ac:dyDescent="0.3">
      <c r="D24228" s="25"/>
      <c r="F24228" s="21"/>
      <c r="G24228" s="16"/>
    </row>
    <row r="24229" spans="4:7" ht="15" x14ac:dyDescent="0.3">
      <c r="D24229" s="25"/>
      <c r="F24229" s="21"/>
      <c r="G24229" s="16"/>
    </row>
    <row r="24230" spans="4:7" ht="15" x14ac:dyDescent="0.3">
      <c r="D24230" s="25"/>
      <c r="F24230" s="21"/>
      <c r="G24230" s="16"/>
    </row>
    <row r="24231" spans="4:7" ht="15" x14ac:dyDescent="0.3">
      <c r="D24231" s="25"/>
      <c r="F24231" s="21"/>
      <c r="G24231" s="16"/>
    </row>
    <row r="24232" spans="4:7" ht="15" x14ac:dyDescent="0.3">
      <c r="D24232" s="25"/>
      <c r="F24232" s="21"/>
      <c r="G24232" s="16"/>
    </row>
    <row r="24233" spans="4:7" ht="15" x14ac:dyDescent="0.3">
      <c r="D24233" s="25"/>
      <c r="F24233" s="21"/>
      <c r="G24233" s="16"/>
    </row>
    <row r="24234" spans="4:7" ht="15" x14ac:dyDescent="0.3">
      <c r="D24234" s="25"/>
      <c r="F24234" s="21"/>
      <c r="G24234" s="16"/>
    </row>
    <row r="24235" spans="4:7" ht="15" x14ac:dyDescent="0.3">
      <c r="D24235" s="25"/>
      <c r="F24235" s="21"/>
      <c r="G24235" s="16"/>
    </row>
    <row r="24236" spans="4:7" ht="15" x14ac:dyDescent="0.3">
      <c r="D24236" s="25"/>
      <c r="F24236" s="21"/>
      <c r="G24236" s="16"/>
    </row>
    <row r="24237" spans="4:7" ht="15" x14ac:dyDescent="0.3">
      <c r="D24237" s="25"/>
      <c r="F24237" s="21"/>
      <c r="G24237" s="16"/>
    </row>
    <row r="24238" spans="4:7" ht="15" x14ac:dyDescent="0.3">
      <c r="D24238" s="25"/>
      <c r="F24238" s="21"/>
      <c r="G24238" s="16"/>
    </row>
    <row r="24239" spans="4:7" ht="15" x14ac:dyDescent="0.3">
      <c r="D24239" s="25"/>
      <c r="F24239" s="21"/>
      <c r="G24239" s="16"/>
    </row>
    <row r="24240" spans="4:7" ht="15" x14ac:dyDescent="0.3">
      <c r="D24240" s="25"/>
      <c r="F24240" s="21"/>
      <c r="G24240" s="16"/>
    </row>
    <row r="24241" spans="4:7" ht="15" x14ac:dyDescent="0.3">
      <c r="D24241" s="25"/>
      <c r="F24241" s="21"/>
      <c r="G24241" s="16"/>
    </row>
    <row r="24242" spans="4:7" ht="15" x14ac:dyDescent="0.3">
      <c r="D24242" s="25"/>
      <c r="F24242" s="21"/>
      <c r="G24242" s="16"/>
    </row>
    <row r="24243" spans="4:7" ht="15" x14ac:dyDescent="0.3">
      <c r="D24243" s="25"/>
      <c r="F24243" s="21"/>
      <c r="G24243" s="16"/>
    </row>
    <row r="24244" spans="4:7" ht="15" x14ac:dyDescent="0.3">
      <c r="D24244" s="25"/>
      <c r="F24244" s="21"/>
      <c r="G24244" s="16"/>
    </row>
    <row r="24245" spans="4:7" ht="15" x14ac:dyDescent="0.3">
      <c r="D24245" s="25"/>
      <c r="F24245" s="21"/>
      <c r="G24245" s="16"/>
    </row>
    <row r="24246" spans="4:7" ht="15" x14ac:dyDescent="0.3">
      <c r="D24246" s="25"/>
      <c r="F24246" s="21"/>
      <c r="G24246" s="16"/>
    </row>
    <row r="24247" spans="4:7" ht="15" x14ac:dyDescent="0.3">
      <c r="D24247" s="25"/>
      <c r="F24247" s="21"/>
      <c r="G24247" s="16"/>
    </row>
    <row r="24248" spans="4:7" ht="15" x14ac:dyDescent="0.3">
      <c r="D24248" s="25"/>
      <c r="F24248" s="21"/>
      <c r="G24248" s="16"/>
    </row>
    <row r="24249" spans="4:7" ht="15" x14ac:dyDescent="0.3">
      <c r="D24249" s="25"/>
      <c r="F24249" s="21"/>
      <c r="G24249" s="16"/>
    </row>
    <row r="24250" spans="4:7" ht="15" x14ac:dyDescent="0.3">
      <c r="D24250" s="25"/>
      <c r="F24250" s="21"/>
      <c r="G24250" s="16"/>
    </row>
    <row r="24251" spans="4:7" ht="15" x14ac:dyDescent="0.3">
      <c r="D24251" s="25"/>
      <c r="F24251" s="21"/>
      <c r="G24251" s="16"/>
    </row>
    <row r="24252" spans="4:7" ht="15" x14ac:dyDescent="0.3">
      <c r="D24252" s="25"/>
      <c r="F24252" s="21"/>
      <c r="G24252" s="16"/>
    </row>
    <row r="24253" spans="4:7" ht="15" x14ac:dyDescent="0.3">
      <c r="D24253" s="25"/>
      <c r="F24253" s="21"/>
      <c r="G24253" s="16"/>
    </row>
    <row r="24254" spans="4:7" ht="15" x14ac:dyDescent="0.3">
      <c r="D24254" s="25"/>
      <c r="F24254" s="21"/>
      <c r="G24254" s="16"/>
    </row>
    <row r="24255" spans="4:7" ht="15" x14ac:dyDescent="0.3">
      <c r="D24255" s="25"/>
      <c r="F24255" s="21"/>
      <c r="G24255" s="16"/>
    </row>
    <row r="24256" spans="4:7" ht="15" x14ac:dyDescent="0.3">
      <c r="D24256" s="25"/>
      <c r="F24256" s="21"/>
      <c r="G24256" s="16"/>
    </row>
    <row r="24257" spans="4:7" ht="15" x14ac:dyDescent="0.3">
      <c r="D24257" s="25"/>
      <c r="F24257" s="21"/>
      <c r="G24257" s="16"/>
    </row>
    <row r="24258" spans="4:7" ht="15" x14ac:dyDescent="0.3">
      <c r="D24258" s="25"/>
      <c r="F24258" s="21"/>
      <c r="G24258" s="16"/>
    </row>
    <row r="24259" spans="4:7" ht="15" x14ac:dyDescent="0.3">
      <c r="D24259" s="25"/>
      <c r="F24259" s="21"/>
      <c r="G24259" s="16"/>
    </row>
    <row r="24260" spans="4:7" ht="15" x14ac:dyDescent="0.3">
      <c r="D24260" s="25"/>
      <c r="F24260" s="21"/>
      <c r="G24260" s="16"/>
    </row>
    <row r="24261" spans="4:7" ht="15" x14ac:dyDescent="0.3">
      <c r="D24261" s="25"/>
      <c r="F24261" s="21"/>
      <c r="G24261" s="16"/>
    </row>
    <row r="24262" spans="4:7" ht="15" x14ac:dyDescent="0.3">
      <c r="D24262" s="25"/>
      <c r="F24262" s="21"/>
      <c r="G24262" s="16"/>
    </row>
    <row r="24263" spans="4:7" ht="15" x14ac:dyDescent="0.3">
      <c r="D24263" s="25"/>
      <c r="F24263" s="21"/>
      <c r="G24263" s="16"/>
    </row>
    <row r="24264" spans="4:7" ht="15" x14ac:dyDescent="0.3">
      <c r="D24264" s="25"/>
      <c r="F24264" s="21"/>
      <c r="G24264" s="16"/>
    </row>
    <row r="24265" spans="4:7" ht="15" x14ac:dyDescent="0.3">
      <c r="D24265" s="25"/>
      <c r="F24265" s="21"/>
      <c r="G24265" s="16"/>
    </row>
    <row r="24266" spans="4:7" ht="15" x14ac:dyDescent="0.3">
      <c r="D24266" s="25"/>
      <c r="F24266" s="21"/>
      <c r="G24266" s="16"/>
    </row>
    <row r="24267" spans="4:7" ht="15" x14ac:dyDescent="0.3">
      <c r="D24267" s="25"/>
      <c r="F24267" s="21"/>
      <c r="G24267" s="16"/>
    </row>
    <row r="24268" spans="4:7" ht="15" x14ac:dyDescent="0.3">
      <c r="D24268" s="25"/>
      <c r="F24268" s="21"/>
      <c r="G24268" s="16"/>
    </row>
    <row r="24269" spans="4:7" ht="15" x14ac:dyDescent="0.3">
      <c r="D24269" s="25"/>
      <c r="F24269" s="21"/>
      <c r="G24269" s="16"/>
    </row>
    <row r="24270" spans="4:7" ht="15" x14ac:dyDescent="0.3">
      <c r="D24270" s="25"/>
      <c r="F24270" s="21"/>
      <c r="G24270" s="16"/>
    </row>
    <row r="24271" spans="4:7" ht="15" x14ac:dyDescent="0.3">
      <c r="D24271" s="25"/>
      <c r="F24271" s="21"/>
      <c r="G24271" s="16"/>
    </row>
    <row r="24272" spans="4:7" ht="15" x14ac:dyDescent="0.3">
      <c r="D24272" s="25"/>
      <c r="F24272" s="21"/>
      <c r="G24272" s="16"/>
    </row>
    <row r="24273" spans="4:7" ht="15" x14ac:dyDescent="0.3">
      <c r="D24273" s="25"/>
      <c r="F24273" s="21"/>
      <c r="G24273" s="16"/>
    </row>
    <row r="24274" spans="4:7" ht="15" x14ac:dyDescent="0.3">
      <c r="D24274" s="25"/>
      <c r="F24274" s="21"/>
      <c r="G24274" s="16"/>
    </row>
    <row r="24275" spans="4:7" ht="15" x14ac:dyDescent="0.3">
      <c r="D24275" s="25"/>
      <c r="F24275" s="21"/>
      <c r="G24275" s="16"/>
    </row>
    <row r="24276" spans="4:7" ht="15" x14ac:dyDescent="0.3">
      <c r="D24276" s="25"/>
      <c r="F24276" s="21"/>
      <c r="G24276" s="16"/>
    </row>
    <row r="24277" spans="4:7" ht="15" x14ac:dyDescent="0.3">
      <c r="D24277" s="25"/>
      <c r="F24277" s="21"/>
      <c r="G24277" s="16"/>
    </row>
    <row r="24278" spans="4:7" ht="15" x14ac:dyDescent="0.3">
      <c r="D24278" s="25"/>
      <c r="F24278" s="21"/>
      <c r="G24278" s="16"/>
    </row>
    <row r="24279" spans="4:7" ht="15" x14ac:dyDescent="0.3">
      <c r="D24279" s="25"/>
      <c r="F24279" s="21"/>
      <c r="G24279" s="16"/>
    </row>
    <row r="24280" spans="4:7" ht="15" x14ac:dyDescent="0.3">
      <c r="D24280" s="25"/>
      <c r="F24280" s="21"/>
      <c r="G24280" s="16"/>
    </row>
    <row r="24281" spans="4:7" ht="15" x14ac:dyDescent="0.3">
      <c r="D24281" s="25"/>
      <c r="F24281" s="21"/>
      <c r="G24281" s="16"/>
    </row>
    <row r="24282" spans="4:7" ht="15" x14ac:dyDescent="0.3">
      <c r="D24282" s="25"/>
      <c r="F24282" s="21"/>
      <c r="G24282" s="16"/>
    </row>
    <row r="24283" spans="4:7" ht="15" x14ac:dyDescent="0.3">
      <c r="D24283" s="25"/>
      <c r="F24283" s="21"/>
      <c r="G24283" s="16"/>
    </row>
    <row r="24284" spans="4:7" ht="15" x14ac:dyDescent="0.3">
      <c r="D24284" s="25"/>
      <c r="F24284" s="21"/>
      <c r="G24284" s="16"/>
    </row>
    <row r="24285" spans="4:7" ht="15" x14ac:dyDescent="0.3">
      <c r="D24285" s="25"/>
      <c r="F24285" s="21"/>
      <c r="G24285" s="16"/>
    </row>
    <row r="24286" spans="4:7" ht="15" x14ac:dyDescent="0.3">
      <c r="D24286" s="25"/>
      <c r="F24286" s="21"/>
      <c r="G24286" s="16"/>
    </row>
    <row r="24287" spans="4:7" ht="15" x14ac:dyDescent="0.3">
      <c r="D24287" s="25"/>
      <c r="F24287" s="21"/>
      <c r="G24287" s="16"/>
    </row>
    <row r="24288" spans="4:7" ht="15" x14ac:dyDescent="0.3">
      <c r="D24288" s="25"/>
      <c r="F24288" s="21"/>
      <c r="G24288" s="16"/>
    </row>
    <row r="24289" spans="4:7" ht="15" x14ac:dyDescent="0.3">
      <c r="D24289" s="25"/>
      <c r="F24289" s="21"/>
      <c r="G24289" s="16"/>
    </row>
    <row r="24290" spans="4:7" ht="15" x14ac:dyDescent="0.3">
      <c r="D24290" s="25"/>
      <c r="F24290" s="21"/>
      <c r="G24290" s="16"/>
    </row>
    <row r="24291" spans="4:7" ht="15" x14ac:dyDescent="0.3">
      <c r="D24291" s="25"/>
      <c r="F24291" s="21"/>
      <c r="G24291" s="16"/>
    </row>
    <row r="24292" spans="4:7" ht="15" x14ac:dyDescent="0.3">
      <c r="D24292" s="25"/>
      <c r="F24292" s="21"/>
      <c r="G24292" s="16"/>
    </row>
    <row r="24293" spans="4:7" ht="15" x14ac:dyDescent="0.3">
      <c r="D24293" s="25"/>
      <c r="F24293" s="21"/>
      <c r="G24293" s="16"/>
    </row>
    <row r="24294" spans="4:7" ht="15" x14ac:dyDescent="0.3">
      <c r="D24294" s="25"/>
      <c r="F24294" s="21"/>
      <c r="G24294" s="16"/>
    </row>
    <row r="24295" spans="4:7" ht="15" x14ac:dyDescent="0.3">
      <c r="D24295" s="25"/>
      <c r="F24295" s="21"/>
      <c r="G24295" s="16"/>
    </row>
    <row r="24296" spans="4:7" ht="15" x14ac:dyDescent="0.3">
      <c r="D24296" s="25"/>
      <c r="F24296" s="21"/>
      <c r="G24296" s="16"/>
    </row>
    <row r="24297" spans="4:7" ht="15" x14ac:dyDescent="0.3">
      <c r="D24297" s="25"/>
      <c r="F24297" s="21"/>
      <c r="G24297" s="16"/>
    </row>
    <row r="24298" spans="4:7" ht="15" x14ac:dyDescent="0.3">
      <c r="D24298" s="25"/>
      <c r="F24298" s="21"/>
      <c r="G24298" s="16"/>
    </row>
    <row r="24299" spans="4:7" ht="15" x14ac:dyDescent="0.3">
      <c r="D24299" s="25"/>
      <c r="F24299" s="21"/>
      <c r="G24299" s="16"/>
    </row>
    <row r="24300" spans="4:7" ht="15" x14ac:dyDescent="0.3">
      <c r="D24300" s="25"/>
      <c r="F24300" s="21"/>
      <c r="G24300" s="16"/>
    </row>
    <row r="24301" spans="4:7" ht="15" x14ac:dyDescent="0.3">
      <c r="D24301" s="25"/>
      <c r="F24301" s="21"/>
      <c r="G24301" s="16"/>
    </row>
    <row r="24302" spans="4:7" ht="15" x14ac:dyDescent="0.3">
      <c r="D24302" s="25"/>
      <c r="F24302" s="21"/>
      <c r="G24302" s="16"/>
    </row>
    <row r="24303" spans="4:7" ht="15" x14ac:dyDescent="0.3">
      <c r="D24303" s="25"/>
      <c r="F24303" s="21"/>
      <c r="G24303" s="16"/>
    </row>
    <row r="24304" spans="4:7" ht="15" x14ac:dyDescent="0.3">
      <c r="D24304" s="25"/>
      <c r="F24304" s="21"/>
      <c r="G24304" s="16"/>
    </row>
    <row r="24305" spans="4:7" ht="15" x14ac:dyDescent="0.3">
      <c r="D24305" s="25"/>
      <c r="F24305" s="21"/>
      <c r="G24305" s="16"/>
    </row>
    <row r="24306" spans="4:7" ht="15" x14ac:dyDescent="0.3">
      <c r="D24306" s="25"/>
      <c r="F24306" s="21"/>
      <c r="G24306" s="16"/>
    </row>
    <row r="24307" spans="4:7" ht="15" x14ac:dyDescent="0.3">
      <c r="D24307" s="25"/>
      <c r="F24307" s="21"/>
      <c r="G24307" s="16"/>
    </row>
    <row r="24308" spans="4:7" ht="15" x14ac:dyDescent="0.3">
      <c r="D24308" s="25"/>
      <c r="F24308" s="21"/>
      <c r="G24308" s="16"/>
    </row>
    <row r="24309" spans="4:7" ht="15" x14ac:dyDescent="0.3">
      <c r="D24309" s="25"/>
      <c r="F24309" s="21"/>
      <c r="G24309" s="16"/>
    </row>
    <row r="24310" spans="4:7" ht="15" x14ac:dyDescent="0.3">
      <c r="D24310" s="25"/>
      <c r="F24310" s="21"/>
      <c r="G24310" s="16"/>
    </row>
    <row r="24311" spans="4:7" ht="15" x14ac:dyDescent="0.3">
      <c r="D24311" s="25"/>
      <c r="F24311" s="21"/>
      <c r="G24311" s="16"/>
    </row>
    <row r="24312" spans="4:7" ht="15" x14ac:dyDescent="0.3">
      <c r="D24312" s="25"/>
      <c r="F24312" s="21"/>
      <c r="G24312" s="16"/>
    </row>
    <row r="24313" spans="4:7" ht="15" x14ac:dyDescent="0.3">
      <c r="D24313" s="25"/>
      <c r="F24313" s="21"/>
      <c r="G24313" s="16"/>
    </row>
    <row r="24314" spans="4:7" ht="15" x14ac:dyDescent="0.3">
      <c r="D24314" s="25"/>
      <c r="F24314" s="21"/>
      <c r="G24314" s="16"/>
    </row>
    <row r="24315" spans="4:7" ht="15" x14ac:dyDescent="0.3">
      <c r="D24315" s="25"/>
      <c r="F24315" s="21"/>
      <c r="G24315" s="16"/>
    </row>
    <row r="24316" spans="4:7" ht="15" x14ac:dyDescent="0.3">
      <c r="D24316" s="25"/>
      <c r="F24316" s="21"/>
      <c r="G24316" s="16"/>
    </row>
    <row r="24317" spans="4:7" ht="15" x14ac:dyDescent="0.3">
      <c r="D24317" s="25"/>
      <c r="F24317" s="21"/>
      <c r="G24317" s="16"/>
    </row>
    <row r="24318" spans="4:7" ht="15" x14ac:dyDescent="0.3">
      <c r="D24318" s="25"/>
      <c r="F24318" s="21"/>
      <c r="G24318" s="16"/>
    </row>
    <row r="24319" spans="4:7" ht="15" x14ac:dyDescent="0.3">
      <c r="D24319" s="25"/>
      <c r="F24319" s="21"/>
      <c r="G24319" s="16"/>
    </row>
    <row r="24320" spans="4:7" ht="15" x14ac:dyDescent="0.3">
      <c r="D24320" s="25"/>
      <c r="F24320" s="21"/>
      <c r="G24320" s="16"/>
    </row>
    <row r="24321" spans="4:7" ht="15" x14ac:dyDescent="0.3">
      <c r="D24321" s="25"/>
      <c r="F24321" s="21"/>
      <c r="G24321" s="16"/>
    </row>
    <row r="24322" spans="4:7" ht="15" x14ac:dyDescent="0.3">
      <c r="D24322" s="25"/>
      <c r="F24322" s="21"/>
      <c r="G24322" s="16"/>
    </row>
    <row r="24323" spans="4:7" ht="15" x14ac:dyDescent="0.3">
      <c r="D24323" s="25"/>
      <c r="F24323" s="21"/>
      <c r="G24323" s="16"/>
    </row>
    <row r="24324" spans="4:7" ht="15" x14ac:dyDescent="0.3">
      <c r="D24324" s="25"/>
      <c r="F24324" s="21"/>
      <c r="G24324" s="16"/>
    </row>
    <row r="24325" spans="4:7" ht="15" x14ac:dyDescent="0.3">
      <c r="D24325" s="25"/>
      <c r="F24325" s="21"/>
      <c r="G24325" s="16"/>
    </row>
    <row r="24326" spans="4:7" ht="15" x14ac:dyDescent="0.3">
      <c r="D24326" s="25"/>
      <c r="F24326" s="21"/>
      <c r="G24326" s="16"/>
    </row>
    <row r="24327" spans="4:7" ht="15" x14ac:dyDescent="0.3">
      <c r="D24327" s="25"/>
      <c r="F24327" s="21"/>
      <c r="G24327" s="16"/>
    </row>
    <row r="24328" spans="4:7" ht="15" x14ac:dyDescent="0.3">
      <c r="D24328" s="25"/>
      <c r="F24328" s="21"/>
      <c r="G24328" s="16"/>
    </row>
    <row r="24329" spans="4:7" ht="15" x14ac:dyDescent="0.3">
      <c r="D24329" s="25"/>
      <c r="F24329" s="21"/>
      <c r="G24329" s="16"/>
    </row>
    <row r="24330" spans="4:7" ht="15" x14ac:dyDescent="0.3">
      <c r="D24330" s="25"/>
      <c r="F24330" s="21"/>
      <c r="G24330" s="16"/>
    </row>
    <row r="24331" spans="4:7" ht="15" x14ac:dyDescent="0.3">
      <c r="D24331" s="25"/>
      <c r="F24331" s="21"/>
      <c r="G24331" s="16"/>
    </row>
    <row r="24332" spans="4:7" ht="15" x14ac:dyDescent="0.3">
      <c r="D24332" s="25"/>
      <c r="F24332" s="21"/>
      <c r="G24332" s="16"/>
    </row>
    <row r="24333" spans="4:7" ht="15" x14ac:dyDescent="0.3">
      <c r="D24333" s="25"/>
      <c r="F24333" s="21"/>
      <c r="G24333" s="16"/>
    </row>
    <row r="24334" spans="4:7" ht="15" x14ac:dyDescent="0.3">
      <c r="D24334" s="25"/>
      <c r="F24334" s="21"/>
      <c r="G24334" s="16"/>
    </row>
    <row r="24335" spans="4:7" ht="15" x14ac:dyDescent="0.3">
      <c r="D24335" s="25"/>
      <c r="F24335" s="21"/>
      <c r="G24335" s="16"/>
    </row>
    <row r="24336" spans="4:7" ht="15" x14ac:dyDescent="0.3">
      <c r="D24336" s="25"/>
      <c r="F24336" s="21"/>
      <c r="G24336" s="16"/>
    </row>
    <row r="24337" spans="4:7" ht="15" x14ac:dyDescent="0.3">
      <c r="D24337" s="25"/>
      <c r="F24337" s="21"/>
      <c r="G24337" s="16"/>
    </row>
    <row r="24338" spans="4:7" ht="15" x14ac:dyDescent="0.3">
      <c r="D24338" s="25"/>
      <c r="F24338" s="21"/>
      <c r="G24338" s="16"/>
    </row>
    <row r="24339" spans="4:7" ht="15" x14ac:dyDescent="0.3">
      <c r="D24339" s="25"/>
      <c r="F24339" s="21"/>
      <c r="G24339" s="16"/>
    </row>
    <row r="24340" spans="4:7" ht="15" x14ac:dyDescent="0.3">
      <c r="D24340" s="25"/>
      <c r="F24340" s="21"/>
      <c r="G24340" s="16"/>
    </row>
    <row r="24341" spans="4:7" ht="15" x14ac:dyDescent="0.3">
      <c r="D24341" s="25"/>
      <c r="F24341" s="21"/>
      <c r="G24341" s="16"/>
    </row>
    <row r="24342" spans="4:7" ht="15" x14ac:dyDescent="0.3">
      <c r="D24342" s="25"/>
      <c r="F24342" s="21"/>
      <c r="G24342" s="16"/>
    </row>
    <row r="24343" spans="4:7" ht="15" x14ac:dyDescent="0.3">
      <c r="D24343" s="25"/>
      <c r="F24343" s="21"/>
      <c r="G24343" s="16"/>
    </row>
    <row r="24344" spans="4:7" ht="15" x14ac:dyDescent="0.3">
      <c r="D24344" s="25"/>
      <c r="F24344" s="21"/>
      <c r="G24344" s="16"/>
    </row>
    <row r="24345" spans="4:7" ht="15" x14ac:dyDescent="0.3">
      <c r="D24345" s="25"/>
      <c r="F24345" s="21"/>
      <c r="G24345" s="16"/>
    </row>
    <row r="24346" spans="4:7" ht="15" x14ac:dyDescent="0.3">
      <c r="D24346" s="25"/>
      <c r="F24346" s="21"/>
      <c r="G24346" s="16"/>
    </row>
    <row r="24347" spans="4:7" ht="15" x14ac:dyDescent="0.3">
      <c r="D24347" s="25"/>
      <c r="F24347" s="21"/>
      <c r="G24347" s="16"/>
    </row>
    <row r="24348" spans="4:7" ht="15" x14ac:dyDescent="0.3">
      <c r="D24348" s="25"/>
      <c r="F24348" s="21"/>
      <c r="G24348" s="16"/>
    </row>
    <row r="24349" spans="4:7" ht="15" x14ac:dyDescent="0.3">
      <c r="D24349" s="25"/>
      <c r="F24349" s="21"/>
      <c r="G24349" s="16"/>
    </row>
    <row r="24350" spans="4:7" ht="15" x14ac:dyDescent="0.3">
      <c r="D24350" s="25"/>
      <c r="F24350" s="21"/>
      <c r="G24350" s="16"/>
    </row>
    <row r="24351" spans="4:7" ht="15" x14ac:dyDescent="0.3">
      <c r="D24351" s="25"/>
      <c r="F24351" s="21"/>
      <c r="G24351" s="16"/>
    </row>
    <row r="24352" spans="4:7" ht="15" x14ac:dyDescent="0.3">
      <c r="D24352" s="25"/>
      <c r="F24352" s="21"/>
      <c r="G24352" s="16"/>
    </row>
    <row r="24353" spans="4:7" ht="15" x14ac:dyDescent="0.3">
      <c r="D24353" s="25"/>
      <c r="F24353" s="21"/>
      <c r="G24353" s="16"/>
    </row>
    <row r="24354" spans="4:7" ht="15" x14ac:dyDescent="0.3">
      <c r="D24354" s="25"/>
      <c r="F24354" s="21"/>
      <c r="G24354" s="16"/>
    </row>
    <row r="24355" spans="4:7" ht="15" x14ac:dyDescent="0.3">
      <c r="D24355" s="25"/>
      <c r="F24355" s="21"/>
      <c r="G24355" s="16"/>
    </row>
    <row r="24356" spans="4:7" ht="15" x14ac:dyDescent="0.3">
      <c r="D24356" s="25"/>
      <c r="F24356" s="21"/>
      <c r="G24356" s="16"/>
    </row>
    <row r="24357" spans="4:7" ht="15" x14ac:dyDescent="0.3">
      <c r="D24357" s="25"/>
      <c r="F24357" s="21"/>
      <c r="G24357" s="16"/>
    </row>
    <row r="24358" spans="4:7" ht="15" x14ac:dyDescent="0.3">
      <c r="D24358" s="25"/>
      <c r="F24358" s="21"/>
      <c r="G24358" s="16"/>
    </row>
    <row r="24359" spans="4:7" ht="15" x14ac:dyDescent="0.3">
      <c r="D24359" s="25"/>
      <c r="F24359" s="21"/>
      <c r="G24359" s="16"/>
    </row>
    <row r="24360" spans="4:7" ht="15" x14ac:dyDescent="0.3">
      <c r="D24360" s="25"/>
      <c r="F24360" s="21"/>
      <c r="G24360" s="16"/>
    </row>
    <row r="24361" spans="4:7" ht="15" x14ac:dyDescent="0.3">
      <c r="D24361" s="25"/>
      <c r="F24361" s="21"/>
      <c r="G24361" s="16"/>
    </row>
    <row r="24362" spans="4:7" ht="15" x14ac:dyDescent="0.3">
      <c r="D24362" s="25"/>
      <c r="F24362" s="21"/>
      <c r="G24362" s="16"/>
    </row>
    <row r="24363" spans="4:7" ht="15" x14ac:dyDescent="0.3">
      <c r="D24363" s="25"/>
      <c r="F24363" s="21"/>
      <c r="G24363" s="16"/>
    </row>
    <row r="24364" spans="4:7" ht="15" x14ac:dyDescent="0.3">
      <c r="D24364" s="25"/>
      <c r="F24364" s="21"/>
      <c r="G24364" s="16"/>
    </row>
    <row r="24365" spans="4:7" ht="15" x14ac:dyDescent="0.3">
      <c r="D24365" s="25"/>
      <c r="F24365" s="21"/>
      <c r="G24365" s="16"/>
    </row>
    <row r="24366" spans="4:7" ht="15" x14ac:dyDescent="0.3">
      <c r="D24366" s="25"/>
      <c r="F24366" s="21"/>
      <c r="G24366" s="16"/>
    </row>
    <row r="24367" spans="4:7" ht="15" x14ac:dyDescent="0.3">
      <c r="D24367" s="25"/>
      <c r="F24367" s="21"/>
      <c r="G24367" s="16"/>
    </row>
    <row r="24368" spans="4:7" ht="15" x14ac:dyDescent="0.3">
      <c r="D24368" s="25"/>
      <c r="F24368" s="21"/>
      <c r="G24368" s="16"/>
    </row>
    <row r="24369" spans="4:7" ht="15" x14ac:dyDescent="0.3">
      <c r="D24369" s="25"/>
      <c r="F24369" s="21"/>
      <c r="G24369" s="16"/>
    </row>
    <row r="24370" spans="4:7" ht="15" x14ac:dyDescent="0.3">
      <c r="D24370" s="25"/>
      <c r="F24370" s="21"/>
      <c r="G24370" s="16"/>
    </row>
    <row r="24371" spans="4:7" ht="15" x14ac:dyDescent="0.3">
      <c r="D24371" s="25"/>
      <c r="F24371" s="21"/>
      <c r="G24371" s="16"/>
    </row>
    <row r="24372" spans="4:7" ht="15" x14ac:dyDescent="0.3">
      <c r="D24372" s="25"/>
      <c r="F24372" s="21"/>
      <c r="G24372" s="16"/>
    </row>
    <row r="24373" spans="4:7" ht="15" x14ac:dyDescent="0.3">
      <c r="D24373" s="25"/>
      <c r="F24373" s="21"/>
      <c r="G24373" s="16"/>
    </row>
    <row r="24374" spans="4:7" ht="15" x14ac:dyDescent="0.3">
      <c r="D24374" s="25"/>
      <c r="F24374" s="21"/>
      <c r="G24374" s="16"/>
    </row>
    <row r="24375" spans="4:7" ht="15" x14ac:dyDescent="0.3">
      <c r="D24375" s="25"/>
      <c r="F24375" s="21"/>
      <c r="G24375" s="16"/>
    </row>
    <row r="24376" spans="4:7" ht="15" x14ac:dyDescent="0.3">
      <c r="D24376" s="25"/>
      <c r="F24376" s="21"/>
      <c r="G24376" s="16"/>
    </row>
    <row r="24377" spans="4:7" ht="15" x14ac:dyDescent="0.3">
      <c r="D24377" s="25"/>
      <c r="F24377" s="21"/>
      <c r="G24377" s="16"/>
    </row>
    <row r="24378" spans="4:7" ht="15" x14ac:dyDescent="0.3">
      <c r="D24378" s="25"/>
      <c r="F24378" s="21"/>
      <c r="G24378" s="16"/>
    </row>
    <row r="24379" spans="4:7" ht="15" x14ac:dyDescent="0.3">
      <c r="D24379" s="25"/>
      <c r="F24379" s="21"/>
      <c r="G24379" s="16"/>
    </row>
    <row r="24380" spans="4:7" ht="15" x14ac:dyDescent="0.3">
      <c r="D24380" s="25"/>
      <c r="F24380" s="21"/>
      <c r="G24380" s="16"/>
    </row>
    <row r="24381" spans="4:7" ht="15" x14ac:dyDescent="0.3">
      <c r="D24381" s="25"/>
      <c r="F24381" s="21"/>
      <c r="G24381" s="16"/>
    </row>
    <row r="24382" spans="4:7" ht="15" x14ac:dyDescent="0.3">
      <c r="D24382" s="25"/>
      <c r="F24382" s="21"/>
      <c r="G24382" s="16"/>
    </row>
    <row r="24383" spans="4:7" ht="15" x14ac:dyDescent="0.3">
      <c r="D24383" s="25"/>
      <c r="F24383" s="21"/>
      <c r="G24383" s="16"/>
    </row>
    <row r="24384" spans="4:7" ht="15" x14ac:dyDescent="0.3">
      <c r="D24384" s="25"/>
      <c r="F24384" s="21"/>
      <c r="G24384" s="16"/>
    </row>
    <row r="24385" spans="4:7" ht="15" x14ac:dyDescent="0.3">
      <c r="D24385" s="25"/>
      <c r="F24385" s="21"/>
      <c r="G24385" s="16"/>
    </row>
    <row r="24386" spans="4:7" ht="15" x14ac:dyDescent="0.3">
      <c r="D24386" s="25"/>
      <c r="F24386" s="21"/>
      <c r="G24386" s="16"/>
    </row>
    <row r="24387" spans="4:7" ht="15" x14ac:dyDescent="0.3">
      <c r="D24387" s="25"/>
      <c r="F24387" s="21"/>
      <c r="G24387" s="16"/>
    </row>
    <row r="24388" spans="4:7" ht="15" x14ac:dyDescent="0.3">
      <c r="D24388" s="25"/>
      <c r="F24388" s="21"/>
      <c r="G24388" s="16"/>
    </row>
    <row r="24389" spans="4:7" ht="15" x14ac:dyDescent="0.3">
      <c r="D24389" s="25"/>
      <c r="F24389" s="21"/>
      <c r="G24389" s="16"/>
    </row>
    <row r="24390" spans="4:7" ht="15" x14ac:dyDescent="0.3">
      <c r="D24390" s="25"/>
      <c r="F24390" s="21"/>
      <c r="G24390" s="16"/>
    </row>
    <row r="24391" spans="4:7" ht="15" x14ac:dyDescent="0.3">
      <c r="D24391" s="25"/>
      <c r="F24391" s="21"/>
      <c r="G24391" s="16"/>
    </row>
    <row r="24392" spans="4:7" ht="15" x14ac:dyDescent="0.3">
      <c r="D24392" s="25"/>
      <c r="F24392" s="21"/>
      <c r="G24392" s="16"/>
    </row>
    <row r="24393" spans="4:7" ht="15" x14ac:dyDescent="0.3">
      <c r="D24393" s="25"/>
      <c r="F24393" s="21"/>
      <c r="G24393" s="16"/>
    </row>
    <row r="24394" spans="4:7" ht="15" x14ac:dyDescent="0.3">
      <c r="D24394" s="25"/>
      <c r="F24394" s="21"/>
      <c r="G24394" s="16"/>
    </row>
    <row r="24395" spans="4:7" ht="15" x14ac:dyDescent="0.3">
      <c r="D24395" s="25"/>
      <c r="F24395" s="21"/>
      <c r="G24395" s="16"/>
    </row>
    <row r="24396" spans="4:7" ht="15" x14ac:dyDescent="0.3">
      <c r="D24396" s="25"/>
      <c r="F24396" s="21"/>
      <c r="G24396" s="16"/>
    </row>
    <row r="24397" spans="4:7" ht="15" x14ac:dyDescent="0.3">
      <c r="D24397" s="25"/>
      <c r="F24397" s="21"/>
      <c r="G24397" s="16"/>
    </row>
    <row r="24398" spans="4:7" ht="15" x14ac:dyDescent="0.3">
      <c r="D24398" s="25"/>
      <c r="F24398" s="21"/>
      <c r="G24398" s="16"/>
    </row>
    <row r="24399" spans="4:7" ht="15" x14ac:dyDescent="0.3">
      <c r="D24399" s="25"/>
      <c r="F24399" s="21"/>
      <c r="G24399" s="16"/>
    </row>
    <row r="24400" spans="4:7" ht="15" x14ac:dyDescent="0.3">
      <c r="D24400" s="25"/>
      <c r="F24400" s="21"/>
      <c r="G24400" s="16"/>
    </row>
    <row r="24401" spans="4:7" ht="15" x14ac:dyDescent="0.3">
      <c r="D24401" s="25"/>
      <c r="F24401" s="21"/>
      <c r="G24401" s="16"/>
    </row>
    <row r="24402" spans="4:7" ht="15" x14ac:dyDescent="0.3">
      <c r="D24402" s="25"/>
      <c r="F24402" s="21"/>
      <c r="G24402" s="16"/>
    </row>
    <row r="24403" spans="4:7" ht="15" x14ac:dyDescent="0.3">
      <c r="D24403" s="25"/>
      <c r="F24403" s="21"/>
      <c r="G24403" s="16"/>
    </row>
    <row r="24404" spans="4:7" ht="15" x14ac:dyDescent="0.3">
      <c r="D24404" s="25"/>
      <c r="F24404" s="21"/>
      <c r="G24404" s="16"/>
    </row>
    <row r="24405" spans="4:7" ht="15" x14ac:dyDescent="0.3">
      <c r="D24405" s="25"/>
      <c r="F24405" s="21"/>
      <c r="G24405" s="16"/>
    </row>
    <row r="24406" spans="4:7" ht="15" x14ac:dyDescent="0.3">
      <c r="D24406" s="25"/>
      <c r="F24406" s="21"/>
      <c r="G24406" s="16"/>
    </row>
    <row r="24407" spans="4:7" ht="15" x14ac:dyDescent="0.3">
      <c r="D24407" s="25"/>
      <c r="F24407" s="21"/>
      <c r="G24407" s="16"/>
    </row>
    <row r="24408" spans="4:7" ht="15" x14ac:dyDescent="0.3">
      <c r="D24408" s="25"/>
      <c r="F24408" s="21"/>
      <c r="G24408" s="16"/>
    </row>
    <row r="24409" spans="4:7" ht="15" x14ac:dyDescent="0.3">
      <c r="D24409" s="25"/>
      <c r="F24409" s="21"/>
      <c r="G24409" s="16"/>
    </row>
    <row r="24410" spans="4:7" ht="15" x14ac:dyDescent="0.3">
      <c r="D24410" s="25"/>
      <c r="F24410" s="21"/>
      <c r="G24410" s="16"/>
    </row>
    <row r="24411" spans="4:7" ht="15" x14ac:dyDescent="0.3">
      <c r="D24411" s="25"/>
      <c r="F24411" s="21"/>
      <c r="G24411" s="16"/>
    </row>
    <row r="24412" spans="4:7" ht="15" x14ac:dyDescent="0.3">
      <c r="D24412" s="25"/>
      <c r="F24412" s="21"/>
      <c r="G24412" s="16"/>
    </row>
    <row r="24413" spans="4:7" ht="15" x14ac:dyDescent="0.3">
      <c r="D24413" s="25"/>
      <c r="F24413" s="21"/>
      <c r="G24413" s="16"/>
    </row>
    <row r="24414" spans="4:7" ht="15" x14ac:dyDescent="0.3">
      <c r="D24414" s="25"/>
      <c r="F24414" s="21"/>
      <c r="G24414" s="16"/>
    </row>
    <row r="24415" spans="4:7" ht="15" x14ac:dyDescent="0.3">
      <c r="D24415" s="25"/>
      <c r="F24415" s="21"/>
      <c r="G24415" s="16"/>
    </row>
    <row r="24416" spans="4:7" ht="15" x14ac:dyDescent="0.3">
      <c r="D24416" s="25"/>
      <c r="F24416" s="21"/>
      <c r="G24416" s="16"/>
    </row>
    <row r="24417" spans="4:7" ht="15" x14ac:dyDescent="0.3">
      <c r="D24417" s="25"/>
      <c r="F24417" s="21"/>
      <c r="G24417" s="16"/>
    </row>
    <row r="24418" spans="4:7" ht="15" x14ac:dyDescent="0.3">
      <c r="D24418" s="25"/>
      <c r="F24418" s="21"/>
      <c r="G24418" s="16"/>
    </row>
    <row r="24419" spans="4:7" ht="15" x14ac:dyDescent="0.3">
      <c r="D24419" s="25"/>
      <c r="F24419" s="21"/>
      <c r="G24419" s="16"/>
    </row>
    <row r="24420" spans="4:7" ht="15" x14ac:dyDescent="0.3">
      <c r="D24420" s="25"/>
      <c r="F24420" s="21"/>
      <c r="G24420" s="16"/>
    </row>
    <row r="24421" spans="4:7" ht="15" x14ac:dyDescent="0.3">
      <c r="D24421" s="25"/>
      <c r="F24421" s="21"/>
      <c r="G24421" s="16"/>
    </row>
    <row r="24422" spans="4:7" ht="15" x14ac:dyDescent="0.3">
      <c r="D24422" s="25"/>
      <c r="F24422" s="21"/>
      <c r="G24422" s="16"/>
    </row>
    <row r="24423" spans="4:7" ht="15" x14ac:dyDescent="0.3">
      <c r="D24423" s="25"/>
      <c r="F24423" s="21"/>
      <c r="G24423" s="16"/>
    </row>
    <row r="24424" spans="4:7" ht="15" x14ac:dyDescent="0.3">
      <c r="D24424" s="25"/>
      <c r="F24424" s="21"/>
      <c r="G24424" s="16"/>
    </row>
    <row r="24425" spans="4:7" ht="15" x14ac:dyDescent="0.3">
      <c r="D24425" s="25"/>
      <c r="F24425" s="21"/>
      <c r="G24425" s="16"/>
    </row>
    <row r="24426" spans="4:7" ht="15" x14ac:dyDescent="0.3">
      <c r="D24426" s="25"/>
      <c r="F24426" s="21"/>
      <c r="G24426" s="16"/>
    </row>
    <row r="24427" spans="4:7" ht="15" x14ac:dyDescent="0.3">
      <c r="D24427" s="25"/>
      <c r="F24427" s="21"/>
      <c r="G24427" s="16"/>
    </row>
    <row r="24428" spans="4:7" ht="15" x14ac:dyDescent="0.3">
      <c r="D24428" s="25"/>
      <c r="F24428" s="21"/>
      <c r="G24428" s="16"/>
    </row>
    <row r="24429" spans="4:7" ht="15" x14ac:dyDescent="0.3">
      <c r="D24429" s="25"/>
      <c r="F24429" s="21"/>
      <c r="G24429" s="16"/>
    </row>
    <row r="24430" spans="4:7" ht="15" x14ac:dyDescent="0.3">
      <c r="D24430" s="25"/>
      <c r="F24430" s="21"/>
      <c r="G24430" s="16"/>
    </row>
    <row r="24431" spans="4:7" ht="15" x14ac:dyDescent="0.3">
      <c r="D24431" s="25"/>
      <c r="F24431" s="21"/>
      <c r="G24431" s="16"/>
    </row>
    <row r="24432" spans="4:7" ht="15" x14ac:dyDescent="0.3">
      <c r="D24432" s="25"/>
      <c r="F24432" s="21"/>
      <c r="G24432" s="16"/>
    </row>
    <row r="24433" spans="4:7" ht="15" x14ac:dyDescent="0.3">
      <c r="D24433" s="25"/>
      <c r="F24433" s="21"/>
      <c r="G24433" s="16"/>
    </row>
    <row r="24434" spans="4:7" ht="15" x14ac:dyDescent="0.3">
      <c r="D24434" s="25"/>
      <c r="F24434" s="21"/>
      <c r="G24434" s="16"/>
    </row>
    <row r="24435" spans="4:7" ht="15" x14ac:dyDescent="0.3">
      <c r="D24435" s="25"/>
      <c r="F24435" s="21"/>
      <c r="G24435" s="16"/>
    </row>
    <row r="24436" spans="4:7" ht="15" x14ac:dyDescent="0.3">
      <c r="D24436" s="25"/>
      <c r="F24436" s="21"/>
      <c r="G24436" s="16"/>
    </row>
    <row r="24437" spans="4:7" ht="15" x14ac:dyDescent="0.3">
      <c r="D24437" s="25"/>
      <c r="F24437" s="21"/>
      <c r="G24437" s="16"/>
    </row>
    <row r="24438" spans="4:7" ht="15" x14ac:dyDescent="0.3">
      <c r="D24438" s="25"/>
      <c r="F24438" s="21"/>
      <c r="G24438" s="16"/>
    </row>
    <row r="24439" spans="4:7" ht="15" x14ac:dyDescent="0.3">
      <c r="D24439" s="25"/>
      <c r="F24439" s="21"/>
      <c r="G24439" s="16"/>
    </row>
    <row r="24440" spans="4:7" ht="15" x14ac:dyDescent="0.3">
      <c r="D24440" s="25"/>
      <c r="F24440" s="21"/>
      <c r="G24440" s="16"/>
    </row>
    <row r="24441" spans="4:7" ht="15" x14ac:dyDescent="0.3">
      <c r="D24441" s="25"/>
      <c r="F24441" s="21"/>
      <c r="G24441" s="16"/>
    </row>
    <row r="24442" spans="4:7" ht="15" x14ac:dyDescent="0.3">
      <c r="D24442" s="25"/>
      <c r="F24442" s="21"/>
      <c r="G24442" s="16"/>
    </row>
    <row r="24443" spans="4:7" ht="15" x14ac:dyDescent="0.3">
      <c r="D24443" s="25"/>
      <c r="F24443" s="21"/>
      <c r="G24443" s="16"/>
    </row>
    <row r="24444" spans="4:7" ht="15" x14ac:dyDescent="0.3">
      <c r="D24444" s="25"/>
      <c r="F24444" s="21"/>
      <c r="G24444" s="16"/>
    </row>
    <row r="24445" spans="4:7" ht="15" x14ac:dyDescent="0.3">
      <c r="D24445" s="25"/>
      <c r="F24445" s="21"/>
      <c r="G24445" s="16"/>
    </row>
    <row r="24446" spans="4:7" ht="15" x14ac:dyDescent="0.3">
      <c r="D24446" s="25"/>
      <c r="F24446" s="21"/>
      <c r="G24446" s="16"/>
    </row>
    <row r="24447" spans="4:7" ht="15" x14ac:dyDescent="0.3">
      <c r="D24447" s="25"/>
      <c r="F24447" s="21"/>
      <c r="G24447" s="16"/>
    </row>
    <row r="24448" spans="4:7" ht="15" x14ac:dyDescent="0.3">
      <c r="D24448" s="25"/>
      <c r="F24448" s="21"/>
      <c r="G24448" s="16"/>
    </row>
    <row r="24449" spans="4:7" ht="15" x14ac:dyDescent="0.3">
      <c r="D24449" s="25"/>
      <c r="F24449" s="21"/>
      <c r="G24449" s="16"/>
    </row>
    <row r="24450" spans="4:7" ht="15" x14ac:dyDescent="0.3">
      <c r="D24450" s="25"/>
      <c r="F24450" s="21"/>
      <c r="G24450" s="16"/>
    </row>
    <row r="24451" spans="4:7" ht="15" x14ac:dyDescent="0.3">
      <c r="D24451" s="25"/>
      <c r="F24451" s="21"/>
      <c r="G24451" s="16"/>
    </row>
    <row r="24452" spans="4:7" ht="15" x14ac:dyDescent="0.3">
      <c r="D24452" s="25"/>
      <c r="F24452" s="21"/>
      <c r="G24452" s="16"/>
    </row>
    <row r="24453" spans="4:7" ht="15" x14ac:dyDescent="0.3">
      <c r="D24453" s="25"/>
      <c r="F24453" s="21"/>
      <c r="G24453" s="16"/>
    </row>
    <row r="24454" spans="4:7" ht="15" x14ac:dyDescent="0.3">
      <c r="D24454" s="25"/>
      <c r="F24454" s="21"/>
      <c r="G24454" s="16"/>
    </row>
    <row r="24455" spans="4:7" ht="15" x14ac:dyDescent="0.3">
      <c r="D24455" s="25"/>
      <c r="F24455" s="21"/>
      <c r="G24455" s="16"/>
    </row>
    <row r="24456" spans="4:7" ht="15" x14ac:dyDescent="0.3">
      <c r="D24456" s="25"/>
      <c r="F24456" s="21"/>
      <c r="G24456" s="16"/>
    </row>
    <row r="24457" spans="4:7" ht="15" x14ac:dyDescent="0.3">
      <c r="D24457" s="25"/>
      <c r="F24457" s="21"/>
      <c r="G24457" s="16"/>
    </row>
    <row r="24458" spans="4:7" ht="15" x14ac:dyDescent="0.3">
      <c r="D24458" s="25"/>
      <c r="F24458" s="21"/>
      <c r="G24458" s="16"/>
    </row>
    <row r="24459" spans="4:7" ht="15" x14ac:dyDescent="0.3">
      <c r="D24459" s="25"/>
      <c r="F24459" s="21"/>
      <c r="G24459" s="16"/>
    </row>
    <row r="24460" spans="4:7" ht="15" x14ac:dyDescent="0.3">
      <c r="D24460" s="25"/>
      <c r="F24460" s="21"/>
      <c r="G24460" s="16"/>
    </row>
    <row r="24461" spans="4:7" ht="15" x14ac:dyDescent="0.3">
      <c r="D24461" s="25"/>
      <c r="F24461" s="21"/>
      <c r="G24461" s="16"/>
    </row>
    <row r="24462" spans="4:7" ht="15" x14ac:dyDescent="0.3">
      <c r="D24462" s="25"/>
      <c r="F24462" s="21"/>
      <c r="G24462" s="16"/>
    </row>
    <row r="24463" spans="4:7" ht="15" x14ac:dyDescent="0.3">
      <c r="D24463" s="25"/>
      <c r="F24463" s="21"/>
      <c r="G24463" s="16"/>
    </row>
    <row r="24464" spans="4:7" ht="15" x14ac:dyDescent="0.3">
      <c r="D24464" s="25"/>
      <c r="F24464" s="21"/>
      <c r="G24464" s="16"/>
    </row>
    <row r="24465" spans="4:7" ht="15" x14ac:dyDescent="0.3">
      <c r="D24465" s="25"/>
      <c r="F24465" s="21"/>
      <c r="G24465" s="16"/>
    </row>
    <row r="24466" spans="4:7" ht="15" x14ac:dyDescent="0.3">
      <c r="D24466" s="25"/>
      <c r="F24466" s="21"/>
      <c r="G24466" s="16"/>
    </row>
    <row r="24467" spans="4:7" ht="15" x14ac:dyDescent="0.3">
      <c r="D24467" s="25"/>
      <c r="F24467" s="21"/>
      <c r="G24467" s="16"/>
    </row>
    <row r="24468" spans="4:7" ht="15" x14ac:dyDescent="0.3">
      <c r="D24468" s="25"/>
      <c r="F24468" s="21"/>
      <c r="G24468" s="16"/>
    </row>
    <row r="24469" spans="4:7" ht="15" x14ac:dyDescent="0.3">
      <c r="D24469" s="25"/>
      <c r="F24469" s="21"/>
      <c r="G24469" s="16"/>
    </row>
    <row r="24470" spans="4:7" ht="15" x14ac:dyDescent="0.3">
      <c r="D24470" s="25"/>
      <c r="F24470" s="21"/>
      <c r="G24470" s="16"/>
    </row>
    <row r="24471" spans="4:7" ht="15" x14ac:dyDescent="0.3">
      <c r="D24471" s="25"/>
      <c r="F24471" s="21"/>
      <c r="G24471" s="16"/>
    </row>
    <row r="24472" spans="4:7" ht="15" x14ac:dyDescent="0.3">
      <c r="D24472" s="25"/>
      <c r="F24472" s="21"/>
      <c r="G24472" s="16"/>
    </row>
    <row r="24473" spans="4:7" ht="15" x14ac:dyDescent="0.3">
      <c r="D24473" s="25"/>
      <c r="F24473" s="21"/>
      <c r="G24473" s="16"/>
    </row>
    <row r="24474" spans="4:7" ht="15" x14ac:dyDescent="0.3">
      <c r="D24474" s="25"/>
      <c r="F24474" s="21"/>
      <c r="G24474" s="16"/>
    </row>
    <row r="24475" spans="4:7" ht="15" x14ac:dyDescent="0.3">
      <c r="D24475" s="25"/>
      <c r="F24475" s="21"/>
      <c r="G24475" s="16"/>
    </row>
    <row r="24476" spans="4:7" ht="15" x14ac:dyDescent="0.3">
      <c r="D24476" s="25"/>
      <c r="F24476" s="21"/>
      <c r="G24476" s="16"/>
    </row>
    <row r="24477" spans="4:7" ht="15" x14ac:dyDescent="0.3">
      <c r="D24477" s="25"/>
      <c r="F24477" s="21"/>
      <c r="G24477" s="16"/>
    </row>
    <row r="24478" spans="4:7" ht="15" x14ac:dyDescent="0.3">
      <c r="D24478" s="25"/>
      <c r="F24478" s="21"/>
      <c r="G24478" s="16"/>
    </row>
    <row r="24479" spans="4:7" ht="15" x14ac:dyDescent="0.3">
      <c r="D24479" s="25"/>
      <c r="F24479" s="21"/>
      <c r="G24479" s="16"/>
    </row>
    <row r="24480" spans="4:7" ht="15" x14ac:dyDescent="0.3">
      <c r="D24480" s="25"/>
      <c r="F24480" s="21"/>
      <c r="G24480" s="16"/>
    </row>
    <row r="24481" spans="4:7" ht="15" x14ac:dyDescent="0.3">
      <c r="D24481" s="25"/>
      <c r="F24481" s="21"/>
      <c r="G24481" s="16"/>
    </row>
    <row r="24482" spans="4:7" ht="15" x14ac:dyDescent="0.3">
      <c r="D24482" s="25"/>
      <c r="F24482" s="21"/>
      <c r="G24482" s="16"/>
    </row>
    <row r="24483" spans="4:7" ht="15" x14ac:dyDescent="0.3">
      <c r="D24483" s="25"/>
      <c r="F24483" s="21"/>
      <c r="G24483" s="16"/>
    </row>
    <row r="24484" spans="4:7" ht="15" x14ac:dyDescent="0.3">
      <c r="D24484" s="25"/>
      <c r="F24484" s="21"/>
      <c r="G24484" s="16"/>
    </row>
    <row r="24485" spans="4:7" ht="15" x14ac:dyDescent="0.3">
      <c r="D24485" s="25"/>
      <c r="F24485" s="21"/>
      <c r="G24485" s="16"/>
    </row>
    <row r="24486" spans="4:7" ht="15" x14ac:dyDescent="0.3">
      <c r="D24486" s="25"/>
      <c r="F24486" s="21"/>
      <c r="G24486" s="16"/>
    </row>
    <row r="24487" spans="4:7" ht="15" x14ac:dyDescent="0.3">
      <c r="D24487" s="25"/>
      <c r="F24487" s="21"/>
      <c r="G24487" s="16"/>
    </row>
    <row r="24488" spans="4:7" ht="15" x14ac:dyDescent="0.3">
      <c r="D24488" s="25"/>
      <c r="F24488" s="21"/>
      <c r="G24488" s="16"/>
    </row>
    <row r="24489" spans="4:7" ht="15" x14ac:dyDescent="0.3">
      <c r="D24489" s="25"/>
      <c r="F24489" s="21"/>
      <c r="G24489" s="16"/>
    </row>
    <row r="24490" spans="4:7" ht="15" x14ac:dyDescent="0.3">
      <c r="D24490" s="25"/>
      <c r="F24490" s="21"/>
      <c r="G24490" s="16"/>
    </row>
    <row r="24491" spans="4:7" ht="15" x14ac:dyDescent="0.3">
      <c r="D24491" s="25"/>
      <c r="F24491" s="21"/>
      <c r="G24491" s="16"/>
    </row>
    <row r="24492" spans="4:7" ht="15" x14ac:dyDescent="0.3">
      <c r="D24492" s="25"/>
      <c r="F24492" s="21"/>
      <c r="G24492" s="16"/>
    </row>
    <row r="24493" spans="4:7" ht="15" x14ac:dyDescent="0.3">
      <c r="D24493" s="25"/>
      <c r="F24493" s="21"/>
      <c r="G24493" s="16"/>
    </row>
    <row r="24494" spans="4:7" ht="15" x14ac:dyDescent="0.3">
      <c r="D24494" s="25"/>
      <c r="F24494" s="21"/>
      <c r="G24494" s="16"/>
    </row>
    <row r="24495" spans="4:7" ht="15" x14ac:dyDescent="0.3">
      <c r="D24495" s="25"/>
      <c r="F24495" s="21"/>
      <c r="G24495" s="16"/>
    </row>
    <row r="24496" spans="4:7" ht="15" x14ac:dyDescent="0.3">
      <c r="D24496" s="25"/>
      <c r="F24496" s="21"/>
      <c r="G24496" s="16"/>
    </row>
    <row r="24497" spans="4:7" ht="15" x14ac:dyDescent="0.3">
      <c r="D24497" s="25"/>
      <c r="F24497" s="21"/>
      <c r="G24497" s="16"/>
    </row>
    <row r="24498" spans="4:7" ht="15" x14ac:dyDescent="0.3">
      <c r="D24498" s="25"/>
      <c r="F24498" s="21"/>
      <c r="G24498" s="16"/>
    </row>
    <row r="24499" spans="4:7" ht="15" x14ac:dyDescent="0.3">
      <c r="D24499" s="25"/>
      <c r="F24499" s="21"/>
      <c r="G24499" s="16"/>
    </row>
    <row r="24500" spans="4:7" ht="15" x14ac:dyDescent="0.3">
      <c r="D24500" s="25"/>
      <c r="F24500" s="21"/>
      <c r="G24500" s="16"/>
    </row>
    <row r="24501" spans="4:7" ht="15" x14ac:dyDescent="0.3">
      <c r="D24501" s="25"/>
      <c r="F24501" s="21"/>
      <c r="G24501" s="16"/>
    </row>
    <row r="24502" spans="4:7" ht="15" x14ac:dyDescent="0.3">
      <c r="D24502" s="25"/>
      <c r="F24502" s="21"/>
      <c r="G24502" s="16"/>
    </row>
    <row r="24503" spans="4:7" ht="15" x14ac:dyDescent="0.3">
      <c r="D24503" s="25"/>
      <c r="F24503" s="21"/>
      <c r="G24503" s="16"/>
    </row>
    <row r="24504" spans="4:7" ht="15" x14ac:dyDescent="0.3">
      <c r="D24504" s="25"/>
      <c r="F24504" s="21"/>
      <c r="G24504" s="16"/>
    </row>
    <row r="24505" spans="4:7" ht="15" x14ac:dyDescent="0.3">
      <c r="D24505" s="25"/>
      <c r="F24505" s="21"/>
      <c r="G24505" s="16"/>
    </row>
    <row r="24506" spans="4:7" ht="15" x14ac:dyDescent="0.3">
      <c r="D24506" s="25"/>
      <c r="F24506" s="21"/>
      <c r="G24506" s="16"/>
    </row>
    <row r="24507" spans="4:7" ht="15" x14ac:dyDescent="0.3">
      <c r="D24507" s="25"/>
      <c r="F24507" s="21"/>
      <c r="G24507" s="16"/>
    </row>
    <row r="24508" spans="4:7" ht="15" x14ac:dyDescent="0.3">
      <c r="D24508" s="25"/>
      <c r="F24508" s="21"/>
      <c r="G24508" s="16"/>
    </row>
    <row r="24509" spans="4:7" ht="15" x14ac:dyDescent="0.3">
      <c r="D24509" s="25"/>
      <c r="F24509" s="21"/>
      <c r="G24509" s="16"/>
    </row>
    <row r="24510" spans="4:7" ht="15" x14ac:dyDescent="0.3">
      <c r="D24510" s="25"/>
      <c r="F24510" s="21"/>
      <c r="G24510" s="16"/>
    </row>
    <row r="24511" spans="4:7" ht="15" x14ac:dyDescent="0.3">
      <c r="D24511" s="25"/>
      <c r="F24511" s="21"/>
      <c r="G24511" s="16"/>
    </row>
    <row r="24512" spans="4:7" ht="15" x14ac:dyDescent="0.3">
      <c r="D24512" s="25"/>
      <c r="F24512" s="21"/>
      <c r="G24512" s="16"/>
    </row>
    <row r="24513" spans="4:7" ht="15" x14ac:dyDescent="0.3">
      <c r="D24513" s="25"/>
      <c r="F24513" s="21"/>
      <c r="G24513" s="16"/>
    </row>
    <row r="24514" spans="4:7" ht="15" x14ac:dyDescent="0.3">
      <c r="D24514" s="25"/>
      <c r="F24514" s="21"/>
      <c r="G24514" s="16"/>
    </row>
    <row r="24515" spans="4:7" ht="15" x14ac:dyDescent="0.3">
      <c r="D24515" s="25"/>
      <c r="F24515" s="21"/>
      <c r="G24515" s="16"/>
    </row>
    <row r="24516" spans="4:7" ht="15" x14ac:dyDescent="0.3">
      <c r="D24516" s="25"/>
      <c r="F24516" s="21"/>
      <c r="G24516" s="16"/>
    </row>
    <row r="24517" spans="4:7" ht="15" x14ac:dyDescent="0.3">
      <c r="D24517" s="25"/>
      <c r="F24517" s="21"/>
      <c r="G24517" s="16"/>
    </row>
    <row r="24518" spans="4:7" ht="15" x14ac:dyDescent="0.3">
      <c r="D24518" s="25"/>
      <c r="F24518" s="21"/>
      <c r="G24518" s="16"/>
    </row>
    <row r="24519" spans="4:7" ht="15" x14ac:dyDescent="0.3">
      <c r="D24519" s="25"/>
      <c r="F24519" s="21"/>
      <c r="G24519" s="16"/>
    </row>
    <row r="24520" spans="4:7" ht="15" x14ac:dyDescent="0.3">
      <c r="D24520" s="25"/>
      <c r="F24520" s="21"/>
      <c r="G24520" s="16"/>
    </row>
    <row r="24521" spans="4:7" ht="15" x14ac:dyDescent="0.3">
      <c r="D24521" s="25"/>
      <c r="F24521" s="21"/>
      <c r="G24521" s="16"/>
    </row>
    <row r="24522" spans="4:7" ht="15" x14ac:dyDescent="0.3">
      <c r="D24522" s="25"/>
      <c r="F24522" s="21"/>
      <c r="G24522" s="16"/>
    </row>
    <row r="24523" spans="4:7" ht="15" x14ac:dyDescent="0.3">
      <c r="D24523" s="25"/>
      <c r="F24523" s="21"/>
      <c r="G24523" s="16"/>
    </row>
    <row r="24524" spans="4:7" ht="15" x14ac:dyDescent="0.3">
      <c r="D24524" s="25"/>
      <c r="F24524" s="21"/>
      <c r="G24524" s="16"/>
    </row>
    <row r="24525" spans="4:7" ht="15" x14ac:dyDescent="0.3">
      <c r="D24525" s="25"/>
      <c r="F24525" s="21"/>
      <c r="G24525" s="16"/>
    </row>
    <row r="24526" spans="4:7" ht="15" x14ac:dyDescent="0.3">
      <c r="D24526" s="25"/>
      <c r="F24526" s="21"/>
      <c r="G24526" s="16"/>
    </row>
    <row r="24527" spans="4:7" ht="15" x14ac:dyDescent="0.3">
      <c r="D24527" s="25"/>
      <c r="F24527" s="21"/>
      <c r="G24527" s="16"/>
    </row>
    <row r="24528" spans="4:7" ht="15" x14ac:dyDescent="0.3">
      <c r="D24528" s="25"/>
      <c r="F24528" s="21"/>
      <c r="G24528" s="16"/>
    </row>
    <row r="24529" spans="4:7" ht="15" x14ac:dyDescent="0.3">
      <c r="D24529" s="25"/>
      <c r="F24529" s="21"/>
      <c r="G24529" s="16"/>
    </row>
    <row r="24530" spans="4:7" ht="15" x14ac:dyDescent="0.3">
      <c r="D24530" s="25"/>
      <c r="F24530" s="21"/>
      <c r="G24530" s="16"/>
    </row>
    <row r="24531" spans="4:7" ht="15" x14ac:dyDescent="0.3">
      <c r="D24531" s="25"/>
      <c r="F24531" s="21"/>
      <c r="G24531" s="16"/>
    </row>
    <row r="24532" spans="4:7" ht="15" x14ac:dyDescent="0.3">
      <c r="D24532" s="25"/>
      <c r="F24532" s="21"/>
      <c r="G24532" s="16"/>
    </row>
    <row r="24533" spans="4:7" ht="15" x14ac:dyDescent="0.3">
      <c r="D24533" s="25"/>
      <c r="F24533" s="21"/>
      <c r="G24533" s="16"/>
    </row>
    <row r="24534" spans="4:7" ht="15" x14ac:dyDescent="0.3">
      <c r="D24534" s="25"/>
      <c r="F24534" s="21"/>
      <c r="G24534" s="16"/>
    </row>
    <row r="24535" spans="4:7" ht="15" x14ac:dyDescent="0.3">
      <c r="D24535" s="25"/>
      <c r="F24535" s="21"/>
      <c r="G24535" s="16"/>
    </row>
    <row r="24536" spans="4:7" ht="15" x14ac:dyDescent="0.3">
      <c r="D24536" s="25"/>
      <c r="F24536" s="21"/>
      <c r="G24536" s="16"/>
    </row>
    <row r="24537" spans="4:7" ht="15" x14ac:dyDescent="0.3">
      <c r="D24537" s="25"/>
      <c r="F24537" s="21"/>
      <c r="G24537" s="16"/>
    </row>
    <row r="24538" spans="4:7" ht="15" x14ac:dyDescent="0.3">
      <c r="D24538" s="25"/>
      <c r="F24538" s="21"/>
      <c r="G24538" s="16"/>
    </row>
    <row r="24539" spans="4:7" ht="15" x14ac:dyDescent="0.3">
      <c r="D24539" s="25"/>
      <c r="F24539" s="21"/>
      <c r="G24539" s="16"/>
    </row>
    <row r="24540" spans="4:7" ht="15" x14ac:dyDescent="0.3">
      <c r="D24540" s="25"/>
      <c r="F24540" s="21"/>
      <c r="G24540" s="16"/>
    </row>
    <row r="24541" spans="4:7" ht="15" x14ac:dyDescent="0.3">
      <c r="D24541" s="25"/>
      <c r="F24541" s="21"/>
      <c r="G24541" s="16"/>
    </row>
    <row r="24542" spans="4:7" ht="15" x14ac:dyDescent="0.3">
      <c r="D24542" s="25"/>
      <c r="F24542" s="21"/>
      <c r="G24542" s="16"/>
    </row>
    <row r="24543" spans="4:7" ht="15" x14ac:dyDescent="0.3">
      <c r="D24543" s="25"/>
      <c r="F24543" s="21"/>
      <c r="G24543" s="16"/>
    </row>
    <row r="24544" spans="4:7" ht="15" x14ac:dyDescent="0.3">
      <c r="D24544" s="25"/>
      <c r="F24544" s="21"/>
      <c r="G24544" s="16"/>
    </row>
    <row r="24545" spans="4:7" ht="15" x14ac:dyDescent="0.3">
      <c r="D24545" s="25"/>
      <c r="F24545" s="21"/>
      <c r="G24545" s="16"/>
    </row>
    <row r="24546" spans="4:7" ht="15" x14ac:dyDescent="0.3">
      <c r="D24546" s="25"/>
      <c r="F24546" s="21"/>
      <c r="G24546" s="16"/>
    </row>
    <row r="24547" spans="4:7" ht="15" x14ac:dyDescent="0.3">
      <c r="D24547" s="25"/>
      <c r="F24547" s="21"/>
      <c r="G24547" s="16"/>
    </row>
    <row r="24548" spans="4:7" ht="15" x14ac:dyDescent="0.3">
      <c r="D24548" s="25"/>
      <c r="F24548" s="21"/>
      <c r="G24548" s="16"/>
    </row>
    <row r="24549" spans="4:7" ht="15" x14ac:dyDescent="0.3">
      <c r="D24549" s="25"/>
      <c r="F24549" s="21"/>
      <c r="G24549" s="16"/>
    </row>
    <row r="24550" spans="4:7" ht="15" x14ac:dyDescent="0.3">
      <c r="D24550" s="25"/>
      <c r="F24550" s="21"/>
      <c r="G24550" s="16"/>
    </row>
    <row r="24551" spans="4:7" ht="15" x14ac:dyDescent="0.3">
      <c r="D24551" s="25"/>
      <c r="F24551" s="21"/>
      <c r="G24551" s="16"/>
    </row>
    <row r="24552" spans="4:7" ht="15" x14ac:dyDescent="0.3">
      <c r="D24552" s="25"/>
      <c r="F24552" s="21"/>
      <c r="G24552" s="16"/>
    </row>
    <row r="24553" spans="4:7" ht="15" x14ac:dyDescent="0.3">
      <c r="D24553" s="25"/>
      <c r="F24553" s="21"/>
      <c r="G24553" s="16"/>
    </row>
    <row r="24554" spans="4:7" ht="15" x14ac:dyDescent="0.3">
      <c r="D24554" s="25"/>
      <c r="F24554" s="21"/>
      <c r="G24554" s="16"/>
    </row>
    <row r="24555" spans="4:7" ht="15" x14ac:dyDescent="0.3">
      <c r="D24555" s="25"/>
      <c r="F24555" s="21"/>
      <c r="G24555" s="16"/>
    </row>
    <row r="24556" spans="4:7" ht="15" x14ac:dyDescent="0.3">
      <c r="D24556" s="25"/>
      <c r="F24556" s="21"/>
      <c r="G24556" s="16"/>
    </row>
    <row r="24557" spans="4:7" ht="15" x14ac:dyDescent="0.3">
      <c r="D24557" s="25"/>
      <c r="F24557" s="21"/>
      <c r="G24557" s="16"/>
    </row>
    <row r="24558" spans="4:7" ht="15" x14ac:dyDescent="0.3">
      <c r="D24558" s="25"/>
      <c r="F24558" s="21"/>
      <c r="G24558" s="16"/>
    </row>
    <row r="24559" spans="4:7" ht="15" x14ac:dyDescent="0.3">
      <c r="D24559" s="25"/>
      <c r="F24559" s="21"/>
      <c r="G24559" s="16"/>
    </row>
    <row r="24560" spans="4:7" ht="15" x14ac:dyDescent="0.3">
      <c r="D24560" s="25"/>
      <c r="F24560" s="21"/>
      <c r="G24560" s="16"/>
    </row>
    <row r="24561" spans="4:7" ht="15" x14ac:dyDescent="0.3">
      <c r="D24561" s="25"/>
      <c r="F24561" s="21"/>
      <c r="G24561" s="16"/>
    </row>
    <row r="24562" spans="4:7" ht="15" x14ac:dyDescent="0.3">
      <c r="D24562" s="25"/>
      <c r="F24562" s="21"/>
      <c r="G24562" s="16"/>
    </row>
    <row r="24563" spans="4:7" ht="15" x14ac:dyDescent="0.3">
      <c r="D24563" s="25"/>
      <c r="F24563" s="21"/>
      <c r="G24563" s="16"/>
    </row>
    <row r="24564" spans="4:7" ht="15" x14ac:dyDescent="0.3">
      <c r="D24564" s="25"/>
      <c r="F24564" s="21"/>
      <c r="G24564" s="16"/>
    </row>
    <row r="24565" spans="4:7" ht="15" x14ac:dyDescent="0.3">
      <c r="D24565" s="25"/>
      <c r="F24565" s="21"/>
      <c r="G24565" s="16"/>
    </row>
    <row r="24566" spans="4:7" ht="15" x14ac:dyDescent="0.3">
      <c r="D24566" s="25"/>
      <c r="F24566" s="21"/>
      <c r="G24566" s="16"/>
    </row>
    <row r="24567" spans="4:7" ht="15" x14ac:dyDescent="0.3">
      <c r="D24567" s="25"/>
      <c r="F24567" s="21"/>
      <c r="G24567" s="16"/>
    </row>
    <row r="24568" spans="4:7" ht="15" x14ac:dyDescent="0.3">
      <c r="D24568" s="25"/>
      <c r="F24568" s="21"/>
      <c r="G24568" s="16"/>
    </row>
    <row r="24569" spans="4:7" ht="15" x14ac:dyDescent="0.3">
      <c r="D24569" s="25"/>
      <c r="F24569" s="21"/>
      <c r="G24569" s="16"/>
    </row>
    <row r="24570" spans="4:7" ht="15" x14ac:dyDescent="0.3">
      <c r="D24570" s="25"/>
      <c r="F24570" s="21"/>
      <c r="G24570" s="16"/>
    </row>
    <row r="24571" spans="4:7" ht="15" x14ac:dyDescent="0.3">
      <c r="D24571" s="25"/>
      <c r="F24571" s="21"/>
      <c r="G24571" s="16"/>
    </row>
    <row r="24572" spans="4:7" ht="15" x14ac:dyDescent="0.3">
      <c r="D24572" s="25"/>
      <c r="F24572" s="21"/>
      <c r="G24572" s="16"/>
    </row>
    <row r="24573" spans="4:7" ht="15" x14ac:dyDescent="0.3">
      <c r="D24573" s="25"/>
      <c r="F24573" s="21"/>
      <c r="G24573" s="16"/>
    </row>
    <row r="24574" spans="4:7" ht="15" x14ac:dyDescent="0.3">
      <c r="D24574" s="25"/>
      <c r="F24574" s="21"/>
      <c r="G24574" s="16"/>
    </row>
    <row r="24575" spans="4:7" ht="15" x14ac:dyDescent="0.3">
      <c r="D24575" s="25"/>
      <c r="F24575" s="21"/>
      <c r="G24575" s="16"/>
    </row>
    <row r="24576" spans="4:7" ht="15" x14ac:dyDescent="0.3">
      <c r="D24576" s="25"/>
      <c r="F24576" s="21"/>
      <c r="G24576" s="16"/>
    </row>
    <row r="24577" spans="4:7" ht="15" x14ac:dyDescent="0.3">
      <c r="D24577" s="25"/>
      <c r="F24577" s="21"/>
      <c r="G24577" s="16"/>
    </row>
    <row r="24578" spans="4:7" ht="15" x14ac:dyDescent="0.3">
      <c r="D24578" s="25"/>
      <c r="F24578" s="21"/>
      <c r="G24578" s="16"/>
    </row>
    <row r="24579" spans="4:7" ht="15" x14ac:dyDescent="0.3">
      <c r="D24579" s="25"/>
      <c r="F24579" s="21"/>
      <c r="G24579" s="16"/>
    </row>
    <row r="24580" spans="4:7" ht="15" x14ac:dyDescent="0.3">
      <c r="D24580" s="25"/>
      <c r="F24580" s="21"/>
      <c r="G24580" s="16"/>
    </row>
    <row r="24581" spans="4:7" ht="15" x14ac:dyDescent="0.3">
      <c r="D24581" s="25"/>
      <c r="F24581" s="21"/>
      <c r="G24581" s="16"/>
    </row>
    <row r="24582" spans="4:7" ht="15" x14ac:dyDescent="0.3">
      <c r="D24582" s="25"/>
      <c r="F24582" s="21"/>
      <c r="G24582" s="16"/>
    </row>
    <row r="24583" spans="4:7" ht="15" x14ac:dyDescent="0.3">
      <c r="D24583" s="25"/>
      <c r="F24583" s="21"/>
      <c r="G24583" s="16"/>
    </row>
    <row r="24584" spans="4:7" ht="15" x14ac:dyDescent="0.3">
      <c r="D24584" s="25"/>
      <c r="F24584" s="21"/>
      <c r="G24584" s="16"/>
    </row>
    <row r="24585" spans="4:7" ht="15" x14ac:dyDescent="0.3">
      <c r="D24585" s="25"/>
      <c r="F24585" s="21"/>
      <c r="G24585" s="16"/>
    </row>
    <row r="24586" spans="4:7" ht="15" x14ac:dyDescent="0.3">
      <c r="D24586" s="25"/>
      <c r="F24586" s="21"/>
      <c r="G24586" s="16"/>
    </row>
    <row r="24587" spans="4:7" ht="15" x14ac:dyDescent="0.3">
      <c r="D24587" s="25"/>
      <c r="F24587" s="21"/>
      <c r="G24587" s="16"/>
    </row>
    <row r="24588" spans="4:7" ht="15" x14ac:dyDescent="0.3">
      <c r="D24588" s="25"/>
      <c r="F24588" s="21"/>
      <c r="G24588" s="16"/>
    </row>
    <row r="24589" spans="4:7" ht="15" x14ac:dyDescent="0.3">
      <c r="D24589" s="25"/>
      <c r="F24589" s="21"/>
      <c r="G24589" s="16"/>
    </row>
    <row r="24590" spans="4:7" ht="15" x14ac:dyDescent="0.3">
      <c r="D24590" s="25"/>
      <c r="F24590" s="21"/>
      <c r="G24590" s="16"/>
    </row>
    <row r="24591" spans="4:7" ht="15" x14ac:dyDescent="0.3">
      <c r="D24591" s="25"/>
      <c r="F24591" s="21"/>
      <c r="G24591" s="16"/>
    </row>
    <row r="24592" spans="4:7" ht="15" x14ac:dyDescent="0.3">
      <c r="D24592" s="25"/>
      <c r="F24592" s="21"/>
      <c r="G24592" s="16"/>
    </row>
    <row r="24593" spans="4:7" ht="15" x14ac:dyDescent="0.3">
      <c r="D24593" s="25"/>
      <c r="F24593" s="21"/>
      <c r="G24593" s="16"/>
    </row>
    <row r="24594" spans="4:7" ht="15" x14ac:dyDescent="0.3">
      <c r="D24594" s="25"/>
      <c r="F24594" s="21"/>
      <c r="G24594" s="16"/>
    </row>
    <row r="24595" spans="4:7" ht="15" x14ac:dyDescent="0.3">
      <c r="D24595" s="25"/>
      <c r="F24595" s="21"/>
      <c r="G24595" s="16"/>
    </row>
    <row r="24596" spans="4:7" ht="15" x14ac:dyDescent="0.3">
      <c r="D24596" s="25"/>
      <c r="F24596" s="21"/>
      <c r="G24596" s="16"/>
    </row>
    <row r="24597" spans="4:7" ht="15" x14ac:dyDescent="0.3">
      <c r="D24597" s="25"/>
      <c r="F24597" s="21"/>
      <c r="G24597" s="16"/>
    </row>
    <row r="24598" spans="4:7" ht="15" x14ac:dyDescent="0.3">
      <c r="D24598" s="25"/>
      <c r="F24598" s="21"/>
      <c r="G24598" s="16"/>
    </row>
    <row r="24599" spans="4:7" ht="15" x14ac:dyDescent="0.3">
      <c r="D24599" s="25"/>
      <c r="F24599" s="21"/>
      <c r="G24599" s="16"/>
    </row>
    <row r="24600" spans="4:7" ht="15" x14ac:dyDescent="0.3">
      <c r="D24600" s="25"/>
      <c r="F24600" s="21"/>
      <c r="G24600" s="16"/>
    </row>
    <row r="24601" spans="4:7" ht="15" x14ac:dyDescent="0.3">
      <c r="D24601" s="25"/>
      <c r="F24601" s="21"/>
      <c r="G24601" s="16"/>
    </row>
    <row r="24602" spans="4:7" ht="15" x14ac:dyDescent="0.3">
      <c r="D24602" s="25"/>
      <c r="F24602" s="21"/>
      <c r="G24602" s="16"/>
    </row>
    <row r="24603" spans="4:7" ht="15" x14ac:dyDescent="0.3">
      <c r="D24603" s="25"/>
      <c r="F24603" s="21"/>
      <c r="G24603" s="16"/>
    </row>
    <row r="24604" spans="4:7" ht="15" x14ac:dyDescent="0.3">
      <c r="D24604" s="25"/>
      <c r="F24604" s="21"/>
      <c r="G24604" s="16"/>
    </row>
    <row r="24605" spans="4:7" ht="15" x14ac:dyDescent="0.3">
      <c r="D24605" s="25"/>
      <c r="F24605" s="21"/>
      <c r="G24605" s="16"/>
    </row>
    <row r="24606" spans="4:7" ht="15" x14ac:dyDescent="0.3">
      <c r="D24606" s="25"/>
      <c r="F24606" s="21"/>
      <c r="G24606" s="16"/>
    </row>
    <row r="24607" spans="4:7" ht="15" x14ac:dyDescent="0.3">
      <c r="D24607" s="25"/>
      <c r="F24607" s="21"/>
      <c r="G24607" s="16"/>
    </row>
    <row r="24608" spans="4:7" ht="15" x14ac:dyDescent="0.3">
      <c r="D24608" s="25"/>
      <c r="F24608" s="21"/>
      <c r="G24608" s="16"/>
    </row>
    <row r="24609" spans="4:7" ht="15" x14ac:dyDescent="0.3">
      <c r="D24609" s="25"/>
      <c r="F24609" s="21"/>
      <c r="G24609" s="16"/>
    </row>
    <row r="24610" spans="4:7" ht="15" x14ac:dyDescent="0.3">
      <c r="D24610" s="25"/>
      <c r="F24610" s="21"/>
      <c r="G24610" s="16"/>
    </row>
    <row r="24611" spans="4:7" ht="15" x14ac:dyDescent="0.3">
      <c r="D24611" s="25"/>
      <c r="F24611" s="21"/>
      <c r="G24611" s="16"/>
    </row>
    <row r="24612" spans="4:7" ht="15" x14ac:dyDescent="0.3">
      <c r="D24612" s="25"/>
      <c r="F24612" s="21"/>
      <c r="G24612" s="16"/>
    </row>
    <row r="24613" spans="4:7" ht="15" x14ac:dyDescent="0.3">
      <c r="D24613" s="25"/>
      <c r="F24613" s="21"/>
      <c r="G24613" s="16"/>
    </row>
    <row r="24614" spans="4:7" ht="15" x14ac:dyDescent="0.3">
      <c r="D24614" s="25"/>
      <c r="F24614" s="21"/>
      <c r="G24614" s="16"/>
    </row>
    <row r="24615" spans="4:7" ht="15" x14ac:dyDescent="0.3">
      <c r="D24615" s="25"/>
      <c r="F24615" s="21"/>
      <c r="G24615" s="16"/>
    </row>
    <row r="24616" spans="4:7" ht="15" x14ac:dyDescent="0.3">
      <c r="D24616" s="25"/>
      <c r="F24616" s="21"/>
      <c r="G24616" s="16"/>
    </row>
    <row r="24617" spans="4:7" ht="15" x14ac:dyDescent="0.3">
      <c r="D24617" s="25"/>
      <c r="F24617" s="21"/>
      <c r="G24617" s="16"/>
    </row>
    <row r="24618" spans="4:7" ht="15" x14ac:dyDescent="0.3">
      <c r="D24618" s="25"/>
      <c r="F24618" s="21"/>
      <c r="G24618" s="16"/>
    </row>
    <row r="24619" spans="4:7" ht="15" x14ac:dyDescent="0.3">
      <c r="D24619" s="25"/>
      <c r="F24619" s="21"/>
      <c r="G24619" s="16"/>
    </row>
    <row r="24620" spans="4:7" ht="15" x14ac:dyDescent="0.3">
      <c r="D24620" s="25"/>
      <c r="F24620" s="21"/>
      <c r="G24620" s="16"/>
    </row>
    <row r="24621" spans="4:7" ht="15" x14ac:dyDescent="0.3">
      <c r="D24621" s="25"/>
      <c r="F24621" s="21"/>
      <c r="G24621" s="16"/>
    </row>
    <row r="24622" spans="4:7" ht="15" x14ac:dyDescent="0.3">
      <c r="D24622" s="25"/>
      <c r="F24622" s="21"/>
      <c r="G24622" s="16"/>
    </row>
    <row r="24623" spans="4:7" ht="15" x14ac:dyDescent="0.3">
      <c r="D24623" s="25"/>
      <c r="F24623" s="21"/>
      <c r="G24623" s="16"/>
    </row>
    <row r="24624" spans="4:7" ht="15" x14ac:dyDescent="0.3">
      <c r="D24624" s="25"/>
      <c r="F24624" s="21"/>
      <c r="G24624" s="16"/>
    </row>
    <row r="24625" spans="4:7" ht="15" x14ac:dyDescent="0.3">
      <c r="D24625" s="25"/>
      <c r="F24625" s="21"/>
      <c r="G24625" s="16"/>
    </row>
    <row r="24626" spans="4:7" ht="15" x14ac:dyDescent="0.3">
      <c r="D24626" s="25"/>
      <c r="F24626" s="21"/>
      <c r="G24626" s="16"/>
    </row>
    <row r="24627" spans="4:7" ht="15" x14ac:dyDescent="0.3">
      <c r="D24627" s="25"/>
      <c r="F24627" s="21"/>
      <c r="G24627" s="16"/>
    </row>
    <row r="24628" spans="4:7" ht="15" x14ac:dyDescent="0.3">
      <c r="D24628" s="25"/>
      <c r="F24628" s="21"/>
      <c r="G24628" s="16"/>
    </row>
    <row r="24629" spans="4:7" ht="15" x14ac:dyDescent="0.3">
      <c r="D24629" s="25"/>
      <c r="F24629" s="21"/>
      <c r="G24629" s="16"/>
    </row>
    <row r="24630" spans="4:7" ht="15" x14ac:dyDescent="0.3">
      <c r="D24630" s="25"/>
      <c r="F24630" s="21"/>
      <c r="G24630" s="16"/>
    </row>
    <row r="24631" spans="4:7" ht="15" x14ac:dyDescent="0.3">
      <c r="D24631" s="25"/>
      <c r="F24631" s="21"/>
      <c r="G24631" s="16"/>
    </row>
    <row r="24632" spans="4:7" ht="15" x14ac:dyDescent="0.3">
      <c r="D24632" s="25"/>
      <c r="F24632" s="21"/>
      <c r="G24632" s="16"/>
    </row>
    <row r="24633" spans="4:7" ht="15" x14ac:dyDescent="0.3">
      <c r="D24633" s="25"/>
      <c r="F24633" s="21"/>
      <c r="G24633" s="16"/>
    </row>
    <row r="24634" spans="4:7" ht="15" x14ac:dyDescent="0.3">
      <c r="D24634" s="25"/>
      <c r="F24634" s="21"/>
      <c r="G24634" s="16"/>
    </row>
    <row r="24635" spans="4:7" ht="15" x14ac:dyDescent="0.3">
      <c r="D24635" s="25"/>
      <c r="F24635" s="21"/>
      <c r="G24635" s="16"/>
    </row>
    <row r="24636" spans="4:7" ht="15" x14ac:dyDescent="0.3">
      <c r="D24636" s="25"/>
      <c r="F24636" s="21"/>
      <c r="G24636" s="16"/>
    </row>
    <row r="24637" spans="4:7" ht="15" x14ac:dyDescent="0.3">
      <c r="D24637" s="25"/>
      <c r="F24637" s="21"/>
      <c r="G24637" s="16"/>
    </row>
    <row r="24638" spans="4:7" ht="15" x14ac:dyDescent="0.3">
      <c r="D24638" s="25"/>
      <c r="F24638" s="21"/>
      <c r="G24638" s="16"/>
    </row>
    <row r="24639" spans="4:7" ht="15" x14ac:dyDescent="0.3">
      <c r="D24639" s="25"/>
      <c r="F24639" s="21"/>
      <c r="G24639" s="16"/>
    </row>
    <row r="24640" spans="4:7" ht="15" x14ac:dyDescent="0.3">
      <c r="D24640" s="25"/>
      <c r="F24640" s="21"/>
      <c r="G24640" s="16"/>
    </row>
    <row r="24641" spans="4:7" ht="15" x14ac:dyDescent="0.3">
      <c r="D24641" s="25"/>
      <c r="F24641" s="21"/>
      <c r="G24641" s="16"/>
    </row>
    <row r="24642" spans="4:7" ht="15" x14ac:dyDescent="0.3">
      <c r="D24642" s="25"/>
      <c r="F24642" s="21"/>
      <c r="G24642" s="16"/>
    </row>
    <row r="24643" spans="4:7" ht="15" x14ac:dyDescent="0.3">
      <c r="D24643" s="25"/>
      <c r="F24643" s="21"/>
      <c r="G24643" s="16"/>
    </row>
    <row r="24644" spans="4:7" ht="15" x14ac:dyDescent="0.3">
      <c r="D24644" s="25"/>
      <c r="F24644" s="21"/>
      <c r="G24644" s="16"/>
    </row>
    <row r="24645" spans="4:7" ht="15" x14ac:dyDescent="0.3">
      <c r="D24645" s="25"/>
      <c r="F24645" s="21"/>
      <c r="G24645" s="16"/>
    </row>
    <row r="24646" spans="4:7" ht="15" x14ac:dyDescent="0.3">
      <c r="D24646" s="25"/>
      <c r="F24646" s="21"/>
      <c r="G24646" s="16"/>
    </row>
    <row r="24647" spans="4:7" ht="15" x14ac:dyDescent="0.3">
      <c r="D24647" s="25"/>
      <c r="F24647" s="21"/>
      <c r="G24647" s="16"/>
    </row>
    <row r="24648" spans="4:7" ht="15" x14ac:dyDescent="0.3">
      <c r="D24648" s="25"/>
      <c r="F24648" s="21"/>
      <c r="G24648" s="16"/>
    </row>
    <row r="24649" spans="4:7" ht="15" x14ac:dyDescent="0.3">
      <c r="D24649" s="25"/>
      <c r="F24649" s="21"/>
      <c r="G24649" s="16"/>
    </row>
    <row r="24650" spans="4:7" ht="15" x14ac:dyDescent="0.3">
      <c r="D24650" s="25"/>
      <c r="F24650" s="21"/>
      <c r="G24650" s="16"/>
    </row>
    <row r="24651" spans="4:7" ht="15" x14ac:dyDescent="0.3">
      <c r="D24651" s="25"/>
      <c r="F24651" s="21"/>
      <c r="G24651" s="16"/>
    </row>
    <row r="24652" spans="4:7" ht="15" x14ac:dyDescent="0.3">
      <c r="D24652" s="25"/>
      <c r="F24652" s="21"/>
      <c r="G24652" s="16"/>
    </row>
    <row r="24653" spans="4:7" ht="15" x14ac:dyDescent="0.3">
      <c r="D24653" s="25"/>
      <c r="F24653" s="21"/>
      <c r="G24653" s="16"/>
    </row>
    <row r="24654" spans="4:7" ht="15" x14ac:dyDescent="0.3">
      <c r="D24654" s="25"/>
      <c r="F24654" s="21"/>
      <c r="G24654" s="16"/>
    </row>
    <row r="24655" spans="4:7" ht="15" x14ac:dyDescent="0.3">
      <c r="D24655" s="25"/>
      <c r="F24655" s="21"/>
      <c r="G24655" s="16"/>
    </row>
    <row r="24656" spans="4:7" ht="15" x14ac:dyDescent="0.3">
      <c r="D24656" s="25"/>
      <c r="F24656" s="21"/>
      <c r="G24656" s="16"/>
    </row>
    <row r="24657" spans="4:7" ht="15" x14ac:dyDescent="0.3">
      <c r="D24657" s="25"/>
      <c r="F24657" s="21"/>
      <c r="G24657" s="16"/>
    </row>
    <row r="24658" spans="4:7" ht="15" x14ac:dyDescent="0.3">
      <c r="D24658" s="25"/>
      <c r="F24658" s="21"/>
      <c r="G24658" s="16"/>
    </row>
    <row r="24659" spans="4:7" ht="15" x14ac:dyDescent="0.3">
      <c r="D24659" s="25"/>
      <c r="F24659" s="21"/>
      <c r="G24659" s="16"/>
    </row>
    <row r="24660" spans="4:7" ht="15" x14ac:dyDescent="0.3">
      <c r="D24660" s="25"/>
      <c r="F24660" s="21"/>
      <c r="G24660" s="16"/>
    </row>
    <row r="24661" spans="4:7" ht="15" x14ac:dyDescent="0.3">
      <c r="D24661" s="25"/>
      <c r="F24661" s="21"/>
      <c r="G24661" s="16"/>
    </row>
    <row r="24662" spans="4:7" ht="15" x14ac:dyDescent="0.3">
      <c r="D24662" s="25"/>
      <c r="F24662" s="21"/>
      <c r="G24662" s="16"/>
    </row>
    <row r="24663" spans="4:7" ht="15" x14ac:dyDescent="0.3">
      <c r="D24663" s="25"/>
      <c r="F24663" s="21"/>
      <c r="G24663" s="16"/>
    </row>
    <row r="24664" spans="4:7" ht="15" x14ac:dyDescent="0.3">
      <c r="D24664" s="25"/>
      <c r="F24664" s="21"/>
      <c r="G24664" s="16"/>
    </row>
    <row r="24665" spans="4:7" ht="15" x14ac:dyDescent="0.3">
      <c r="D24665" s="25"/>
      <c r="F24665" s="21"/>
      <c r="G24665" s="16"/>
    </row>
    <row r="24666" spans="4:7" ht="15" x14ac:dyDescent="0.3">
      <c r="D24666" s="25"/>
      <c r="F24666" s="21"/>
      <c r="G24666" s="16"/>
    </row>
    <row r="24667" spans="4:7" ht="15" x14ac:dyDescent="0.3">
      <c r="D24667" s="25"/>
      <c r="F24667" s="21"/>
      <c r="G24667" s="16"/>
    </row>
    <row r="24668" spans="4:7" ht="15" x14ac:dyDescent="0.3">
      <c r="D24668" s="25"/>
      <c r="F24668" s="21"/>
      <c r="G24668" s="16"/>
    </row>
    <row r="24669" spans="4:7" ht="15" x14ac:dyDescent="0.3">
      <c r="D24669" s="25"/>
      <c r="F24669" s="21"/>
      <c r="G24669" s="16"/>
    </row>
    <row r="24670" spans="4:7" ht="15" x14ac:dyDescent="0.3">
      <c r="D24670" s="25"/>
      <c r="F24670" s="21"/>
      <c r="G24670" s="16"/>
    </row>
    <row r="24671" spans="4:7" ht="15" x14ac:dyDescent="0.3">
      <c r="D24671" s="25"/>
      <c r="F24671" s="21"/>
      <c r="G24671" s="16"/>
    </row>
    <row r="24672" spans="4:7" ht="15" x14ac:dyDescent="0.3">
      <c r="D24672" s="25"/>
      <c r="F24672" s="21"/>
      <c r="G24672" s="16"/>
    </row>
    <row r="24673" spans="4:7" ht="15" x14ac:dyDescent="0.3">
      <c r="D24673" s="25"/>
      <c r="F24673" s="21"/>
      <c r="G24673" s="16"/>
    </row>
    <row r="24674" spans="4:7" ht="15" x14ac:dyDescent="0.3">
      <c r="D24674" s="25"/>
      <c r="F24674" s="21"/>
      <c r="G24674" s="16"/>
    </row>
    <row r="24675" spans="4:7" ht="15" x14ac:dyDescent="0.3">
      <c r="D24675" s="25"/>
      <c r="F24675" s="21"/>
      <c r="G24675" s="16"/>
    </row>
    <row r="24676" spans="4:7" ht="15" x14ac:dyDescent="0.3">
      <c r="D24676" s="25"/>
      <c r="F24676" s="21"/>
      <c r="G24676" s="16"/>
    </row>
    <row r="24677" spans="4:7" ht="15" x14ac:dyDescent="0.3">
      <c r="D24677" s="25"/>
      <c r="F24677" s="21"/>
      <c r="G24677" s="16"/>
    </row>
    <row r="24678" spans="4:7" ht="15" x14ac:dyDescent="0.3">
      <c r="D24678" s="25"/>
      <c r="F24678" s="21"/>
      <c r="G24678" s="16"/>
    </row>
    <row r="24679" spans="4:7" ht="15" x14ac:dyDescent="0.3">
      <c r="D24679" s="25"/>
      <c r="F24679" s="21"/>
      <c r="G24679" s="16"/>
    </row>
    <row r="24680" spans="4:7" ht="15" x14ac:dyDescent="0.3">
      <c r="D24680" s="25"/>
      <c r="F24680" s="21"/>
      <c r="G24680" s="16"/>
    </row>
    <row r="24681" spans="4:7" ht="15" x14ac:dyDescent="0.3">
      <c r="D24681" s="25"/>
      <c r="F24681" s="21"/>
      <c r="G24681" s="16"/>
    </row>
    <row r="24682" spans="4:7" ht="15" x14ac:dyDescent="0.3">
      <c r="D24682" s="25"/>
      <c r="F24682" s="21"/>
      <c r="G24682" s="16"/>
    </row>
    <row r="24683" spans="4:7" ht="15" x14ac:dyDescent="0.3">
      <c r="D24683" s="25"/>
      <c r="F24683" s="21"/>
      <c r="G24683" s="16"/>
    </row>
    <row r="24684" spans="4:7" ht="15" x14ac:dyDescent="0.3">
      <c r="D24684" s="25"/>
      <c r="F24684" s="21"/>
      <c r="G24684" s="16"/>
    </row>
    <row r="24685" spans="4:7" ht="15" x14ac:dyDescent="0.3">
      <c r="D24685" s="25"/>
      <c r="F24685" s="21"/>
      <c r="G24685" s="16"/>
    </row>
    <row r="24686" spans="4:7" ht="15" x14ac:dyDescent="0.3">
      <c r="D24686" s="25"/>
      <c r="F24686" s="21"/>
      <c r="G24686" s="16"/>
    </row>
    <row r="24687" spans="4:7" ht="15" x14ac:dyDescent="0.3">
      <c r="D24687" s="25"/>
      <c r="F24687" s="21"/>
      <c r="G24687" s="16"/>
    </row>
    <row r="24688" spans="4:7" ht="15" x14ac:dyDescent="0.3">
      <c r="D24688" s="25"/>
      <c r="F24688" s="21"/>
      <c r="G24688" s="16"/>
    </row>
    <row r="24689" spans="4:7" ht="15" x14ac:dyDescent="0.3">
      <c r="D24689" s="25"/>
      <c r="F24689" s="21"/>
      <c r="G24689" s="16"/>
    </row>
    <row r="24690" spans="4:7" ht="15" x14ac:dyDescent="0.3">
      <c r="D24690" s="25"/>
      <c r="F24690" s="21"/>
      <c r="G24690" s="16"/>
    </row>
    <row r="24691" spans="4:7" ht="15" x14ac:dyDescent="0.3">
      <c r="D24691" s="25"/>
      <c r="F24691" s="21"/>
      <c r="G24691" s="16"/>
    </row>
    <row r="24692" spans="4:7" ht="15" x14ac:dyDescent="0.3">
      <c r="D24692" s="25"/>
      <c r="F24692" s="21"/>
      <c r="G24692" s="16"/>
    </row>
    <row r="24693" spans="4:7" ht="15" x14ac:dyDescent="0.3">
      <c r="D24693" s="25"/>
      <c r="F24693" s="21"/>
      <c r="G24693" s="16"/>
    </row>
    <row r="24694" spans="4:7" ht="15" x14ac:dyDescent="0.3">
      <c r="D24694" s="25"/>
      <c r="F24694" s="21"/>
      <c r="G24694" s="16"/>
    </row>
    <row r="24695" spans="4:7" ht="15" x14ac:dyDescent="0.3">
      <c r="D24695" s="25"/>
      <c r="F24695" s="21"/>
      <c r="G24695" s="16"/>
    </row>
    <row r="24696" spans="4:7" ht="15" x14ac:dyDescent="0.3">
      <c r="D24696" s="25"/>
      <c r="F24696" s="21"/>
      <c r="G24696" s="16"/>
    </row>
    <row r="24697" spans="4:7" ht="15" x14ac:dyDescent="0.3">
      <c r="D24697" s="25"/>
      <c r="F24697" s="21"/>
      <c r="G24697" s="16"/>
    </row>
    <row r="24698" spans="4:7" ht="15" x14ac:dyDescent="0.3">
      <c r="D24698" s="25"/>
      <c r="F24698" s="21"/>
      <c r="G24698" s="16"/>
    </row>
    <row r="24699" spans="4:7" ht="15" x14ac:dyDescent="0.3">
      <c r="D24699" s="25"/>
      <c r="F24699" s="21"/>
      <c r="G24699" s="16"/>
    </row>
    <row r="24700" spans="4:7" ht="15" x14ac:dyDescent="0.3">
      <c r="D24700" s="25"/>
      <c r="F24700" s="21"/>
      <c r="G24700" s="16"/>
    </row>
    <row r="24701" spans="4:7" ht="15" x14ac:dyDescent="0.3">
      <c r="D24701" s="25"/>
      <c r="F24701" s="21"/>
      <c r="G24701" s="16"/>
    </row>
    <row r="24702" spans="4:7" ht="15" x14ac:dyDescent="0.3">
      <c r="D24702" s="25"/>
      <c r="F24702" s="21"/>
      <c r="G24702" s="16"/>
    </row>
    <row r="24703" spans="4:7" ht="15" x14ac:dyDescent="0.3">
      <c r="D24703" s="25"/>
      <c r="F24703" s="21"/>
      <c r="G24703" s="16"/>
    </row>
    <row r="24704" spans="4:7" ht="15" x14ac:dyDescent="0.3">
      <c r="D24704" s="25"/>
      <c r="F24704" s="21"/>
      <c r="G24704" s="16"/>
    </row>
    <row r="24705" spans="4:7" ht="15" x14ac:dyDescent="0.3">
      <c r="D24705" s="25"/>
      <c r="F24705" s="21"/>
      <c r="G24705" s="16"/>
    </row>
    <row r="24706" spans="4:7" ht="15" x14ac:dyDescent="0.3">
      <c r="D24706" s="25"/>
      <c r="F24706" s="21"/>
      <c r="G24706" s="16"/>
    </row>
    <row r="24707" spans="4:7" ht="15" x14ac:dyDescent="0.3">
      <c r="D24707" s="25"/>
      <c r="F24707" s="21"/>
      <c r="G24707" s="16"/>
    </row>
    <row r="24708" spans="4:7" ht="15" x14ac:dyDescent="0.3">
      <c r="D24708" s="25"/>
      <c r="F24708" s="21"/>
      <c r="G24708" s="16"/>
    </row>
    <row r="24709" spans="4:7" ht="15" x14ac:dyDescent="0.3">
      <c r="D24709" s="25"/>
      <c r="F24709" s="21"/>
      <c r="G24709" s="16"/>
    </row>
    <row r="24710" spans="4:7" ht="15" x14ac:dyDescent="0.3">
      <c r="D24710" s="25"/>
      <c r="F24710" s="21"/>
      <c r="G24710" s="16"/>
    </row>
    <row r="24711" spans="4:7" ht="15" x14ac:dyDescent="0.3">
      <c r="D24711" s="25"/>
      <c r="F24711" s="21"/>
      <c r="G24711" s="16"/>
    </row>
    <row r="24712" spans="4:7" ht="15" x14ac:dyDescent="0.3">
      <c r="D24712" s="25"/>
      <c r="F24712" s="21"/>
      <c r="G24712" s="16"/>
    </row>
    <row r="24713" spans="4:7" ht="15" x14ac:dyDescent="0.3">
      <c r="D24713" s="25"/>
      <c r="F24713" s="21"/>
      <c r="G24713" s="16"/>
    </row>
    <row r="24714" spans="4:7" ht="15" x14ac:dyDescent="0.3">
      <c r="D24714" s="25"/>
      <c r="F24714" s="21"/>
      <c r="G24714" s="16"/>
    </row>
    <row r="24715" spans="4:7" ht="15" x14ac:dyDescent="0.3">
      <c r="D24715" s="25"/>
      <c r="F24715" s="21"/>
      <c r="G24715" s="16"/>
    </row>
    <row r="24716" spans="4:7" ht="15" x14ac:dyDescent="0.3">
      <c r="D24716" s="25"/>
      <c r="F24716" s="21"/>
      <c r="G24716" s="16"/>
    </row>
    <row r="24717" spans="4:7" ht="15" x14ac:dyDescent="0.3">
      <c r="D24717" s="25"/>
      <c r="F24717" s="21"/>
      <c r="G24717" s="16"/>
    </row>
    <row r="24718" spans="4:7" ht="15" x14ac:dyDescent="0.3">
      <c r="D24718" s="25"/>
      <c r="F24718" s="21"/>
      <c r="G24718" s="16"/>
    </row>
    <row r="24719" spans="4:7" ht="15" x14ac:dyDescent="0.3">
      <c r="D24719" s="25"/>
      <c r="F24719" s="21"/>
      <c r="G24719" s="16"/>
    </row>
    <row r="24720" spans="4:7" ht="15" x14ac:dyDescent="0.3">
      <c r="D24720" s="25"/>
      <c r="F24720" s="21"/>
      <c r="G24720" s="16"/>
    </row>
    <row r="24721" spans="4:7" ht="15" x14ac:dyDescent="0.3">
      <c r="D24721" s="25"/>
      <c r="F24721" s="21"/>
      <c r="G24721" s="16"/>
    </row>
    <row r="24722" spans="4:7" ht="15" x14ac:dyDescent="0.3">
      <c r="D24722" s="25"/>
      <c r="F24722" s="21"/>
      <c r="G24722" s="16"/>
    </row>
    <row r="24723" spans="4:7" ht="15" x14ac:dyDescent="0.3">
      <c r="D24723" s="25"/>
      <c r="F24723" s="21"/>
      <c r="G24723" s="16"/>
    </row>
    <row r="24724" spans="4:7" ht="15" x14ac:dyDescent="0.3">
      <c r="D24724" s="25"/>
      <c r="F24724" s="21"/>
      <c r="G24724" s="16"/>
    </row>
    <row r="24725" spans="4:7" ht="15" x14ac:dyDescent="0.3">
      <c r="D24725" s="25"/>
      <c r="F24725" s="21"/>
      <c r="G24725" s="16"/>
    </row>
    <row r="24726" spans="4:7" ht="15" x14ac:dyDescent="0.3">
      <c r="D24726" s="25"/>
      <c r="F24726" s="21"/>
      <c r="G24726" s="16"/>
    </row>
    <row r="24727" spans="4:7" ht="15" x14ac:dyDescent="0.3">
      <c r="D24727" s="25"/>
      <c r="F24727" s="21"/>
      <c r="G24727" s="16"/>
    </row>
    <row r="24728" spans="4:7" ht="15" x14ac:dyDescent="0.3">
      <c r="D24728" s="25"/>
      <c r="F24728" s="21"/>
      <c r="G24728" s="16"/>
    </row>
    <row r="24729" spans="4:7" ht="15" x14ac:dyDescent="0.3">
      <c r="D24729" s="25"/>
      <c r="F24729" s="21"/>
      <c r="G24729" s="16"/>
    </row>
    <row r="24730" spans="4:7" ht="15" x14ac:dyDescent="0.3">
      <c r="D24730" s="25"/>
      <c r="F24730" s="21"/>
      <c r="G24730" s="16"/>
    </row>
    <row r="24731" spans="4:7" ht="15" x14ac:dyDescent="0.3">
      <c r="D24731" s="25"/>
      <c r="F24731" s="21"/>
      <c r="G24731" s="16"/>
    </row>
    <row r="24732" spans="4:7" ht="15" x14ac:dyDescent="0.3">
      <c r="D24732" s="25"/>
      <c r="F24732" s="21"/>
      <c r="G24732" s="16"/>
    </row>
    <row r="24733" spans="4:7" ht="15" x14ac:dyDescent="0.3">
      <c r="D24733" s="25"/>
      <c r="F24733" s="21"/>
      <c r="G24733" s="16"/>
    </row>
    <row r="24734" spans="4:7" ht="15" x14ac:dyDescent="0.3">
      <c r="D24734" s="25"/>
      <c r="F24734" s="21"/>
      <c r="G24734" s="16"/>
    </row>
    <row r="24735" spans="4:7" ht="15" x14ac:dyDescent="0.3">
      <c r="D24735" s="25"/>
      <c r="F24735" s="21"/>
      <c r="G24735" s="16"/>
    </row>
    <row r="24736" spans="4:7" ht="15" x14ac:dyDescent="0.3">
      <c r="D24736" s="25"/>
      <c r="F24736" s="21"/>
      <c r="G24736" s="16"/>
    </row>
    <row r="24737" spans="4:7" ht="15" x14ac:dyDescent="0.3">
      <c r="D24737" s="25"/>
      <c r="F24737" s="21"/>
      <c r="G24737" s="16"/>
    </row>
    <row r="24738" spans="4:7" ht="15" x14ac:dyDescent="0.3">
      <c r="D24738" s="25"/>
      <c r="F24738" s="21"/>
      <c r="G24738" s="16"/>
    </row>
    <row r="24739" spans="4:7" ht="15" x14ac:dyDescent="0.3">
      <c r="D24739" s="25"/>
      <c r="F24739" s="21"/>
      <c r="G24739" s="16"/>
    </row>
    <row r="24740" spans="4:7" ht="15" x14ac:dyDescent="0.3">
      <c r="D24740" s="25"/>
      <c r="F24740" s="21"/>
      <c r="G24740" s="16"/>
    </row>
    <row r="24741" spans="4:7" ht="15" x14ac:dyDescent="0.3">
      <c r="D24741" s="25"/>
      <c r="F24741" s="21"/>
      <c r="G24741" s="16"/>
    </row>
    <row r="24742" spans="4:7" ht="15" x14ac:dyDescent="0.3">
      <c r="D24742" s="25"/>
      <c r="F24742" s="21"/>
      <c r="G24742" s="16"/>
    </row>
    <row r="24743" spans="4:7" ht="15" x14ac:dyDescent="0.3">
      <c r="D24743" s="25"/>
      <c r="F24743" s="21"/>
      <c r="G24743" s="16"/>
    </row>
    <row r="24744" spans="4:7" ht="15" x14ac:dyDescent="0.3">
      <c r="D24744" s="25"/>
      <c r="F24744" s="21"/>
      <c r="G24744" s="16"/>
    </row>
    <row r="24745" spans="4:7" ht="15" x14ac:dyDescent="0.3">
      <c r="D24745" s="25"/>
      <c r="F24745" s="21"/>
      <c r="G24745" s="16"/>
    </row>
    <row r="24746" spans="4:7" ht="15" x14ac:dyDescent="0.3">
      <c r="D24746" s="25"/>
      <c r="F24746" s="21"/>
      <c r="G24746" s="16"/>
    </row>
    <row r="24747" spans="4:7" ht="15" x14ac:dyDescent="0.3">
      <c r="D24747" s="25"/>
      <c r="F24747" s="21"/>
      <c r="G24747" s="16"/>
    </row>
    <row r="24748" spans="4:7" ht="15" x14ac:dyDescent="0.3">
      <c r="D24748" s="25"/>
      <c r="F24748" s="21"/>
      <c r="G24748" s="16"/>
    </row>
    <row r="24749" spans="4:7" ht="15" x14ac:dyDescent="0.3">
      <c r="D24749" s="25"/>
      <c r="F24749" s="21"/>
      <c r="G24749" s="16"/>
    </row>
    <row r="24750" spans="4:7" ht="15" x14ac:dyDescent="0.3">
      <c r="D24750" s="25"/>
      <c r="F24750" s="21"/>
      <c r="G24750" s="16"/>
    </row>
    <row r="24751" spans="4:7" ht="15" x14ac:dyDescent="0.3">
      <c r="D24751" s="25"/>
      <c r="F24751" s="21"/>
      <c r="G24751" s="16"/>
    </row>
    <row r="24752" spans="4:7" ht="15" x14ac:dyDescent="0.3">
      <c r="D24752" s="25"/>
      <c r="F24752" s="21"/>
      <c r="G24752" s="16"/>
    </row>
    <row r="24753" spans="4:7" ht="15" x14ac:dyDescent="0.3">
      <c r="D24753" s="25"/>
      <c r="F24753" s="21"/>
      <c r="G24753" s="16"/>
    </row>
    <row r="24754" spans="4:7" ht="15" x14ac:dyDescent="0.3">
      <c r="D24754" s="25"/>
      <c r="F24754" s="21"/>
      <c r="G24754" s="16"/>
    </row>
    <row r="24755" spans="4:7" ht="15" x14ac:dyDescent="0.3">
      <c r="D24755" s="25"/>
      <c r="F24755" s="21"/>
      <c r="G24755" s="16"/>
    </row>
    <row r="24756" spans="4:7" ht="15" x14ac:dyDescent="0.3">
      <c r="D24756" s="25"/>
      <c r="F24756" s="21"/>
      <c r="G24756" s="16"/>
    </row>
    <row r="24757" spans="4:7" ht="15" x14ac:dyDescent="0.3">
      <c r="D24757" s="25"/>
      <c r="F24757" s="21"/>
      <c r="G24757" s="16"/>
    </row>
    <row r="24758" spans="4:7" ht="15" x14ac:dyDescent="0.3">
      <c r="D24758" s="25"/>
      <c r="F24758" s="21"/>
      <c r="G24758" s="16"/>
    </row>
    <row r="24759" spans="4:7" ht="15" x14ac:dyDescent="0.3">
      <c r="D24759" s="25"/>
      <c r="F24759" s="21"/>
      <c r="G24759" s="16"/>
    </row>
    <row r="24760" spans="4:7" ht="15" x14ac:dyDescent="0.3">
      <c r="D24760" s="25"/>
      <c r="F24760" s="21"/>
      <c r="G24760" s="16"/>
    </row>
    <row r="24761" spans="4:7" ht="15" x14ac:dyDescent="0.3">
      <c r="D24761" s="25"/>
      <c r="F24761" s="21"/>
      <c r="G24761" s="16"/>
    </row>
    <row r="24762" spans="4:7" ht="15" x14ac:dyDescent="0.3">
      <c r="D24762" s="25"/>
      <c r="F24762" s="21"/>
      <c r="G24762" s="16"/>
    </row>
    <row r="24763" spans="4:7" ht="15" x14ac:dyDescent="0.3">
      <c r="D24763" s="25"/>
      <c r="F24763" s="21"/>
      <c r="G24763" s="16"/>
    </row>
    <row r="24764" spans="4:7" ht="15" x14ac:dyDescent="0.3">
      <c r="D24764" s="25"/>
      <c r="F24764" s="21"/>
      <c r="G24764" s="16"/>
    </row>
    <row r="24765" spans="4:7" ht="15" x14ac:dyDescent="0.3">
      <c r="D24765" s="25"/>
      <c r="F24765" s="21"/>
      <c r="G24765" s="16"/>
    </row>
    <row r="24766" spans="4:7" ht="15" x14ac:dyDescent="0.3">
      <c r="D24766" s="25"/>
      <c r="F24766" s="21"/>
      <c r="G24766" s="16"/>
    </row>
    <row r="24767" spans="4:7" ht="15" x14ac:dyDescent="0.3">
      <c r="D24767" s="25"/>
      <c r="F24767" s="21"/>
      <c r="G24767" s="16"/>
    </row>
    <row r="24768" spans="4:7" ht="15" x14ac:dyDescent="0.3">
      <c r="D24768" s="25"/>
      <c r="F24768" s="21"/>
      <c r="G24768" s="16"/>
    </row>
    <row r="24769" spans="4:7" ht="15" x14ac:dyDescent="0.3">
      <c r="D24769" s="25"/>
      <c r="F24769" s="21"/>
      <c r="G24769" s="16"/>
    </row>
    <row r="24770" spans="4:7" ht="15" x14ac:dyDescent="0.3">
      <c r="D24770" s="25"/>
      <c r="F24770" s="21"/>
      <c r="G24770" s="16"/>
    </row>
    <row r="24771" spans="4:7" ht="15" x14ac:dyDescent="0.3">
      <c r="D24771" s="25"/>
      <c r="F24771" s="21"/>
      <c r="G24771" s="16"/>
    </row>
    <row r="24772" spans="4:7" ht="15" x14ac:dyDescent="0.3">
      <c r="D24772" s="25"/>
      <c r="F24772" s="21"/>
      <c r="G24772" s="16"/>
    </row>
    <row r="24773" spans="4:7" ht="15" x14ac:dyDescent="0.3">
      <c r="D24773" s="25"/>
      <c r="F24773" s="21"/>
      <c r="G24773" s="16"/>
    </row>
    <row r="24774" spans="4:7" ht="15" x14ac:dyDescent="0.3">
      <c r="D24774" s="25"/>
      <c r="F24774" s="21"/>
      <c r="G24774" s="16"/>
    </row>
    <row r="24775" spans="4:7" ht="15" x14ac:dyDescent="0.3">
      <c r="D24775" s="25"/>
      <c r="F24775" s="21"/>
      <c r="G24775" s="16"/>
    </row>
    <row r="24776" spans="4:7" ht="15" x14ac:dyDescent="0.3">
      <c r="D24776" s="25"/>
      <c r="F24776" s="21"/>
      <c r="G24776" s="16"/>
    </row>
    <row r="24777" spans="4:7" ht="15" x14ac:dyDescent="0.3">
      <c r="D24777" s="25"/>
      <c r="F24777" s="21"/>
      <c r="G24777" s="16"/>
    </row>
    <row r="24778" spans="4:7" ht="15" x14ac:dyDescent="0.3">
      <c r="D24778" s="25"/>
      <c r="F24778" s="21"/>
      <c r="G24778" s="16"/>
    </row>
    <row r="24779" spans="4:7" ht="15" x14ac:dyDescent="0.3">
      <c r="D24779" s="25"/>
      <c r="F24779" s="21"/>
      <c r="G24779" s="16"/>
    </row>
    <row r="24780" spans="4:7" ht="15" x14ac:dyDescent="0.3">
      <c r="D24780" s="25"/>
      <c r="F24780" s="21"/>
      <c r="G24780" s="16"/>
    </row>
    <row r="24781" spans="4:7" ht="15" x14ac:dyDescent="0.3">
      <c r="D24781" s="25"/>
      <c r="F24781" s="21"/>
      <c r="G24781" s="16"/>
    </row>
    <row r="24782" spans="4:7" ht="15" x14ac:dyDescent="0.3">
      <c r="D24782" s="25"/>
      <c r="F24782" s="21"/>
      <c r="G24782" s="16"/>
    </row>
    <row r="24783" spans="4:7" ht="15" x14ac:dyDescent="0.3">
      <c r="D24783" s="25"/>
      <c r="F24783" s="21"/>
      <c r="G24783" s="16"/>
    </row>
    <row r="24784" spans="4:7" ht="15" x14ac:dyDescent="0.3">
      <c r="D24784" s="25"/>
      <c r="F24784" s="21"/>
      <c r="G24784" s="16"/>
    </row>
    <row r="24785" spans="4:7" ht="15" x14ac:dyDescent="0.3">
      <c r="D24785" s="25"/>
      <c r="F24785" s="21"/>
      <c r="G24785" s="16"/>
    </row>
    <row r="24786" spans="4:7" ht="15" x14ac:dyDescent="0.3">
      <c r="D24786" s="25"/>
      <c r="F24786" s="21"/>
      <c r="G24786" s="16"/>
    </row>
    <row r="24787" spans="4:7" ht="15" x14ac:dyDescent="0.3">
      <c r="D24787" s="25"/>
      <c r="F24787" s="21"/>
      <c r="G24787" s="16"/>
    </row>
    <row r="24788" spans="4:7" ht="15" x14ac:dyDescent="0.3">
      <c r="D24788" s="25"/>
      <c r="F24788" s="21"/>
      <c r="G24788" s="16"/>
    </row>
    <row r="24789" spans="4:7" ht="15" x14ac:dyDescent="0.3">
      <c r="D24789" s="25"/>
      <c r="F24789" s="21"/>
      <c r="G24789" s="16"/>
    </row>
    <row r="24790" spans="4:7" ht="15" x14ac:dyDescent="0.3">
      <c r="D24790" s="25"/>
      <c r="F24790" s="21"/>
      <c r="G24790" s="16"/>
    </row>
    <row r="24791" spans="4:7" ht="15" x14ac:dyDescent="0.3">
      <c r="D24791" s="25"/>
      <c r="F24791" s="21"/>
      <c r="G24791" s="16"/>
    </row>
    <row r="24792" spans="4:7" ht="15" x14ac:dyDescent="0.3">
      <c r="D24792" s="25"/>
      <c r="F24792" s="21"/>
      <c r="G24792" s="16"/>
    </row>
    <row r="24793" spans="4:7" ht="15" x14ac:dyDescent="0.3">
      <c r="D24793" s="25"/>
      <c r="F24793" s="21"/>
      <c r="G24793" s="16"/>
    </row>
    <row r="24794" spans="4:7" ht="15" x14ac:dyDescent="0.3">
      <c r="D24794" s="25"/>
      <c r="F24794" s="21"/>
      <c r="G24794" s="16"/>
    </row>
    <row r="24795" spans="4:7" ht="15" x14ac:dyDescent="0.3">
      <c r="D24795" s="25"/>
      <c r="F24795" s="21"/>
      <c r="G24795" s="16"/>
    </row>
    <row r="24796" spans="4:7" ht="15" x14ac:dyDescent="0.3">
      <c r="D24796" s="25"/>
      <c r="F24796" s="21"/>
      <c r="G24796" s="16"/>
    </row>
    <row r="24797" spans="4:7" ht="15" x14ac:dyDescent="0.3">
      <c r="D24797" s="25"/>
      <c r="F24797" s="21"/>
      <c r="G24797" s="16"/>
    </row>
    <row r="24798" spans="4:7" ht="15" x14ac:dyDescent="0.3">
      <c r="D24798" s="25"/>
      <c r="F24798" s="21"/>
      <c r="G24798" s="16"/>
    </row>
    <row r="24799" spans="4:7" ht="15" x14ac:dyDescent="0.3">
      <c r="D24799" s="25"/>
      <c r="F24799" s="21"/>
      <c r="G24799" s="16"/>
    </row>
    <row r="24800" spans="4:7" ht="15" x14ac:dyDescent="0.3">
      <c r="D24800" s="25"/>
      <c r="F24800" s="21"/>
      <c r="G24800" s="16"/>
    </row>
    <row r="24801" spans="4:7" ht="15" x14ac:dyDescent="0.3">
      <c r="D24801" s="25"/>
      <c r="F24801" s="21"/>
      <c r="G24801" s="16"/>
    </row>
    <row r="24802" spans="4:7" ht="15" x14ac:dyDescent="0.3">
      <c r="D24802" s="25"/>
      <c r="F24802" s="21"/>
      <c r="G24802" s="16"/>
    </row>
    <row r="24803" spans="4:7" ht="15" x14ac:dyDescent="0.3">
      <c r="D24803" s="25"/>
      <c r="F24803" s="21"/>
      <c r="G24803" s="16"/>
    </row>
    <row r="24804" spans="4:7" ht="15" x14ac:dyDescent="0.3">
      <c r="D24804" s="25"/>
      <c r="F24804" s="21"/>
      <c r="G24804" s="16"/>
    </row>
    <row r="24805" spans="4:7" ht="15" x14ac:dyDescent="0.3">
      <c r="D24805" s="25"/>
      <c r="F24805" s="21"/>
      <c r="G24805" s="16"/>
    </row>
    <row r="24806" spans="4:7" ht="15" x14ac:dyDescent="0.3">
      <c r="D24806" s="25"/>
      <c r="F24806" s="21"/>
      <c r="G24806" s="16"/>
    </row>
    <row r="24807" spans="4:7" ht="15" x14ac:dyDescent="0.3">
      <c r="D24807" s="25"/>
      <c r="F24807" s="21"/>
      <c r="G24807" s="16"/>
    </row>
    <row r="24808" spans="4:7" ht="15" x14ac:dyDescent="0.3">
      <c r="D24808" s="25"/>
      <c r="F24808" s="21"/>
      <c r="G24808" s="16"/>
    </row>
    <row r="24809" spans="4:7" ht="15" x14ac:dyDescent="0.3">
      <c r="D24809" s="25"/>
      <c r="F24809" s="21"/>
      <c r="G24809" s="16"/>
    </row>
    <row r="24810" spans="4:7" ht="15" x14ac:dyDescent="0.3">
      <c r="D24810" s="25"/>
      <c r="F24810" s="21"/>
      <c r="G24810" s="16"/>
    </row>
    <row r="24811" spans="4:7" ht="15" x14ac:dyDescent="0.3">
      <c r="D24811" s="25"/>
      <c r="F24811" s="21"/>
      <c r="G24811" s="16"/>
    </row>
    <row r="24812" spans="4:7" ht="15" x14ac:dyDescent="0.3">
      <c r="D24812" s="25"/>
      <c r="F24812" s="21"/>
      <c r="G24812" s="16"/>
    </row>
    <row r="24813" spans="4:7" ht="15" x14ac:dyDescent="0.3">
      <c r="D24813" s="25"/>
      <c r="F24813" s="21"/>
      <c r="G24813" s="16"/>
    </row>
    <row r="24814" spans="4:7" ht="15" x14ac:dyDescent="0.3">
      <c r="D24814" s="25"/>
      <c r="F24814" s="21"/>
      <c r="G24814" s="16"/>
    </row>
    <row r="24815" spans="4:7" ht="15" x14ac:dyDescent="0.3">
      <c r="D24815" s="25"/>
      <c r="F24815" s="21"/>
      <c r="G24815" s="16"/>
    </row>
    <row r="24816" spans="4:7" ht="15" x14ac:dyDescent="0.3">
      <c r="D24816" s="25"/>
      <c r="F24816" s="21"/>
      <c r="G24816" s="16"/>
    </row>
    <row r="24817" spans="4:7" ht="15" x14ac:dyDescent="0.3">
      <c r="D24817" s="25"/>
      <c r="F24817" s="21"/>
      <c r="G24817" s="16"/>
    </row>
    <row r="24818" spans="4:7" ht="15" x14ac:dyDescent="0.3">
      <c r="D24818" s="25"/>
      <c r="F24818" s="21"/>
      <c r="G24818" s="16"/>
    </row>
    <row r="24819" spans="4:7" ht="15" x14ac:dyDescent="0.3">
      <c r="D24819" s="25"/>
      <c r="F24819" s="21"/>
      <c r="G24819" s="16"/>
    </row>
    <row r="24820" spans="4:7" ht="15" x14ac:dyDescent="0.3">
      <c r="D24820" s="25"/>
      <c r="F24820" s="21"/>
      <c r="G24820" s="16"/>
    </row>
    <row r="24821" spans="4:7" ht="15" x14ac:dyDescent="0.3">
      <c r="D24821" s="25"/>
      <c r="F24821" s="21"/>
      <c r="G24821" s="16"/>
    </row>
    <row r="24822" spans="4:7" ht="15" x14ac:dyDescent="0.3">
      <c r="D24822" s="25"/>
      <c r="F24822" s="21"/>
      <c r="G24822" s="16"/>
    </row>
    <row r="24823" spans="4:7" ht="15" x14ac:dyDescent="0.3">
      <c r="D24823" s="25"/>
      <c r="F24823" s="21"/>
      <c r="G24823" s="16"/>
    </row>
    <row r="24824" spans="4:7" ht="15" x14ac:dyDescent="0.3">
      <c r="D24824" s="25"/>
      <c r="F24824" s="21"/>
      <c r="G24824" s="16"/>
    </row>
    <row r="24825" spans="4:7" ht="15" x14ac:dyDescent="0.3">
      <c r="D24825" s="25"/>
      <c r="F24825" s="21"/>
      <c r="G24825" s="16"/>
    </row>
    <row r="24826" spans="4:7" ht="15" x14ac:dyDescent="0.3">
      <c r="D24826" s="25"/>
      <c r="F24826" s="21"/>
      <c r="G24826" s="16"/>
    </row>
    <row r="24827" spans="4:7" ht="15" x14ac:dyDescent="0.3">
      <c r="D24827" s="25"/>
      <c r="F24827" s="21"/>
      <c r="G24827" s="16"/>
    </row>
    <row r="24828" spans="4:7" ht="15" x14ac:dyDescent="0.3">
      <c r="D24828" s="25"/>
      <c r="F24828" s="21"/>
      <c r="G24828" s="16"/>
    </row>
    <row r="24829" spans="4:7" ht="15" x14ac:dyDescent="0.3">
      <c r="D24829" s="25"/>
      <c r="F24829" s="21"/>
      <c r="G24829" s="16"/>
    </row>
    <row r="24830" spans="4:7" ht="15" x14ac:dyDescent="0.3">
      <c r="D24830" s="25"/>
      <c r="F24830" s="21"/>
      <c r="G24830" s="16"/>
    </row>
    <row r="24831" spans="4:7" ht="15" x14ac:dyDescent="0.3">
      <c r="D24831" s="25"/>
      <c r="F24831" s="21"/>
      <c r="G24831" s="16"/>
    </row>
    <row r="24832" spans="4:7" ht="15" x14ac:dyDescent="0.3">
      <c r="D24832" s="25"/>
      <c r="F24832" s="21"/>
      <c r="G24832" s="16"/>
    </row>
    <row r="24833" spans="4:7" ht="15" x14ac:dyDescent="0.3">
      <c r="D24833" s="25"/>
      <c r="F24833" s="21"/>
      <c r="G24833" s="16"/>
    </row>
    <row r="24834" spans="4:7" ht="15" x14ac:dyDescent="0.3">
      <c r="D24834" s="25"/>
      <c r="F24834" s="21"/>
      <c r="G24834" s="16"/>
    </row>
    <row r="24835" spans="4:7" ht="15" x14ac:dyDescent="0.3">
      <c r="D24835" s="25"/>
      <c r="F24835" s="21"/>
      <c r="G24835" s="16"/>
    </row>
    <row r="24836" spans="4:7" ht="15" x14ac:dyDescent="0.3">
      <c r="D24836" s="25"/>
      <c r="F24836" s="21"/>
      <c r="G24836" s="16"/>
    </row>
    <row r="24837" spans="4:7" ht="15" x14ac:dyDescent="0.3">
      <c r="D24837" s="25"/>
      <c r="F24837" s="21"/>
      <c r="G24837" s="16"/>
    </row>
    <row r="24838" spans="4:7" ht="15" x14ac:dyDescent="0.3">
      <c r="D24838" s="25"/>
      <c r="F24838" s="21"/>
      <c r="G24838" s="16"/>
    </row>
    <row r="24839" spans="4:7" ht="15" x14ac:dyDescent="0.3">
      <c r="D24839" s="25"/>
      <c r="F24839" s="21"/>
      <c r="G24839" s="16"/>
    </row>
    <row r="24840" spans="4:7" ht="15" x14ac:dyDescent="0.3">
      <c r="D24840" s="25"/>
      <c r="F24840" s="21"/>
      <c r="G24840" s="16"/>
    </row>
    <row r="24841" spans="4:7" ht="15" x14ac:dyDescent="0.3">
      <c r="D24841" s="25"/>
      <c r="F24841" s="21"/>
      <c r="G24841" s="16"/>
    </row>
    <row r="24842" spans="4:7" ht="15" x14ac:dyDescent="0.3">
      <c r="D24842" s="25"/>
      <c r="F24842" s="21"/>
      <c r="G24842" s="16"/>
    </row>
    <row r="24843" spans="4:7" ht="15" x14ac:dyDescent="0.3">
      <c r="D24843" s="25"/>
      <c r="F24843" s="21"/>
      <c r="G24843" s="16"/>
    </row>
    <row r="24844" spans="4:7" ht="15" x14ac:dyDescent="0.3">
      <c r="D24844" s="25"/>
      <c r="F24844" s="21"/>
      <c r="G24844" s="16"/>
    </row>
    <row r="24845" spans="4:7" ht="15" x14ac:dyDescent="0.3">
      <c r="D24845" s="25"/>
      <c r="F24845" s="21"/>
      <c r="G24845" s="16"/>
    </row>
    <row r="24846" spans="4:7" ht="15" x14ac:dyDescent="0.3">
      <c r="D24846" s="25"/>
      <c r="F24846" s="21"/>
      <c r="G24846" s="16"/>
    </row>
    <row r="24847" spans="4:7" ht="15" x14ac:dyDescent="0.3">
      <c r="D24847" s="25"/>
      <c r="F24847" s="21"/>
      <c r="G24847" s="16"/>
    </row>
    <row r="24848" spans="4:7" ht="15" x14ac:dyDescent="0.3">
      <c r="D24848" s="25"/>
      <c r="F24848" s="21"/>
      <c r="G24848" s="16"/>
    </row>
    <row r="24849" spans="4:7" ht="15" x14ac:dyDescent="0.3">
      <c r="D24849" s="25"/>
      <c r="F24849" s="21"/>
      <c r="G24849" s="16"/>
    </row>
    <row r="24850" spans="4:7" ht="15" x14ac:dyDescent="0.3">
      <c r="D24850" s="25"/>
      <c r="F24850" s="21"/>
      <c r="G24850" s="16"/>
    </row>
    <row r="24851" spans="4:7" ht="15" x14ac:dyDescent="0.3">
      <c r="D24851" s="25"/>
      <c r="F24851" s="21"/>
      <c r="G24851" s="16"/>
    </row>
    <row r="24852" spans="4:7" ht="15" x14ac:dyDescent="0.3">
      <c r="D24852" s="25"/>
      <c r="F24852" s="21"/>
      <c r="G24852" s="16"/>
    </row>
    <row r="24853" spans="4:7" ht="15" x14ac:dyDescent="0.3">
      <c r="D24853" s="25"/>
      <c r="F24853" s="21"/>
      <c r="G24853" s="16"/>
    </row>
    <row r="24854" spans="4:7" ht="15" x14ac:dyDescent="0.3">
      <c r="D24854" s="25"/>
      <c r="F24854" s="21"/>
      <c r="G24854" s="16"/>
    </row>
    <row r="24855" spans="4:7" ht="15" x14ac:dyDescent="0.3">
      <c r="D24855" s="25"/>
      <c r="F24855" s="21"/>
      <c r="G24855" s="16"/>
    </row>
    <row r="24856" spans="4:7" ht="15" x14ac:dyDescent="0.3">
      <c r="D24856" s="25"/>
      <c r="F24856" s="21"/>
      <c r="G24856" s="16"/>
    </row>
    <row r="24857" spans="4:7" ht="15" x14ac:dyDescent="0.3">
      <c r="D24857" s="25"/>
      <c r="F24857" s="21"/>
      <c r="G24857" s="16"/>
    </row>
    <row r="24858" spans="4:7" ht="15" x14ac:dyDescent="0.3">
      <c r="D24858" s="25"/>
      <c r="F24858" s="21"/>
      <c r="G24858" s="16"/>
    </row>
    <row r="24859" spans="4:7" ht="15" x14ac:dyDescent="0.3">
      <c r="D24859" s="25"/>
      <c r="F24859" s="21"/>
      <c r="G24859" s="16"/>
    </row>
    <row r="24860" spans="4:7" ht="15" x14ac:dyDescent="0.3">
      <c r="D24860" s="25"/>
      <c r="F24860" s="21"/>
      <c r="G24860" s="16"/>
    </row>
    <row r="24861" spans="4:7" ht="15" x14ac:dyDescent="0.3">
      <c r="D24861" s="25"/>
      <c r="F24861" s="21"/>
      <c r="G24861" s="16"/>
    </row>
    <row r="24862" spans="4:7" ht="15" x14ac:dyDescent="0.3">
      <c r="D24862" s="25"/>
      <c r="F24862" s="21"/>
      <c r="G24862" s="16"/>
    </row>
    <row r="24863" spans="4:7" ht="15" x14ac:dyDescent="0.3">
      <c r="D24863" s="25"/>
      <c r="F24863" s="21"/>
      <c r="G24863" s="16"/>
    </row>
    <row r="24864" spans="4:7" ht="15" x14ac:dyDescent="0.3">
      <c r="D24864" s="25"/>
      <c r="F24864" s="21"/>
      <c r="G24864" s="16"/>
    </row>
    <row r="24865" spans="4:7" ht="15" x14ac:dyDescent="0.3">
      <c r="D24865" s="25"/>
      <c r="F24865" s="21"/>
      <c r="G24865" s="16"/>
    </row>
    <row r="24866" spans="4:7" ht="15" x14ac:dyDescent="0.3">
      <c r="D24866" s="25"/>
      <c r="F24866" s="21"/>
      <c r="G24866" s="16"/>
    </row>
    <row r="24867" spans="4:7" ht="15" x14ac:dyDescent="0.3">
      <c r="D24867" s="25"/>
      <c r="F24867" s="21"/>
      <c r="G24867" s="16"/>
    </row>
    <row r="24868" spans="4:7" ht="15" x14ac:dyDescent="0.3">
      <c r="D24868" s="25"/>
      <c r="F24868" s="21"/>
      <c r="G24868" s="16"/>
    </row>
    <row r="24869" spans="4:7" ht="15" x14ac:dyDescent="0.3">
      <c r="D24869" s="25"/>
      <c r="F24869" s="21"/>
      <c r="G24869" s="16"/>
    </row>
    <row r="24870" spans="4:7" ht="15" x14ac:dyDescent="0.3">
      <c r="D24870" s="25"/>
      <c r="F24870" s="21"/>
      <c r="G24870" s="16"/>
    </row>
    <row r="24871" spans="4:7" ht="15" x14ac:dyDescent="0.3">
      <c r="D24871" s="25"/>
      <c r="F24871" s="21"/>
      <c r="G24871" s="16"/>
    </row>
    <row r="24872" spans="4:7" ht="15" x14ac:dyDescent="0.3">
      <c r="D24872" s="25"/>
      <c r="F24872" s="21"/>
      <c r="G24872" s="16"/>
    </row>
    <row r="24873" spans="4:7" ht="15" x14ac:dyDescent="0.3">
      <c r="D24873" s="25"/>
      <c r="F24873" s="21"/>
      <c r="G24873" s="16"/>
    </row>
    <row r="24874" spans="4:7" ht="15" x14ac:dyDescent="0.3">
      <c r="D24874" s="25"/>
      <c r="F24874" s="21"/>
      <c r="G24874" s="16"/>
    </row>
    <row r="24875" spans="4:7" ht="15" x14ac:dyDescent="0.3">
      <c r="D24875" s="25"/>
      <c r="F24875" s="21"/>
      <c r="G24875" s="16"/>
    </row>
    <row r="24876" spans="4:7" ht="15" x14ac:dyDescent="0.3">
      <c r="D24876" s="25"/>
      <c r="F24876" s="21"/>
      <c r="G24876" s="16"/>
    </row>
    <row r="24877" spans="4:7" ht="15" x14ac:dyDescent="0.3">
      <c r="D24877" s="25"/>
      <c r="F24877" s="21"/>
      <c r="G24877" s="16"/>
    </row>
    <row r="24878" spans="4:7" ht="15" x14ac:dyDescent="0.3">
      <c r="D24878" s="25"/>
      <c r="F24878" s="21"/>
      <c r="G24878" s="16"/>
    </row>
    <row r="24879" spans="4:7" ht="15" x14ac:dyDescent="0.3">
      <c r="D24879" s="25"/>
      <c r="F24879" s="21"/>
      <c r="G24879" s="16"/>
    </row>
    <row r="24880" spans="4:7" ht="15" x14ac:dyDescent="0.3">
      <c r="D24880" s="25"/>
      <c r="F24880" s="21"/>
      <c r="G24880" s="16"/>
    </row>
    <row r="24881" spans="4:7" ht="15" x14ac:dyDescent="0.3">
      <c r="D24881" s="25"/>
      <c r="F24881" s="21"/>
      <c r="G24881" s="16"/>
    </row>
    <row r="24882" spans="4:7" ht="15" x14ac:dyDescent="0.3">
      <c r="D24882" s="25"/>
      <c r="F24882" s="21"/>
      <c r="G24882" s="16"/>
    </row>
    <row r="24883" spans="4:7" ht="15" x14ac:dyDescent="0.3">
      <c r="D24883" s="25"/>
      <c r="F24883" s="21"/>
      <c r="G24883" s="16"/>
    </row>
    <row r="24884" spans="4:7" ht="15" x14ac:dyDescent="0.3">
      <c r="D24884" s="25"/>
      <c r="F24884" s="21"/>
      <c r="G24884" s="16"/>
    </row>
    <row r="24885" spans="4:7" ht="15" x14ac:dyDescent="0.3">
      <c r="D24885" s="25"/>
      <c r="F24885" s="21"/>
      <c r="G24885" s="16"/>
    </row>
    <row r="24886" spans="4:7" ht="15" x14ac:dyDescent="0.3">
      <c r="D24886" s="25"/>
      <c r="F24886" s="21"/>
      <c r="G24886" s="16"/>
    </row>
    <row r="24887" spans="4:7" ht="15" x14ac:dyDescent="0.3">
      <c r="D24887" s="25"/>
      <c r="F24887" s="21"/>
      <c r="G24887" s="16"/>
    </row>
    <row r="24888" spans="4:7" ht="15" x14ac:dyDescent="0.3">
      <c r="D24888" s="25"/>
      <c r="F24888" s="21"/>
      <c r="G24888" s="16"/>
    </row>
    <row r="24889" spans="4:7" ht="15" x14ac:dyDescent="0.3">
      <c r="D24889" s="25"/>
      <c r="F24889" s="21"/>
      <c r="G24889" s="16"/>
    </row>
    <row r="24890" spans="4:7" ht="15" x14ac:dyDescent="0.3">
      <c r="D24890" s="25"/>
      <c r="F24890" s="21"/>
      <c r="G24890" s="16"/>
    </row>
    <row r="24891" spans="4:7" ht="15" x14ac:dyDescent="0.3">
      <c r="D24891" s="25"/>
      <c r="F24891" s="21"/>
      <c r="G24891" s="16"/>
    </row>
    <row r="24892" spans="4:7" ht="15" x14ac:dyDescent="0.3">
      <c r="D24892" s="25"/>
      <c r="F24892" s="21"/>
      <c r="G24892" s="16"/>
    </row>
    <row r="24893" spans="4:7" ht="15" x14ac:dyDescent="0.3">
      <c r="D24893" s="25"/>
      <c r="F24893" s="21"/>
      <c r="G24893" s="16"/>
    </row>
    <row r="24894" spans="4:7" ht="15" x14ac:dyDescent="0.3">
      <c r="D24894" s="25"/>
      <c r="F24894" s="21"/>
      <c r="G24894" s="16"/>
    </row>
    <row r="24895" spans="4:7" ht="15" x14ac:dyDescent="0.3">
      <c r="D24895" s="25"/>
      <c r="F24895" s="21"/>
      <c r="G24895" s="16"/>
    </row>
    <row r="24896" spans="4:7" ht="15" x14ac:dyDescent="0.3">
      <c r="D24896" s="25"/>
      <c r="F24896" s="21"/>
      <c r="G24896" s="16"/>
    </row>
    <row r="24897" spans="4:7" ht="15" x14ac:dyDescent="0.3">
      <c r="D24897" s="25"/>
      <c r="F24897" s="21"/>
      <c r="G24897" s="16"/>
    </row>
    <row r="24898" spans="4:7" ht="15" x14ac:dyDescent="0.3">
      <c r="D24898" s="25"/>
      <c r="F24898" s="21"/>
      <c r="G24898" s="16"/>
    </row>
    <row r="24899" spans="4:7" ht="15" x14ac:dyDescent="0.3">
      <c r="D24899" s="25"/>
      <c r="F24899" s="21"/>
      <c r="G24899" s="16"/>
    </row>
    <row r="24900" spans="4:7" ht="15" x14ac:dyDescent="0.3">
      <c r="D24900" s="25"/>
      <c r="F24900" s="21"/>
      <c r="G24900" s="16"/>
    </row>
    <row r="24901" spans="4:7" ht="15" x14ac:dyDescent="0.3">
      <c r="D24901" s="25"/>
      <c r="F24901" s="21"/>
      <c r="G24901" s="16"/>
    </row>
    <row r="24902" spans="4:7" ht="15" x14ac:dyDescent="0.3">
      <c r="D24902" s="25"/>
      <c r="F24902" s="21"/>
      <c r="G24902" s="16"/>
    </row>
    <row r="24903" spans="4:7" ht="15" x14ac:dyDescent="0.3">
      <c r="D24903" s="25"/>
      <c r="F24903" s="21"/>
      <c r="G24903" s="16"/>
    </row>
    <row r="24904" spans="4:7" ht="15" x14ac:dyDescent="0.3">
      <c r="D24904" s="25"/>
      <c r="F24904" s="21"/>
      <c r="G24904" s="16"/>
    </row>
    <row r="24905" spans="4:7" ht="15" x14ac:dyDescent="0.3">
      <c r="D24905" s="25"/>
      <c r="F24905" s="21"/>
      <c r="G24905" s="16"/>
    </row>
    <row r="24906" spans="4:7" ht="15" x14ac:dyDescent="0.3">
      <c r="D24906" s="25"/>
      <c r="F24906" s="21"/>
      <c r="G24906" s="16"/>
    </row>
    <row r="24907" spans="4:7" ht="15" x14ac:dyDescent="0.3">
      <c r="D24907" s="25"/>
      <c r="F24907" s="21"/>
      <c r="G24907" s="16"/>
    </row>
    <row r="24908" spans="4:7" ht="15" x14ac:dyDescent="0.3">
      <c r="D24908" s="25"/>
      <c r="F24908" s="21"/>
      <c r="G24908" s="16"/>
    </row>
    <row r="24909" spans="4:7" ht="15" x14ac:dyDescent="0.3">
      <c r="D24909" s="25"/>
      <c r="F24909" s="21"/>
      <c r="G24909" s="16"/>
    </row>
    <row r="24910" spans="4:7" ht="15" x14ac:dyDescent="0.3">
      <c r="D24910" s="25"/>
      <c r="F24910" s="21"/>
      <c r="G24910" s="16"/>
    </row>
    <row r="24911" spans="4:7" ht="15" x14ac:dyDescent="0.3">
      <c r="D24911" s="25"/>
      <c r="F24911" s="21"/>
      <c r="G24911" s="16"/>
    </row>
    <row r="24912" spans="4:7" ht="15" x14ac:dyDescent="0.3">
      <c r="D24912" s="25"/>
      <c r="F24912" s="21"/>
      <c r="G24912" s="16"/>
    </row>
    <row r="24913" spans="4:7" ht="15" x14ac:dyDescent="0.3">
      <c r="D24913" s="25"/>
      <c r="F24913" s="21"/>
      <c r="G24913" s="16"/>
    </row>
    <row r="24914" spans="4:7" ht="15" x14ac:dyDescent="0.3">
      <c r="D24914" s="25"/>
      <c r="F24914" s="21"/>
      <c r="G24914" s="16"/>
    </row>
    <row r="24915" spans="4:7" ht="15" x14ac:dyDescent="0.3">
      <c r="D24915" s="25"/>
      <c r="F24915" s="21"/>
      <c r="G24915" s="16"/>
    </row>
    <row r="24916" spans="4:7" ht="15" x14ac:dyDescent="0.3">
      <c r="D24916" s="25"/>
      <c r="F24916" s="21"/>
      <c r="G24916" s="16"/>
    </row>
    <row r="24917" spans="4:7" ht="15" x14ac:dyDescent="0.3">
      <c r="D24917" s="25"/>
      <c r="F24917" s="21"/>
      <c r="G24917" s="16"/>
    </row>
    <row r="24918" spans="4:7" ht="15" x14ac:dyDescent="0.3">
      <c r="D24918" s="25"/>
      <c r="F24918" s="21"/>
      <c r="G24918" s="16"/>
    </row>
    <row r="24919" spans="4:7" ht="15" x14ac:dyDescent="0.3">
      <c r="D24919" s="25"/>
      <c r="F24919" s="21"/>
      <c r="G24919" s="16"/>
    </row>
    <row r="24920" spans="4:7" ht="15" x14ac:dyDescent="0.3">
      <c r="D24920" s="25"/>
      <c r="F24920" s="21"/>
      <c r="G24920" s="16"/>
    </row>
    <row r="24921" spans="4:7" ht="15" x14ac:dyDescent="0.3">
      <c r="D24921" s="25"/>
      <c r="F24921" s="21"/>
      <c r="G24921" s="16"/>
    </row>
    <row r="24922" spans="4:7" ht="15" x14ac:dyDescent="0.3">
      <c r="D24922" s="25"/>
      <c r="F24922" s="21"/>
      <c r="G24922" s="16"/>
    </row>
    <row r="24923" spans="4:7" ht="15" x14ac:dyDescent="0.3">
      <c r="D24923" s="25"/>
      <c r="F24923" s="21"/>
      <c r="G24923" s="16"/>
    </row>
    <row r="24924" spans="4:7" ht="15" x14ac:dyDescent="0.3">
      <c r="D24924" s="25"/>
      <c r="F24924" s="21"/>
      <c r="G24924" s="16"/>
    </row>
    <row r="24925" spans="4:7" ht="15" x14ac:dyDescent="0.3">
      <c r="D24925" s="25"/>
      <c r="F24925" s="21"/>
      <c r="G24925" s="16"/>
    </row>
    <row r="24926" spans="4:7" ht="15" x14ac:dyDescent="0.3">
      <c r="D24926" s="25"/>
      <c r="F24926" s="21"/>
      <c r="G24926" s="16"/>
    </row>
    <row r="24927" spans="4:7" ht="15" x14ac:dyDescent="0.3">
      <c r="D24927" s="25"/>
      <c r="F24927" s="21"/>
      <c r="G24927" s="16"/>
    </row>
    <row r="24928" spans="4:7" ht="15" x14ac:dyDescent="0.3">
      <c r="D24928" s="25"/>
      <c r="F24928" s="21"/>
      <c r="G24928" s="16"/>
    </row>
    <row r="24929" spans="4:7" ht="15" x14ac:dyDescent="0.3">
      <c r="D24929" s="25"/>
      <c r="F24929" s="21"/>
      <c r="G24929" s="16"/>
    </row>
    <row r="24930" spans="4:7" ht="15" x14ac:dyDescent="0.3">
      <c r="D24930" s="25"/>
      <c r="F24930" s="21"/>
      <c r="G24930" s="16"/>
    </row>
    <row r="24931" spans="4:7" ht="15" x14ac:dyDescent="0.3">
      <c r="D24931" s="25"/>
      <c r="F24931" s="21"/>
      <c r="G24931" s="16"/>
    </row>
    <row r="24932" spans="4:7" ht="15" x14ac:dyDescent="0.3">
      <c r="D24932" s="25"/>
      <c r="F24932" s="21"/>
      <c r="G24932" s="16"/>
    </row>
    <row r="24933" spans="4:7" ht="15" x14ac:dyDescent="0.3">
      <c r="D24933" s="25"/>
      <c r="F24933" s="21"/>
      <c r="G24933" s="16"/>
    </row>
    <row r="24934" spans="4:7" ht="15" x14ac:dyDescent="0.3">
      <c r="D24934" s="25"/>
      <c r="F24934" s="21"/>
      <c r="G24934" s="16"/>
    </row>
    <row r="24935" spans="4:7" ht="15" x14ac:dyDescent="0.3">
      <c r="D24935" s="25"/>
      <c r="F24935" s="21"/>
      <c r="G24935" s="16"/>
    </row>
    <row r="24936" spans="4:7" ht="15" x14ac:dyDescent="0.3">
      <c r="D24936" s="25"/>
      <c r="F24936" s="21"/>
      <c r="G24936" s="16"/>
    </row>
    <row r="24937" spans="4:7" ht="15" x14ac:dyDescent="0.3">
      <c r="D24937" s="25"/>
      <c r="F24937" s="21"/>
      <c r="G24937" s="16"/>
    </row>
    <row r="24938" spans="4:7" ht="15" x14ac:dyDescent="0.3">
      <c r="D24938" s="25"/>
      <c r="F24938" s="21"/>
      <c r="G24938" s="16"/>
    </row>
    <row r="24939" spans="4:7" ht="15" x14ac:dyDescent="0.3">
      <c r="D24939" s="25"/>
      <c r="F24939" s="21"/>
      <c r="G24939" s="16"/>
    </row>
    <row r="24940" spans="4:7" ht="15" x14ac:dyDescent="0.3">
      <c r="D24940" s="25"/>
      <c r="F24940" s="21"/>
      <c r="G24940" s="16"/>
    </row>
    <row r="24941" spans="4:7" ht="15" x14ac:dyDescent="0.3">
      <c r="D24941" s="25"/>
      <c r="F24941" s="21"/>
      <c r="G24941" s="16"/>
    </row>
    <row r="24942" spans="4:7" ht="15" x14ac:dyDescent="0.3">
      <c r="D24942" s="25"/>
      <c r="F24942" s="21"/>
      <c r="G24942" s="16"/>
    </row>
    <row r="24943" spans="4:7" ht="15" x14ac:dyDescent="0.3">
      <c r="D24943" s="25"/>
      <c r="F24943" s="21"/>
      <c r="G24943" s="16"/>
    </row>
    <row r="24944" spans="4:7" ht="15" x14ac:dyDescent="0.3">
      <c r="D24944" s="25"/>
      <c r="F24944" s="21"/>
      <c r="G24944" s="16"/>
    </row>
    <row r="24945" spans="4:7" ht="15" x14ac:dyDescent="0.3">
      <c r="D24945" s="25"/>
      <c r="F24945" s="21"/>
      <c r="G24945" s="16"/>
    </row>
    <row r="24946" spans="4:7" ht="15" x14ac:dyDescent="0.3">
      <c r="D24946" s="25"/>
      <c r="F24946" s="21"/>
      <c r="G24946" s="16"/>
    </row>
    <row r="24947" spans="4:7" ht="15" x14ac:dyDescent="0.3">
      <c r="D24947" s="25"/>
      <c r="F24947" s="21"/>
      <c r="G24947" s="16"/>
    </row>
    <row r="24948" spans="4:7" ht="15" x14ac:dyDescent="0.3">
      <c r="D24948" s="25"/>
      <c r="F24948" s="21"/>
      <c r="G24948" s="16"/>
    </row>
    <row r="24949" spans="4:7" ht="15" x14ac:dyDescent="0.3">
      <c r="D24949" s="25"/>
      <c r="F24949" s="21"/>
      <c r="G24949" s="16"/>
    </row>
    <row r="24950" spans="4:7" ht="15" x14ac:dyDescent="0.3">
      <c r="D24950" s="25"/>
      <c r="F24950" s="21"/>
      <c r="G24950" s="16"/>
    </row>
    <row r="24951" spans="4:7" ht="15" x14ac:dyDescent="0.3">
      <c r="D24951" s="25"/>
      <c r="F24951" s="21"/>
      <c r="G24951" s="16"/>
    </row>
    <row r="24952" spans="4:7" ht="15" x14ac:dyDescent="0.3">
      <c r="D24952" s="25"/>
      <c r="F24952" s="21"/>
      <c r="G24952" s="16"/>
    </row>
    <row r="24953" spans="4:7" ht="15" x14ac:dyDescent="0.3">
      <c r="D24953" s="25"/>
      <c r="F24953" s="21"/>
      <c r="G24953" s="16"/>
    </row>
    <row r="24954" spans="4:7" ht="15" x14ac:dyDescent="0.3">
      <c r="D24954" s="25"/>
      <c r="F24954" s="21"/>
      <c r="G24954" s="16"/>
    </row>
    <row r="24955" spans="4:7" ht="15" x14ac:dyDescent="0.3">
      <c r="D24955" s="25"/>
      <c r="F24955" s="21"/>
      <c r="G24955" s="16"/>
    </row>
    <row r="24956" spans="4:7" ht="15" x14ac:dyDescent="0.3">
      <c r="D24956" s="25"/>
      <c r="F24956" s="21"/>
      <c r="G24956" s="16"/>
    </row>
    <row r="24957" spans="4:7" ht="15" x14ac:dyDescent="0.3">
      <c r="D24957" s="25"/>
      <c r="F24957" s="21"/>
      <c r="G24957" s="16"/>
    </row>
    <row r="24958" spans="4:7" ht="15" x14ac:dyDescent="0.3">
      <c r="D24958" s="25"/>
      <c r="F24958" s="21"/>
      <c r="G24958" s="16"/>
    </row>
    <row r="24959" spans="4:7" ht="15" x14ac:dyDescent="0.3">
      <c r="D24959" s="25"/>
      <c r="F24959" s="21"/>
      <c r="G24959" s="16"/>
    </row>
    <row r="24960" spans="4:7" ht="15" x14ac:dyDescent="0.3">
      <c r="D24960" s="25"/>
      <c r="F24960" s="21"/>
      <c r="G24960" s="16"/>
    </row>
    <row r="24961" spans="4:7" ht="15" x14ac:dyDescent="0.3">
      <c r="D24961" s="25"/>
      <c r="F24961" s="21"/>
      <c r="G24961" s="16"/>
    </row>
    <row r="24962" spans="4:7" ht="15" x14ac:dyDescent="0.3">
      <c r="D24962" s="25"/>
      <c r="F24962" s="21"/>
      <c r="G24962" s="16"/>
    </row>
    <row r="24963" spans="4:7" ht="15" x14ac:dyDescent="0.3">
      <c r="D24963" s="25"/>
      <c r="F24963" s="21"/>
      <c r="G24963" s="16"/>
    </row>
    <row r="24964" spans="4:7" ht="15" x14ac:dyDescent="0.3">
      <c r="D24964" s="25"/>
      <c r="F24964" s="21"/>
      <c r="G24964" s="16"/>
    </row>
    <row r="24965" spans="4:7" ht="15" x14ac:dyDescent="0.3">
      <c r="D24965" s="25"/>
      <c r="F24965" s="21"/>
      <c r="G24965" s="16"/>
    </row>
    <row r="24966" spans="4:7" ht="15" x14ac:dyDescent="0.3">
      <c r="D24966" s="25"/>
      <c r="F24966" s="21"/>
      <c r="G24966" s="16"/>
    </row>
    <row r="24967" spans="4:7" ht="15" x14ac:dyDescent="0.3">
      <c r="D24967" s="25"/>
      <c r="F24967" s="21"/>
      <c r="G24967" s="16"/>
    </row>
    <row r="24968" spans="4:7" ht="15" x14ac:dyDescent="0.3">
      <c r="D24968" s="25"/>
      <c r="F24968" s="21"/>
      <c r="G24968" s="16"/>
    </row>
    <row r="24969" spans="4:7" ht="15" x14ac:dyDescent="0.3">
      <c r="D24969" s="25"/>
      <c r="F24969" s="21"/>
      <c r="G24969" s="16"/>
    </row>
    <row r="24970" spans="4:7" ht="15" x14ac:dyDescent="0.3">
      <c r="D24970" s="25"/>
      <c r="F24970" s="21"/>
      <c r="G24970" s="16"/>
    </row>
    <row r="24971" spans="4:7" ht="15" x14ac:dyDescent="0.3">
      <c r="D24971" s="25"/>
      <c r="F24971" s="21"/>
      <c r="G24971" s="16"/>
    </row>
    <row r="24972" spans="4:7" ht="15" x14ac:dyDescent="0.3">
      <c r="D24972" s="25"/>
      <c r="F24972" s="21"/>
      <c r="G24972" s="16"/>
    </row>
    <row r="24973" spans="4:7" ht="15" x14ac:dyDescent="0.3">
      <c r="D24973" s="25"/>
      <c r="F24973" s="21"/>
      <c r="G24973" s="16"/>
    </row>
    <row r="24974" spans="4:7" ht="15" x14ac:dyDescent="0.3">
      <c r="D24974" s="25"/>
      <c r="F24974" s="21"/>
      <c r="G24974" s="16"/>
    </row>
    <row r="24975" spans="4:7" ht="15" x14ac:dyDescent="0.3">
      <c r="D24975" s="25"/>
      <c r="F24975" s="21"/>
      <c r="G24975" s="16"/>
    </row>
    <row r="24976" spans="4:7" ht="15" x14ac:dyDescent="0.3">
      <c r="D24976" s="25"/>
      <c r="F24976" s="21"/>
      <c r="G24976" s="16"/>
    </row>
    <row r="24977" spans="4:7" ht="15" x14ac:dyDescent="0.3">
      <c r="D24977" s="25"/>
      <c r="F24977" s="21"/>
      <c r="G24977" s="16"/>
    </row>
    <row r="24978" spans="4:7" ht="15" x14ac:dyDescent="0.3">
      <c r="D24978" s="25"/>
      <c r="F24978" s="21"/>
      <c r="G24978" s="16"/>
    </row>
    <row r="24979" spans="4:7" ht="15" x14ac:dyDescent="0.3">
      <c r="D24979" s="25"/>
      <c r="F24979" s="21"/>
      <c r="G24979" s="16"/>
    </row>
    <row r="24980" spans="4:7" ht="15" x14ac:dyDescent="0.3">
      <c r="D24980" s="25"/>
      <c r="F24980" s="21"/>
      <c r="G24980" s="16"/>
    </row>
    <row r="24981" spans="4:7" ht="15" x14ac:dyDescent="0.3">
      <c r="D24981" s="25"/>
      <c r="F24981" s="21"/>
      <c r="G24981" s="16"/>
    </row>
    <row r="24982" spans="4:7" ht="15" x14ac:dyDescent="0.3">
      <c r="D24982" s="25"/>
      <c r="F24982" s="21"/>
      <c r="G24982" s="16"/>
    </row>
    <row r="24983" spans="4:7" ht="15" x14ac:dyDescent="0.3">
      <c r="D24983" s="25"/>
      <c r="F24983" s="21"/>
      <c r="G24983" s="16"/>
    </row>
    <row r="24984" spans="4:7" ht="15" x14ac:dyDescent="0.3">
      <c r="D24984" s="25"/>
      <c r="F24984" s="21"/>
      <c r="G24984" s="16"/>
    </row>
    <row r="24985" spans="4:7" ht="15" x14ac:dyDescent="0.3">
      <c r="D24985" s="25"/>
      <c r="F24985" s="21"/>
      <c r="G24985" s="16"/>
    </row>
    <row r="24986" spans="4:7" ht="15" x14ac:dyDescent="0.3">
      <c r="D24986" s="25"/>
      <c r="F24986" s="21"/>
      <c r="G24986" s="16"/>
    </row>
    <row r="24987" spans="4:7" ht="15" x14ac:dyDescent="0.3">
      <c r="D24987" s="25"/>
      <c r="F24987" s="21"/>
      <c r="G24987" s="16"/>
    </row>
    <row r="24988" spans="4:7" ht="15" x14ac:dyDescent="0.3">
      <c r="D24988" s="25"/>
      <c r="F24988" s="21"/>
      <c r="G24988" s="16"/>
    </row>
    <row r="24989" spans="4:7" ht="15" x14ac:dyDescent="0.3">
      <c r="D24989" s="25"/>
      <c r="F24989" s="21"/>
      <c r="G24989" s="16"/>
    </row>
    <row r="24990" spans="4:7" ht="15" x14ac:dyDescent="0.3">
      <c r="D24990" s="25"/>
      <c r="F24990" s="21"/>
      <c r="G24990" s="16"/>
    </row>
    <row r="24991" spans="4:7" ht="15" x14ac:dyDescent="0.3">
      <c r="D24991" s="25"/>
      <c r="F24991" s="21"/>
      <c r="G24991" s="16"/>
    </row>
    <row r="24992" spans="4:7" ht="15" x14ac:dyDescent="0.3">
      <c r="D24992" s="25"/>
      <c r="F24992" s="21"/>
      <c r="G24992" s="16"/>
    </row>
    <row r="24993" spans="4:7" ht="15" x14ac:dyDescent="0.3">
      <c r="D24993" s="25"/>
      <c r="F24993" s="21"/>
      <c r="G24993" s="16"/>
    </row>
    <row r="24994" spans="4:7" ht="15" x14ac:dyDescent="0.3">
      <c r="D24994" s="25"/>
      <c r="F24994" s="21"/>
      <c r="G24994" s="16"/>
    </row>
    <row r="24995" spans="4:7" ht="15" x14ac:dyDescent="0.3">
      <c r="D24995" s="25"/>
      <c r="F24995" s="21"/>
      <c r="G24995" s="16"/>
    </row>
    <row r="24996" spans="4:7" ht="15" x14ac:dyDescent="0.3">
      <c r="D24996" s="25"/>
      <c r="F24996" s="21"/>
      <c r="G24996" s="16"/>
    </row>
    <row r="24997" spans="4:7" ht="15" x14ac:dyDescent="0.3">
      <c r="D24997" s="25"/>
      <c r="F24997" s="21"/>
      <c r="G24997" s="16"/>
    </row>
    <row r="24998" spans="4:7" ht="15" x14ac:dyDescent="0.3">
      <c r="D24998" s="25"/>
      <c r="F24998" s="21"/>
      <c r="G24998" s="16"/>
    </row>
    <row r="24999" spans="4:7" ht="15" x14ac:dyDescent="0.3">
      <c r="D24999" s="25"/>
      <c r="F24999" s="21"/>
      <c r="G24999" s="16"/>
    </row>
    <row r="25000" spans="4:7" ht="15" x14ac:dyDescent="0.3">
      <c r="D25000" s="25"/>
      <c r="F25000" s="21"/>
      <c r="G25000" s="16"/>
    </row>
    <row r="25001" spans="4:7" ht="15" x14ac:dyDescent="0.3">
      <c r="D25001" s="25"/>
      <c r="F25001" s="21"/>
      <c r="G25001" s="16"/>
    </row>
    <row r="25002" spans="4:7" ht="15" x14ac:dyDescent="0.3">
      <c r="D25002" s="25"/>
      <c r="F25002" s="21"/>
      <c r="G25002" s="16"/>
    </row>
    <row r="25003" spans="4:7" ht="15" x14ac:dyDescent="0.3">
      <c r="D25003" s="25"/>
      <c r="F25003" s="21"/>
      <c r="G25003" s="16"/>
    </row>
    <row r="25004" spans="4:7" ht="15" x14ac:dyDescent="0.3">
      <c r="D25004" s="25"/>
      <c r="F25004" s="21"/>
      <c r="G25004" s="16"/>
    </row>
    <row r="25005" spans="4:7" ht="15" x14ac:dyDescent="0.3">
      <c r="D25005" s="25"/>
      <c r="F25005" s="21"/>
      <c r="G25005" s="16"/>
    </row>
    <row r="25006" spans="4:7" ht="15" x14ac:dyDescent="0.3">
      <c r="D25006" s="25"/>
      <c r="F25006" s="21"/>
      <c r="G25006" s="16"/>
    </row>
    <row r="25007" spans="4:7" ht="15" x14ac:dyDescent="0.3">
      <c r="D25007" s="25"/>
      <c r="F25007" s="21"/>
      <c r="G25007" s="16"/>
    </row>
    <row r="25008" spans="4:7" ht="15" x14ac:dyDescent="0.3">
      <c r="D25008" s="25"/>
      <c r="F25008" s="21"/>
      <c r="G25008" s="16"/>
    </row>
    <row r="25009" spans="4:7" ht="15" x14ac:dyDescent="0.3">
      <c r="D25009" s="25"/>
      <c r="F25009" s="21"/>
      <c r="G25009" s="16"/>
    </row>
    <row r="25010" spans="4:7" ht="15" x14ac:dyDescent="0.3">
      <c r="D25010" s="25"/>
      <c r="F25010" s="21"/>
      <c r="G25010" s="16"/>
    </row>
    <row r="25011" spans="4:7" ht="15" x14ac:dyDescent="0.3">
      <c r="D25011" s="25"/>
      <c r="F25011" s="21"/>
      <c r="G25011" s="16"/>
    </row>
    <row r="25012" spans="4:7" ht="15" x14ac:dyDescent="0.3">
      <c r="D25012" s="25"/>
      <c r="F25012" s="21"/>
      <c r="G25012" s="16"/>
    </row>
    <row r="25013" spans="4:7" ht="15" x14ac:dyDescent="0.3">
      <c r="D25013" s="25"/>
      <c r="F25013" s="21"/>
      <c r="G25013" s="16"/>
    </row>
    <row r="25014" spans="4:7" ht="15" x14ac:dyDescent="0.3">
      <c r="D25014" s="25"/>
      <c r="F25014" s="21"/>
      <c r="G25014" s="16"/>
    </row>
    <row r="25015" spans="4:7" ht="15" x14ac:dyDescent="0.3">
      <c r="D25015" s="25"/>
      <c r="F25015" s="21"/>
      <c r="G25015" s="16"/>
    </row>
    <row r="25016" spans="4:7" ht="15" x14ac:dyDescent="0.3">
      <c r="D25016" s="25"/>
      <c r="F25016" s="21"/>
      <c r="G25016" s="16"/>
    </row>
    <row r="25017" spans="4:7" ht="15" x14ac:dyDescent="0.3">
      <c r="D25017" s="25"/>
      <c r="F25017" s="21"/>
      <c r="G25017" s="16"/>
    </row>
    <row r="25018" spans="4:7" ht="15" x14ac:dyDescent="0.3">
      <c r="D25018" s="25"/>
      <c r="F25018" s="21"/>
      <c r="G25018" s="16"/>
    </row>
    <row r="25019" spans="4:7" ht="15" x14ac:dyDescent="0.3">
      <c r="D25019" s="25"/>
      <c r="F25019" s="21"/>
      <c r="G25019" s="16"/>
    </row>
    <row r="25020" spans="4:7" ht="15" x14ac:dyDescent="0.3">
      <c r="D25020" s="25"/>
      <c r="F25020" s="21"/>
      <c r="G25020" s="16"/>
    </row>
    <row r="25021" spans="4:7" ht="15" x14ac:dyDescent="0.3">
      <c r="D25021" s="25"/>
      <c r="F25021" s="21"/>
      <c r="G25021" s="16"/>
    </row>
    <row r="25022" spans="4:7" ht="15" x14ac:dyDescent="0.3">
      <c r="D25022" s="25"/>
      <c r="F25022" s="21"/>
      <c r="G25022" s="16"/>
    </row>
    <row r="25023" spans="4:7" ht="15" x14ac:dyDescent="0.3">
      <c r="D25023" s="25"/>
      <c r="F25023" s="21"/>
      <c r="G25023" s="16"/>
    </row>
    <row r="25024" spans="4:7" ht="15" x14ac:dyDescent="0.3">
      <c r="D25024" s="25"/>
      <c r="F25024" s="21"/>
      <c r="G25024" s="16"/>
    </row>
    <row r="25025" spans="4:7" ht="15" x14ac:dyDescent="0.3">
      <c r="D25025" s="25"/>
      <c r="F25025" s="21"/>
      <c r="G25025" s="16"/>
    </row>
    <row r="25026" spans="4:7" ht="15" x14ac:dyDescent="0.3">
      <c r="D25026" s="25"/>
      <c r="F25026" s="21"/>
      <c r="G25026" s="16"/>
    </row>
    <row r="25027" spans="4:7" ht="15" x14ac:dyDescent="0.3">
      <c r="D25027" s="25"/>
      <c r="F25027" s="21"/>
      <c r="G25027" s="16"/>
    </row>
    <row r="25028" spans="4:7" ht="15" x14ac:dyDescent="0.3">
      <c r="D25028" s="25"/>
      <c r="F25028" s="21"/>
      <c r="G25028" s="16"/>
    </row>
    <row r="25029" spans="4:7" ht="15" x14ac:dyDescent="0.3">
      <c r="D25029" s="25"/>
      <c r="F25029" s="21"/>
      <c r="G25029" s="16"/>
    </row>
    <row r="25030" spans="4:7" ht="15" x14ac:dyDescent="0.3">
      <c r="D25030" s="25"/>
      <c r="F25030" s="21"/>
      <c r="G25030" s="16"/>
    </row>
    <row r="25031" spans="4:7" ht="15" x14ac:dyDescent="0.3">
      <c r="D25031" s="25"/>
      <c r="F25031" s="21"/>
      <c r="G25031" s="16"/>
    </row>
    <row r="25032" spans="4:7" ht="15" x14ac:dyDescent="0.3">
      <c r="D25032" s="25"/>
      <c r="F25032" s="21"/>
      <c r="G25032" s="16"/>
    </row>
    <row r="25033" spans="4:7" ht="15" x14ac:dyDescent="0.3">
      <c r="D25033" s="25"/>
      <c r="F25033" s="21"/>
      <c r="G25033" s="16"/>
    </row>
    <row r="25034" spans="4:7" ht="15" x14ac:dyDescent="0.3">
      <c r="D25034" s="25"/>
      <c r="F25034" s="21"/>
      <c r="G25034" s="16"/>
    </row>
    <row r="25035" spans="4:7" ht="15" x14ac:dyDescent="0.3">
      <c r="D25035" s="25"/>
      <c r="F25035" s="21"/>
      <c r="G25035" s="16"/>
    </row>
    <row r="25036" spans="4:7" ht="15" x14ac:dyDescent="0.3">
      <c r="D25036" s="25"/>
      <c r="F25036" s="21"/>
      <c r="G25036" s="16"/>
    </row>
    <row r="25037" spans="4:7" ht="15" x14ac:dyDescent="0.3">
      <c r="D25037" s="25"/>
      <c r="F25037" s="21"/>
      <c r="G25037" s="16"/>
    </row>
    <row r="25038" spans="4:7" ht="15" x14ac:dyDescent="0.3">
      <c r="D25038" s="25"/>
      <c r="F25038" s="21"/>
      <c r="G25038" s="16"/>
    </row>
    <row r="25039" spans="4:7" ht="15" x14ac:dyDescent="0.3">
      <c r="D25039" s="25"/>
      <c r="F25039" s="21"/>
      <c r="G25039" s="16"/>
    </row>
    <row r="25040" spans="4:7" ht="15" x14ac:dyDescent="0.3">
      <c r="D25040" s="25"/>
      <c r="F25040" s="21"/>
      <c r="G25040" s="16"/>
    </row>
    <row r="25041" spans="4:7" ht="15" x14ac:dyDescent="0.3">
      <c r="D25041" s="25"/>
      <c r="F25041" s="21"/>
      <c r="G25041" s="16"/>
    </row>
    <row r="25042" spans="4:7" ht="15" x14ac:dyDescent="0.3">
      <c r="D25042" s="25"/>
      <c r="F25042" s="21"/>
      <c r="G25042" s="16"/>
    </row>
    <row r="25043" spans="4:7" ht="15" x14ac:dyDescent="0.3">
      <c r="D25043" s="25"/>
      <c r="F25043" s="21"/>
      <c r="G25043" s="16"/>
    </row>
    <row r="25044" spans="4:7" ht="15" x14ac:dyDescent="0.3">
      <c r="D25044" s="25"/>
      <c r="F25044" s="21"/>
      <c r="G25044" s="16"/>
    </row>
    <row r="25045" spans="4:7" ht="15" x14ac:dyDescent="0.3">
      <c r="D25045" s="25"/>
      <c r="F25045" s="21"/>
      <c r="G25045" s="16"/>
    </row>
    <row r="25046" spans="4:7" ht="15" x14ac:dyDescent="0.3">
      <c r="D25046" s="25"/>
      <c r="F25046" s="21"/>
      <c r="G25046" s="16"/>
    </row>
    <row r="25047" spans="4:7" ht="15" x14ac:dyDescent="0.3">
      <c r="D25047" s="25"/>
      <c r="F25047" s="21"/>
      <c r="G25047" s="16"/>
    </row>
    <row r="25048" spans="4:7" ht="15" x14ac:dyDescent="0.3">
      <c r="D25048" s="25"/>
      <c r="F25048" s="21"/>
      <c r="G25048" s="16"/>
    </row>
    <row r="25049" spans="4:7" ht="15" x14ac:dyDescent="0.3">
      <c r="D25049" s="25"/>
      <c r="F25049" s="21"/>
      <c r="G25049" s="16"/>
    </row>
    <row r="25050" spans="4:7" ht="15" x14ac:dyDescent="0.3">
      <c r="D25050" s="25"/>
      <c r="F25050" s="21"/>
      <c r="G25050" s="16"/>
    </row>
    <row r="25051" spans="4:7" ht="15" x14ac:dyDescent="0.3">
      <c r="D25051" s="25"/>
      <c r="F25051" s="21"/>
      <c r="G25051" s="16"/>
    </row>
    <row r="25052" spans="4:7" ht="15" x14ac:dyDescent="0.3">
      <c r="D25052" s="25"/>
      <c r="F25052" s="21"/>
      <c r="G25052" s="16"/>
    </row>
    <row r="25053" spans="4:7" ht="15" x14ac:dyDescent="0.3">
      <c r="D25053" s="25"/>
      <c r="F25053" s="21"/>
      <c r="G25053" s="16"/>
    </row>
    <row r="25054" spans="4:7" ht="15" x14ac:dyDescent="0.3">
      <c r="D25054" s="25"/>
      <c r="F25054" s="21"/>
      <c r="G25054" s="16"/>
    </row>
    <row r="25055" spans="4:7" ht="15" x14ac:dyDescent="0.3">
      <c r="D25055" s="25"/>
      <c r="F25055" s="21"/>
      <c r="G25055" s="16"/>
    </row>
    <row r="25056" spans="4:7" ht="15" x14ac:dyDescent="0.3">
      <c r="D25056" s="25"/>
      <c r="F25056" s="21"/>
      <c r="G25056" s="16"/>
    </row>
    <row r="25057" spans="4:7" ht="15" x14ac:dyDescent="0.3">
      <c r="D25057" s="25"/>
      <c r="F25057" s="21"/>
      <c r="G25057" s="16"/>
    </row>
    <row r="25058" spans="4:7" ht="15" x14ac:dyDescent="0.3">
      <c r="D25058" s="25"/>
      <c r="F25058" s="21"/>
      <c r="G25058" s="16"/>
    </row>
    <row r="25059" spans="4:7" ht="15" x14ac:dyDescent="0.3">
      <c r="D25059" s="25"/>
      <c r="F25059" s="21"/>
      <c r="G25059" s="16"/>
    </row>
    <row r="25060" spans="4:7" ht="15" x14ac:dyDescent="0.3">
      <c r="D25060" s="25"/>
      <c r="F25060" s="21"/>
      <c r="G25060" s="16"/>
    </row>
    <row r="25061" spans="4:7" ht="15" x14ac:dyDescent="0.3">
      <c r="D25061" s="25"/>
      <c r="F25061" s="21"/>
      <c r="G25061" s="16"/>
    </row>
    <row r="25062" spans="4:7" ht="15" x14ac:dyDescent="0.3">
      <c r="D25062" s="25"/>
      <c r="F25062" s="21"/>
      <c r="G25062" s="16"/>
    </row>
    <row r="25063" spans="4:7" ht="15" x14ac:dyDescent="0.3">
      <c r="D25063" s="25"/>
      <c r="F25063" s="21"/>
      <c r="G25063" s="16"/>
    </row>
    <row r="25064" spans="4:7" ht="15" x14ac:dyDescent="0.3">
      <c r="D25064" s="25"/>
      <c r="F25064" s="21"/>
      <c r="G25064" s="16"/>
    </row>
    <row r="25065" spans="4:7" ht="15" x14ac:dyDescent="0.3">
      <c r="D25065" s="25"/>
      <c r="F25065" s="21"/>
      <c r="G25065" s="16"/>
    </row>
    <row r="25066" spans="4:7" ht="15" x14ac:dyDescent="0.3">
      <c r="D25066" s="25"/>
      <c r="F25066" s="21"/>
      <c r="G25066" s="16"/>
    </row>
    <row r="25067" spans="4:7" ht="15" x14ac:dyDescent="0.3">
      <c r="D25067" s="25"/>
      <c r="F25067" s="21"/>
      <c r="G25067" s="16"/>
    </row>
    <row r="25068" spans="4:7" ht="15" x14ac:dyDescent="0.3">
      <c r="D25068" s="25"/>
      <c r="F25068" s="21"/>
      <c r="G25068" s="16"/>
    </row>
    <row r="25069" spans="4:7" ht="15" x14ac:dyDescent="0.3">
      <c r="D25069" s="25"/>
      <c r="F25069" s="21"/>
      <c r="G25069" s="16"/>
    </row>
    <row r="25070" spans="4:7" ht="15" x14ac:dyDescent="0.3">
      <c r="D25070" s="25"/>
      <c r="F25070" s="21"/>
      <c r="G25070" s="16"/>
    </row>
    <row r="25071" spans="4:7" ht="15" x14ac:dyDescent="0.3">
      <c r="D25071" s="25"/>
      <c r="F25071" s="21"/>
      <c r="G25071" s="16"/>
    </row>
    <row r="25072" spans="4:7" ht="15" x14ac:dyDescent="0.3">
      <c r="D25072" s="25"/>
      <c r="F25072" s="21"/>
      <c r="G25072" s="16"/>
    </row>
    <row r="25073" spans="4:7" ht="15" x14ac:dyDescent="0.3">
      <c r="D25073" s="25"/>
      <c r="F25073" s="21"/>
      <c r="G25073" s="16"/>
    </row>
    <row r="25074" spans="4:7" ht="15" x14ac:dyDescent="0.3">
      <c r="D25074" s="25"/>
      <c r="F25074" s="21"/>
      <c r="G25074" s="16"/>
    </row>
    <row r="25075" spans="4:7" ht="15" x14ac:dyDescent="0.3">
      <c r="D25075" s="25"/>
      <c r="F25075" s="21"/>
      <c r="G25075" s="16"/>
    </row>
    <row r="25076" spans="4:7" ht="15" x14ac:dyDescent="0.3">
      <c r="D25076" s="25"/>
      <c r="F25076" s="21"/>
      <c r="G25076" s="16"/>
    </row>
    <row r="25077" spans="4:7" ht="15" x14ac:dyDescent="0.3">
      <c r="D25077" s="25"/>
      <c r="F25077" s="21"/>
      <c r="G25077" s="16"/>
    </row>
    <row r="25078" spans="4:7" ht="15" x14ac:dyDescent="0.3">
      <c r="D25078" s="25"/>
      <c r="F25078" s="21"/>
      <c r="G25078" s="16"/>
    </row>
    <row r="25079" spans="4:7" ht="15" x14ac:dyDescent="0.3">
      <c r="D25079" s="25"/>
      <c r="F25079" s="21"/>
      <c r="G25079" s="16"/>
    </row>
    <row r="25080" spans="4:7" ht="15" x14ac:dyDescent="0.3">
      <c r="D25080" s="25"/>
      <c r="F25080" s="21"/>
      <c r="G25080" s="16"/>
    </row>
    <row r="25081" spans="4:7" ht="15" x14ac:dyDescent="0.3">
      <c r="D25081" s="25"/>
      <c r="F25081" s="21"/>
      <c r="G25081" s="16"/>
    </row>
    <row r="25082" spans="4:7" ht="15" x14ac:dyDescent="0.3">
      <c r="D25082" s="25"/>
      <c r="F25082" s="21"/>
      <c r="G25082" s="16"/>
    </row>
    <row r="25083" spans="4:7" ht="15" x14ac:dyDescent="0.3">
      <c r="D25083" s="25"/>
      <c r="F25083" s="21"/>
      <c r="G25083" s="16"/>
    </row>
    <row r="25084" spans="4:7" ht="15" x14ac:dyDescent="0.3">
      <c r="D25084" s="25"/>
      <c r="F25084" s="21"/>
      <c r="G25084" s="16"/>
    </row>
    <row r="25085" spans="4:7" ht="15" x14ac:dyDescent="0.3">
      <c r="D25085" s="25"/>
      <c r="F25085" s="21"/>
      <c r="G25085" s="16"/>
    </row>
    <row r="25086" spans="4:7" ht="15" x14ac:dyDescent="0.3">
      <c r="D25086" s="25"/>
      <c r="F25086" s="21"/>
      <c r="G25086" s="16"/>
    </row>
    <row r="25087" spans="4:7" ht="15" x14ac:dyDescent="0.3">
      <c r="D25087" s="25"/>
      <c r="F25087" s="21"/>
      <c r="G25087" s="16"/>
    </row>
    <row r="25088" spans="4:7" ht="15" x14ac:dyDescent="0.3">
      <c r="D25088" s="25"/>
      <c r="F25088" s="21"/>
      <c r="G25088" s="16"/>
    </row>
    <row r="25089" spans="4:7" ht="15" x14ac:dyDescent="0.3">
      <c r="D25089" s="25"/>
      <c r="F25089" s="21"/>
      <c r="G25089" s="16"/>
    </row>
    <row r="25090" spans="4:7" ht="15" x14ac:dyDescent="0.3">
      <c r="D25090" s="25"/>
      <c r="F25090" s="21"/>
      <c r="G25090" s="16"/>
    </row>
    <row r="25091" spans="4:7" ht="15" x14ac:dyDescent="0.3">
      <c r="D25091" s="25"/>
      <c r="F25091" s="21"/>
      <c r="G25091" s="16"/>
    </row>
    <row r="25092" spans="4:7" ht="15" x14ac:dyDescent="0.3">
      <c r="D25092" s="25"/>
      <c r="F25092" s="21"/>
      <c r="G25092" s="16"/>
    </row>
    <row r="25093" spans="4:7" ht="15" x14ac:dyDescent="0.3">
      <c r="D25093" s="25"/>
      <c r="F25093" s="21"/>
      <c r="G25093" s="16"/>
    </row>
    <row r="25094" spans="4:7" ht="15" x14ac:dyDescent="0.3">
      <c r="D25094" s="25"/>
      <c r="F25094" s="21"/>
      <c r="G25094" s="16"/>
    </row>
    <row r="25095" spans="4:7" ht="15" x14ac:dyDescent="0.3">
      <c r="D25095" s="25"/>
      <c r="F25095" s="21"/>
      <c r="G25095" s="16"/>
    </row>
    <row r="25096" spans="4:7" ht="15" x14ac:dyDescent="0.3">
      <c r="D25096" s="25"/>
      <c r="F25096" s="21"/>
      <c r="G25096" s="16"/>
    </row>
    <row r="25097" spans="4:7" ht="15" x14ac:dyDescent="0.3">
      <c r="D25097" s="25"/>
      <c r="F25097" s="21"/>
      <c r="G25097" s="16"/>
    </row>
    <row r="25098" spans="4:7" ht="15" x14ac:dyDescent="0.3">
      <c r="D25098" s="25"/>
      <c r="F25098" s="21"/>
      <c r="G25098" s="16"/>
    </row>
    <row r="25099" spans="4:7" ht="15" x14ac:dyDescent="0.3">
      <c r="D25099" s="25"/>
      <c r="F25099" s="21"/>
      <c r="G25099" s="16"/>
    </row>
    <row r="25100" spans="4:7" ht="15" x14ac:dyDescent="0.3">
      <c r="D25100" s="25"/>
      <c r="F25100" s="21"/>
      <c r="G25100" s="16"/>
    </row>
    <row r="25101" spans="4:7" ht="15" x14ac:dyDescent="0.3">
      <c r="D25101" s="25"/>
      <c r="F25101" s="21"/>
      <c r="G25101" s="16"/>
    </row>
    <row r="25102" spans="4:7" ht="15" x14ac:dyDescent="0.3">
      <c r="D25102" s="25"/>
      <c r="F25102" s="21"/>
      <c r="G25102" s="16"/>
    </row>
    <row r="25103" spans="4:7" ht="15" x14ac:dyDescent="0.3">
      <c r="D25103" s="25"/>
      <c r="F25103" s="21"/>
      <c r="G25103" s="16"/>
    </row>
    <row r="25104" spans="4:7" ht="15" x14ac:dyDescent="0.3">
      <c r="D25104" s="25"/>
      <c r="F25104" s="21"/>
      <c r="G25104" s="16"/>
    </row>
    <row r="25105" spans="4:7" ht="15" x14ac:dyDescent="0.3">
      <c r="D25105" s="25"/>
      <c r="F25105" s="21"/>
      <c r="G25105" s="16"/>
    </row>
    <row r="25106" spans="4:7" ht="15" x14ac:dyDescent="0.3">
      <c r="D25106" s="25"/>
      <c r="F25106" s="21"/>
      <c r="G25106" s="16"/>
    </row>
    <row r="25107" spans="4:7" ht="15" x14ac:dyDescent="0.3">
      <c r="D25107" s="25"/>
      <c r="F25107" s="21"/>
      <c r="G25107" s="16"/>
    </row>
    <row r="25108" spans="4:7" ht="15" x14ac:dyDescent="0.3">
      <c r="D25108" s="25"/>
      <c r="F25108" s="21"/>
      <c r="G25108" s="16"/>
    </row>
    <row r="25109" spans="4:7" ht="15" x14ac:dyDescent="0.3">
      <c r="D25109" s="25"/>
      <c r="F25109" s="21"/>
      <c r="G25109" s="16"/>
    </row>
    <row r="25110" spans="4:7" ht="15" x14ac:dyDescent="0.3">
      <c r="D25110" s="25"/>
      <c r="F25110" s="21"/>
      <c r="G25110" s="16"/>
    </row>
    <row r="25111" spans="4:7" ht="15" x14ac:dyDescent="0.3">
      <c r="D25111" s="25"/>
      <c r="F25111" s="21"/>
      <c r="G25111" s="16"/>
    </row>
    <row r="25112" spans="4:7" ht="15" x14ac:dyDescent="0.3">
      <c r="D25112" s="25"/>
      <c r="F25112" s="21"/>
      <c r="G25112" s="16"/>
    </row>
    <row r="25113" spans="4:7" ht="15" x14ac:dyDescent="0.3">
      <c r="D25113" s="25"/>
      <c r="F25113" s="21"/>
      <c r="G25113" s="16"/>
    </row>
    <row r="25114" spans="4:7" ht="15" x14ac:dyDescent="0.3">
      <c r="D25114" s="25"/>
      <c r="F25114" s="21"/>
      <c r="G25114" s="16"/>
    </row>
    <row r="25115" spans="4:7" ht="15" x14ac:dyDescent="0.3">
      <c r="D25115" s="25"/>
      <c r="F25115" s="21"/>
      <c r="G25115" s="16"/>
    </row>
    <row r="25116" spans="4:7" ht="15" x14ac:dyDescent="0.3">
      <c r="D25116" s="25"/>
      <c r="F25116" s="21"/>
      <c r="G25116" s="16"/>
    </row>
    <row r="25117" spans="4:7" ht="15" x14ac:dyDescent="0.3">
      <c r="D25117" s="25"/>
      <c r="F25117" s="21"/>
      <c r="G25117" s="16"/>
    </row>
    <row r="25118" spans="4:7" ht="15" x14ac:dyDescent="0.3">
      <c r="D25118" s="25"/>
      <c r="F25118" s="21"/>
      <c r="G25118" s="16"/>
    </row>
    <row r="25119" spans="4:7" ht="15" x14ac:dyDescent="0.3">
      <c r="D25119" s="25"/>
      <c r="F25119" s="21"/>
      <c r="G25119" s="16"/>
    </row>
    <row r="25120" spans="4:7" ht="15" x14ac:dyDescent="0.3">
      <c r="D25120" s="25"/>
      <c r="F25120" s="21"/>
      <c r="G25120" s="16"/>
    </row>
    <row r="25121" spans="4:7" ht="15" x14ac:dyDescent="0.3">
      <c r="D25121" s="25"/>
      <c r="F25121" s="21"/>
      <c r="G25121" s="16"/>
    </row>
    <row r="25122" spans="4:7" ht="15" x14ac:dyDescent="0.3">
      <c r="D25122" s="25"/>
      <c r="F25122" s="21"/>
      <c r="G25122" s="16"/>
    </row>
    <row r="25123" spans="4:7" ht="15" x14ac:dyDescent="0.3">
      <c r="D25123" s="25"/>
      <c r="F25123" s="21"/>
      <c r="G25123" s="16"/>
    </row>
    <row r="25124" spans="4:7" ht="15" x14ac:dyDescent="0.3">
      <c r="D25124" s="25"/>
      <c r="F25124" s="21"/>
      <c r="G25124" s="16"/>
    </row>
    <row r="25125" spans="4:7" ht="15" x14ac:dyDescent="0.3">
      <c r="D25125" s="25"/>
      <c r="F25125" s="21"/>
      <c r="G25125" s="16"/>
    </row>
    <row r="25126" spans="4:7" ht="15" x14ac:dyDescent="0.3">
      <c r="D25126" s="25"/>
      <c r="F25126" s="21"/>
      <c r="G25126" s="16"/>
    </row>
    <row r="25127" spans="4:7" ht="15" x14ac:dyDescent="0.3">
      <c r="D25127" s="25"/>
      <c r="F25127" s="21"/>
      <c r="G25127" s="16"/>
    </row>
    <row r="25128" spans="4:7" ht="15" x14ac:dyDescent="0.3">
      <c r="D25128" s="25"/>
      <c r="F25128" s="21"/>
      <c r="G25128" s="16"/>
    </row>
    <row r="25129" spans="4:7" ht="15" x14ac:dyDescent="0.3">
      <c r="D25129" s="25"/>
      <c r="F25129" s="21"/>
      <c r="G25129" s="16"/>
    </row>
    <row r="25130" spans="4:7" ht="15" x14ac:dyDescent="0.3">
      <c r="D25130" s="25"/>
      <c r="F25130" s="21"/>
      <c r="G25130" s="16"/>
    </row>
    <row r="25131" spans="4:7" ht="15" x14ac:dyDescent="0.3">
      <c r="D25131" s="25"/>
      <c r="F25131" s="21"/>
      <c r="G25131" s="16"/>
    </row>
    <row r="25132" spans="4:7" ht="15" x14ac:dyDescent="0.3">
      <c r="D25132" s="25"/>
      <c r="F25132" s="21"/>
      <c r="G25132" s="16"/>
    </row>
    <row r="25133" spans="4:7" ht="15" x14ac:dyDescent="0.3">
      <c r="D25133" s="25"/>
      <c r="F25133" s="21"/>
      <c r="G25133" s="16"/>
    </row>
    <row r="25134" spans="4:7" ht="15" x14ac:dyDescent="0.3">
      <c r="D25134" s="25"/>
      <c r="F25134" s="21"/>
      <c r="G25134" s="16"/>
    </row>
    <row r="25135" spans="4:7" ht="15" x14ac:dyDescent="0.3">
      <c r="D25135" s="25"/>
      <c r="F25135" s="21"/>
      <c r="G25135" s="16"/>
    </row>
    <row r="25136" spans="4:7" ht="15" x14ac:dyDescent="0.3">
      <c r="D25136" s="25"/>
      <c r="F25136" s="21"/>
      <c r="G25136" s="16"/>
    </row>
    <row r="25137" spans="4:7" ht="15" x14ac:dyDescent="0.3">
      <c r="D25137" s="25"/>
      <c r="F25137" s="21"/>
      <c r="G25137" s="16"/>
    </row>
    <row r="25138" spans="4:7" ht="15" x14ac:dyDescent="0.3">
      <c r="D25138" s="25"/>
      <c r="F25138" s="21"/>
      <c r="G25138" s="16"/>
    </row>
    <row r="25139" spans="4:7" ht="15" x14ac:dyDescent="0.3">
      <c r="D25139" s="25"/>
      <c r="F25139" s="21"/>
      <c r="G25139" s="16"/>
    </row>
    <row r="25140" spans="4:7" ht="15" x14ac:dyDescent="0.3">
      <c r="D25140" s="25"/>
      <c r="F25140" s="21"/>
      <c r="G25140" s="16"/>
    </row>
    <row r="25141" spans="4:7" ht="15" x14ac:dyDescent="0.3">
      <c r="D25141" s="25"/>
      <c r="F25141" s="21"/>
      <c r="G25141" s="16"/>
    </row>
    <row r="25142" spans="4:7" ht="15" x14ac:dyDescent="0.3">
      <c r="D25142" s="25"/>
      <c r="F25142" s="21"/>
      <c r="G25142" s="16"/>
    </row>
    <row r="25143" spans="4:7" ht="15" x14ac:dyDescent="0.3">
      <c r="D25143" s="25"/>
      <c r="F25143" s="21"/>
      <c r="G25143" s="16"/>
    </row>
    <row r="25144" spans="4:7" ht="15" x14ac:dyDescent="0.3">
      <c r="D25144" s="25"/>
      <c r="F25144" s="21"/>
      <c r="G25144" s="16"/>
    </row>
    <row r="25145" spans="4:7" ht="15" x14ac:dyDescent="0.3">
      <c r="D25145" s="25"/>
      <c r="F25145" s="21"/>
      <c r="G25145" s="16"/>
    </row>
    <row r="25146" spans="4:7" ht="15" x14ac:dyDescent="0.3">
      <c r="D25146" s="25"/>
      <c r="F25146" s="21"/>
      <c r="G25146" s="16"/>
    </row>
    <row r="25147" spans="4:7" ht="15" x14ac:dyDescent="0.3">
      <c r="D25147" s="25"/>
      <c r="F25147" s="21"/>
      <c r="G25147" s="16"/>
    </row>
    <row r="25148" spans="4:7" ht="15" x14ac:dyDescent="0.3">
      <c r="D25148" s="25"/>
      <c r="F25148" s="21"/>
      <c r="G25148" s="16"/>
    </row>
    <row r="25149" spans="4:7" ht="15" x14ac:dyDescent="0.3">
      <c r="D25149" s="25"/>
      <c r="F25149" s="21"/>
      <c r="G25149" s="16"/>
    </row>
    <row r="25150" spans="4:7" ht="15" x14ac:dyDescent="0.3">
      <c r="D25150" s="25"/>
      <c r="F25150" s="21"/>
      <c r="G25150" s="16"/>
    </row>
    <row r="25151" spans="4:7" ht="15" x14ac:dyDescent="0.3">
      <c r="D25151" s="25"/>
      <c r="F25151" s="21"/>
      <c r="G25151" s="16"/>
    </row>
    <row r="25152" spans="4:7" ht="15" x14ac:dyDescent="0.3">
      <c r="D25152" s="25"/>
      <c r="F25152" s="21"/>
      <c r="G25152" s="16"/>
    </row>
    <row r="25153" spans="4:7" ht="15" x14ac:dyDescent="0.3">
      <c r="D25153" s="25"/>
      <c r="F25153" s="21"/>
      <c r="G25153" s="16"/>
    </row>
    <row r="25154" spans="4:7" ht="15" x14ac:dyDescent="0.3">
      <c r="D25154" s="25"/>
      <c r="F25154" s="21"/>
      <c r="G25154" s="16"/>
    </row>
    <row r="25155" spans="4:7" ht="15" x14ac:dyDescent="0.3">
      <c r="D25155" s="25"/>
      <c r="F25155" s="21"/>
      <c r="G25155" s="16"/>
    </row>
    <row r="25156" spans="4:7" ht="15" x14ac:dyDescent="0.3">
      <c r="D25156" s="25"/>
      <c r="F25156" s="21"/>
      <c r="G25156" s="16"/>
    </row>
    <row r="25157" spans="4:7" ht="15" x14ac:dyDescent="0.3">
      <c r="D25157" s="25"/>
      <c r="F25157" s="21"/>
      <c r="G25157" s="16"/>
    </row>
    <row r="25158" spans="4:7" ht="15" x14ac:dyDescent="0.3">
      <c r="D25158" s="25"/>
      <c r="F25158" s="21"/>
      <c r="G25158" s="16"/>
    </row>
    <row r="25159" spans="4:7" ht="15" x14ac:dyDescent="0.3">
      <c r="D25159" s="25"/>
      <c r="F25159" s="21"/>
      <c r="G25159" s="16"/>
    </row>
    <row r="25160" spans="4:7" ht="15" x14ac:dyDescent="0.3">
      <c r="D25160" s="25"/>
      <c r="F25160" s="21"/>
      <c r="G25160" s="16"/>
    </row>
    <row r="25161" spans="4:7" ht="15" x14ac:dyDescent="0.3">
      <c r="D25161" s="25"/>
      <c r="F25161" s="21"/>
      <c r="G25161" s="16"/>
    </row>
    <row r="25162" spans="4:7" ht="15" x14ac:dyDescent="0.3">
      <c r="D25162" s="25"/>
      <c r="F25162" s="21"/>
      <c r="G25162" s="16"/>
    </row>
    <row r="25163" spans="4:7" ht="15" x14ac:dyDescent="0.3">
      <c r="D25163" s="25"/>
      <c r="F25163" s="21"/>
      <c r="G25163" s="16"/>
    </row>
    <row r="25164" spans="4:7" ht="15" x14ac:dyDescent="0.3">
      <c r="D25164" s="25"/>
      <c r="F25164" s="21"/>
      <c r="G25164" s="16"/>
    </row>
    <row r="25165" spans="4:7" ht="15" x14ac:dyDescent="0.3">
      <c r="D25165" s="25"/>
      <c r="F25165" s="21"/>
      <c r="G25165" s="16"/>
    </row>
    <row r="25166" spans="4:7" ht="15" x14ac:dyDescent="0.3">
      <c r="D25166" s="25"/>
      <c r="F25166" s="21"/>
      <c r="G25166" s="16"/>
    </row>
    <row r="25167" spans="4:7" ht="15" x14ac:dyDescent="0.3">
      <c r="D25167" s="25"/>
      <c r="F25167" s="21"/>
      <c r="G25167" s="16"/>
    </row>
    <row r="25168" spans="4:7" ht="15" x14ac:dyDescent="0.3">
      <c r="D25168" s="25"/>
      <c r="F25168" s="21"/>
      <c r="G25168" s="16"/>
    </row>
    <row r="25169" spans="4:7" ht="15" x14ac:dyDescent="0.3">
      <c r="D25169" s="25"/>
      <c r="F25169" s="21"/>
      <c r="G25169" s="16"/>
    </row>
    <row r="25170" spans="4:7" ht="15" x14ac:dyDescent="0.3">
      <c r="D25170" s="25"/>
      <c r="F25170" s="21"/>
      <c r="G25170" s="16"/>
    </row>
    <row r="25171" spans="4:7" ht="15" x14ac:dyDescent="0.3">
      <c r="D25171" s="25"/>
      <c r="F25171" s="21"/>
      <c r="G25171" s="16"/>
    </row>
    <row r="25172" spans="4:7" ht="15" x14ac:dyDescent="0.3">
      <c r="D25172" s="25"/>
      <c r="F25172" s="21"/>
      <c r="G25172" s="16"/>
    </row>
    <row r="25173" spans="4:7" ht="15" x14ac:dyDescent="0.3">
      <c r="D25173" s="25"/>
      <c r="F25173" s="21"/>
      <c r="G25173" s="16"/>
    </row>
    <row r="25174" spans="4:7" ht="15" x14ac:dyDescent="0.3">
      <c r="D25174" s="25"/>
      <c r="F25174" s="21"/>
      <c r="G25174" s="16"/>
    </row>
    <row r="25175" spans="4:7" ht="15" x14ac:dyDescent="0.3">
      <c r="D25175" s="25"/>
      <c r="F25175" s="21"/>
      <c r="G25175" s="16"/>
    </row>
    <row r="25176" spans="4:7" ht="15" x14ac:dyDescent="0.3">
      <c r="D25176" s="25"/>
      <c r="F25176" s="21"/>
      <c r="G25176" s="16"/>
    </row>
    <row r="25177" spans="4:7" ht="15" x14ac:dyDescent="0.3">
      <c r="D25177" s="25"/>
      <c r="F25177" s="21"/>
      <c r="G25177" s="16"/>
    </row>
    <row r="25178" spans="4:7" ht="15" x14ac:dyDescent="0.3">
      <c r="D25178" s="25"/>
      <c r="F25178" s="21"/>
      <c r="G25178" s="16"/>
    </row>
    <row r="25179" spans="4:7" ht="15" x14ac:dyDescent="0.3">
      <c r="D25179" s="25"/>
      <c r="F25179" s="21"/>
      <c r="G25179" s="16"/>
    </row>
    <row r="25180" spans="4:7" ht="15" x14ac:dyDescent="0.3">
      <c r="D25180" s="25"/>
      <c r="F25180" s="21"/>
      <c r="G25180" s="16"/>
    </row>
    <row r="25181" spans="4:7" ht="15" x14ac:dyDescent="0.3">
      <c r="D25181" s="25"/>
      <c r="F25181" s="21"/>
      <c r="G25181" s="16"/>
    </row>
    <row r="25182" spans="4:7" ht="15" x14ac:dyDescent="0.3">
      <c r="D25182" s="25"/>
      <c r="F25182" s="21"/>
      <c r="G25182" s="16"/>
    </row>
    <row r="25183" spans="4:7" ht="15" x14ac:dyDescent="0.3">
      <c r="D25183" s="25"/>
      <c r="F25183" s="21"/>
      <c r="G25183" s="16"/>
    </row>
    <row r="25184" spans="4:7" ht="15" x14ac:dyDescent="0.3">
      <c r="D25184" s="25"/>
      <c r="F25184" s="21"/>
      <c r="G25184" s="16"/>
    </row>
    <row r="25185" spans="4:7" ht="15" x14ac:dyDescent="0.3">
      <c r="D25185" s="25"/>
      <c r="F25185" s="21"/>
      <c r="G25185" s="16"/>
    </row>
    <row r="25186" spans="4:7" ht="15" x14ac:dyDescent="0.3">
      <c r="D25186" s="25"/>
      <c r="F25186" s="21"/>
      <c r="G25186" s="16"/>
    </row>
    <row r="25187" spans="4:7" ht="15" x14ac:dyDescent="0.3">
      <c r="D25187" s="25"/>
      <c r="F25187" s="21"/>
      <c r="G25187" s="16"/>
    </row>
    <row r="25188" spans="4:7" ht="15" x14ac:dyDescent="0.3">
      <c r="D25188" s="25"/>
      <c r="F25188" s="21"/>
      <c r="G25188" s="16"/>
    </row>
    <row r="25189" spans="4:7" ht="15" x14ac:dyDescent="0.3">
      <c r="D25189" s="25"/>
      <c r="F25189" s="21"/>
      <c r="G25189" s="16"/>
    </row>
    <row r="25190" spans="4:7" ht="15" x14ac:dyDescent="0.3">
      <c r="D25190" s="25"/>
      <c r="F25190" s="21"/>
      <c r="G25190" s="16"/>
    </row>
    <row r="25191" spans="4:7" ht="15" x14ac:dyDescent="0.3">
      <c r="D25191" s="25"/>
      <c r="F25191" s="21"/>
      <c r="G25191" s="16"/>
    </row>
    <row r="25192" spans="4:7" ht="15" x14ac:dyDescent="0.3">
      <c r="D25192" s="25"/>
      <c r="F25192" s="21"/>
      <c r="G25192" s="16"/>
    </row>
    <row r="25193" spans="4:7" ht="15" x14ac:dyDescent="0.3">
      <c r="D25193" s="25"/>
      <c r="F25193" s="21"/>
      <c r="G25193" s="16"/>
    </row>
    <row r="25194" spans="4:7" ht="15" x14ac:dyDescent="0.3">
      <c r="D25194" s="25"/>
      <c r="F25194" s="21"/>
      <c r="G25194" s="16"/>
    </row>
    <row r="25195" spans="4:7" ht="15" x14ac:dyDescent="0.3">
      <c r="D25195" s="25"/>
      <c r="F25195" s="21"/>
      <c r="G25195" s="16"/>
    </row>
    <row r="25196" spans="4:7" ht="15" x14ac:dyDescent="0.3">
      <c r="D25196" s="25"/>
      <c r="F25196" s="21"/>
      <c r="G25196" s="16"/>
    </row>
    <row r="25197" spans="4:7" ht="15" x14ac:dyDescent="0.3">
      <c r="D25197" s="25"/>
      <c r="F25197" s="21"/>
      <c r="G25197" s="16"/>
    </row>
    <row r="25198" spans="4:7" ht="15" x14ac:dyDescent="0.3">
      <c r="D25198" s="25"/>
      <c r="F25198" s="21"/>
      <c r="G25198" s="16"/>
    </row>
    <row r="25199" spans="4:7" ht="15" x14ac:dyDescent="0.3">
      <c r="D25199" s="25"/>
      <c r="F25199" s="21"/>
      <c r="G25199" s="16"/>
    </row>
    <row r="25200" spans="4:7" ht="15" x14ac:dyDescent="0.3">
      <c r="D25200" s="25"/>
      <c r="F25200" s="21"/>
      <c r="G25200" s="16"/>
    </row>
    <row r="25201" spans="4:7" ht="15" x14ac:dyDescent="0.3">
      <c r="D25201" s="25"/>
      <c r="F25201" s="21"/>
      <c r="G25201" s="16"/>
    </row>
    <row r="25202" spans="4:7" ht="15" x14ac:dyDescent="0.3">
      <c r="D25202" s="25"/>
      <c r="F25202" s="21"/>
      <c r="G25202" s="16"/>
    </row>
    <row r="25203" spans="4:7" ht="15" x14ac:dyDescent="0.3">
      <c r="D25203" s="25"/>
      <c r="F25203" s="21"/>
      <c r="G25203" s="16"/>
    </row>
    <row r="25204" spans="4:7" ht="15" x14ac:dyDescent="0.3">
      <c r="D25204" s="25"/>
      <c r="F25204" s="21"/>
      <c r="G25204" s="16"/>
    </row>
    <row r="25205" spans="4:7" ht="15" x14ac:dyDescent="0.3">
      <c r="D25205" s="25"/>
      <c r="F25205" s="21"/>
      <c r="G25205" s="16"/>
    </row>
    <row r="25206" spans="4:7" ht="15" x14ac:dyDescent="0.3">
      <c r="D25206" s="25"/>
      <c r="F25206" s="21"/>
      <c r="G25206" s="16"/>
    </row>
    <row r="25207" spans="4:7" ht="15" x14ac:dyDescent="0.3">
      <c r="D25207" s="25"/>
      <c r="F25207" s="21"/>
      <c r="G25207" s="16"/>
    </row>
    <row r="25208" spans="4:7" ht="15" x14ac:dyDescent="0.3">
      <c r="D25208" s="25"/>
      <c r="F25208" s="21"/>
      <c r="G25208" s="16"/>
    </row>
    <row r="25209" spans="4:7" ht="15" x14ac:dyDescent="0.3">
      <c r="D25209" s="25"/>
      <c r="F25209" s="21"/>
      <c r="G25209" s="16"/>
    </row>
    <row r="25210" spans="4:7" ht="15" x14ac:dyDescent="0.3">
      <c r="D25210" s="25"/>
      <c r="F25210" s="21"/>
      <c r="G25210" s="16"/>
    </row>
    <row r="25211" spans="4:7" ht="15" x14ac:dyDescent="0.3">
      <c r="D25211" s="25"/>
      <c r="F25211" s="21"/>
      <c r="G25211" s="16"/>
    </row>
    <row r="25212" spans="4:7" ht="15" x14ac:dyDescent="0.3">
      <c r="D25212" s="25"/>
      <c r="F25212" s="21"/>
      <c r="G25212" s="16"/>
    </row>
    <row r="25213" spans="4:7" ht="15" x14ac:dyDescent="0.3">
      <c r="D25213" s="25"/>
      <c r="F25213" s="21"/>
      <c r="G25213" s="16"/>
    </row>
    <row r="25214" spans="4:7" ht="15" x14ac:dyDescent="0.3">
      <c r="D25214" s="25"/>
      <c r="F25214" s="21"/>
      <c r="G25214" s="16"/>
    </row>
    <row r="25215" spans="4:7" ht="15" x14ac:dyDescent="0.3">
      <c r="D25215" s="25"/>
      <c r="F25215" s="21"/>
      <c r="G25215" s="16"/>
    </row>
    <row r="25216" spans="4:7" ht="15" x14ac:dyDescent="0.3">
      <c r="D25216" s="25"/>
      <c r="F25216" s="21"/>
      <c r="G25216" s="16"/>
    </row>
    <row r="25217" spans="4:7" ht="15" x14ac:dyDescent="0.3">
      <c r="D25217" s="25"/>
      <c r="F25217" s="21"/>
      <c r="G25217" s="16"/>
    </row>
    <row r="25218" spans="4:7" ht="15" x14ac:dyDescent="0.3">
      <c r="D25218" s="25"/>
      <c r="F25218" s="21"/>
      <c r="G25218" s="16"/>
    </row>
    <row r="25219" spans="4:7" ht="15" x14ac:dyDescent="0.3">
      <c r="D25219" s="25"/>
      <c r="F25219" s="21"/>
      <c r="G25219" s="16"/>
    </row>
    <row r="25220" spans="4:7" ht="15" x14ac:dyDescent="0.3">
      <c r="D25220" s="25"/>
      <c r="F25220" s="21"/>
      <c r="G25220" s="16"/>
    </row>
    <row r="25221" spans="4:7" ht="15" x14ac:dyDescent="0.3">
      <c r="D25221" s="25"/>
      <c r="F25221" s="21"/>
      <c r="G25221" s="16"/>
    </row>
    <row r="25222" spans="4:7" ht="15" x14ac:dyDescent="0.3">
      <c r="D25222" s="25"/>
      <c r="F25222" s="21"/>
      <c r="G25222" s="16"/>
    </row>
    <row r="25223" spans="4:7" ht="15" x14ac:dyDescent="0.3">
      <c r="D25223" s="25"/>
      <c r="F25223" s="21"/>
      <c r="G25223" s="16"/>
    </row>
    <row r="25224" spans="4:7" ht="15" x14ac:dyDescent="0.3">
      <c r="D25224" s="25"/>
      <c r="F25224" s="21"/>
      <c r="G25224" s="16"/>
    </row>
    <row r="25225" spans="4:7" ht="15" x14ac:dyDescent="0.3">
      <c r="D25225" s="25"/>
      <c r="F25225" s="21"/>
      <c r="G25225" s="16"/>
    </row>
    <row r="25226" spans="4:7" ht="15" x14ac:dyDescent="0.3">
      <c r="D25226" s="25"/>
      <c r="F25226" s="21"/>
      <c r="G25226" s="16"/>
    </row>
    <row r="25227" spans="4:7" ht="15" x14ac:dyDescent="0.3">
      <c r="D25227" s="25"/>
      <c r="F25227" s="21"/>
      <c r="G25227" s="16"/>
    </row>
    <row r="25228" spans="4:7" ht="15" x14ac:dyDescent="0.3">
      <c r="D25228" s="25"/>
      <c r="F25228" s="21"/>
      <c r="G25228" s="16"/>
    </row>
    <row r="25229" spans="4:7" ht="15" x14ac:dyDescent="0.3">
      <c r="D25229" s="25"/>
      <c r="F25229" s="21"/>
      <c r="G25229" s="16"/>
    </row>
    <row r="25230" spans="4:7" ht="15" x14ac:dyDescent="0.3">
      <c r="D25230" s="25"/>
      <c r="F25230" s="21"/>
      <c r="G25230" s="16"/>
    </row>
    <row r="25231" spans="4:7" ht="15" x14ac:dyDescent="0.3">
      <c r="D25231" s="25"/>
      <c r="F25231" s="21"/>
      <c r="G25231" s="16"/>
    </row>
    <row r="25232" spans="4:7" ht="15" x14ac:dyDescent="0.3">
      <c r="D25232" s="25"/>
      <c r="F25232" s="21"/>
      <c r="G25232" s="16"/>
    </row>
    <row r="25233" spans="4:7" ht="15" x14ac:dyDescent="0.3">
      <c r="D25233" s="25"/>
      <c r="F25233" s="21"/>
      <c r="G25233" s="16"/>
    </row>
    <row r="25234" spans="4:7" ht="15" x14ac:dyDescent="0.3">
      <c r="D25234" s="25"/>
      <c r="F25234" s="21"/>
      <c r="G25234" s="16"/>
    </row>
    <row r="25235" spans="4:7" ht="15" x14ac:dyDescent="0.3">
      <c r="D25235" s="25"/>
      <c r="F25235" s="21"/>
      <c r="G25235" s="16"/>
    </row>
    <row r="25236" spans="4:7" ht="15" x14ac:dyDescent="0.3">
      <c r="D25236" s="25"/>
      <c r="F25236" s="21"/>
      <c r="G25236" s="16"/>
    </row>
    <row r="25237" spans="4:7" ht="15" x14ac:dyDescent="0.3">
      <c r="D25237" s="25"/>
      <c r="F25237" s="21"/>
      <c r="G25237" s="16"/>
    </row>
    <row r="25238" spans="4:7" ht="15" x14ac:dyDescent="0.3">
      <c r="D25238" s="25"/>
      <c r="F25238" s="21"/>
      <c r="G25238" s="16"/>
    </row>
    <row r="25239" spans="4:7" ht="15" x14ac:dyDescent="0.3">
      <c r="D25239" s="25"/>
      <c r="F25239" s="21"/>
      <c r="G25239" s="16"/>
    </row>
    <row r="25240" spans="4:7" ht="15" x14ac:dyDescent="0.3">
      <c r="D25240" s="25"/>
      <c r="F25240" s="21"/>
      <c r="G25240" s="16"/>
    </row>
    <row r="25241" spans="4:7" ht="15" x14ac:dyDescent="0.3">
      <c r="D25241" s="25"/>
      <c r="F25241" s="21"/>
      <c r="G25241" s="16"/>
    </row>
    <row r="25242" spans="4:7" ht="15" x14ac:dyDescent="0.3">
      <c r="D25242" s="25"/>
      <c r="F25242" s="21"/>
      <c r="G25242" s="16"/>
    </row>
    <row r="25243" spans="4:7" ht="15" x14ac:dyDescent="0.3">
      <c r="D25243" s="25"/>
      <c r="F25243" s="21"/>
      <c r="G25243" s="16"/>
    </row>
    <row r="25244" spans="4:7" ht="15" x14ac:dyDescent="0.3">
      <c r="D25244" s="25"/>
      <c r="F25244" s="21"/>
      <c r="G25244" s="16"/>
    </row>
    <row r="25245" spans="4:7" ht="15" x14ac:dyDescent="0.3">
      <c r="D25245" s="25"/>
      <c r="F25245" s="21"/>
      <c r="G25245" s="16"/>
    </row>
    <row r="25246" spans="4:7" ht="15" x14ac:dyDescent="0.3">
      <c r="D25246" s="25"/>
      <c r="F25246" s="21"/>
      <c r="G25246" s="16"/>
    </row>
    <row r="25247" spans="4:7" ht="15" x14ac:dyDescent="0.3">
      <c r="D25247" s="25"/>
      <c r="F25247" s="21"/>
      <c r="G25247" s="16"/>
    </row>
    <row r="25248" spans="4:7" ht="15" x14ac:dyDescent="0.3">
      <c r="D25248" s="25"/>
      <c r="F25248" s="21"/>
      <c r="G25248" s="16"/>
    </row>
    <row r="25249" spans="4:7" ht="15" x14ac:dyDescent="0.3">
      <c r="D25249" s="25"/>
      <c r="F25249" s="21"/>
      <c r="G25249" s="16"/>
    </row>
    <row r="25250" spans="4:7" ht="15" x14ac:dyDescent="0.3">
      <c r="D25250" s="25"/>
      <c r="F25250" s="21"/>
      <c r="G25250" s="16"/>
    </row>
    <row r="25251" spans="4:7" ht="15" x14ac:dyDescent="0.3">
      <c r="D25251" s="25"/>
      <c r="F25251" s="21"/>
      <c r="G25251" s="16"/>
    </row>
    <row r="25252" spans="4:7" ht="15" x14ac:dyDescent="0.3">
      <c r="D25252" s="25"/>
      <c r="F25252" s="21"/>
      <c r="G25252" s="16"/>
    </row>
    <row r="25253" spans="4:7" ht="15" x14ac:dyDescent="0.3">
      <c r="D25253" s="25"/>
      <c r="F25253" s="21"/>
      <c r="G25253" s="16"/>
    </row>
    <row r="25254" spans="4:7" ht="15" x14ac:dyDescent="0.3">
      <c r="D25254" s="25"/>
      <c r="F25254" s="21"/>
      <c r="G25254" s="16"/>
    </row>
    <row r="25255" spans="4:7" ht="15" x14ac:dyDescent="0.3">
      <c r="D25255" s="25"/>
      <c r="F25255" s="21"/>
      <c r="G25255" s="16"/>
    </row>
    <row r="25256" spans="4:7" ht="15" x14ac:dyDescent="0.3">
      <c r="D25256" s="25"/>
      <c r="F25256" s="21"/>
      <c r="G25256" s="16"/>
    </row>
    <row r="25257" spans="4:7" ht="15" x14ac:dyDescent="0.3">
      <c r="D25257" s="25"/>
      <c r="F25257" s="21"/>
      <c r="G25257" s="16"/>
    </row>
    <row r="25258" spans="4:7" ht="15" x14ac:dyDescent="0.3">
      <c r="D25258" s="25"/>
      <c r="F25258" s="21"/>
      <c r="G25258" s="16"/>
    </row>
    <row r="25259" spans="4:7" ht="15" x14ac:dyDescent="0.3">
      <c r="D25259" s="25"/>
      <c r="F25259" s="21"/>
      <c r="G25259" s="16"/>
    </row>
    <row r="25260" spans="4:7" ht="15" x14ac:dyDescent="0.3">
      <c r="D25260" s="25"/>
      <c r="F25260" s="21"/>
      <c r="G25260" s="16"/>
    </row>
    <row r="25261" spans="4:7" ht="15" x14ac:dyDescent="0.3">
      <c r="D25261" s="25"/>
      <c r="F25261" s="21"/>
      <c r="G25261" s="16"/>
    </row>
    <row r="25262" spans="4:7" ht="15" x14ac:dyDescent="0.3">
      <c r="D25262" s="25"/>
      <c r="F25262" s="21"/>
      <c r="G25262" s="16"/>
    </row>
    <row r="25263" spans="4:7" ht="15" x14ac:dyDescent="0.3">
      <c r="D25263" s="25"/>
      <c r="F25263" s="21"/>
      <c r="G25263" s="16"/>
    </row>
    <row r="25264" spans="4:7" ht="15" x14ac:dyDescent="0.3">
      <c r="D25264" s="25"/>
      <c r="F25264" s="21"/>
      <c r="G25264" s="16"/>
    </row>
    <row r="25265" spans="4:7" ht="15" x14ac:dyDescent="0.3">
      <c r="D25265" s="25"/>
      <c r="F25265" s="21"/>
      <c r="G25265" s="16"/>
    </row>
    <row r="25266" spans="4:7" ht="15" x14ac:dyDescent="0.3">
      <c r="D25266" s="25"/>
      <c r="F25266" s="21"/>
      <c r="G25266" s="16"/>
    </row>
    <row r="25267" spans="4:7" ht="15" x14ac:dyDescent="0.3">
      <c r="D25267" s="25"/>
      <c r="F25267" s="21"/>
      <c r="G25267" s="16"/>
    </row>
    <row r="25268" spans="4:7" ht="15" x14ac:dyDescent="0.3">
      <c r="D25268" s="25"/>
      <c r="F25268" s="21"/>
      <c r="G25268" s="16"/>
    </row>
    <row r="25269" spans="4:7" ht="15" x14ac:dyDescent="0.3">
      <c r="D25269" s="25"/>
      <c r="F25269" s="21"/>
      <c r="G25269" s="16"/>
    </row>
    <row r="25270" spans="4:7" ht="15" x14ac:dyDescent="0.3">
      <c r="D25270" s="25"/>
      <c r="F25270" s="21"/>
      <c r="G25270" s="16"/>
    </row>
    <row r="25271" spans="4:7" ht="15" x14ac:dyDescent="0.3">
      <c r="D25271" s="25"/>
      <c r="F25271" s="21"/>
      <c r="G25271" s="16"/>
    </row>
    <row r="25272" spans="4:7" ht="15" x14ac:dyDescent="0.3">
      <c r="D25272" s="25"/>
      <c r="F25272" s="21"/>
      <c r="G25272" s="16"/>
    </row>
    <row r="25273" spans="4:7" ht="15" x14ac:dyDescent="0.3">
      <c r="D25273" s="25"/>
      <c r="F25273" s="21"/>
      <c r="G25273" s="16"/>
    </row>
    <row r="25274" spans="4:7" ht="15" x14ac:dyDescent="0.3">
      <c r="D25274" s="25"/>
      <c r="F25274" s="21"/>
      <c r="G25274" s="16"/>
    </row>
    <row r="25275" spans="4:7" ht="15" x14ac:dyDescent="0.3">
      <c r="D25275" s="25"/>
      <c r="F25275" s="21"/>
      <c r="G25275" s="16"/>
    </row>
    <row r="25276" spans="4:7" ht="15" x14ac:dyDescent="0.3">
      <c r="D25276" s="25"/>
      <c r="F25276" s="21"/>
      <c r="G25276" s="16"/>
    </row>
    <row r="25277" spans="4:7" ht="15" x14ac:dyDescent="0.3">
      <c r="D25277" s="25"/>
      <c r="F25277" s="21"/>
      <c r="G25277" s="16"/>
    </row>
    <row r="25278" spans="4:7" ht="15" x14ac:dyDescent="0.3">
      <c r="D25278" s="25"/>
      <c r="F25278" s="21"/>
      <c r="G25278" s="16"/>
    </row>
    <row r="25279" spans="4:7" ht="15" x14ac:dyDescent="0.3">
      <c r="D25279" s="25"/>
      <c r="F25279" s="21"/>
      <c r="G25279" s="16"/>
    </row>
    <row r="25280" spans="4:7" ht="15" x14ac:dyDescent="0.3">
      <c r="D25280" s="25"/>
      <c r="F25280" s="21"/>
      <c r="G25280" s="16"/>
    </row>
    <row r="25281" spans="4:7" ht="15" x14ac:dyDescent="0.3">
      <c r="D25281" s="25"/>
      <c r="F25281" s="21"/>
      <c r="G25281" s="16"/>
    </row>
    <row r="25282" spans="4:7" ht="15" x14ac:dyDescent="0.3">
      <c r="D25282" s="25"/>
      <c r="F25282" s="21"/>
      <c r="G25282" s="16"/>
    </row>
    <row r="25283" spans="4:7" ht="15" x14ac:dyDescent="0.3">
      <c r="D25283" s="25"/>
      <c r="F25283" s="21"/>
      <c r="G25283" s="16"/>
    </row>
    <row r="25284" spans="4:7" ht="15" x14ac:dyDescent="0.3">
      <c r="D25284" s="25"/>
      <c r="F25284" s="21"/>
      <c r="G25284" s="16"/>
    </row>
    <row r="25285" spans="4:7" ht="15" x14ac:dyDescent="0.3">
      <c r="D25285" s="25"/>
      <c r="F25285" s="21"/>
      <c r="G25285" s="16"/>
    </row>
    <row r="25286" spans="4:7" ht="15" x14ac:dyDescent="0.3">
      <c r="D25286" s="25"/>
      <c r="F25286" s="21"/>
      <c r="G25286" s="16"/>
    </row>
    <row r="25287" spans="4:7" ht="15" x14ac:dyDescent="0.3">
      <c r="D25287" s="25"/>
      <c r="F25287" s="21"/>
      <c r="G25287" s="16"/>
    </row>
    <row r="25288" spans="4:7" ht="15" x14ac:dyDescent="0.3">
      <c r="D25288" s="25"/>
      <c r="F25288" s="21"/>
      <c r="G25288" s="16"/>
    </row>
    <row r="25289" spans="4:7" ht="15" x14ac:dyDescent="0.3">
      <c r="D25289" s="25"/>
      <c r="F25289" s="21"/>
      <c r="G25289" s="16"/>
    </row>
    <row r="25290" spans="4:7" ht="15" x14ac:dyDescent="0.3">
      <c r="D25290" s="25"/>
      <c r="F25290" s="21"/>
      <c r="G25290" s="16"/>
    </row>
    <row r="25291" spans="4:7" ht="15" x14ac:dyDescent="0.3">
      <c r="D25291" s="25"/>
      <c r="F25291" s="21"/>
      <c r="G25291" s="16"/>
    </row>
    <row r="25292" spans="4:7" ht="15" x14ac:dyDescent="0.3">
      <c r="D25292" s="25"/>
      <c r="F25292" s="21"/>
      <c r="G25292" s="16"/>
    </row>
    <row r="25293" spans="4:7" ht="15" x14ac:dyDescent="0.3">
      <c r="D25293" s="25"/>
      <c r="F25293" s="21"/>
      <c r="G25293" s="16"/>
    </row>
    <row r="25294" spans="4:7" ht="15" x14ac:dyDescent="0.3">
      <c r="D25294" s="25"/>
      <c r="F25294" s="21"/>
      <c r="G25294" s="16"/>
    </row>
    <row r="25295" spans="4:7" ht="15" x14ac:dyDescent="0.3">
      <c r="D25295" s="25"/>
      <c r="F25295" s="21"/>
      <c r="G25295" s="16"/>
    </row>
    <row r="25296" spans="4:7" ht="15" x14ac:dyDescent="0.3">
      <c r="D25296" s="25"/>
      <c r="F25296" s="21"/>
      <c r="G25296" s="16"/>
    </row>
    <row r="25297" spans="4:7" ht="15" x14ac:dyDescent="0.3">
      <c r="D25297" s="25"/>
      <c r="F25297" s="21"/>
      <c r="G25297" s="16"/>
    </row>
    <row r="25298" spans="4:7" ht="15" x14ac:dyDescent="0.3">
      <c r="D25298" s="25"/>
      <c r="F25298" s="21"/>
      <c r="G25298" s="16"/>
    </row>
    <row r="25299" spans="4:7" ht="15" x14ac:dyDescent="0.3">
      <c r="D25299" s="25"/>
      <c r="F25299" s="21"/>
      <c r="G25299" s="16"/>
    </row>
    <row r="25300" spans="4:7" ht="15" x14ac:dyDescent="0.3">
      <c r="D25300" s="25"/>
      <c r="F25300" s="21"/>
      <c r="G25300" s="16"/>
    </row>
    <row r="25301" spans="4:7" ht="15" x14ac:dyDescent="0.3">
      <c r="D25301" s="25"/>
      <c r="F25301" s="21"/>
      <c r="G25301" s="16"/>
    </row>
    <row r="25302" spans="4:7" ht="15" x14ac:dyDescent="0.3">
      <c r="D25302" s="25"/>
      <c r="F25302" s="21"/>
      <c r="G25302" s="16"/>
    </row>
    <row r="25303" spans="4:7" ht="15" x14ac:dyDescent="0.3">
      <c r="D25303" s="25"/>
      <c r="F25303" s="21"/>
      <c r="G25303" s="16"/>
    </row>
    <row r="25304" spans="4:7" ht="15" x14ac:dyDescent="0.3">
      <c r="D25304" s="25"/>
      <c r="F25304" s="21"/>
      <c r="G25304" s="16"/>
    </row>
    <row r="25305" spans="4:7" ht="15" x14ac:dyDescent="0.3">
      <c r="D25305" s="25"/>
      <c r="F25305" s="21"/>
      <c r="G25305" s="16"/>
    </row>
    <row r="25306" spans="4:7" ht="15" x14ac:dyDescent="0.3">
      <c r="D25306" s="25"/>
      <c r="F25306" s="21"/>
      <c r="G25306" s="16"/>
    </row>
    <row r="25307" spans="4:7" ht="15" x14ac:dyDescent="0.3">
      <c r="D25307" s="25"/>
      <c r="F25307" s="21"/>
      <c r="G25307" s="16"/>
    </row>
    <row r="25308" spans="4:7" ht="15" x14ac:dyDescent="0.3">
      <c r="D25308" s="25"/>
      <c r="F25308" s="21"/>
      <c r="G25308" s="16"/>
    </row>
    <row r="25309" spans="4:7" ht="15" x14ac:dyDescent="0.3">
      <c r="D25309" s="25"/>
      <c r="F25309" s="21"/>
      <c r="G25309" s="16"/>
    </row>
    <row r="25310" spans="4:7" ht="15" x14ac:dyDescent="0.3">
      <c r="D25310" s="25"/>
      <c r="F25310" s="21"/>
      <c r="G25310" s="16"/>
    </row>
    <row r="25311" spans="4:7" ht="15" x14ac:dyDescent="0.3">
      <c r="D25311" s="25"/>
      <c r="F25311" s="21"/>
      <c r="G25311" s="16"/>
    </row>
    <row r="25312" spans="4:7" ht="15" x14ac:dyDescent="0.3">
      <c r="D25312" s="25"/>
      <c r="F25312" s="21"/>
      <c r="G25312" s="16"/>
    </row>
    <row r="25313" spans="4:7" ht="15" x14ac:dyDescent="0.3">
      <c r="D25313" s="25"/>
      <c r="F25313" s="21"/>
      <c r="G25313" s="16"/>
    </row>
    <row r="25314" spans="4:7" ht="15" x14ac:dyDescent="0.3">
      <c r="D25314" s="25"/>
      <c r="F25314" s="21"/>
      <c r="G25314" s="16"/>
    </row>
    <row r="25315" spans="4:7" ht="15" x14ac:dyDescent="0.3">
      <c r="D25315" s="25"/>
      <c r="F25315" s="21"/>
      <c r="G25315" s="16"/>
    </row>
    <row r="25316" spans="4:7" ht="15" x14ac:dyDescent="0.3">
      <c r="D25316" s="25"/>
      <c r="F25316" s="21"/>
      <c r="G25316" s="16"/>
    </row>
    <row r="25317" spans="4:7" ht="15" x14ac:dyDescent="0.3">
      <c r="D25317" s="25"/>
      <c r="F25317" s="21"/>
      <c r="G25317" s="16"/>
    </row>
    <row r="25318" spans="4:7" ht="15" x14ac:dyDescent="0.3">
      <c r="D25318" s="25"/>
      <c r="F25318" s="21"/>
      <c r="G25318" s="16"/>
    </row>
    <row r="25319" spans="4:7" ht="15" x14ac:dyDescent="0.3">
      <c r="D25319" s="25"/>
      <c r="F25319" s="21"/>
      <c r="G25319" s="16"/>
    </row>
    <row r="25320" spans="4:7" ht="15" x14ac:dyDescent="0.3">
      <c r="D25320" s="25"/>
      <c r="F25320" s="21"/>
      <c r="G25320" s="16"/>
    </row>
    <row r="25321" spans="4:7" ht="15" x14ac:dyDescent="0.3">
      <c r="D25321" s="25"/>
      <c r="F25321" s="21"/>
      <c r="G25321" s="16"/>
    </row>
    <row r="25322" spans="4:7" ht="15" x14ac:dyDescent="0.3">
      <c r="D25322" s="25"/>
      <c r="F25322" s="21"/>
      <c r="G25322" s="16"/>
    </row>
    <row r="25323" spans="4:7" ht="15" x14ac:dyDescent="0.3">
      <c r="D25323" s="25"/>
      <c r="F25323" s="21"/>
      <c r="G25323" s="16"/>
    </row>
    <row r="25324" spans="4:7" ht="15" x14ac:dyDescent="0.3">
      <c r="D25324" s="25"/>
      <c r="F25324" s="21"/>
      <c r="G25324" s="16"/>
    </row>
    <row r="25325" spans="4:7" ht="15" x14ac:dyDescent="0.3">
      <c r="D25325" s="25"/>
      <c r="F25325" s="21"/>
      <c r="G25325" s="16"/>
    </row>
    <row r="25326" spans="4:7" ht="15" x14ac:dyDescent="0.3">
      <c r="D25326" s="25"/>
      <c r="F25326" s="21"/>
      <c r="G25326" s="16"/>
    </row>
    <row r="25327" spans="4:7" ht="15" x14ac:dyDescent="0.3">
      <c r="D25327" s="25"/>
      <c r="F25327" s="21"/>
      <c r="G25327" s="16"/>
    </row>
    <row r="25328" spans="4:7" ht="15" x14ac:dyDescent="0.3">
      <c r="D25328" s="25"/>
      <c r="F25328" s="21"/>
      <c r="G25328" s="16"/>
    </row>
    <row r="25329" spans="4:7" ht="15" x14ac:dyDescent="0.3">
      <c r="D25329" s="25"/>
      <c r="F25329" s="21"/>
      <c r="G25329" s="16"/>
    </row>
    <row r="25330" spans="4:7" ht="15" x14ac:dyDescent="0.3">
      <c r="D25330" s="25"/>
      <c r="F25330" s="21"/>
      <c r="G25330" s="16"/>
    </row>
    <row r="25331" spans="4:7" ht="15" x14ac:dyDescent="0.3">
      <c r="D25331" s="25"/>
      <c r="F25331" s="21"/>
      <c r="G25331" s="16"/>
    </row>
    <row r="25332" spans="4:7" ht="15" x14ac:dyDescent="0.3">
      <c r="D25332" s="25"/>
      <c r="F25332" s="21"/>
      <c r="G25332" s="16"/>
    </row>
    <row r="25333" spans="4:7" ht="15" x14ac:dyDescent="0.3">
      <c r="D25333" s="25"/>
      <c r="F25333" s="21"/>
      <c r="G25333" s="16"/>
    </row>
    <row r="25334" spans="4:7" ht="15" x14ac:dyDescent="0.3">
      <c r="D25334" s="25"/>
      <c r="F25334" s="21"/>
      <c r="G25334" s="16"/>
    </row>
    <row r="25335" spans="4:7" ht="15" x14ac:dyDescent="0.3">
      <c r="D25335" s="25"/>
      <c r="F25335" s="21"/>
      <c r="G25335" s="16"/>
    </row>
    <row r="25336" spans="4:7" ht="15" x14ac:dyDescent="0.3">
      <c r="D25336" s="25"/>
      <c r="F25336" s="21"/>
      <c r="G25336" s="16"/>
    </row>
    <row r="25337" spans="4:7" ht="15" x14ac:dyDescent="0.3">
      <c r="D25337" s="25"/>
      <c r="F25337" s="21"/>
      <c r="G25337" s="16"/>
    </row>
    <row r="25338" spans="4:7" ht="15" x14ac:dyDescent="0.3">
      <c r="D25338" s="25"/>
      <c r="F25338" s="21"/>
      <c r="G25338" s="16"/>
    </row>
    <row r="25339" spans="4:7" ht="15" x14ac:dyDescent="0.3">
      <c r="D25339" s="25"/>
      <c r="F25339" s="21"/>
      <c r="G25339" s="16"/>
    </row>
    <row r="25340" spans="4:7" ht="15" x14ac:dyDescent="0.3">
      <c r="D25340" s="25"/>
      <c r="F25340" s="21"/>
      <c r="G25340" s="16"/>
    </row>
    <row r="25341" spans="4:7" ht="15" x14ac:dyDescent="0.3">
      <c r="D25341" s="25"/>
      <c r="F25341" s="21"/>
      <c r="G25341" s="16"/>
    </row>
    <row r="25342" spans="4:7" ht="15" x14ac:dyDescent="0.3">
      <c r="D25342" s="25"/>
      <c r="F25342" s="21"/>
      <c r="G25342" s="16"/>
    </row>
    <row r="25343" spans="4:7" ht="15" x14ac:dyDescent="0.3">
      <c r="D25343" s="25"/>
      <c r="F25343" s="21"/>
      <c r="G25343" s="16"/>
    </row>
    <row r="25344" spans="4:7" ht="15" x14ac:dyDescent="0.3">
      <c r="D25344" s="25"/>
      <c r="F25344" s="21"/>
      <c r="G25344" s="16"/>
    </row>
    <row r="25345" spans="4:7" ht="15" x14ac:dyDescent="0.3">
      <c r="D25345" s="25"/>
      <c r="F25345" s="21"/>
      <c r="G25345" s="16"/>
    </row>
    <row r="25346" spans="4:7" ht="15" x14ac:dyDescent="0.3">
      <c r="D25346" s="25"/>
      <c r="F25346" s="21"/>
      <c r="G25346" s="16"/>
    </row>
    <row r="25347" spans="4:7" ht="15" x14ac:dyDescent="0.3">
      <c r="D25347" s="25"/>
      <c r="F25347" s="21"/>
      <c r="G25347" s="16"/>
    </row>
    <row r="25348" spans="4:7" ht="15" x14ac:dyDescent="0.3">
      <c r="D25348" s="25"/>
      <c r="F25348" s="21"/>
      <c r="G25348" s="16"/>
    </row>
    <row r="25349" spans="4:7" ht="15" x14ac:dyDescent="0.3">
      <c r="D25349" s="25"/>
      <c r="F25349" s="21"/>
      <c r="G25349" s="16"/>
    </row>
    <row r="25350" spans="4:7" ht="15" x14ac:dyDescent="0.3">
      <c r="D25350" s="25"/>
      <c r="F25350" s="21"/>
      <c r="G25350" s="16"/>
    </row>
    <row r="25351" spans="4:7" ht="15" x14ac:dyDescent="0.3">
      <c r="D25351" s="25"/>
      <c r="F25351" s="21"/>
      <c r="G25351" s="16"/>
    </row>
    <row r="25352" spans="4:7" ht="15" x14ac:dyDescent="0.3">
      <c r="D25352" s="25"/>
      <c r="F25352" s="21"/>
      <c r="G25352" s="16"/>
    </row>
    <row r="25353" spans="4:7" ht="15" x14ac:dyDescent="0.3">
      <c r="D25353" s="25"/>
      <c r="F25353" s="21"/>
      <c r="G25353" s="16"/>
    </row>
    <row r="25354" spans="4:7" ht="15" x14ac:dyDescent="0.3">
      <c r="D25354" s="25"/>
      <c r="F25354" s="21"/>
      <c r="G25354" s="16"/>
    </row>
    <row r="25355" spans="4:7" ht="15" x14ac:dyDescent="0.3">
      <c r="D25355" s="25"/>
      <c r="F25355" s="21"/>
      <c r="G25355" s="16"/>
    </row>
    <row r="25356" spans="4:7" ht="15" x14ac:dyDescent="0.3">
      <c r="D25356" s="25"/>
      <c r="F25356" s="21"/>
      <c r="G25356" s="16"/>
    </row>
    <row r="25357" spans="4:7" ht="15" x14ac:dyDescent="0.3">
      <c r="D25357" s="25"/>
      <c r="F25357" s="21"/>
      <c r="G25357" s="16"/>
    </row>
    <row r="25358" spans="4:7" ht="15" x14ac:dyDescent="0.3">
      <c r="D25358" s="25"/>
      <c r="F25358" s="21"/>
      <c r="G25358" s="16"/>
    </row>
    <row r="25359" spans="4:7" ht="15" x14ac:dyDescent="0.3">
      <c r="D25359" s="25"/>
      <c r="F25359" s="21"/>
      <c r="G25359" s="16"/>
    </row>
    <row r="25360" spans="4:7" ht="15" x14ac:dyDescent="0.3">
      <c r="D25360" s="25"/>
      <c r="F25360" s="21"/>
      <c r="G25360" s="16"/>
    </row>
    <row r="25361" spans="4:7" ht="15" x14ac:dyDescent="0.3">
      <c r="D25361" s="25"/>
      <c r="F25361" s="21"/>
      <c r="G25361" s="16"/>
    </row>
    <row r="25362" spans="4:7" ht="15" x14ac:dyDescent="0.3">
      <c r="D25362" s="25"/>
      <c r="F25362" s="21"/>
      <c r="G25362" s="16"/>
    </row>
    <row r="25363" spans="4:7" ht="15" x14ac:dyDescent="0.3">
      <c r="D25363" s="25"/>
      <c r="F25363" s="21"/>
      <c r="G25363" s="16"/>
    </row>
    <row r="25364" spans="4:7" ht="15" x14ac:dyDescent="0.3">
      <c r="D25364" s="25"/>
      <c r="F25364" s="21"/>
      <c r="G25364" s="16"/>
    </row>
    <row r="25365" spans="4:7" ht="15" x14ac:dyDescent="0.3">
      <c r="D25365" s="25"/>
      <c r="F25365" s="21"/>
      <c r="G25365" s="16"/>
    </row>
    <row r="25366" spans="4:7" ht="15" x14ac:dyDescent="0.3">
      <c r="D25366" s="25"/>
      <c r="F25366" s="21"/>
      <c r="G25366" s="16"/>
    </row>
    <row r="25367" spans="4:7" ht="15" x14ac:dyDescent="0.3">
      <c r="D25367" s="25"/>
      <c r="F25367" s="21"/>
      <c r="G25367" s="16"/>
    </row>
    <row r="25368" spans="4:7" ht="15" x14ac:dyDescent="0.3">
      <c r="D25368" s="25"/>
      <c r="F25368" s="21"/>
      <c r="G25368" s="16"/>
    </row>
    <row r="25369" spans="4:7" ht="15" x14ac:dyDescent="0.3">
      <c r="D25369" s="25"/>
      <c r="F25369" s="21"/>
      <c r="G25369" s="16"/>
    </row>
    <row r="25370" spans="4:7" ht="15" x14ac:dyDescent="0.3">
      <c r="D25370" s="25"/>
      <c r="F25370" s="21"/>
      <c r="G25370" s="16"/>
    </row>
    <row r="25371" spans="4:7" ht="15" x14ac:dyDescent="0.3">
      <c r="D25371" s="25"/>
      <c r="F25371" s="21"/>
      <c r="G25371" s="16"/>
    </row>
    <row r="25372" spans="4:7" ht="15" x14ac:dyDescent="0.3">
      <c r="D25372" s="25"/>
      <c r="F25372" s="21"/>
      <c r="G25372" s="16"/>
    </row>
    <row r="25373" spans="4:7" ht="15" x14ac:dyDescent="0.3">
      <c r="D25373" s="25"/>
      <c r="F25373" s="21"/>
      <c r="G25373" s="16"/>
    </row>
    <row r="25374" spans="4:7" ht="15" x14ac:dyDescent="0.3">
      <c r="D25374" s="25"/>
      <c r="F25374" s="21"/>
      <c r="G25374" s="16"/>
    </row>
    <row r="25375" spans="4:7" ht="15" x14ac:dyDescent="0.3">
      <c r="D25375" s="25"/>
      <c r="F25375" s="21"/>
      <c r="G25375" s="16"/>
    </row>
    <row r="25376" spans="4:7" ht="15" x14ac:dyDescent="0.3">
      <c r="D25376" s="25"/>
      <c r="F25376" s="21"/>
      <c r="G25376" s="16"/>
    </row>
    <row r="25377" spans="4:7" ht="15" x14ac:dyDescent="0.3">
      <c r="D25377" s="25"/>
      <c r="F25377" s="21"/>
      <c r="G25377" s="16"/>
    </row>
    <row r="25378" spans="4:7" ht="15" x14ac:dyDescent="0.3">
      <c r="D25378" s="25"/>
      <c r="F25378" s="21"/>
      <c r="G25378" s="16"/>
    </row>
    <row r="25379" spans="4:7" ht="15" x14ac:dyDescent="0.3">
      <c r="D25379" s="25"/>
      <c r="F25379" s="21"/>
      <c r="G25379" s="16"/>
    </row>
    <row r="25380" spans="4:7" ht="15" x14ac:dyDescent="0.3">
      <c r="D25380" s="25"/>
      <c r="F25380" s="21"/>
      <c r="G25380" s="16"/>
    </row>
    <row r="25381" spans="4:7" ht="15" x14ac:dyDescent="0.3">
      <c r="D25381" s="25"/>
      <c r="F25381" s="21"/>
      <c r="G25381" s="16"/>
    </row>
    <row r="25382" spans="4:7" ht="15" x14ac:dyDescent="0.3">
      <c r="D25382" s="25"/>
      <c r="F25382" s="21"/>
      <c r="G25382" s="16"/>
    </row>
    <row r="25383" spans="4:7" ht="15" x14ac:dyDescent="0.3">
      <c r="D25383" s="25"/>
      <c r="F25383" s="21"/>
      <c r="G25383" s="16"/>
    </row>
    <row r="25384" spans="4:7" ht="15" x14ac:dyDescent="0.3">
      <c r="D25384" s="25"/>
      <c r="F25384" s="21"/>
      <c r="G25384" s="16"/>
    </row>
    <row r="25385" spans="4:7" ht="15" x14ac:dyDescent="0.3">
      <c r="D25385" s="25"/>
      <c r="F25385" s="21"/>
      <c r="G25385" s="16"/>
    </row>
    <row r="25386" spans="4:7" ht="15" x14ac:dyDescent="0.3">
      <c r="D25386" s="25"/>
      <c r="F25386" s="21"/>
      <c r="G25386" s="16"/>
    </row>
    <row r="25387" spans="4:7" ht="15" x14ac:dyDescent="0.3">
      <c r="D25387" s="25"/>
      <c r="F25387" s="21"/>
      <c r="G25387" s="16"/>
    </row>
    <row r="25388" spans="4:7" ht="15" x14ac:dyDescent="0.3">
      <c r="D25388" s="25"/>
      <c r="F25388" s="21"/>
      <c r="G25388" s="16"/>
    </row>
    <row r="25389" spans="4:7" ht="15" x14ac:dyDescent="0.3">
      <c r="D25389" s="25"/>
      <c r="F25389" s="21"/>
      <c r="G25389" s="16"/>
    </row>
    <row r="25390" spans="4:7" ht="15" x14ac:dyDescent="0.3">
      <c r="D25390" s="25"/>
      <c r="F25390" s="21"/>
      <c r="G25390" s="16"/>
    </row>
    <row r="25391" spans="4:7" ht="15" x14ac:dyDescent="0.3">
      <c r="D25391" s="25"/>
      <c r="F25391" s="21"/>
      <c r="G25391" s="16"/>
    </row>
    <row r="25392" spans="4:7" ht="15" x14ac:dyDescent="0.3">
      <c r="D25392" s="25"/>
      <c r="F25392" s="21"/>
      <c r="G25392" s="16"/>
    </row>
    <row r="25393" spans="4:7" ht="15" x14ac:dyDescent="0.3">
      <c r="D25393" s="25"/>
      <c r="F25393" s="21"/>
      <c r="G25393" s="16"/>
    </row>
    <row r="25394" spans="4:7" ht="15" x14ac:dyDescent="0.3">
      <c r="D25394" s="25"/>
      <c r="F25394" s="21"/>
      <c r="G25394" s="16"/>
    </row>
    <row r="25395" spans="4:7" ht="15" x14ac:dyDescent="0.3">
      <c r="D25395" s="25"/>
      <c r="F25395" s="21"/>
      <c r="G25395" s="16"/>
    </row>
    <row r="25396" spans="4:7" ht="15" x14ac:dyDescent="0.3">
      <c r="D25396" s="25"/>
      <c r="F25396" s="21"/>
      <c r="G25396" s="16"/>
    </row>
    <row r="25397" spans="4:7" ht="15" x14ac:dyDescent="0.3">
      <c r="D25397" s="25"/>
      <c r="F25397" s="21"/>
      <c r="G25397" s="16"/>
    </row>
    <row r="25398" spans="4:7" ht="15" x14ac:dyDescent="0.3">
      <c r="D25398" s="25"/>
      <c r="F25398" s="21"/>
      <c r="G25398" s="16"/>
    </row>
    <row r="25399" spans="4:7" ht="15" x14ac:dyDescent="0.3">
      <c r="D25399" s="25"/>
      <c r="F25399" s="21"/>
      <c r="G25399" s="16"/>
    </row>
    <row r="25400" spans="4:7" ht="15" x14ac:dyDescent="0.3">
      <c r="D25400" s="25"/>
      <c r="F25400" s="21"/>
      <c r="G25400" s="16"/>
    </row>
    <row r="25401" spans="4:7" ht="15" x14ac:dyDescent="0.3">
      <c r="D25401" s="25"/>
      <c r="F25401" s="21"/>
      <c r="G25401" s="16"/>
    </row>
    <row r="25402" spans="4:7" ht="15" x14ac:dyDescent="0.3">
      <c r="D25402" s="25"/>
      <c r="F25402" s="21"/>
      <c r="G25402" s="16"/>
    </row>
    <row r="25403" spans="4:7" ht="15" x14ac:dyDescent="0.3">
      <c r="D25403" s="25"/>
      <c r="F25403" s="21"/>
      <c r="G25403" s="16"/>
    </row>
    <row r="25404" spans="4:7" ht="15" x14ac:dyDescent="0.3">
      <c r="D25404" s="25"/>
      <c r="F25404" s="21"/>
      <c r="G25404" s="16"/>
    </row>
    <row r="25405" spans="4:7" ht="15" x14ac:dyDescent="0.3">
      <c r="D25405" s="25"/>
      <c r="F25405" s="21"/>
      <c r="G25405" s="16"/>
    </row>
    <row r="25406" spans="4:7" ht="15" x14ac:dyDescent="0.3">
      <c r="D25406" s="25"/>
      <c r="F25406" s="21"/>
      <c r="G25406" s="16"/>
    </row>
    <row r="25407" spans="4:7" ht="15" x14ac:dyDescent="0.3">
      <c r="D25407" s="25"/>
      <c r="F25407" s="21"/>
      <c r="G25407" s="16"/>
    </row>
    <row r="25408" spans="4:7" ht="15" x14ac:dyDescent="0.3">
      <c r="D25408" s="25"/>
      <c r="F25408" s="21"/>
      <c r="G25408" s="16"/>
    </row>
    <row r="25409" spans="4:7" ht="15" x14ac:dyDescent="0.3">
      <c r="D25409" s="25"/>
      <c r="F25409" s="21"/>
      <c r="G25409" s="16"/>
    </row>
    <row r="25410" spans="4:7" ht="15" x14ac:dyDescent="0.3">
      <c r="D25410" s="25"/>
      <c r="F25410" s="21"/>
      <c r="G25410" s="16"/>
    </row>
    <row r="25411" spans="4:7" ht="15" x14ac:dyDescent="0.3">
      <c r="D25411" s="25"/>
      <c r="F25411" s="21"/>
      <c r="G25411" s="16"/>
    </row>
    <row r="25412" spans="4:7" ht="15" x14ac:dyDescent="0.3">
      <c r="D25412" s="25"/>
      <c r="F25412" s="21"/>
      <c r="G25412" s="16"/>
    </row>
    <row r="25413" spans="4:7" ht="15" x14ac:dyDescent="0.3">
      <c r="D25413" s="25"/>
      <c r="F25413" s="21"/>
      <c r="G25413" s="16"/>
    </row>
    <row r="25414" spans="4:7" ht="15" x14ac:dyDescent="0.3">
      <c r="D25414" s="25"/>
      <c r="F25414" s="21"/>
      <c r="G25414" s="16"/>
    </row>
    <row r="25415" spans="4:7" ht="15" x14ac:dyDescent="0.3">
      <c r="D25415" s="25"/>
      <c r="F25415" s="21"/>
      <c r="G25415" s="16"/>
    </row>
    <row r="25416" spans="4:7" ht="15" x14ac:dyDescent="0.3">
      <c r="D25416" s="25"/>
      <c r="F25416" s="21"/>
      <c r="G25416" s="16"/>
    </row>
    <row r="25417" spans="4:7" ht="15" x14ac:dyDescent="0.3">
      <c r="D25417" s="25"/>
      <c r="F25417" s="21"/>
      <c r="G25417" s="16"/>
    </row>
    <row r="25418" spans="4:7" ht="15" x14ac:dyDescent="0.3">
      <c r="D25418" s="25"/>
      <c r="F25418" s="21"/>
      <c r="G25418" s="16"/>
    </row>
    <row r="25419" spans="4:7" ht="15" x14ac:dyDescent="0.3">
      <c r="D25419" s="25"/>
      <c r="F25419" s="21"/>
      <c r="G25419" s="16"/>
    </row>
    <row r="25420" spans="4:7" ht="15" x14ac:dyDescent="0.3">
      <c r="D25420" s="25"/>
      <c r="F25420" s="21"/>
      <c r="G25420" s="16"/>
    </row>
    <row r="25421" spans="4:7" ht="15" x14ac:dyDescent="0.3">
      <c r="D25421" s="25"/>
      <c r="F25421" s="21"/>
      <c r="G25421" s="16"/>
    </row>
    <row r="25422" spans="4:7" ht="15" x14ac:dyDescent="0.3">
      <c r="D25422" s="25"/>
      <c r="F25422" s="21"/>
      <c r="G25422" s="16"/>
    </row>
    <row r="25423" spans="4:7" ht="15" x14ac:dyDescent="0.3">
      <c r="D25423" s="25"/>
      <c r="F25423" s="21"/>
      <c r="G25423" s="16"/>
    </row>
    <row r="25424" spans="4:7" ht="15" x14ac:dyDescent="0.3">
      <c r="D25424" s="25"/>
      <c r="F25424" s="21"/>
      <c r="G25424" s="16"/>
    </row>
    <row r="25425" spans="4:7" ht="15" x14ac:dyDescent="0.3">
      <c r="D25425" s="25"/>
      <c r="F25425" s="21"/>
      <c r="G25425" s="16"/>
    </row>
    <row r="25426" spans="4:7" ht="15" x14ac:dyDescent="0.3">
      <c r="D25426" s="25"/>
      <c r="F25426" s="21"/>
      <c r="G25426" s="16"/>
    </row>
    <row r="25427" spans="4:7" ht="15" x14ac:dyDescent="0.3">
      <c r="D25427" s="25"/>
      <c r="F25427" s="21"/>
      <c r="G25427" s="16"/>
    </row>
    <row r="25428" spans="4:7" ht="15" x14ac:dyDescent="0.3">
      <c r="D25428" s="25"/>
      <c r="F25428" s="21"/>
      <c r="G25428" s="16"/>
    </row>
    <row r="25429" spans="4:7" ht="15" x14ac:dyDescent="0.3">
      <c r="D25429" s="25"/>
      <c r="F25429" s="21"/>
      <c r="G25429" s="16"/>
    </row>
    <row r="25430" spans="4:7" ht="15" x14ac:dyDescent="0.3">
      <c r="D25430" s="25"/>
      <c r="F25430" s="21"/>
      <c r="G25430" s="16"/>
    </row>
    <row r="25431" spans="4:7" ht="15" x14ac:dyDescent="0.3">
      <c r="D25431" s="25"/>
      <c r="F25431" s="21"/>
      <c r="G25431" s="16"/>
    </row>
    <row r="25432" spans="4:7" ht="15" x14ac:dyDescent="0.3">
      <c r="D25432" s="25"/>
      <c r="F25432" s="21"/>
      <c r="G25432" s="16"/>
    </row>
    <row r="25433" spans="4:7" ht="15" x14ac:dyDescent="0.3">
      <c r="D25433" s="25"/>
      <c r="F25433" s="21"/>
      <c r="G25433" s="16"/>
    </row>
    <row r="25434" spans="4:7" ht="15" x14ac:dyDescent="0.3">
      <c r="D25434" s="25"/>
      <c r="F25434" s="21"/>
      <c r="G25434" s="16"/>
    </row>
    <row r="25435" spans="4:7" ht="15" x14ac:dyDescent="0.3">
      <c r="D25435" s="25"/>
      <c r="F25435" s="21"/>
      <c r="G25435" s="16"/>
    </row>
    <row r="25436" spans="4:7" ht="15" x14ac:dyDescent="0.3">
      <c r="D25436" s="25"/>
      <c r="F25436" s="21"/>
      <c r="G25436" s="16"/>
    </row>
    <row r="25437" spans="4:7" ht="15" x14ac:dyDescent="0.3">
      <c r="D25437" s="25"/>
      <c r="F25437" s="21"/>
      <c r="G25437" s="16"/>
    </row>
    <row r="25438" spans="4:7" ht="15" x14ac:dyDescent="0.3">
      <c r="D25438" s="25"/>
      <c r="F25438" s="21"/>
      <c r="G25438" s="16"/>
    </row>
    <row r="25439" spans="4:7" ht="15" x14ac:dyDescent="0.3">
      <c r="D25439" s="25"/>
      <c r="F25439" s="21"/>
      <c r="G25439" s="16"/>
    </row>
    <row r="25440" spans="4:7" ht="15" x14ac:dyDescent="0.3">
      <c r="D25440" s="25"/>
      <c r="F25440" s="21"/>
      <c r="G25440" s="16"/>
    </row>
    <row r="25441" spans="4:7" ht="15" x14ac:dyDescent="0.3">
      <c r="D25441" s="25"/>
      <c r="F25441" s="21"/>
      <c r="G25441" s="16"/>
    </row>
    <row r="25442" spans="4:7" ht="15" x14ac:dyDescent="0.3">
      <c r="D25442" s="25"/>
      <c r="F25442" s="21"/>
      <c r="G25442" s="16"/>
    </row>
    <row r="25443" spans="4:7" ht="15" x14ac:dyDescent="0.3">
      <c r="D25443" s="25"/>
      <c r="F25443" s="21"/>
      <c r="G25443" s="16"/>
    </row>
    <row r="25444" spans="4:7" ht="15" x14ac:dyDescent="0.3">
      <c r="D25444" s="25"/>
      <c r="F25444" s="21"/>
      <c r="G25444" s="16"/>
    </row>
    <row r="25445" spans="4:7" ht="15" x14ac:dyDescent="0.3">
      <c r="D25445" s="25"/>
      <c r="F25445" s="21"/>
      <c r="G25445" s="16"/>
    </row>
    <row r="25446" spans="4:7" ht="15" x14ac:dyDescent="0.3">
      <c r="D25446" s="25"/>
      <c r="F25446" s="21"/>
      <c r="G25446" s="16"/>
    </row>
    <row r="25447" spans="4:7" ht="15" x14ac:dyDescent="0.3">
      <c r="D25447" s="25"/>
      <c r="F25447" s="21"/>
      <c r="G25447" s="16"/>
    </row>
    <row r="25448" spans="4:7" ht="15" x14ac:dyDescent="0.3">
      <c r="D25448" s="25"/>
      <c r="F25448" s="21"/>
      <c r="G25448" s="16"/>
    </row>
    <row r="25449" spans="4:7" ht="15" x14ac:dyDescent="0.3">
      <c r="D25449" s="25"/>
      <c r="F25449" s="21"/>
      <c r="G25449" s="16"/>
    </row>
    <row r="25450" spans="4:7" ht="15" x14ac:dyDescent="0.3">
      <c r="D25450" s="25"/>
      <c r="F25450" s="21"/>
      <c r="G25450" s="16"/>
    </row>
    <row r="25451" spans="4:7" ht="15" x14ac:dyDescent="0.3">
      <c r="D25451" s="25"/>
      <c r="F25451" s="21"/>
      <c r="G25451" s="16"/>
    </row>
    <row r="25452" spans="4:7" ht="15" x14ac:dyDescent="0.3">
      <c r="D25452" s="25"/>
      <c r="F25452" s="21"/>
      <c r="G25452" s="16"/>
    </row>
    <row r="25453" spans="4:7" ht="15" x14ac:dyDescent="0.3">
      <c r="D25453" s="25"/>
      <c r="F25453" s="21"/>
      <c r="G25453" s="16"/>
    </row>
    <row r="25454" spans="4:7" ht="15" x14ac:dyDescent="0.3">
      <c r="D25454" s="25"/>
      <c r="F25454" s="21"/>
      <c r="G25454" s="16"/>
    </row>
    <row r="25455" spans="4:7" ht="15" x14ac:dyDescent="0.3">
      <c r="D25455" s="25"/>
      <c r="F25455" s="21"/>
      <c r="G25455" s="16"/>
    </row>
    <row r="25456" spans="4:7" ht="15" x14ac:dyDescent="0.3">
      <c r="D25456" s="25"/>
      <c r="F25456" s="21"/>
      <c r="G25456" s="16"/>
    </row>
    <row r="25457" spans="4:7" ht="15" x14ac:dyDescent="0.3">
      <c r="D25457" s="25"/>
      <c r="F25457" s="21"/>
      <c r="G25457" s="16"/>
    </row>
    <row r="25458" spans="4:7" ht="15" x14ac:dyDescent="0.3">
      <c r="D25458" s="25"/>
      <c r="F25458" s="21"/>
      <c r="G25458" s="16"/>
    </row>
    <row r="25459" spans="4:7" ht="15" x14ac:dyDescent="0.3">
      <c r="D25459" s="25"/>
      <c r="F25459" s="21"/>
      <c r="G25459" s="16"/>
    </row>
    <row r="25460" spans="4:7" ht="15" x14ac:dyDescent="0.3">
      <c r="D25460" s="25"/>
      <c r="F25460" s="21"/>
      <c r="G25460" s="16"/>
    </row>
    <row r="25461" spans="4:7" ht="15" x14ac:dyDescent="0.3">
      <c r="D25461" s="25"/>
      <c r="F25461" s="21"/>
      <c r="G25461" s="16"/>
    </row>
    <row r="25462" spans="4:7" ht="15" x14ac:dyDescent="0.3">
      <c r="D25462" s="25"/>
      <c r="F25462" s="21"/>
      <c r="G25462" s="16"/>
    </row>
    <row r="25463" spans="4:7" ht="15" x14ac:dyDescent="0.3">
      <c r="D25463" s="25"/>
      <c r="F25463" s="21"/>
      <c r="G25463" s="16"/>
    </row>
    <row r="25464" spans="4:7" ht="15" x14ac:dyDescent="0.3">
      <c r="D25464" s="25"/>
      <c r="F25464" s="21"/>
      <c r="G25464" s="16"/>
    </row>
    <row r="25465" spans="4:7" ht="15" x14ac:dyDescent="0.3">
      <c r="D25465" s="25"/>
      <c r="F25465" s="21"/>
      <c r="G25465" s="16"/>
    </row>
    <row r="25466" spans="4:7" ht="15" x14ac:dyDescent="0.3">
      <c r="D25466" s="25"/>
      <c r="F25466" s="21"/>
      <c r="G25466" s="16"/>
    </row>
    <row r="25467" spans="4:7" ht="15" x14ac:dyDescent="0.3">
      <c r="D25467" s="25"/>
      <c r="F25467" s="21"/>
      <c r="G25467" s="16"/>
    </row>
    <row r="25468" spans="4:7" ht="15" x14ac:dyDescent="0.3">
      <c r="D25468" s="25"/>
      <c r="F25468" s="21"/>
      <c r="G25468" s="16"/>
    </row>
    <row r="25469" spans="4:7" ht="15" x14ac:dyDescent="0.3">
      <c r="D25469" s="25"/>
      <c r="F25469" s="21"/>
      <c r="G25469" s="16"/>
    </row>
    <row r="25470" spans="4:7" ht="15" x14ac:dyDescent="0.3">
      <c r="D25470" s="25"/>
      <c r="F25470" s="21"/>
      <c r="G25470" s="16"/>
    </row>
    <row r="25471" spans="4:7" ht="15" x14ac:dyDescent="0.3">
      <c r="D25471" s="25"/>
      <c r="F25471" s="21"/>
      <c r="G25471" s="16"/>
    </row>
    <row r="25472" spans="4:7" ht="15" x14ac:dyDescent="0.3">
      <c r="D25472" s="25"/>
      <c r="F25472" s="21"/>
      <c r="G25472" s="16"/>
    </row>
    <row r="25473" spans="4:7" ht="15" x14ac:dyDescent="0.3">
      <c r="D25473" s="25"/>
      <c r="F25473" s="21"/>
      <c r="G25473" s="16"/>
    </row>
    <row r="25474" spans="4:7" ht="15" x14ac:dyDescent="0.3">
      <c r="D25474" s="25"/>
      <c r="F25474" s="21"/>
      <c r="G25474" s="16"/>
    </row>
    <row r="25475" spans="4:7" ht="15" x14ac:dyDescent="0.3">
      <c r="D25475" s="25"/>
      <c r="F25475" s="21"/>
      <c r="G25475" s="16"/>
    </row>
    <row r="25476" spans="4:7" ht="15" x14ac:dyDescent="0.3">
      <c r="D25476" s="25"/>
      <c r="F25476" s="21"/>
      <c r="G25476" s="16"/>
    </row>
    <row r="25477" spans="4:7" ht="15" x14ac:dyDescent="0.3">
      <c r="D25477" s="25"/>
      <c r="F25477" s="21"/>
      <c r="G25477" s="16"/>
    </row>
    <row r="25478" spans="4:7" ht="15" x14ac:dyDescent="0.3">
      <c r="D25478" s="25"/>
      <c r="F25478" s="21"/>
      <c r="G25478" s="16"/>
    </row>
    <row r="25479" spans="4:7" ht="15" x14ac:dyDescent="0.3">
      <c r="D25479" s="25"/>
      <c r="F25479" s="21"/>
      <c r="G25479" s="16"/>
    </row>
    <row r="25480" spans="4:7" ht="15" x14ac:dyDescent="0.3">
      <c r="D25480" s="25"/>
      <c r="F25480" s="21"/>
      <c r="G25480" s="16"/>
    </row>
    <row r="25481" spans="4:7" ht="15" x14ac:dyDescent="0.3">
      <c r="D25481" s="25"/>
      <c r="F25481" s="21"/>
      <c r="G25481" s="16"/>
    </row>
    <row r="25482" spans="4:7" ht="15" x14ac:dyDescent="0.3">
      <c r="D25482" s="25"/>
      <c r="F25482" s="21"/>
      <c r="G25482" s="16"/>
    </row>
    <row r="25483" spans="4:7" ht="15" x14ac:dyDescent="0.3">
      <c r="D25483" s="25"/>
      <c r="F25483" s="21"/>
      <c r="G25483" s="16"/>
    </row>
    <row r="25484" spans="4:7" ht="15" x14ac:dyDescent="0.3">
      <c r="D25484" s="25"/>
      <c r="F25484" s="21"/>
      <c r="G25484" s="16"/>
    </row>
    <row r="25485" spans="4:7" ht="15" x14ac:dyDescent="0.3">
      <c r="D25485" s="25"/>
      <c r="F25485" s="21"/>
      <c r="G25485" s="16"/>
    </row>
    <row r="25486" spans="4:7" ht="15" x14ac:dyDescent="0.3">
      <c r="D25486" s="25"/>
      <c r="F25486" s="21"/>
      <c r="G25486" s="16"/>
    </row>
    <row r="25487" spans="4:7" ht="15" x14ac:dyDescent="0.3">
      <c r="D25487" s="25"/>
      <c r="F25487" s="21"/>
      <c r="G25487" s="16"/>
    </row>
    <row r="25488" spans="4:7" ht="15" x14ac:dyDescent="0.3">
      <c r="D25488" s="25"/>
      <c r="F25488" s="21"/>
      <c r="G25488" s="16"/>
    </row>
    <row r="25489" spans="4:7" ht="15" x14ac:dyDescent="0.3">
      <c r="D25489" s="25"/>
      <c r="F25489" s="21"/>
      <c r="G25489" s="16"/>
    </row>
    <row r="25490" spans="4:7" ht="15" x14ac:dyDescent="0.3">
      <c r="D25490" s="25"/>
      <c r="F25490" s="21"/>
      <c r="G25490" s="16"/>
    </row>
    <row r="25491" spans="4:7" ht="15" x14ac:dyDescent="0.3">
      <c r="D25491" s="25"/>
      <c r="F25491" s="21"/>
      <c r="G25491" s="16"/>
    </row>
    <row r="25492" spans="4:7" ht="15" x14ac:dyDescent="0.3">
      <c r="D25492" s="25"/>
      <c r="F25492" s="21"/>
      <c r="G25492" s="16"/>
    </row>
    <row r="25493" spans="4:7" ht="15" x14ac:dyDescent="0.3">
      <c r="D25493" s="25"/>
      <c r="F25493" s="21"/>
      <c r="G25493" s="16"/>
    </row>
    <row r="25494" spans="4:7" ht="15" x14ac:dyDescent="0.3">
      <c r="D25494" s="25"/>
      <c r="F25494" s="21"/>
      <c r="G25494" s="16"/>
    </row>
    <row r="25495" spans="4:7" ht="15" x14ac:dyDescent="0.3">
      <c r="D25495" s="25"/>
      <c r="F25495" s="21"/>
      <c r="G25495" s="16"/>
    </row>
    <row r="25496" spans="4:7" ht="15" x14ac:dyDescent="0.3">
      <c r="D25496" s="25"/>
      <c r="F25496" s="21"/>
      <c r="G25496" s="16"/>
    </row>
    <row r="25497" spans="4:7" ht="15" x14ac:dyDescent="0.3">
      <c r="D25497" s="25"/>
      <c r="F25497" s="21"/>
      <c r="G25497" s="16"/>
    </row>
    <row r="25498" spans="4:7" ht="15" x14ac:dyDescent="0.3">
      <c r="D25498" s="25"/>
      <c r="F25498" s="21"/>
      <c r="G25498" s="16"/>
    </row>
    <row r="25499" spans="4:7" ht="15" x14ac:dyDescent="0.3">
      <c r="D25499" s="25"/>
      <c r="F25499" s="21"/>
      <c r="G25499" s="16"/>
    </row>
    <row r="25500" spans="4:7" ht="15" x14ac:dyDescent="0.3">
      <c r="D25500" s="25"/>
      <c r="F25500" s="21"/>
      <c r="G25500" s="16"/>
    </row>
    <row r="25501" spans="4:7" ht="15" x14ac:dyDescent="0.3">
      <c r="D25501" s="25"/>
      <c r="F25501" s="21"/>
      <c r="G25501" s="16"/>
    </row>
    <row r="25502" spans="4:7" ht="15" x14ac:dyDescent="0.3">
      <c r="D25502" s="25"/>
      <c r="F25502" s="21"/>
      <c r="G25502" s="16"/>
    </row>
    <row r="25503" spans="4:7" ht="15" x14ac:dyDescent="0.3">
      <c r="D25503" s="25"/>
      <c r="F25503" s="21"/>
      <c r="G25503" s="16"/>
    </row>
    <row r="25504" spans="4:7" ht="15" x14ac:dyDescent="0.3">
      <c r="D25504" s="25"/>
      <c r="F25504" s="21"/>
      <c r="G25504" s="16"/>
    </row>
    <row r="25505" spans="4:7" ht="15" x14ac:dyDescent="0.3">
      <c r="D25505" s="25"/>
      <c r="F25505" s="21"/>
      <c r="G25505" s="16"/>
    </row>
    <row r="25506" spans="4:7" ht="15" x14ac:dyDescent="0.3">
      <c r="D25506" s="25"/>
      <c r="F25506" s="21"/>
      <c r="G25506" s="16"/>
    </row>
    <row r="25507" spans="4:7" ht="15" x14ac:dyDescent="0.3">
      <c r="D25507" s="25"/>
      <c r="F25507" s="21"/>
      <c r="G25507" s="16"/>
    </row>
    <row r="25508" spans="4:7" ht="15" x14ac:dyDescent="0.3">
      <c r="D25508" s="25"/>
      <c r="F25508" s="21"/>
      <c r="G25508" s="16"/>
    </row>
    <row r="25509" spans="4:7" ht="15" x14ac:dyDescent="0.3">
      <c r="D25509" s="25"/>
      <c r="F25509" s="21"/>
      <c r="G25509" s="16"/>
    </row>
    <row r="25510" spans="4:7" ht="15" x14ac:dyDescent="0.3">
      <c r="D25510" s="25"/>
      <c r="F25510" s="21"/>
      <c r="G25510" s="16"/>
    </row>
    <row r="25511" spans="4:7" ht="15" x14ac:dyDescent="0.3">
      <c r="D25511" s="25"/>
      <c r="F25511" s="21"/>
      <c r="G25511" s="16"/>
    </row>
    <row r="25512" spans="4:7" ht="15" x14ac:dyDescent="0.3">
      <c r="D25512" s="25"/>
      <c r="F25512" s="21"/>
      <c r="G25512" s="16"/>
    </row>
    <row r="25513" spans="4:7" ht="15" x14ac:dyDescent="0.3">
      <c r="D25513" s="25"/>
      <c r="F25513" s="21"/>
      <c r="G25513" s="16"/>
    </row>
    <row r="25514" spans="4:7" ht="15" x14ac:dyDescent="0.3">
      <c r="D25514" s="25"/>
      <c r="F25514" s="21"/>
      <c r="G25514" s="16"/>
    </row>
    <row r="25515" spans="4:7" ht="15" x14ac:dyDescent="0.3">
      <c r="D25515" s="25"/>
      <c r="F25515" s="21"/>
      <c r="G25515" s="16"/>
    </row>
    <row r="25516" spans="4:7" ht="15" x14ac:dyDescent="0.3">
      <c r="D25516" s="25"/>
      <c r="F25516" s="21"/>
      <c r="G25516" s="16"/>
    </row>
    <row r="25517" spans="4:7" ht="15" x14ac:dyDescent="0.3">
      <c r="D25517" s="25"/>
      <c r="F25517" s="21"/>
      <c r="G25517" s="16"/>
    </row>
    <row r="25518" spans="4:7" ht="15" x14ac:dyDescent="0.3">
      <c r="D25518" s="25"/>
      <c r="F25518" s="21"/>
      <c r="G25518" s="16"/>
    </row>
    <row r="25519" spans="4:7" ht="15" x14ac:dyDescent="0.3">
      <c r="D25519" s="25"/>
      <c r="F25519" s="21"/>
      <c r="G25519" s="16"/>
    </row>
    <row r="25520" spans="4:7" ht="15" x14ac:dyDescent="0.3">
      <c r="D25520" s="25"/>
      <c r="F25520" s="21"/>
      <c r="G25520" s="16"/>
    </row>
    <row r="25521" spans="4:7" ht="15" x14ac:dyDescent="0.3">
      <c r="D25521" s="25"/>
      <c r="F25521" s="21"/>
      <c r="G25521" s="16"/>
    </row>
    <row r="25522" spans="4:7" ht="15" x14ac:dyDescent="0.3">
      <c r="D25522" s="25"/>
      <c r="F25522" s="21"/>
      <c r="G25522" s="16"/>
    </row>
    <row r="25523" spans="4:7" ht="15" x14ac:dyDescent="0.3">
      <c r="D25523" s="25"/>
      <c r="F25523" s="21"/>
      <c r="G25523" s="16"/>
    </row>
    <row r="25524" spans="4:7" ht="15" x14ac:dyDescent="0.3">
      <c r="D25524" s="25"/>
      <c r="F25524" s="21"/>
      <c r="G25524" s="16"/>
    </row>
    <row r="25525" spans="4:7" ht="15" x14ac:dyDescent="0.3">
      <c r="D25525" s="25"/>
      <c r="F25525" s="21"/>
      <c r="G25525" s="16"/>
    </row>
    <row r="25526" spans="4:7" ht="15" x14ac:dyDescent="0.3">
      <c r="D25526" s="25"/>
      <c r="F25526" s="21"/>
      <c r="G25526" s="16"/>
    </row>
    <row r="25527" spans="4:7" ht="15" x14ac:dyDescent="0.3">
      <c r="D25527" s="25"/>
      <c r="F25527" s="21"/>
      <c r="G25527" s="16"/>
    </row>
    <row r="25528" spans="4:7" ht="15" x14ac:dyDescent="0.3">
      <c r="D25528" s="25"/>
      <c r="F25528" s="21"/>
      <c r="G25528" s="16"/>
    </row>
    <row r="25529" spans="4:7" ht="15" x14ac:dyDescent="0.3">
      <c r="D25529" s="25"/>
      <c r="F25529" s="21"/>
      <c r="G25529" s="16"/>
    </row>
    <row r="25530" spans="4:7" ht="15" x14ac:dyDescent="0.3">
      <c r="D25530" s="25"/>
      <c r="F25530" s="21"/>
      <c r="G25530" s="16"/>
    </row>
    <row r="25531" spans="4:7" ht="15" x14ac:dyDescent="0.3">
      <c r="D25531" s="25"/>
      <c r="F25531" s="21"/>
      <c r="G25531" s="16"/>
    </row>
    <row r="25532" spans="4:7" ht="15" x14ac:dyDescent="0.3">
      <c r="D25532" s="25"/>
      <c r="F25532" s="21"/>
      <c r="G25532" s="16"/>
    </row>
    <row r="25533" spans="4:7" ht="15" x14ac:dyDescent="0.3">
      <c r="D25533" s="25"/>
      <c r="F25533" s="21"/>
      <c r="G25533" s="16"/>
    </row>
    <row r="25534" spans="4:7" ht="15" x14ac:dyDescent="0.3">
      <c r="D25534" s="25"/>
      <c r="F25534" s="21"/>
      <c r="G25534" s="16"/>
    </row>
    <row r="25535" spans="4:7" ht="15" x14ac:dyDescent="0.3">
      <c r="D25535" s="25"/>
      <c r="F25535" s="21"/>
      <c r="G25535" s="16"/>
    </row>
    <row r="25536" spans="4:7" ht="15" x14ac:dyDescent="0.3">
      <c r="D25536" s="25"/>
      <c r="F25536" s="21"/>
      <c r="G25536" s="16"/>
    </row>
    <row r="25537" spans="4:7" ht="15" x14ac:dyDescent="0.3">
      <c r="D25537" s="25"/>
      <c r="F25537" s="21"/>
      <c r="G25537" s="16"/>
    </row>
    <row r="25538" spans="4:7" ht="15" x14ac:dyDescent="0.3">
      <c r="D25538" s="25"/>
      <c r="F25538" s="21"/>
      <c r="G25538" s="16"/>
    </row>
    <row r="25539" spans="4:7" ht="15" x14ac:dyDescent="0.3">
      <c r="D25539" s="25"/>
      <c r="F25539" s="21"/>
      <c r="G25539" s="16"/>
    </row>
    <row r="25540" spans="4:7" ht="15" x14ac:dyDescent="0.3">
      <c r="D25540" s="25"/>
      <c r="F25540" s="21"/>
      <c r="G25540" s="16"/>
    </row>
    <row r="25541" spans="4:7" ht="15" x14ac:dyDescent="0.3">
      <c r="D25541" s="25"/>
      <c r="F25541" s="21"/>
      <c r="G25541" s="16"/>
    </row>
    <row r="25542" spans="4:7" ht="15" x14ac:dyDescent="0.3">
      <c r="D25542" s="25"/>
      <c r="F25542" s="21"/>
      <c r="G25542" s="16"/>
    </row>
    <row r="25543" spans="4:7" ht="15" x14ac:dyDescent="0.3">
      <c r="D25543" s="25"/>
      <c r="F25543" s="21"/>
      <c r="G25543" s="16"/>
    </row>
    <row r="25544" spans="4:7" ht="15" x14ac:dyDescent="0.3">
      <c r="D25544" s="25"/>
      <c r="F25544" s="21"/>
      <c r="G25544" s="16"/>
    </row>
    <row r="25545" spans="4:7" ht="15" x14ac:dyDescent="0.3">
      <c r="D25545" s="25"/>
      <c r="F25545" s="21"/>
      <c r="G25545" s="16"/>
    </row>
    <row r="25546" spans="4:7" ht="15" x14ac:dyDescent="0.3">
      <c r="D25546" s="25"/>
      <c r="F25546" s="21"/>
      <c r="G25546" s="16"/>
    </row>
    <row r="25547" spans="4:7" ht="15" x14ac:dyDescent="0.3">
      <c r="D25547" s="25"/>
      <c r="F25547" s="21"/>
      <c r="G25547" s="16"/>
    </row>
    <row r="25548" spans="4:7" ht="15" x14ac:dyDescent="0.3">
      <c r="D25548" s="25"/>
      <c r="F25548" s="21"/>
      <c r="G25548" s="16"/>
    </row>
    <row r="25549" spans="4:7" ht="15" x14ac:dyDescent="0.3">
      <c r="D25549" s="25"/>
      <c r="F25549" s="21"/>
      <c r="G25549" s="16"/>
    </row>
    <row r="25550" spans="4:7" ht="15" x14ac:dyDescent="0.3">
      <c r="D25550" s="25"/>
      <c r="F25550" s="21"/>
      <c r="G25550" s="16"/>
    </row>
    <row r="25551" spans="4:7" ht="15" x14ac:dyDescent="0.3">
      <c r="D25551" s="25"/>
      <c r="F25551" s="21"/>
      <c r="G25551" s="16"/>
    </row>
    <row r="25552" spans="4:7" ht="15" x14ac:dyDescent="0.3">
      <c r="D25552" s="25"/>
      <c r="F25552" s="21"/>
      <c r="G25552" s="16"/>
    </row>
    <row r="25553" spans="4:7" ht="15" x14ac:dyDescent="0.3">
      <c r="D25553" s="25"/>
      <c r="F25553" s="21"/>
      <c r="G25553" s="16"/>
    </row>
    <row r="25554" spans="4:7" ht="15" x14ac:dyDescent="0.3">
      <c r="D25554" s="25"/>
      <c r="F25554" s="21"/>
      <c r="G25554" s="16"/>
    </row>
    <row r="25555" spans="4:7" ht="15" x14ac:dyDescent="0.3">
      <c r="D25555" s="25"/>
      <c r="F25555" s="21"/>
      <c r="G25555" s="16"/>
    </row>
    <row r="25556" spans="4:7" ht="15" x14ac:dyDescent="0.3">
      <c r="D25556" s="25"/>
      <c r="F25556" s="21"/>
      <c r="G25556" s="16"/>
    </row>
    <row r="25557" spans="4:7" ht="15" x14ac:dyDescent="0.3">
      <c r="D25557" s="25"/>
      <c r="F25557" s="21"/>
      <c r="G25557" s="16"/>
    </row>
    <row r="25558" spans="4:7" ht="15" x14ac:dyDescent="0.3">
      <c r="D25558" s="25"/>
      <c r="F25558" s="21"/>
      <c r="G25558" s="16"/>
    </row>
    <row r="25559" spans="4:7" ht="15" x14ac:dyDescent="0.3">
      <c r="D25559" s="25"/>
      <c r="F25559" s="21"/>
      <c r="G25559" s="16"/>
    </row>
    <row r="25560" spans="4:7" ht="15" x14ac:dyDescent="0.3">
      <c r="D25560" s="25"/>
      <c r="F25560" s="21"/>
      <c r="G25560" s="16"/>
    </row>
    <row r="25561" spans="4:7" ht="15" x14ac:dyDescent="0.3">
      <c r="D25561" s="25"/>
      <c r="F25561" s="21"/>
      <c r="G25561" s="16"/>
    </row>
    <row r="25562" spans="4:7" ht="15" x14ac:dyDescent="0.3">
      <c r="D25562" s="25"/>
      <c r="F25562" s="21"/>
      <c r="G25562" s="16"/>
    </row>
    <row r="25563" spans="4:7" ht="15" x14ac:dyDescent="0.3">
      <c r="D25563" s="25"/>
      <c r="F25563" s="21"/>
      <c r="G25563" s="16"/>
    </row>
    <row r="25564" spans="4:7" ht="15" x14ac:dyDescent="0.3">
      <c r="D25564" s="25"/>
      <c r="F25564" s="21"/>
      <c r="G25564" s="16"/>
    </row>
    <row r="25565" spans="4:7" ht="15" x14ac:dyDescent="0.3">
      <c r="D25565" s="25"/>
      <c r="F25565" s="21"/>
      <c r="G25565" s="16"/>
    </row>
    <row r="25566" spans="4:7" ht="15" x14ac:dyDescent="0.3">
      <c r="D25566" s="25"/>
      <c r="F25566" s="21"/>
      <c r="G25566" s="16"/>
    </row>
    <row r="25567" spans="4:7" ht="15" x14ac:dyDescent="0.3">
      <c r="D25567" s="25"/>
      <c r="F25567" s="21"/>
      <c r="G25567" s="16"/>
    </row>
    <row r="25568" spans="4:7" ht="15" x14ac:dyDescent="0.3">
      <c r="D25568" s="25"/>
      <c r="F25568" s="21"/>
      <c r="G25568" s="16"/>
    </row>
    <row r="25569" spans="4:7" ht="15" x14ac:dyDescent="0.3">
      <c r="D25569" s="25"/>
      <c r="F25569" s="21"/>
      <c r="G25569" s="16"/>
    </row>
    <row r="25570" spans="4:7" ht="15" x14ac:dyDescent="0.3">
      <c r="D25570" s="25"/>
      <c r="F25570" s="21"/>
      <c r="G25570" s="16"/>
    </row>
    <row r="25571" spans="4:7" ht="15" x14ac:dyDescent="0.3">
      <c r="D25571" s="25"/>
      <c r="F25571" s="21"/>
      <c r="G25571" s="16"/>
    </row>
    <row r="25572" spans="4:7" ht="15" x14ac:dyDescent="0.3">
      <c r="D25572" s="25"/>
      <c r="F25572" s="21"/>
      <c r="G25572" s="16"/>
    </row>
    <row r="25573" spans="4:7" ht="15" x14ac:dyDescent="0.3">
      <c r="D25573" s="25"/>
      <c r="F25573" s="21"/>
      <c r="G25573" s="16"/>
    </row>
    <row r="25574" spans="4:7" ht="15" x14ac:dyDescent="0.3">
      <c r="D25574" s="25"/>
      <c r="F25574" s="21"/>
      <c r="G25574" s="16"/>
    </row>
    <row r="25575" spans="4:7" ht="15" x14ac:dyDescent="0.3">
      <c r="D25575" s="25"/>
      <c r="F25575" s="21"/>
      <c r="G25575" s="16"/>
    </row>
    <row r="25576" spans="4:7" ht="15" x14ac:dyDescent="0.3">
      <c r="D25576" s="25"/>
      <c r="F25576" s="21"/>
      <c r="G25576" s="16"/>
    </row>
    <row r="25577" spans="4:7" ht="15" x14ac:dyDescent="0.3">
      <c r="D25577" s="25"/>
      <c r="F25577" s="21"/>
      <c r="G25577" s="16"/>
    </row>
    <row r="25578" spans="4:7" ht="15" x14ac:dyDescent="0.3">
      <c r="D25578" s="25"/>
      <c r="F25578" s="21"/>
      <c r="G25578" s="16"/>
    </row>
    <row r="25579" spans="4:7" ht="15" x14ac:dyDescent="0.3">
      <c r="D25579" s="25"/>
      <c r="F25579" s="21"/>
      <c r="G25579" s="16"/>
    </row>
    <row r="25580" spans="4:7" ht="15" x14ac:dyDescent="0.3">
      <c r="D25580" s="25"/>
      <c r="F25580" s="21"/>
      <c r="G25580" s="16"/>
    </row>
    <row r="25581" spans="4:7" ht="15" x14ac:dyDescent="0.3">
      <c r="D25581" s="25"/>
      <c r="F25581" s="21"/>
      <c r="G25581" s="16"/>
    </row>
    <row r="25582" spans="4:7" ht="15" x14ac:dyDescent="0.3">
      <c r="D25582" s="25"/>
      <c r="F25582" s="21"/>
      <c r="G25582" s="16"/>
    </row>
    <row r="25583" spans="4:7" ht="15" x14ac:dyDescent="0.3">
      <c r="D25583" s="25"/>
      <c r="F25583" s="21"/>
      <c r="G25583" s="16"/>
    </row>
    <row r="25584" spans="4:7" ht="15" x14ac:dyDescent="0.3">
      <c r="D25584" s="25"/>
      <c r="F25584" s="21"/>
      <c r="G25584" s="16"/>
    </row>
    <row r="25585" spans="4:7" ht="15" x14ac:dyDescent="0.3">
      <c r="D25585" s="25"/>
      <c r="F25585" s="21"/>
      <c r="G25585" s="16"/>
    </row>
    <row r="25586" spans="4:7" ht="15" x14ac:dyDescent="0.3">
      <c r="D25586" s="25"/>
      <c r="F25586" s="21"/>
      <c r="G25586" s="16"/>
    </row>
    <row r="25587" spans="4:7" ht="15" x14ac:dyDescent="0.3">
      <c r="D25587" s="25"/>
      <c r="F25587" s="21"/>
      <c r="G25587" s="16"/>
    </row>
    <row r="25588" spans="4:7" ht="15" x14ac:dyDescent="0.3">
      <c r="D25588" s="25"/>
      <c r="F25588" s="21"/>
      <c r="G25588" s="16"/>
    </row>
    <row r="25589" spans="4:7" ht="15" x14ac:dyDescent="0.3">
      <c r="D25589" s="25"/>
      <c r="F25589" s="21"/>
      <c r="G25589" s="16"/>
    </row>
    <row r="25590" spans="4:7" ht="15" x14ac:dyDescent="0.3">
      <c r="D25590" s="25"/>
      <c r="F25590" s="21"/>
      <c r="G25590" s="16"/>
    </row>
    <row r="25591" spans="4:7" ht="15" x14ac:dyDescent="0.3">
      <c r="D25591" s="25"/>
      <c r="F25591" s="21"/>
      <c r="G25591" s="16"/>
    </row>
    <row r="25592" spans="4:7" ht="15" x14ac:dyDescent="0.3">
      <c r="D25592" s="25"/>
      <c r="F25592" s="21"/>
      <c r="G25592" s="16"/>
    </row>
    <row r="25593" spans="4:7" ht="15" x14ac:dyDescent="0.3">
      <c r="D25593" s="25"/>
      <c r="F25593" s="21"/>
      <c r="G25593" s="16"/>
    </row>
    <row r="25594" spans="4:7" ht="15" x14ac:dyDescent="0.3">
      <c r="D25594" s="25"/>
      <c r="F25594" s="21"/>
      <c r="G25594" s="16"/>
    </row>
    <row r="25595" spans="4:7" ht="15" x14ac:dyDescent="0.3">
      <c r="D25595" s="25"/>
      <c r="F25595" s="21"/>
      <c r="G25595" s="16"/>
    </row>
    <row r="25596" spans="4:7" ht="15" x14ac:dyDescent="0.3">
      <c r="D25596" s="25"/>
      <c r="F25596" s="21"/>
      <c r="G25596" s="16"/>
    </row>
    <row r="25597" spans="4:7" ht="15" x14ac:dyDescent="0.3">
      <c r="D25597" s="25"/>
      <c r="F25597" s="21"/>
      <c r="G25597" s="16"/>
    </row>
    <row r="25598" spans="4:7" ht="15" x14ac:dyDescent="0.3">
      <c r="D25598" s="25"/>
      <c r="F25598" s="21"/>
      <c r="G25598" s="16"/>
    </row>
    <row r="25599" spans="4:7" ht="15" x14ac:dyDescent="0.3">
      <c r="D25599" s="25"/>
      <c r="F25599" s="21"/>
      <c r="G25599" s="16"/>
    </row>
    <row r="25600" spans="4:7" ht="15" x14ac:dyDescent="0.3">
      <c r="D25600" s="25"/>
      <c r="F25600" s="21"/>
      <c r="G25600" s="16"/>
    </row>
    <row r="25601" spans="4:7" ht="15" x14ac:dyDescent="0.3">
      <c r="D25601" s="25"/>
      <c r="F25601" s="21"/>
      <c r="G25601" s="16"/>
    </row>
    <row r="25602" spans="4:7" ht="15" x14ac:dyDescent="0.3">
      <c r="D25602" s="25"/>
      <c r="F25602" s="21"/>
      <c r="G25602" s="16"/>
    </row>
    <row r="25603" spans="4:7" ht="15" x14ac:dyDescent="0.3">
      <c r="D25603" s="25"/>
      <c r="F25603" s="21"/>
      <c r="G25603" s="16"/>
    </row>
    <row r="25604" spans="4:7" ht="15" x14ac:dyDescent="0.3">
      <c r="D25604" s="25"/>
      <c r="F25604" s="21"/>
      <c r="G25604" s="16"/>
    </row>
    <row r="25605" spans="4:7" ht="15" x14ac:dyDescent="0.3">
      <c r="D25605" s="25"/>
      <c r="F25605" s="21"/>
      <c r="G25605" s="16"/>
    </row>
    <row r="25606" spans="4:7" ht="15" x14ac:dyDescent="0.3">
      <c r="D25606" s="25"/>
      <c r="F25606" s="21"/>
      <c r="G25606" s="16"/>
    </row>
    <row r="25607" spans="4:7" ht="15" x14ac:dyDescent="0.3">
      <c r="D25607" s="25"/>
      <c r="F25607" s="21"/>
      <c r="G25607" s="16"/>
    </row>
    <row r="25608" spans="4:7" ht="15" x14ac:dyDescent="0.3">
      <c r="D25608" s="25"/>
      <c r="F25608" s="21"/>
      <c r="G25608" s="16"/>
    </row>
    <row r="25609" spans="4:7" ht="15" x14ac:dyDescent="0.3">
      <c r="D25609" s="25"/>
      <c r="F25609" s="21"/>
      <c r="G25609" s="16"/>
    </row>
    <row r="25610" spans="4:7" ht="15" x14ac:dyDescent="0.3">
      <c r="D25610" s="25"/>
      <c r="F25610" s="21"/>
      <c r="G25610" s="16"/>
    </row>
    <row r="25611" spans="4:7" ht="15" x14ac:dyDescent="0.3">
      <c r="D25611" s="25"/>
      <c r="F25611" s="21"/>
      <c r="G25611" s="16"/>
    </row>
    <row r="25612" spans="4:7" ht="15" x14ac:dyDescent="0.3">
      <c r="D25612" s="25"/>
      <c r="F25612" s="21"/>
      <c r="G25612" s="16"/>
    </row>
    <row r="25613" spans="4:7" ht="15" x14ac:dyDescent="0.3">
      <c r="D25613" s="25"/>
      <c r="F25613" s="21"/>
      <c r="G25613" s="16"/>
    </row>
    <row r="25614" spans="4:7" ht="15" x14ac:dyDescent="0.3">
      <c r="D25614" s="25"/>
      <c r="F25614" s="21"/>
      <c r="G25614" s="16"/>
    </row>
    <row r="25615" spans="4:7" ht="15" x14ac:dyDescent="0.3">
      <c r="D25615" s="25"/>
      <c r="F25615" s="21"/>
      <c r="G25615" s="16"/>
    </row>
    <row r="25616" spans="4:7" ht="15" x14ac:dyDescent="0.3">
      <c r="D25616" s="25"/>
      <c r="F25616" s="21"/>
      <c r="G25616" s="16"/>
    </row>
    <row r="25617" spans="4:7" ht="15" x14ac:dyDescent="0.3">
      <c r="D25617" s="25"/>
      <c r="F25617" s="21"/>
      <c r="G25617" s="16"/>
    </row>
    <row r="25618" spans="4:7" ht="15" x14ac:dyDescent="0.3">
      <c r="D25618" s="25"/>
      <c r="F25618" s="21"/>
      <c r="G25618" s="16"/>
    </row>
    <row r="25619" spans="4:7" ht="15" x14ac:dyDescent="0.3">
      <c r="D25619" s="25"/>
      <c r="F25619" s="21"/>
      <c r="G25619" s="16"/>
    </row>
    <row r="25620" spans="4:7" ht="15" x14ac:dyDescent="0.3">
      <c r="D25620" s="25"/>
      <c r="F25620" s="21"/>
      <c r="G25620" s="16"/>
    </row>
    <row r="25621" spans="4:7" ht="15" x14ac:dyDescent="0.3">
      <c r="D25621" s="25"/>
      <c r="F25621" s="21"/>
      <c r="G25621" s="16"/>
    </row>
    <row r="25622" spans="4:7" ht="15" x14ac:dyDescent="0.3">
      <c r="D25622" s="25"/>
      <c r="F25622" s="21"/>
      <c r="G25622" s="16"/>
    </row>
    <row r="25623" spans="4:7" ht="15" x14ac:dyDescent="0.3">
      <c r="D25623" s="25"/>
      <c r="F25623" s="21"/>
      <c r="G25623" s="16"/>
    </row>
    <row r="25624" spans="4:7" ht="15" x14ac:dyDescent="0.3">
      <c r="D25624" s="25"/>
      <c r="F25624" s="21"/>
      <c r="G25624" s="16"/>
    </row>
    <row r="25625" spans="4:7" ht="15" x14ac:dyDescent="0.3">
      <c r="D25625" s="25"/>
      <c r="F25625" s="21"/>
      <c r="G25625" s="16"/>
    </row>
    <row r="25626" spans="4:7" ht="15" x14ac:dyDescent="0.3">
      <c r="D25626" s="25"/>
      <c r="F25626" s="21"/>
      <c r="G25626" s="16"/>
    </row>
    <row r="25627" spans="4:7" ht="15" x14ac:dyDescent="0.3">
      <c r="D25627" s="25"/>
      <c r="F25627" s="21"/>
      <c r="G25627" s="16"/>
    </row>
    <row r="25628" spans="4:7" ht="15" x14ac:dyDescent="0.3">
      <c r="D25628" s="25"/>
      <c r="F25628" s="21"/>
      <c r="G25628" s="16"/>
    </row>
    <row r="25629" spans="4:7" ht="15" x14ac:dyDescent="0.3">
      <c r="D25629" s="25"/>
      <c r="F25629" s="21"/>
      <c r="G25629" s="16"/>
    </row>
    <row r="25630" spans="4:7" ht="15" x14ac:dyDescent="0.3">
      <c r="D25630" s="25"/>
      <c r="F25630" s="21"/>
      <c r="G25630" s="16"/>
    </row>
    <row r="25631" spans="4:7" ht="15" x14ac:dyDescent="0.3">
      <c r="D25631" s="25"/>
      <c r="F25631" s="21"/>
      <c r="G25631" s="16"/>
    </row>
    <row r="25632" spans="4:7" ht="15" x14ac:dyDescent="0.3">
      <c r="D25632" s="25"/>
      <c r="F25632" s="21"/>
      <c r="G25632" s="16"/>
    </row>
    <row r="25633" spans="4:7" ht="15" x14ac:dyDescent="0.3">
      <c r="D25633" s="25"/>
      <c r="F25633" s="21"/>
      <c r="G25633" s="16"/>
    </row>
    <row r="25634" spans="4:7" ht="15" x14ac:dyDescent="0.3">
      <c r="D25634" s="25"/>
      <c r="F25634" s="21"/>
      <c r="G25634" s="16"/>
    </row>
    <row r="25635" spans="4:7" ht="15" x14ac:dyDescent="0.3">
      <c r="D25635" s="25"/>
      <c r="F25635" s="21"/>
      <c r="G25635" s="16"/>
    </row>
    <row r="25636" spans="4:7" ht="15" x14ac:dyDescent="0.3">
      <c r="D25636" s="25"/>
      <c r="F25636" s="21"/>
      <c r="G25636" s="16"/>
    </row>
    <row r="25637" spans="4:7" ht="15" x14ac:dyDescent="0.3">
      <c r="D25637" s="25"/>
      <c r="F25637" s="21"/>
      <c r="G25637" s="16"/>
    </row>
    <row r="25638" spans="4:7" ht="15" x14ac:dyDescent="0.3">
      <c r="D25638" s="25"/>
      <c r="F25638" s="21"/>
      <c r="G25638" s="16"/>
    </row>
    <row r="25639" spans="4:7" ht="15" x14ac:dyDescent="0.3">
      <c r="D25639" s="25"/>
      <c r="F25639" s="21"/>
      <c r="G25639" s="16"/>
    </row>
    <row r="25640" spans="4:7" ht="15" x14ac:dyDescent="0.3">
      <c r="D25640" s="25"/>
      <c r="F25640" s="21"/>
      <c r="G25640" s="16"/>
    </row>
    <row r="25641" spans="4:7" ht="15" x14ac:dyDescent="0.3">
      <c r="D25641" s="25"/>
      <c r="F25641" s="21"/>
      <c r="G25641" s="16"/>
    </row>
    <row r="25642" spans="4:7" ht="15" x14ac:dyDescent="0.3">
      <c r="D25642" s="25"/>
      <c r="F25642" s="21"/>
      <c r="G25642" s="16"/>
    </row>
    <row r="25643" spans="4:7" ht="15" x14ac:dyDescent="0.3">
      <c r="D25643" s="25"/>
      <c r="F25643" s="21"/>
      <c r="G25643" s="16"/>
    </row>
    <row r="25644" spans="4:7" ht="15" x14ac:dyDescent="0.3">
      <c r="D25644" s="25"/>
      <c r="F25644" s="21"/>
      <c r="G25644" s="16"/>
    </row>
    <row r="25645" spans="4:7" ht="15" x14ac:dyDescent="0.3">
      <c r="D25645" s="25"/>
      <c r="F25645" s="21"/>
      <c r="G25645" s="16"/>
    </row>
    <row r="25646" spans="4:7" ht="15" x14ac:dyDescent="0.3">
      <c r="D25646" s="25"/>
      <c r="F25646" s="21"/>
      <c r="G25646" s="16"/>
    </row>
    <row r="25647" spans="4:7" ht="15" x14ac:dyDescent="0.3">
      <c r="D25647" s="25"/>
      <c r="F25647" s="21"/>
      <c r="G25647" s="16"/>
    </row>
    <row r="25648" spans="4:7" ht="15" x14ac:dyDescent="0.3">
      <c r="D25648" s="25"/>
      <c r="F25648" s="21"/>
      <c r="G25648" s="16"/>
    </row>
    <row r="25649" spans="4:7" ht="15" x14ac:dyDescent="0.3">
      <c r="D25649" s="25"/>
      <c r="F25649" s="21"/>
      <c r="G25649" s="16"/>
    </row>
    <row r="25650" spans="4:7" ht="15" x14ac:dyDescent="0.3">
      <c r="D25650" s="25"/>
      <c r="F25650" s="21"/>
      <c r="G25650" s="16"/>
    </row>
    <row r="25651" spans="4:7" ht="15" x14ac:dyDescent="0.3">
      <c r="D25651" s="25"/>
      <c r="F25651" s="21"/>
      <c r="G25651" s="16"/>
    </row>
    <row r="25652" spans="4:7" ht="15" x14ac:dyDescent="0.3">
      <c r="D25652" s="25"/>
      <c r="F25652" s="21"/>
      <c r="G25652" s="16"/>
    </row>
    <row r="25653" spans="4:7" ht="15" x14ac:dyDescent="0.3">
      <c r="D25653" s="25"/>
      <c r="F25653" s="21"/>
      <c r="G25653" s="16"/>
    </row>
    <row r="25654" spans="4:7" ht="15" x14ac:dyDescent="0.3">
      <c r="D25654" s="25"/>
      <c r="F25654" s="21"/>
      <c r="G25654" s="16"/>
    </row>
    <row r="25655" spans="4:7" ht="15" x14ac:dyDescent="0.3">
      <c r="D25655" s="25"/>
      <c r="F25655" s="21"/>
      <c r="G25655" s="16"/>
    </row>
    <row r="25656" spans="4:7" ht="15" x14ac:dyDescent="0.3">
      <c r="D25656" s="25"/>
      <c r="F25656" s="21"/>
      <c r="G25656" s="16"/>
    </row>
    <row r="25657" spans="4:7" ht="15" x14ac:dyDescent="0.3">
      <c r="D25657" s="25"/>
      <c r="F25657" s="21"/>
      <c r="G25657" s="16"/>
    </row>
    <row r="25658" spans="4:7" ht="15" x14ac:dyDescent="0.3">
      <c r="D25658" s="25"/>
      <c r="F25658" s="21"/>
      <c r="G25658" s="16"/>
    </row>
    <row r="25659" spans="4:7" ht="15" x14ac:dyDescent="0.3">
      <c r="D25659" s="25"/>
      <c r="F25659" s="21"/>
      <c r="G25659" s="16"/>
    </row>
    <row r="25660" spans="4:7" ht="15" x14ac:dyDescent="0.3">
      <c r="D25660" s="25"/>
      <c r="F25660" s="21"/>
      <c r="G25660" s="16"/>
    </row>
    <row r="25661" spans="4:7" ht="15" x14ac:dyDescent="0.3">
      <c r="D25661" s="25"/>
      <c r="F25661" s="21"/>
      <c r="G25661" s="16"/>
    </row>
    <row r="25662" spans="4:7" ht="15" x14ac:dyDescent="0.3">
      <c r="D25662" s="25"/>
      <c r="F25662" s="21"/>
      <c r="G25662" s="16"/>
    </row>
    <row r="25663" spans="4:7" ht="15" x14ac:dyDescent="0.3">
      <c r="D25663" s="25"/>
      <c r="F25663" s="21"/>
      <c r="G25663" s="16"/>
    </row>
    <row r="25664" spans="4:7" ht="15" x14ac:dyDescent="0.3">
      <c r="D25664" s="25"/>
      <c r="F25664" s="21"/>
      <c r="G25664" s="16"/>
    </row>
    <row r="25665" spans="4:7" ht="15" x14ac:dyDescent="0.3">
      <c r="D25665" s="25"/>
      <c r="F25665" s="21"/>
      <c r="G25665" s="16"/>
    </row>
    <row r="25666" spans="4:7" ht="15" x14ac:dyDescent="0.3">
      <c r="D25666" s="25"/>
      <c r="F25666" s="21"/>
      <c r="G25666" s="16"/>
    </row>
    <row r="25667" spans="4:7" ht="15" x14ac:dyDescent="0.3">
      <c r="D25667" s="25"/>
      <c r="F25667" s="21"/>
      <c r="G25667" s="16"/>
    </row>
    <row r="25668" spans="4:7" ht="15" x14ac:dyDescent="0.3">
      <c r="D25668" s="25"/>
      <c r="F25668" s="21"/>
      <c r="G25668" s="16"/>
    </row>
    <row r="25669" spans="4:7" ht="15" x14ac:dyDescent="0.3">
      <c r="D25669" s="25"/>
      <c r="F25669" s="21"/>
      <c r="G25669" s="16"/>
    </row>
    <row r="25670" spans="4:7" ht="15" x14ac:dyDescent="0.3">
      <c r="D25670" s="25"/>
      <c r="F25670" s="21"/>
      <c r="G25670" s="16"/>
    </row>
    <row r="25671" spans="4:7" ht="15" x14ac:dyDescent="0.3">
      <c r="D25671" s="25"/>
      <c r="F25671" s="21"/>
      <c r="G25671" s="16"/>
    </row>
    <row r="25672" spans="4:7" ht="15" x14ac:dyDescent="0.3">
      <c r="D25672" s="25"/>
      <c r="F25672" s="21"/>
      <c r="G25672" s="16"/>
    </row>
    <row r="25673" spans="4:7" ht="15" x14ac:dyDescent="0.3">
      <c r="D25673" s="25"/>
      <c r="F25673" s="21"/>
      <c r="G25673" s="16"/>
    </row>
    <row r="25674" spans="4:7" ht="15" x14ac:dyDescent="0.3">
      <c r="D25674" s="25"/>
      <c r="F25674" s="21"/>
      <c r="G25674" s="16"/>
    </row>
    <row r="25675" spans="4:7" ht="15" x14ac:dyDescent="0.3">
      <c r="D25675" s="25"/>
      <c r="F25675" s="21"/>
      <c r="G25675" s="16"/>
    </row>
    <row r="25676" spans="4:7" ht="15" x14ac:dyDescent="0.3">
      <c r="D25676" s="25"/>
      <c r="F25676" s="21"/>
      <c r="G25676" s="16"/>
    </row>
    <row r="25677" spans="4:7" ht="15" x14ac:dyDescent="0.3">
      <c r="D25677" s="25"/>
      <c r="F25677" s="21"/>
      <c r="G25677" s="16"/>
    </row>
    <row r="25678" spans="4:7" ht="15" x14ac:dyDescent="0.3">
      <c r="D25678" s="25"/>
      <c r="F25678" s="21"/>
      <c r="G25678" s="16"/>
    </row>
    <row r="25679" spans="4:7" ht="15" x14ac:dyDescent="0.3">
      <c r="D25679" s="25"/>
      <c r="F25679" s="21"/>
      <c r="G25679" s="16"/>
    </row>
    <row r="25680" spans="4:7" ht="15" x14ac:dyDescent="0.3">
      <c r="D25680" s="25"/>
      <c r="F25680" s="21"/>
      <c r="G25680" s="16"/>
    </row>
    <row r="25681" spans="4:7" ht="15" x14ac:dyDescent="0.3">
      <c r="D25681" s="25"/>
      <c r="F25681" s="21"/>
      <c r="G25681" s="16"/>
    </row>
    <row r="25682" spans="4:7" ht="15" x14ac:dyDescent="0.3">
      <c r="D25682" s="25"/>
      <c r="F25682" s="21"/>
      <c r="G25682" s="16"/>
    </row>
    <row r="25683" spans="4:7" ht="15" x14ac:dyDescent="0.3">
      <c r="D25683" s="25"/>
      <c r="F25683" s="21"/>
      <c r="G25683" s="16"/>
    </row>
    <row r="25684" spans="4:7" ht="15" x14ac:dyDescent="0.3">
      <c r="D25684" s="25"/>
      <c r="F25684" s="21"/>
      <c r="G25684" s="16"/>
    </row>
    <row r="25685" spans="4:7" ht="15" x14ac:dyDescent="0.3">
      <c r="D25685" s="25"/>
      <c r="F25685" s="21"/>
      <c r="G25685" s="16"/>
    </row>
    <row r="25686" spans="4:7" ht="15" x14ac:dyDescent="0.3">
      <c r="D25686" s="25"/>
      <c r="F25686" s="21"/>
      <c r="G25686" s="16"/>
    </row>
    <row r="25687" spans="4:7" ht="15" x14ac:dyDescent="0.3">
      <c r="D25687" s="25"/>
      <c r="F25687" s="21"/>
      <c r="G25687" s="16"/>
    </row>
    <row r="25688" spans="4:7" ht="15" x14ac:dyDescent="0.3">
      <c r="D25688" s="25"/>
      <c r="F25688" s="21"/>
      <c r="G25688" s="16"/>
    </row>
    <row r="25689" spans="4:7" ht="15" x14ac:dyDescent="0.3">
      <c r="D25689" s="25"/>
      <c r="F25689" s="21"/>
      <c r="G25689" s="16"/>
    </row>
    <row r="25690" spans="4:7" ht="15" x14ac:dyDescent="0.3">
      <c r="D25690" s="25"/>
      <c r="F25690" s="21"/>
      <c r="G25690" s="16"/>
    </row>
    <row r="25691" spans="4:7" ht="15" x14ac:dyDescent="0.3">
      <c r="D25691" s="25"/>
      <c r="F25691" s="21"/>
      <c r="G25691" s="16"/>
    </row>
    <row r="25692" spans="4:7" ht="15" x14ac:dyDescent="0.3">
      <c r="D25692" s="25"/>
      <c r="F25692" s="21"/>
      <c r="G25692" s="16"/>
    </row>
    <row r="25693" spans="4:7" ht="15" x14ac:dyDescent="0.3">
      <c r="D25693" s="25"/>
      <c r="F25693" s="21"/>
      <c r="G25693" s="16"/>
    </row>
    <row r="25694" spans="4:7" ht="15" x14ac:dyDescent="0.3">
      <c r="D25694" s="25"/>
      <c r="F25694" s="21"/>
      <c r="G25694" s="16"/>
    </row>
    <row r="25695" spans="4:7" ht="15" x14ac:dyDescent="0.3">
      <c r="D25695" s="25"/>
      <c r="F25695" s="21"/>
      <c r="G25695" s="16"/>
    </row>
    <row r="25696" spans="4:7" ht="15" x14ac:dyDescent="0.3">
      <c r="D25696" s="25"/>
      <c r="F25696" s="21"/>
      <c r="G25696" s="16"/>
    </row>
    <row r="25697" spans="4:7" ht="15" x14ac:dyDescent="0.3">
      <c r="D25697" s="25"/>
      <c r="F25697" s="21"/>
      <c r="G25697" s="16"/>
    </row>
    <row r="25698" spans="4:7" ht="15" x14ac:dyDescent="0.3">
      <c r="D25698" s="25"/>
      <c r="F25698" s="21"/>
      <c r="G25698" s="16"/>
    </row>
    <row r="25699" spans="4:7" ht="15" x14ac:dyDescent="0.3">
      <c r="D25699" s="25"/>
      <c r="F25699" s="21"/>
      <c r="G25699" s="16"/>
    </row>
    <row r="25700" spans="4:7" ht="15" x14ac:dyDescent="0.3">
      <c r="D25700" s="25"/>
      <c r="F25700" s="21"/>
      <c r="G25700" s="16"/>
    </row>
    <row r="25701" spans="4:7" ht="15" x14ac:dyDescent="0.3">
      <c r="D25701" s="25"/>
      <c r="F25701" s="21"/>
      <c r="G25701" s="16"/>
    </row>
    <row r="25702" spans="4:7" ht="15" x14ac:dyDescent="0.3">
      <c r="D25702" s="25"/>
      <c r="F25702" s="21"/>
      <c r="G25702" s="16"/>
    </row>
    <row r="25703" spans="4:7" ht="15" x14ac:dyDescent="0.3">
      <c r="D25703" s="25"/>
      <c r="F25703" s="21"/>
      <c r="G25703" s="16"/>
    </row>
    <row r="25704" spans="4:7" ht="15" x14ac:dyDescent="0.3">
      <c r="D25704" s="25"/>
      <c r="F25704" s="21"/>
      <c r="G25704" s="16"/>
    </row>
    <row r="25705" spans="4:7" ht="15" x14ac:dyDescent="0.3">
      <c r="D25705" s="25"/>
      <c r="F25705" s="21"/>
      <c r="G25705" s="16"/>
    </row>
    <row r="25706" spans="4:7" ht="15" x14ac:dyDescent="0.3">
      <c r="D25706" s="25"/>
      <c r="F25706" s="21"/>
      <c r="G25706" s="16"/>
    </row>
    <row r="25707" spans="4:7" ht="15" x14ac:dyDescent="0.3">
      <c r="D25707" s="25"/>
      <c r="F25707" s="21"/>
      <c r="G25707" s="16"/>
    </row>
    <row r="25708" spans="4:7" ht="15" x14ac:dyDescent="0.3">
      <c r="D25708" s="25"/>
      <c r="F25708" s="21"/>
      <c r="G25708" s="16"/>
    </row>
    <row r="25709" spans="4:7" ht="15" x14ac:dyDescent="0.3">
      <c r="D25709" s="25"/>
      <c r="F25709" s="21"/>
      <c r="G25709" s="16"/>
    </row>
    <row r="25710" spans="4:7" ht="15" x14ac:dyDescent="0.3">
      <c r="D25710" s="25"/>
      <c r="F25710" s="21"/>
      <c r="G25710" s="16"/>
    </row>
    <row r="25711" spans="4:7" ht="15" x14ac:dyDescent="0.3">
      <c r="D25711" s="25"/>
      <c r="F25711" s="21"/>
      <c r="G25711" s="16"/>
    </row>
    <row r="25712" spans="4:7" ht="15" x14ac:dyDescent="0.3">
      <c r="D25712" s="25"/>
      <c r="F25712" s="21"/>
      <c r="G25712" s="16"/>
    </row>
    <row r="25713" spans="4:7" ht="15" x14ac:dyDescent="0.3">
      <c r="D25713" s="25"/>
      <c r="F25713" s="21"/>
      <c r="G25713" s="16"/>
    </row>
    <row r="25714" spans="4:7" ht="15" x14ac:dyDescent="0.3">
      <c r="D25714" s="25"/>
      <c r="F25714" s="21"/>
      <c r="G25714" s="16"/>
    </row>
    <row r="25715" spans="4:7" ht="15" x14ac:dyDescent="0.3">
      <c r="D25715" s="25"/>
      <c r="F25715" s="21"/>
      <c r="G25715" s="16"/>
    </row>
    <row r="25716" spans="4:7" ht="15" x14ac:dyDescent="0.3">
      <c r="D25716" s="25"/>
      <c r="F25716" s="21"/>
      <c r="G25716" s="16"/>
    </row>
    <row r="25717" spans="4:7" ht="15" x14ac:dyDescent="0.3">
      <c r="D25717" s="25"/>
      <c r="F25717" s="21"/>
      <c r="G25717" s="16"/>
    </row>
    <row r="25718" spans="4:7" ht="15" x14ac:dyDescent="0.3">
      <c r="D25718" s="25"/>
      <c r="F25718" s="21"/>
      <c r="G25718" s="16"/>
    </row>
    <row r="25719" spans="4:7" ht="15" x14ac:dyDescent="0.3">
      <c r="D25719" s="25"/>
      <c r="F25719" s="21"/>
      <c r="G25719" s="16"/>
    </row>
    <row r="25720" spans="4:7" ht="15" x14ac:dyDescent="0.3">
      <c r="D25720" s="25"/>
      <c r="F25720" s="21"/>
      <c r="G25720" s="16"/>
    </row>
    <row r="25721" spans="4:7" ht="15" x14ac:dyDescent="0.3">
      <c r="D25721" s="25"/>
      <c r="F25721" s="21"/>
      <c r="G25721" s="16"/>
    </row>
    <row r="25722" spans="4:7" ht="15" x14ac:dyDescent="0.3">
      <c r="D25722" s="25"/>
      <c r="F25722" s="21"/>
      <c r="G25722" s="16"/>
    </row>
    <row r="25723" spans="4:7" ht="15" x14ac:dyDescent="0.3">
      <c r="D25723" s="25"/>
      <c r="F25723" s="21"/>
      <c r="G25723" s="16"/>
    </row>
    <row r="25724" spans="4:7" ht="15" x14ac:dyDescent="0.3">
      <c r="D25724" s="25"/>
      <c r="F25724" s="21"/>
      <c r="G25724" s="16"/>
    </row>
    <row r="25725" spans="4:7" ht="15" x14ac:dyDescent="0.3">
      <c r="D25725" s="25"/>
      <c r="F25725" s="21"/>
      <c r="G25725" s="16"/>
    </row>
    <row r="25726" spans="4:7" ht="15" x14ac:dyDescent="0.3">
      <c r="D25726" s="25"/>
      <c r="F25726" s="21"/>
      <c r="G25726" s="16"/>
    </row>
    <row r="25727" spans="4:7" ht="15" x14ac:dyDescent="0.3">
      <c r="D25727" s="25"/>
      <c r="F25727" s="21"/>
      <c r="G25727" s="16"/>
    </row>
    <row r="25728" spans="4:7" ht="15" x14ac:dyDescent="0.3">
      <c r="D25728" s="25"/>
      <c r="F25728" s="21"/>
      <c r="G25728" s="16"/>
    </row>
    <row r="25729" spans="4:7" ht="15" x14ac:dyDescent="0.3">
      <c r="D25729" s="25"/>
      <c r="F25729" s="21"/>
      <c r="G25729" s="16"/>
    </row>
    <row r="25730" spans="4:7" ht="15" x14ac:dyDescent="0.3">
      <c r="D25730" s="25"/>
      <c r="F25730" s="21"/>
      <c r="G25730" s="16"/>
    </row>
    <row r="25731" spans="4:7" ht="15" x14ac:dyDescent="0.3">
      <c r="D25731" s="25"/>
      <c r="F25731" s="21"/>
      <c r="G25731" s="16"/>
    </row>
    <row r="25732" spans="4:7" ht="15" x14ac:dyDescent="0.3">
      <c r="D25732" s="25"/>
      <c r="F25732" s="21"/>
      <c r="G25732" s="16"/>
    </row>
    <row r="25733" spans="4:7" ht="15" x14ac:dyDescent="0.3">
      <c r="D25733" s="25"/>
      <c r="F25733" s="21"/>
      <c r="G25733" s="16"/>
    </row>
    <row r="25734" spans="4:7" ht="15" x14ac:dyDescent="0.3">
      <c r="D25734" s="25"/>
      <c r="F25734" s="21"/>
      <c r="G25734" s="16"/>
    </row>
    <row r="25735" spans="4:7" ht="15" x14ac:dyDescent="0.3">
      <c r="D25735" s="25"/>
      <c r="F25735" s="21"/>
      <c r="G25735" s="16"/>
    </row>
    <row r="25736" spans="4:7" ht="15" x14ac:dyDescent="0.3">
      <c r="D25736" s="25"/>
      <c r="F25736" s="21"/>
      <c r="G25736" s="16"/>
    </row>
    <row r="25737" spans="4:7" ht="15" x14ac:dyDescent="0.3">
      <c r="D25737" s="25"/>
      <c r="F25737" s="21"/>
      <c r="G25737" s="16"/>
    </row>
    <row r="25738" spans="4:7" ht="15" x14ac:dyDescent="0.3">
      <c r="D25738" s="25"/>
      <c r="F25738" s="21"/>
      <c r="G25738" s="16"/>
    </row>
    <row r="25739" spans="4:7" ht="15" x14ac:dyDescent="0.3">
      <c r="D25739" s="25"/>
      <c r="F25739" s="21"/>
      <c r="G25739" s="16"/>
    </row>
    <row r="25740" spans="4:7" ht="15" x14ac:dyDescent="0.3">
      <c r="D25740" s="25"/>
      <c r="F25740" s="21"/>
      <c r="G25740" s="16"/>
    </row>
    <row r="25741" spans="4:7" ht="15" x14ac:dyDescent="0.3">
      <c r="D25741" s="25"/>
      <c r="F25741" s="21"/>
      <c r="G25741" s="16"/>
    </row>
    <row r="25742" spans="4:7" ht="15" x14ac:dyDescent="0.3">
      <c r="D25742" s="25"/>
      <c r="F25742" s="21"/>
      <c r="G25742" s="16"/>
    </row>
    <row r="25743" spans="4:7" ht="15" x14ac:dyDescent="0.3">
      <c r="D25743" s="25"/>
      <c r="F25743" s="21"/>
      <c r="G25743" s="16"/>
    </row>
    <row r="25744" spans="4:7" ht="15" x14ac:dyDescent="0.3">
      <c r="D25744" s="25"/>
      <c r="F25744" s="21"/>
      <c r="G25744" s="16"/>
    </row>
    <row r="25745" spans="4:7" ht="15" x14ac:dyDescent="0.3">
      <c r="D25745" s="25"/>
      <c r="F25745" s="21"/>
      <c r="G25745" s="16"/>
    </row>
    <row r="25746" spans="4:7" ht="15" x14ac:dyDescent="0.3">
      <c r="D25746" s="25"/>
      <c r="F25746" s="21"/>
      <c r="G25746" s="16"/>
    </row>
    <row r="25747" spans="4:7" ht="15" x14ac:dyDescent="0.3">
      <c r="D25747" s="25"/>
      <c r="F25747" s="21"/>
      <c r="G25747" s="16"/>
    </row>
    <row r="25748" spans="4:7" ht="15" x14ac:dyDescent="0.3">
      <c r="D25748" s="25"/>
      <c r="F25748" s="21"/>
      <c r="G25748" s="16"/>
    </row>
    <row r="25749" spans="4:7" ht="15" x14ac:dyDescent="0.3">
      <c r="D25749" s="25"/>
      <c r="F25749" s="21"/>
      <c r="G25749" s="16"/>
    </row>
    <row r="25750" spans="4:7" ht="15" x14ac:dyDescent="0.3">
      <c r="D25750" s="25"/>
      <c r="F25750" s="21"/>
      <c r="G25750" s="16"/>
    </row>
    <row r="25751" spans="4:7" ht="15" x14ac:dyDescent="0.3">
      <c r="D25751" s="25"/>
      <c r="F25751" s="21"/>
      <c r="G25751" s="16"/>
    </row>
    <row r="25752" spans="4:7" ht="15" x14ac:dyDescent="0.3">
      <c r="D25752" s="25"/>
      <c r="F25752" s="21"/>
      <c r="G25752" s="16"/>
    </row>
    <row r="25753" spans="4:7" ht="15" x14ac:dyDescent="0.3">
      <c r="D25753" s="25"/>
      <c r="F25753" s="21"/>
      <c r="G25753" s="16"/>
    </row>
    <row r="25754" spans="4:7" ht="15" x14ac:dyDescent="0.3">
      <c r="D25754" s="25"/>
      <c r="F25754" s="21"/>
      <c r="G25754" s="16"/>
    </row>
    <row r="25755" spans="4:7" ht="15" x14ac:dyDescent="0.3">
      <c r="D25755" s="25"/>
      <c r="F25755" s="21"/>
      <c r="G25755" s="16"/>
    </row>
    <row r="25756" spans="4:7" ht="15" x14ac:dyDescent="0.3">
      <c r="D25756" s="25"/>
      <c r="F25756" s="21"/>
      <c r="G25756" s="16"/>
    </row>
    <row r="25757" spans="4:7" ht="15" x14ac:dyDescent="0.3">
      <c r="D25757" s="25"/>
      <c r="F25757" s="21"/>
      <c r="G25757" s="16"/>
    </row>
    <row r="25758" spans="4:7" ht="15" x14ac:dyDescent="0.3">
      <c r="D25758" s="25"/>
      <c r="F25758" s="21"/>
      <c r="G25758" s="16"/>
    </row>
    <row r="25759" spans="4:7" ht="15" x14ac:dyDescent="0.3">
      <c r="D25759" s="25"/>
      <c r="F25759" s="21"/>
      <c r="G25759" s="16"/>
    </row>
    <row r="25760" spans="4:7" ht="15" x14ac:dyDescent="0.3">
      <c r="D25760" s="25"/>
      <c r="F25760" s="21"/>
      <c r="G25760" s="16"/>
    </row>
    <row r="25761" spans="4:7" ht="15" x14ac:dyDescent="0.3">
      <c r="D25761" s="25"/>
      <c r="F25761" s="21"/>
      <c r="G25761" s="16"/>
    </row>
    <row r="25762" spans="4:7" ht="15" x14ac:dyDescent="0.3">
      <c r="D25762" s="25"/>
      <c r="F25762" s="21"/>
      <c r="G25762" s="16"/>
    </row>
    <row r="25763" spans="4:7" ht="15" x14ac:dyDescent="0.3">
      <c r="D25763" s="25"/>
      <c r="F25763" s="21"/>
      <c r="G25763" s="16"/>
    </row>
    <row r="25764" spans="4:7" ht="15" x14ac:dyDescent="0.3">
      <c r="D25764" s="25"/>
      <c r="F25764" s="21"/>
      <c r="G25764" s="16"/>
    </row>
    <row r="25765" spans="4:7" ht="15" x14ac:dyDescent="0.3">
      <c r="D25765" s="25"/>
      <c r="F25765" s="21"/>
      <c r="G25765" s="16"/>
    </row>
    <row r="25766" spans="4:7" ht="15" x14ac:dyDescent="0.3">
      <c r="D25766" s="25"/>
      <c r="F25766" s="21"/>
      <c r="G25766" s="16"/>
    </row>
    <row r="25767" spans="4:7" ht="15" x14ac:dyDescent="0.3">
      <c r="D25767" s="25"/>
      <c r="F25767" s="21"/>
      <c r="G25767" s="16"/>
    </row>
    <row r="25768" spans="4:7" ht="15" x14ac:dyDescent="0.3">
      <c r="D25768" s="25"/>
      <c r="F25768" s="21"/>
      <c r="G25768" s="16"/>
    </row>
    <row r="25769" spans="4:7" ht="15" x14ac:dyDescent="0.3">
      <c r="D25769" s="25"/>
      <c r="F25769" s="21"/>
      <c r="G25769" s="16"/>
    </row>
    <row r="25770" spans="4:7" ht="15" x14ac:dyDescent="0.3">
      <c r="D25770" s="25"/>
      <c r="F25770" s="21"/>
      <c r="G25770" s="16"/>
    </row>
    <row r="25771" spans="4:7" ht="15" x14ac:dyDescent="0.3">
      <c r="D25771" s="25"/>
      <c r="F25771" s="21"/>
      <c r="G25771" s="16"/>
    </row>
    <row r="25772" spans="4:7" ht="15" x14ac:dyDescent="0.3">
      <c r="D25772" s="25"/>
      <c r="F25772" s="21"/>
      <c r="G25772" s="16"/>
    </row>
    <row r="25773" spans="4:7" ht="15" x14ac:dyDescent="0.3">
      <c r="D25773" s="25"/>
      <c r="F25773" s="21"/>
      <c r="G25773" s="16"/>
    </row>
    <row r="25774" spans="4:7" ht="15" x14ac:dyDescent="0.3">
      <c r="D25774" s="25"/>
      <c r="F25774" s="21"/>
      <c r="G25774" s="16"/>
    </row>
    <row r="25775" spans="4:7" ht="15" x14ac:dyDescent="0.3">
      <c r="D25775" s="25"/>
      <c r="F25775" s="21"/>
      <c r="G25775" s="16"/>
    </row>
    <row r="25776" spans="4:7" ht="15" x14ac:dyDescent="0.3">
      <c r="D25776" s="25"/>
      <c r="F25776" s="21"/>
      <c r="G25776" s="16"/>
    </row>
    <row r="25777" spans="4:7" ht="15" x14ac:dyDescent="0.3">
      <c r="D25777" s="25"/>
      <c r="F25777" s="21"/>
      <c r="G25777" s="16"/>
    </row>
    <row r="25778" spans="4:7" ht="15" x14ac:dyDescent="0.3">
      <c r="D25778" s="25"/>
      <c r="F25778" s="21"/>
      <c r="G25778" s="16"/>
    </row>
    <row r="25779" spans="4:7" ht="15" x14ac:dyDescent="0.3">
      <c r="D25779" s="25"/>
      <c r="F25779" s="21"/>
      <c r="G25779" s="16"/>
    </row>
    <row r="25780" spans="4:7" ht="15" x14ac:dyDescent="0.3">
      <c r="D25780" s="25"/>
      <c r="F25780" s="21"/>
      <c r="G25780" s="16"/>
    </row>
    <row r="25781" spans="4:7" ht="15" x14ac:dyDescent="0.3">
      <c r="D25781" s="25"/>
      <c r="F25781" s="21"/>
      <c r="G25781" s="16"/>
    </row>
    <row r="25782" spans="4:7" ht="15" x14ac:dyDescent="0.3">
      <c r="D25782" s="25"/>
      <c r="F25782" s="21"/>
      <c r="G25782" s="16"/>
    </row>
    <row r="25783" spans="4:7" ht="15" x14ac:dyDescent="0.3">
      <c r="D25783" s="25"/>
      <c r="F25783" s="21"/>
      <c r="G25783" s="16"/>
    </row>
    <row r="25784" spans="4:7" ht="15" x14ac:dyDescent="0.3">
      <c r="D25784" s="25"/>
      <c r="F25784" s="21"/>
      <c r="G25784" s="16"/>
    </row>
    <row r="25785" spans="4:7" ht="15" x14ac:dyDescent="0.3">
      <c r="D25785" s="25"/>
      <c r="F25785" s="21"/>
      <c r="G25785" s="16"/>
    </row>
    <row r="25786" spans="4:7" ht="15" x14ac:dyDescent="0.3">
      <c r="D25786" s="25"/>
      <c r="F25786" s="21"/>
      <c r="G25786" s="16"/>
    </row>
    <row r="25787" spans="4:7" ht="15" x14ac:dyDescent="0.3">
      <c r="D25787" s="25"/>
      <c r="F25787" s="21"/>
      <c r="G25787" s="16"/>
    </row>
    <row r="25788" spans="4:7" ht="15" x14ac:dyDescent="0.3">
      <c r="D25788" s="25"/>
      <c r="F25788" s="21"/>
      <c r="G25788" s="16"/>
    </row>
    <row r="25789" spans="4:7" ht="15" x14ac:dyDescent="0.3">
      <c r="D25789" s="25"/>
      <c r="F25789" s="21"/>
      <c r="G25789" s="16"/>
    </row>
    <row r="25790" spans="4:7" ht="15" x14ac:dyDescent="0.3">
      <c r="D25790" s="25"/>
      <c r="F25790" s="21"/>
      <c r="G25790" s="16"/>
    </row>
    <row r="25791" spans="4:7" ht="15" x14ac:dyDescent="0.3">
      <c r="D25791" s="25"/>
      <c r="F25791" s="21"/>
      <c r="G25791" s="16"/>
    </row>
    <row r="25792" spans="4:7" ht="15" x14ac:dyDescent="0.3">
      <c r="D25792" s="25"/>
      <c r="F25792" s="21"/>
      <c r="G25792" s="16"/>
    </row>
    <row r="25793" spans="4:7" ht="15" x14ac:dyDescent="0.3">
      <c r="D25793" s="25"/>
      <c r="F25793" s="21"/>
      <c r="G25793" s="16"/>
    </row>
    <row r="25794" spans="4:7" ht="15" x14ac:dyDescent="0.3">
      <c r="D25794" s="25"/>
      <c r="F25794" s="21"/>
      <c r="G25794" s="16"/>
    </row>
    <row r="25795" spans="4:7" ht="15" x14ac:dyDescent="0.3">
      <c r="D25795" s="25"/>
      <c r="F25795" s="21"/>
      <c r="G25795" s="16"/>
    </row>
    <row r="25796" spans="4:7" ht="15" x14ac:dyDescent="0.3">
      <c r="D25796" s="25"/>
      <c r="F25796" s="21"/>
      <c r="G25796" s="16"/>
    </row>
    <row r="25797" spans="4:7" ht="15" x14ac:dyDescent="0.3">
      <c r="D25797" s="25"/>
      <c r="F25797" s="21"/>
      <c r="G25797" s="16"/>
    </row>
    <row r="25798" spans="4:7" ht="15" x14ac:dyDescent="0.3">
      <c r="D25798" s="25"/>
      <c r="F25798" s="21"/>
      <c r="G25798" s="16"/>
    </row>
    <row r="25799" spans="4:7" ht="15" x14ac:dyDescent="0.3">
      <c r="D25799" s="25"/>
      <c r="F25799" s="21"/>
      <c r="G25799" s="16"/>
    </row>
    <row r="25800" spans="4:7" ht="15" x14ac:dyDescent="0.3">
      <c r="D25800" s="25"/>
      <c r="F25800" s="21"/>
      <c r="G25800" s="16"/>
    </row>
    <row r="25801" spans="4:7" ht="15" x14ac:dyDescent="0.3">
      <c r="D25801" s="25"/>
      <c r="F25801" s="21"/>
      <c r="G25801" s="16"/>
    </row>
    <row r="25802" spans="4:7" ht="15" x14ac:dyDescent="0.3">
      <c r="D25802" s="25"/>
      <c r="F25802" s="21"/>
      <c r="G25802" s="16"/>
    </row>
    <row r="25803" spans="4:7" ht="15" x14ac:dyDescent="0.3">
      <c r="D25803" s="25"/>
      <c r="F25803" s="21"/>
      <c r="G25803" s="16"/>
    </row>
    <row r="25804" spans="4:7" ht="15" x14ac:dyDescent="0.3">
      <c r="D25804" s="25"/>
      <c r="F25804" s="21"/>
      <c r="G25804" s="16"/>
    </row>
    <row r="25805" spans="4:7" ht="15" x14ac:dyDescent="0.3">
      <c r="D25805" s="25"/>
      <c r="F25805" s="21"/>
      <c r="G25805" s="16"/>
    </row>
    <row r="25806" spans="4:7" ht="15" x14ac:dyDescent="0.3">
      <c r="D25806" s="25"/>
      <c r="F25806" s="21"/>
      <c r="G25806" s="16"/>
    </row>
    <row r="25807" spans="4:7" ht="15" x14ac:dyDescent="0.3">
      <c r="D25807" s="25"/>
      <c r="F25807" s="21"/>
      <c r="G25807" s="16"/>
    </row>
    <row r="25808" spans="4:7" ht="15" x14ac:dyDescent="0.3">
      <c r="D25808" s="25"/>
      <c r="F25808" s="21"/>
      <c r="G25808" s="16"/>
    </row>
    <row r="25809" spans="4:7" ht="15" x14ac:dyDescent="0.3">
      <c r="D25809" s="25"/>
      <c r="F25809" s="21"/>
      <c r="G25809" s="16"/>
    </row>
    <row r="25810" spans="4:7" ht="15" x14ac:dyDescent="0.3">
      <c r="D25810" s="25"/>
      <c r="F25810" s="21"/>
      <c r="G25810" s="16"/>
    </row>
    <row r="25811" spans="4:7" ht="15" x14ac:dyDescent="0.3">
      <c r="D25811" s="25"/>
      <c r="F25811" s="21"/>
      <c r="G25811" s="16"/>
    </row>
    <row r="25812" spans="4:7" ht="15" x14ac:dyDescent="0.3">
      <c r="D25812" s="25"/>
      <c r="F25812" s="21"/>
      <c r="G25812" s="16"/>
    </row>
    <row r="25813" spans="4:7" ht="15" x14ac:dyDescent="0.3">
      <c r="D25813" s="25"/>
      <c r="F25813" s="21"/>
      <c r="G25813" s="16"/>
    </row>
    <row r="25814" spans="4:7" ht="15" x14ac:dyDescent="0.3">
      <c r="D25814" s="25"/>
      <c r="F25814" s="21"/>
      <c r="G25814" s="16"/>
    </row>
    <row r="25815" spans="4:7" ht="15" x14ac:dyDescent="0.3">
      <c r="D25815" s="25"/>
      <c r="F25815" s="21"/>
      <c r="G25815" s="16"/>
    </row>
    <row r="25816" spans="4:7" ht="15" x14ac:dyDescent="0.3">
      <c r="D25816" s="25"/>
      <c r="F25816" s="21"/>
      <c r="G25816" s="16"/>
    </row>
    <row r="25817" spans="4:7" ht="15" x14ac:dyDescent="0.3">
      <c r="D25817" s="25"/>
      <c r="F25817" s="21"/>
      <c r="G25817" s="16"/>
    </row>
    <row r="25818" spans="4:7" ht="15" x14ac:dyDescent="0.3">
      <c r="D25818" s="25"/>
      <c r="F25818" s="21"/>
      <c r="G25818" s="16"/>
    </row>
    <row r="25819" spans="4:7" ht="15" x14ac:dyDescent="0.3">
      <c r="D25819" s="25"/>
      <c r="F25819" s="21"/>
      <c r="G25819" s="16"/>
    </row>
    <row r="25820" spans="4:7" ht="15" x14ac:dyDescent="0.3">
      <c r="D25820" s="25"/>
      <c r="F25820" s="21"/>
      <c r="G25820" s="16"/>
    </row>
    <row r="25821" spans="4:7" ht="15" x14ac:dyDescent="0.3">
      <c r="D25821" s="25"/>
      <c r="F25821" s="21"/>
      <c r="G25821" s="16"/>
    </row>
    <row r="25822" spans="4:7" ht="15" x14ac:dyDescent="0.3">
      <c r="D25822" s="25"/>
      <c r="F25822" s="21"/>
      <c r="G25822" s="16"/>
    </row>
    <row r="25823" spans="4:7" ht="15" x14ac:dyDescent="0.3">
      <c r="D25823" s="25"/>
      <c r="F25823" s="21"/>
      <c r="G25823" s="16"/>
    </row>
    <row r="25824" spans="4:7" ht="15" x14ac:dyDescent="0.3">
      <c r="D25824" s="25"/>
      <c r="F25824" s="21"/>
      <c r="G25824" s="16"/>
    </row>
    <row r="25825" spans="4:7" ht="15" x14ac:dyDescent="0.3">
      <c r="D25825" s="25"/>
      <c r="F25825" s="21"/>
      <c r="G25825" s="16"/>
    </row>
    <row r="25826" spans="4:7" ht="15" x14ac:dyDescent="0.3">
      <c r="D25826" s="25"/>
      <c r="F25826" s="21"/>
      <c r="G25826" s="16"/>
    </row>
    <row r="25827" spans="4:7" ht="15" x14ac:dyDescent="0.3">
      <c r="D25827" s="25"/>
      <c r="F25827" s="21"/>
      <c r="G25827" s="16"/>
    </row>
    <row r="25828" spans="4:7" ht="15" x14ac:dyDescent="0.3">
      <c r="D25828" s="25"/>
      <c r="F25828" s="21"/>
      <c r="G25828" s="16"/>
    </row>
    <row r="25829" spans="4:7" ht="15" x14ac:dyDescent="0.3">
      <c r="D25829" s="25"/>
      <c r="F25829" s="21"/>
      <c r="G25829" s="16"/>
    </row>
    <row r="25830" spans="4:7" ht="15" x14ac:dyDescent="0.3">
      <c r="D25830" s="25"/>
      <c r="F25830" s="21"/>
      <c r="G25830" s="16"/>
    </row>
    <row r="25831" spans="4:7" ht="15" x14ac:dyDescent="0.3">
      <c r="D25831" s="25"/>
      <c r="F25831" s="21"/>
      <c r="G25831" s="16"/>
    </row>
    <row r="25832" spans="4:7" ht="15" x14ac:dyDescent="0.3">
      <c r="D25832" s="25"/>
      <c r="F25832" s="21"/>
      <c r="G25832" s="16"/>
    </row>
    <row r="25833" spans="4:7" ht="15" x14ac:dyDescent="0.3">
      <c r="D25833" s="25"/>
      <c r="F25833" s="21"/>
      <c r="G25833" s="16"/>
    </row>
    <row r="25834" spans="4:7" ht="15" x14ac:dyDescent="0.3">
      <c r="D25834" s="25"/>
      <c r="F25834" s="21"/>
      <c r="G25834" s="16"/>
    </row>
    <row r="25835" spans="4:7" ht="15" x14ac:dyDescent="0.3">
      <c r="D25835" s="25"/>
      <c r="F25835" s="21"/>
      <c r="G25835" s="16"/>
    </row>
    <row r="25836" spans="4:7" ht="15" x14ac:dyDescent="0.3">
      <c r="D25836" s="25"/>
      <c r="F25836" s="21"/>
      <c r="G25836" s="16"/>
    </row>
    <row r="25837" spans="4:7" ht="15" x14ac:dyDescent="0.3">
      <c r="D25837" s="25"/>
      <c r="F25837" s="21"/>
      <c r="G25837" s="16"/>
    </row>
    <row r="25838" spans="4:7" ht="15" x14ac:dyDescent="0.3">
      <c r="D25838" s="25"/>
      <c r="F25838" s="21"/>
      <c r="G25838" s="16"/>
    </row>
    <row r="25839" spans="4:7" ht="15" x14ac:dyDescent="0.3">
      <c r="D25839" s="25"/>
      <c r="F25839" s="21"/>
      <c r="G25839" s="16"/>
    </row>
    <row r="25840" spans="4:7" ht="15" x14ac:dyDescent="0.3">
      <c r="D25840" s="25"/>
      <c r="F25840" s="21"/>
      <c r="G25840" s="16"/>
    </row>
    <row r="25841" spans="4:7" ht="15" x14ac:dyDescent="0.3">
      <c r="D25841" s="25"/>
      <c r="F25841" s="21"/>
      <c r="G25841" s="16"/>
    </row>
    <row r="25842" spans="4:7" ht="15" x14ac:dyDescent="0.3">
      <c r="D25842" s="25"/>
      <c r="F25842" s="21"/>
      <c r="G25842" s="16"/>
    </row>
    <row r="25843" spans="4:7" ht="15" x14ac:dyDescent="0.3">
      <c r="D25843" s="25"/>
      <c r="F25843" s="21"/>
      <c r="G25843" s="16"/>
    </row>
    <row r="25844" spans="4:7" ht="15" x14ac:dyDescent="0.3">
      <c r="D25844" s="25"/>
      <c r="F25844" s="21"/>
      <c r="G25844" s="16"/>
    </row>
    <row r="25845" spans="4:7" ht="15" x14ac:dyDescent="0.3">
      <c r="D25845" s="25"/>
      <c r="F25845" s="21"/>
      <c r="G25845" s="16"/>
    </row>
    <row r="25846" spans="4:7" ht="15" x14ac:dyDescent="0.3">
      <c r="D25846" s="25"/>
      <c r="F25846" s="21"/>
      <c r="G25846" s="16"/>
    </row>
    <row r="25847" spans="4:7" ht="15" x14ac:dyDescent="0.3">
      <c r="D25847" s="25"/>
      <c r="F25847" s="21"/>
      <c r="G25847" s="16"/>
    </row>
    <row r="25848" spans="4:7" ht="15" x14ac:dyDescent="0.3">
      <c r="D25848" s="25"/>
      <c r="F25848" s="21"/>
      <c r="G25848" s="16"/>
    </row>
    <row r="25849" spans="4:7" ht="15" x14ac:dyDescent="0.3">
      <c r="D25849" s="25"/>
      <c r="F25849" s="21"/>
      <c r="G25849" s="16"/>
    </row>
    <row r="25850" spans="4:7" ht="15" x14ac:dyDescent="0.3">
      <c r="D25850" s="25"/>
      <c r="F25850" s="21"/>
      <c r="G25850" s="16"/>
    </row>
    <row r="25851" spans="4:7" ht="15" x14ac:dyDescent="0.3">
      <c r="D25851" s="25"/>
      <c r="F25851" s="21"/>
      <c r="G25851" s="16"/>
    </row>
    <row r="25852" spans="4:7" ht="15" x14ac:dyDescent="0.3">
      <c r="D25852" s="25"/>
      <c r="F25852" s="21"/>
      <c r="G25852" s="16"/>
    </row>
    <row r="25853" spans="4:7" ht="15" x14ac:dyDescent="0.3">
      <c r="D25853" s="25"/>
      <c r="F25853" s="21"/>
      <c r="G25853" s="16"/>
    </row>
    <row r="25854" spans="4:7" ht="15" x14ac:dyDescent="0.3">
      <c r="D25854" s="25"/>
      <c r="F25854" s="21"/>
      <c r="G25854" s="16"/>
    </row>
    <row r="25855" spans="4:7" ht="15" x14ac:dyDescent="0.3">
      <c r="D25855" s="25"/>
      <c r="F25855" s="21"/>
      <c r="G25855" s="16"/>
    </row>
    <row r="25856" spans="4:7" ht="15" x14ac:dyDescent="0.3">
      <c r="D25856" s="25"/>
      <c r="F25856" s="21"/>
      <c r="G25856" s="16"/>
    </row>
    <row r="25857" spans="4:7" ht="15" x14ac:dyDescent="0.3">
      <c r="D25857" s="25"/>
      <c r="F25857" s="21"/>
      <c r="G25857" s="16"/>
    </row>
    <row r="25858" spans="4:7" ht="15" x14ac:dyDescent="0.3">
      <c r="D25858" s="25"/>
      <c r="F25858" s="21"/>
      <c r="G25858" s="16"/>
    </row>
    <row r="25859" spans="4:7" ht="15" x14ac:dyDescent="0.3">
      <c r="D25859" s="25"/>
      <c r="F25859" s="21"/>
      <c r="G25859" s="16"/>
    </row>
    <row r="25860" spans="4:7" ht="15" x14ac:dyDescent="0.3">
      <c r="D25860" s="25"/>
      <c r="F25860" s="21"/>
      <c r="G25860" s="16"/>
    </row>
    <row r="25861" spans="4:7" ht="15" x14ac:dyDescent="0.3">
      <c r="D25861" s="25"/>
      <c r="F25861" s="21"/>
      <c r="G25861" s="16"/>
    </row>
    <row r="25862" spans="4:7" ht="15" x14ac:dyDescent="0.3">
      <c r="D25862" s="25"/>
      <c r="F25862" s="21"/>
      <c r="G25862" s="16"/>
    </row>
    <row r="25863" spans="4:7" ht="15" x14ac:dyDescent="0.3">
      <c r="D25863" s="25"/>
      <c r="F25863" s="21"/>
      <c r="G25863" s="16"/>
    </row>
    <row r="25864" spans="4:7" ht="15" x14ac:dyDescent="0.3">
      <c r="D25864" s="25"/>
      <c r="F25864" s="21"/>
      <c r="G25864" s="16"/>
    </row>
    <row r="25865" spans="4:7" ht="15" x14ac:dyDescent="0.3">
      <c r="D25865" s="25"/>
      <c r="F25865" s="21"/>
      <c r="G25865" s="16"/>
    </row>
    <row r="25866" spans="4:7" ht="15" x14ac:dyDescent="0.3">
      <c r="D25866" s="25"/>
      <c r="F25866" s="21"/>
      <c r="G25866" s="16"/>
    </row>
    <row r="25867" spans="4:7" ht="15" x14ac:dyDescent="0.3">
      <c r="D25867" s="25"/>
      <c r="F25867" s="21"/>
      <c r="G25867" s="16"/>
    </row>
    <row r="25868" spans="4:7" ht="15" x14ac:dyDescent="0.3">
      <c r="D25868" s="25"/>
      <c r="F25868" s="21"/>
      <c r="G25868" s="16"/>
    </row>
    <row r="25869" spans="4:7" ht="15" x14ac:dyDescent="0.3">
      <c r="D25869" s="25"/>
      <c r="F25869" s="21"/>
      <c r="G25869" s="16"/>
    </row>
    <row r="25870" spans="4:7" ht="15" x14ac:dyDescent="0.3">
      <c r="D25870" s="25"/>
      <c r="F25870" s="21"/>
      <c r="G25870" s="16"/>
    </row>
    <row r="25871" spans="4:7" ht="15" x14ac:dyDescent="0.3">
      <c r="D25871" s="25"/>
      <c r="F25871" s="21"/>
      <c r="G25871" s="16"/>
    </row>
    <row r="25872" spans="4:7" ht="15" x14ac:dyDescent="0.3">
      <c r="D25872" s="25"/>
      <c r="F25872" s="21"/>
      <c r="G25872" s="16"/>
    </row>
    <row r="25873" spans="4:7" ht="15" x14ac:dyDescent="0.3">
      <c r="D25873" s="25"/>
      <c r="F25873" s="21"/>
      <c r="G25873" s="16"/>
    </row>
    <row r="25874" spans="4:7" ht="15" x14ac:dyDescent="0.3">
      <c r="D25874" s="25"/>
      <c r="F25874" s="21"/>
      <c r="G25874" s="16"/>
    </row>
    <row r="25875" spans="4:7" ht="15" x14ac:dyDescent="0.3">
      <c r="D25875" s="25"/>
      <c r="F25875" s="21"/>
      <c r="G25875" s="16"/>
    </row>
    <row r="25876" spans="4:7" ht="15" x14ac:dyDescent="0.3">
      <c r="D25876" s="25"/>
      <c r="F25876" s="21"/>
      <c r="G25876" s="16"/>
    </row>
    <row r="25877" spans="4:7" ht="15" x14ac:dyDescent="0.3">
      <c r="D25877" s="25"/>
      <c r="F25877" s="21"/>
      <c r="G25877" s="16"/>
    </row>
    <row r="25878" spans="4:7" ht="15" x14ac:dyDescent="0.3">
      <c r="D25878" s="25"/>
      <c r="F25878" s="21"/>
      <c r="G25878" s="16"/>
    </row>
    <row r="25879" spans="4:7" ht="15" x14ac:dyDescent="0.3">
      <c r="D25879" s="25"/>
      <c r="F25879" s="21"/>
      <c r="G25879" s="16"/>
    </row>
    <row r="25880" spans="4:7" ht="15" x14ac:dyDescent="0.3">
      <c r="D25880" s="25"/>
      <c r="F25880" s="21"/>
      <c r="G25880" s="16"/>
    </row>
    <row r="25881" spans="4:7" ht="15" x14ac:dyDescent="0.3">
      <c r="D25881" s="25"/>
      <c r="F25881" s="21"/>
      <c r="G25881" s="16"/>
    </row>
    <row r="25882" spans="4:7" ht="15" x14ac:dyDescent="0.3">
      <c r="D25882" s="25"/>
      <c r="F25882" s="21"/>
      <c r="G25882" s="16"/>
    </row>
    <row r="25883" spans="4:7" ht="15" x14ac:dyDescent="0.3">
      <c r="D25883" s="25"/>
      <c r="F25883" s="21"/>
      <c r="G25883" s="16"/>
    </row>
    <row r="25884" spans="4:7" ht="15" x14ac:dyDescent="0.3">
      <c r="D25884" s="25"/>
      <c r="F25884" s="21"/>
      <c r="G25884" s="16"/>
    </row>
    <row r="25885" spans="4:7" ht="15" x14ac:dyDescent="0.3">
      <c r="D25885" s="25"/>
      <c r="F25885" s="21"/>
      <c r="G25885" s="16"/>
    </row>
    <row r="25886" spans="4:7" ht="15" x14ac:dyDescent="0.3">
      <c r="D25886" s="25"/>
      <c r="F25886" s="21"/>
      <c r="G25886" s="16"/>
    </row>
    <row r="25887" spans="4:7" ht="15" x14ac:dyDescent="0.3">
      <c r="D25887" s="25"/>
      <c r="F25887" s="21"/>
      <c r="G25887" s="16"/>
    </row>
    <row r="25888" spans="4:7" ht="15" x14ac:dyDescent="0.3">
      <c r="D25888" s="25"/>
      <c r="F25888" s="21"/>
      <c r="G25888" s="16"/>
    </row>
    <row r="25889" spans="4:7" ht="15" x14ac:dyDescent="0.3">
      <c r="D25889" s="25"/>
      <c r="F25889" s="21"/>
      <c r="G25889" s="16"/>
    </row>
    <row r="25890" spans="4:7" ht="15" x14ac:dyDescent="0.3">
      <c r="D25890" s="25"/>
      <c r="F25890" s="21"/>
      <c r="G25890" s="16"/>
    </row>
    <row r="25891" spans="4:7" ht="15" x14ac:dyDescent="0.3">
      <c r="D25891" s="25"/>
      <c r="F25891" s="21"/>
      <c r="G25891" s="16"/>
    </row>
    <row r="25892" spans="4:7" ht="15" x14ac:dyDescent="0.3">
      <c r="D25892" s="25"/>
      <c r="F25892" s="21"/>
      <c r="G25892" s="16"/>
    </row>
    <row r="25893" spans="4:7" ht="15" x14ac:dyDescent="0.3">
      <c r="D25893" s="25"/>
      <c r="F25893" s="21"/>
      <c r="G25893" s="16"/>
    </row>
    <row r="25894" spans="4:7" ht="15" x14ac:dyDescent="0.3">
      <c r="D25894" s="25"/>
      <c r="F25894" s="21"/>
      <c r="G25894" s="16"/>
    </row>
    <row r="25895" spans="4:7" ht="15" x14ac:dyDescent="0.3">
      <c r="D25895" s="25"/>
      <c r="F25895" s="21"/>
      <c r="G25895" s="16"/>
    </row>
    <row r="25896" spans="4:7" ht="15" x14ac:dyDescent="0.3">
      <c r="D25896" s="25"/>
      <c r="F25896" s="21"/>
      <c r="G25896" s="16"/>
    </row>
    <row r="25897" spans="4:7" ht="15" x14ac:dyDescent="0.3">
      <c r="D25897" s="25"/>
      <c r="F25897" s="21"/>
      <c r="G25897" s="16"/>
    </row>
    <row r="25898" spans="4:7" ht="15" x14ac:dyDescent="0.3">
      <c r="D25898" s="25"/>
      <c r="F25898" s="21"/>
      <c r="G25898" s="16"/>
    </row>
    <row r="25899" spans="4:7" ht="15" x14ac:dyDescent="0.3">
      <c r="D25899" s="25"/>
      <c r="F25899" s="21"/>
      <c r="G25899" s="16"/>
    </row>
    <row r="25900" spans="4:7" ht="15" x14ac:dyDescent="0.3">
      <c r="D25900" s="25"/>
      <c r="F25900" s="21"/>
      <c r="G25900" s="16"/>
    </row>
    <row r="25901" spans="4:7" ht="15" x14ac:dyDescent="0.3">
      <c r="D25901" s="25"/>
      <c r="F25901" s="21"/>
      <c r="G25901" s="16"/>
    </row>
    <row r="25902" spans="4:7" ht="15" x14ac:dyDescent="0.3">
      <c r="D25902" s="25"/>
      <c r="F25902" s="21"/>
      <c r="G25902" s="16"/>
    </row>
    <row r="25903" spans="4:7" ht="15" x14ac:dyDescent="0.3">
      <c r="D25903" s="25"/>
      <c r="F25903" s="21"/>
      <c r="G25903" s="16"/>
    </row>
    <row r="25904" spans="4:7" ht="15" x14ac:dyDescent="0.3">
      <c r="D25904" s="25"/>
      <c r="F25904" s="21"/>
      <c r="G25904" s="16"/>
    </row>
    <row r="25905" spans="4:7" ht="15" x14ac:dyDescent="0.3">
      <c r="D25905" s="25"/>
      <c r="F25905" s="21"/>
      <c r="G25905" s="16"/>
    </row>
    <row r="25906" spans="4:7" ht="15" x14ac:dyDescent="0.3">
      <c r="D25906" s="25"/>
      <c r="F25906" s="21"/>
      <c r="G25906" s="16"/>
    </row>
    <row r="25907" spans="4:7" ht="15" x14ac:dyDescent="0.3">
      <c r="D25907" s="25"/>
      <c r="F25907" s="21"/>
      <c r="G25907" s="16"/>
    </row>
    <row r="25908" spans="4:7" ht="15" x14ac:dyDescent="0.3">
      <c r="D25908" s="25"/>
      <c r="F25908" s="21"/>
      <c r="G25908" s="16"/>
    </row>
    <row r="25909" spans="4:7" ht="15" x14ac:dyDescent="0.3">
      <c r="D25909" s="25"/>
      <c r="F25909" s="21"/>
      <c r="G25909" s="16"/>
    </row>
    <row r="25910" spans="4:7" ht="15" x14ac:dyDescent="0.3">
      <c r="D25910" s="25"/>
      <c r="F25910" s="21"/>
      <c r="G25910" s="16"/>
    </row>
    <row r="25911" spans="4:7" ht="15" x14ac:dyDescent="0.3">
      <c r="D25911" s="25"/>
      <c r="F25911" s="21"/>
      <c r="G25911" s="16"/>
    </row>
    <row r="25912" spans="4:7" ht="15" x14ac:dyDescent="0.3">
      <c r="D25912" s="25"/>
      <c r="F25912" s="21"/>
      <c r="G25912" s="16"/>
    </row>
    <row r="25913" spans="4:7" ht="15" x14ac:dyDescent="0.3">
      <c r="D25913" s="25"/>
      <c r="F25913" s="21"/>
      <c r="G25913" s="16"/>
    </row>
    <row r="25914" spans="4:7" ht="15" x14ac:dyDescent="0.3">
      <c r="D25914" s="25"/>
      <c r="F25914" s="21"/>
      <c r="G25914" s="16"/>
    </row>
    <row r="25915" spans="4:7" ht="15" x14ac:dyDescent="0.3">
      <c r="D25915" s="25"/>
      <c r="F25915" s="21"/>
      <c r="G25915" s="16"/>
    </row>
    <row r="25916" spans="4:7" ht="15" x14ac:dyDescent="0.3">
      <c r="D25916" s="25"/>
      <c r="F25916" s="21"/>
      <c r="G25916" s="16"/>
    </row>
    <row r="25917" spans="4:7" ht="15" x14ac:dyDescent="0.3">
      <c r="D25917" s="25"/>
      <c r="F25917" s="21"/>
      <c r="G25917" s="16"/>
    </row>
    <row r="25918" spans="4:7" ht="15" x14ac:dyDescent="0.3">
      <c r="D25918" s="25"/>
      <c r="F25918" s="21"/>
      <c r="G25918" s="16"/>
    </row>
    <row r="25919" spans="4:7" ht="15" x14ac:dyDescent="0.3">
      <c r="D25919" s="25"/>
      <c r="F25919" s="21"/>
      <c r="G25919" s="16"/>
    </row>
    <row r="25920" spans="4:7" ht="15" x14ac:dyDescent="0.3">
      <c r="D25920" s="25"/>
      <c r="F25920" s="21"/>
      <c r="G25920" s="16"/>
    </row>
    <row r="25921" spans="4:7" ht="15" x14ac:dyDescent="0.3">
      <c r="D25921" s="25"/>
      <c r="F25921" s="21"/>
      <c r="G25921" s="16"/>
    </row>
    <row r="25922" spans="4:7" ht="15" x14ac:dyDescent="0.3">
      <c r="D25922" s="25"/>
      <c r="F25922" s="21"/>
      <c r="G25922" s="16"/>
    </row>
    <row r="25923" spans="4:7" ht="15" x14ac:dyDescent="0.3">
      <c r="D25923" s="25"/>
      <c r="F25923" s="21"/>
      <c r="G25923" s="16"/>
    </row>
    <row r="25924" spans="4:7" ht="15" x14ac:dyDescent="0.3">
      <c r="D25924" s="25"/>
      <c r="F25924" s="21"/>
      <c r="G25924" s="16"/>
    </row>
    <row r="25925" spans="4:7" ht="15" x14ac:dyDescent="0.3">
      <c r="D25925" s="25"/>
      <c r="F25925" s="21"/>
      <c r="G25925" s="16"/>
    </row>
    <row r="25926" spans="4:7" ht="15" x14ac:dyDescent="0.3">
      <c r="D25926" s="25"/>
      <c r="F25926" s="21"/>
      <c r="G25926" s="16"/>
    </row>
    <row r="25927" spans="4:7" ht="15" x14ac:dyDescent="0.3">
      <c r="D25927" s="25"/>
      <c r="F25927" s="21"/>
      <c r="G25927" s="16"/>
    </row>
    <row r="25928" spans="4:7" ht="15" x14ac:dyDescent="0.3">
      <c r="D25928" s="25"/>
      <c r="F25928" s="21"/>
      <c r="G25928" s="16"/>
    </row>
    <row r="25929" spans="4:7" ht="15" x14ac:dyDescent="0.3">
      <c r="D25929" s="25"/>
      <c r="F25929" s="21"/>
      <c r="G25929" s="16"/>
    </row>
    <row r="25930" spans="4:7" ht="15" x14ac:dyDescent="0.3">
      <c r="D25930" s="25"/>
      <c r="F25930" s="21"/>
      <c r="G25930" s="16"/>
    </row>
    <row r="25931" spans="4:7" ht="15" x14ac:dyDescent="0.3">
      <c r="D25931" s="25"/>
      <c r="F25931" s="21"/>
      <c r="G25931" s="16"/>
    </row>
    <row r="25932" spans="4:7" ht="15" x14ac:dyDescent="0.3">
      <c r="D25932" s="25"/>
      <c r="F25932" s="21"/>
      <c r="G25932" s="16"/>
    </row>
    <row r="25933" spans="4:7" ht="15" x14ac:dyDescent="0.3">
      <c r="D25933" s="25"/>
      <c r="F25933" s="21"/>
      <c r="G25933" s="16"/>
    </row>
    <row r="25934" spans="4:7" ht="15" x14ac:dyDescent="0.3">
      <c r="D25934" s="25"/>
      <c r="F25934" s="21"/>
      <c r="G25934" s="16"/>
    </row>
    <row r="25935" spans="4:7" ht="15" x14ac:dyDescent="0.3">
      <c r="D25935" s="25"/>
      <c r="F25935" s="21"/>
      <c r="G25935" s="16"/>
    </row>
    <row r="25936" spans="4:7" ht="15" x14ac:dyDescent="0.3">
      <c r="D25936" s="25"/>
      <c r="F25936" s="21"/>
      <c r="G25936" s="16"/>
    </row>
    <row r="25937" spans="4:7" ht="15" x14ac:dyDescent="0.3">
      <c r="D25937" s="25"/>
      <c r="F25937" s="21"/>
      <c r="G25937" s="16"/>
    </row>
    <row r="25938" spans="4:7" ht="15" x14ac:dyDescent="0.3">
      <c r="D25938" s="25"/>
      <c r="F25938" s="21"/>
      <c r="G25938" s="16"/>
    </row>
    <row r="25939" spans="4:7" ht="15" x14ac:dyDescent="0.3">
      <c r="D25939" s="25"/>
      <c r="F25939" s="21"/>
      <c r="G25939" s="16"/>
    </row>
    <row r="25940" spans="4:7" ht="15" x14ac:dyDescent="0.3">
      <c r="D25940" s="25"/>
      <c r="F25940" s="21"/>
      <c r="G25940" s="16"/>
    </row>
    <row r="25941" spans="4:7" ht="15" x14ac:dyDescent="0.3">
      <c r="D25941" s="25"/>
      <c r="F25941" s="21"/>
      <c r="G25941" s="16"/>
    </row>
    <row r="25942" spans="4:7" ht="15" x14ac:dyDescent="0.3">
      <c r="D25942" s="25"/>
      <c r="F25942" s="21"/>
      <c r="G25942" s="16"/>
    </row>
    <row r="25943" spans="4:7" ht="15" x14ac:dyDescent="0.3">
      <c r="D25943" s="25"/>
      <c r="F25943" s="21"/>
      <c r="G25943" s="16"/>
    </row>
    <row r="25944" spans="4:7" ht="15" x14ac:dyDescent="0.3">
      <c r="D25944" s="25"/>
      <c r="F25944" s="21"/>
      <c r="G25944" s="16"/>
    </row>
    <row r="25945" spans="4:7" ht="15" x14ac:dyDescent="0.3">
      <c r="D25945" s="25"/>
      <c r="F25945" s="21"/>
      <c r="G25945" s="16"/>
    </row>
    <row r="25946" spans="4:7" ht="15" x14ac:dyDescent="0.3">
      <c r="D25946" s="25"/>
      <c r="F25946" s="21"/>
      <c r="G25946" s="16"/>
    </row>
    <row r="25947" spans="4:7" ht="15" x14ac:dyDescent="0.3">
      <c r="D25947" s="25"/>
      <c r="F25947" s="21"/>
      <c r="G25947" s="16"/>
    </row>
    <row r="25948" spans="4:7" ht="15" x14ac:dyDescent="0.3">
      <c r="D25948" s="25"/>
      <c r="F25948" s="21"/>
      <c r="G25948" s="16"/>
    </row>
    <row r="25949" spans="4:7" ht="15" x14ac:dyDescent="0.3">
      <c r="D25949" s="25"/>
      <c r="F25949" s="21"/>
      <c r="G25949" s="16"/>
    </row>
    <row r="25950" spans="4:7" ht="15" x14ac:dyDescent="0.3">
      <c r="D25950" s="25"/>
      <c r="F25950" s="21"/>
      <c r="G25950" s="16"/>
    </row>
    <row r="25951" spans="4:7" ht="15" x14ac:dyDescent="0.3">
      <c r="D25951" s="25"/>
      <c r="F25951" s="21"/>
      <c r="G25951" s="16"/>
    </row>
    <row r="25952" spans="4:7" ht="15" x14ac:dyDescent="0.3">
      <c r="D25952" s="25"/>
      <c r="F25952" s="21"/>
      <c r="G25952" s="16"/>
    </row>
    <row r="25953" spans="4:7" ht="15" x14ac:dyDescent="0.3">
      <c r="D25953" s="25"/>
      <c r="F25953" s="21"/>
      <c r="G25953" s="16"/>
    </row>
    <row r="25954" spans="4:7" ht="15" x14ac:dyDescent="0.3">
      <c r="D25954" s="25"/>
      <c r="F25954" s="21"/>
      <c r="G25954" s="16"/>
    </row>
    <row r="25955" spans="4:7" ht="15" x14ac:dyDescent="0.3">
      <c r="D25955" s="25"/>
      <c r="F25955" s="21"/>
      <c r="G25955" s="16"/>
    </row>
    <row r="25956" spans="4:7" ht="15" x14ac:dyDescent="0.3">
      <c r="D25956" s="25"/>
      <c r="F25956" s="21"/>
      <c r="G25956" s="16"/>
    </row>
    <row r="25957" spans="4:7" ht="15" x14ac:dyDescent="0.3">
      <c r="D25957" s="25"/>
      <c r="F25957" s="21"/>
      <c r="G25957" s="16"/>
    </row>
    <row r="25958" spans="4:7" ht="15" x14ac:dyDescent="0.3">
      <c r="D25958" s="25"/>
      <c r="F25958" s="21"/>
      <c r="G25958" s="16"/>
    </row>
    <row r="25959" spans="4:7" ht="15" x14ac:dyDescent="0.3">
      <c r="D25959" s="25"/>
      <c r="F25959" s="21"/>
      <c r="G25959" s="16"/>
    </row>
    <row r="25960" spans="4:7" ht="15" x14ac:dyDescent="0.3">
      <c r="D25960" s="25"/>
      <c r="F25960" s="21"/>
      <c r="G25960" s="16"/>
    </row>
    <row r="25961" spans="4:7" ht="15" x14ac:dyDescent="0.3">
      <c r="D25961" s="25"/>
      <c r="F25961" s="21"/>
      <c r="G25961" s="16"/>
    </row>
    <row r="25962" spans="4:7" ht="15" x14ac:dyDescent="0.3">
      <c r="D25962" s="25"/>
      <c r="F25962" s="21"/>
      <c r="G25962" s="16"/>
    </row>
    <row r="25963" spans="4:7" ht="15" x14ac:dyDescent="0.3">
      <c r="D25963" s="25"/>
      <c r="F25963" s="21"/>
      <c r="G25963" s="16"/>
    </row>
    <row r="25964" spans="4:7" ht="15" x14ac:dyDescent="0.3">
      <c r="D25964" s="25"/>
      <c r="F25964" s="21"/>
      <c r="G25964" s="16"/>
    </row>
    <row r="25965" spans="4:7" ht="15" x14ac:dyDescent="0.3">
      <c r="D25965" s="25"/>
      <c r="F25965" s="21"/>
      <c r="G25965" s="16"/>
    </row>
    <row r="25966" spans="4:7" ht="15" x14ac:dyDescent="0.3">
      <c r="D25966" s="25"/>
      <c r="F25966" s="21"/>
      <c r="G25966" s="16"/>
    </row>
    <row r="25967" spans="4:7" ht="15" x14ac:dyDescent="0.3">
      <c r="D25967" s="25"/>
      <c r="F25967" s="21"/>
      <c r="G25967" s="16"/>
    </row>
    <row r="25968" spans="4:7" ht="15" x14ac:dyDescent="0.3">
      <c r="D25968" s="25"/>
      <c r="F25968" s="21"/>
      <c r="G25968" s="16"/>
    </row>
    <row r="25969" spans="4:7" ht="15" x14ac:dyDescent="0.3">
      <c r="D25969" s="25"/>
      <c r="F25969" s="21"/>
      <c r="G25969" s="16"/>
    </row>
    <row r="25970" spans="4:7" ht="15" x14ac:dyDescent="0.3">
      <c r="D25970" s="25"/>
      <c r="F25970" s="21"/>
      <c r="G25970" s="16"/>
    </row>
    <row r="25971" spans="4:7" ht="15" x14ac:dyDescent="0.3">
      <c r="D25971" s="25"/>
      <c r="F25971" s="21"/>
      <c r="G25971" s="16"/>
    </row>
    <row r="25972" spans="4:7" ht="15" x14ac:dyDescent="0.3">
      <c r="D25972" s="25"/>
      <c r="F25972" s="21"/>
      <c r="G25972" s="16"/>
    </row>
    <row r="25973" spans="4:7" ht="15" x14ac:dyDescent="0.3">
      <c r="D25973" s="25"/>
      <c r="F25973" s="21"/>
      <c r="G25973" s="16"/>
    </row>
    <row r="25974" spans="4:7" ht="15" x14ac:dyDescent="0.3">
      <c r="D25974" s="25"/>
      <c r="F25974" s="21"/>
      <c r="G25974" s="16"/>
    </row>
    <row r="25975" spans="4:7" ht="15" x14ac:dyDescent="0.3">
      <c r="D25975" s="25"/>
      <c r="F25975" s="21"/>
      <c r="G25975" s="16"/>
    </row>
    <row r="25976" spans="4:7" ht="15" x14ac:dyDescent="0.3">
      <c r="D25976" s="25"/>
      <c r="F25976" s="21"/>
      <c r="G25976" s="16"/>
    </row>
    <row r="25977" spans="4:7" ht="15" x14ac:dyDescent="0.3">
      <c r="D25977" s="25"/>
      <c r="F25977" s="21"/>
      <c r="G25977" s="16"/>
    </row>
    <row r="25978" spans="4:7" ht="15" x14ac:dyDescent="0.3">
      <c r="D25978" s="25"/>
      <c r="F25978" s="21"/>
      <c r="G25978" s="16"/>
    </row>
    <row r="25979" spans="4:7" ht="15" x14ac:dyDescent="0.3">
      <c r="D25979" s="25"/>
      <c r="F25979" s="21"/>
      <c r="G25979" s="16"/>
    </row>
    <row r="25980" spans="4:7" ht="15" x14ac:dyDescent="0.3">
      <c r="D25980" s="25"/>
      <c r="F25980" s="21"/>
      <c r="G25980" s="16"/>
    </row>
    <row r="25981" spans="4:7" ht="15" x14ac:dyDescent="0.3">
      <c r="D25981" s="25"/>
      <c r="F25981" s="21"/>
      <c r="G25981" s="16"/>
    </row>
    <row r="25982" spans="4:7" ht="15" x14ac:dyDescent="0.3">
      <c r="D25982" s="25"/>
      <c r="F25982" s="21"/>
      <c r="G25982" s="16"/>
    </row>
    <row r="25983" spans="4:7" ht="15" x14ac:dyDescent="0.3">
      <c r="D25983" s="25"/>
      <c r="F25983" s="21"/>
      <c r="G25983" s="16"/>
    </row>
    <row r="25984" spans="4:7" ht="15" x14ac:dyDescent="0.3">
      <c r="D25984" s="25"/>
      <c r="F25984" s="21"/>
      <c r="G25984" s="16"/>
    </row>
    <row r="25985" spans="4:7" ht="15" x14ac:dyDescent="0.3">
      <c r="D25985" s="25"/>
      <c r="F25985" s="21"/>
      <c r="G25985" s="16"/>
    </row>
    <row r="25986" spans="4:7" ht="15" x14ac:dyDescent="0.3">
      <c r="D25986" s="25"/>
      <c r="F25986" s="21"/>
      <c r="G25986" s="16"/>
    </row>
    <row r="25987" spans="4:7" ht="15" x14ac:dyDescent="0.3">
      <c r="D25987" s="25"/>
      <c r="F25987" s="21"/>
      <c r="G25987" s="16"/>
    </row>
    <row r="25988" spans="4:7" ht="15" x14ac:dyDescent="0.3">
      <c r="D25988" s="25"/>
      <c r="F25988" s="21"/>
      <c r="G25988" s="16"/>
    </row>
    <row r="25989" spans="4:7" ht="15" x14ac:dyDescent="0.3">
      <c r="D25989" s="25"/>
      <c r="F25989" s="21"/>
      <c r="G25989" s="16"/>
    </row>
    <row r="25990" spans="4:7" ht="15" x14ac:dyDescent="0.3">
      <c r="D25990" s="25"/>
      <c r="F25990" s="21"/>
      <c r="G25990" s="16"/>
    </row>
    <row r="25991" spans="4:7" ht="15" x14ac:dyDescent="0.3">
      <c r="D25991" s="25"/>
      <c r="F25991" s="21"/>
      <c r="G25991" s="16"/>
    </row>
    <row r="25992" spans="4:7" ht="15" x14ac:dyDescent="0.3">
      <c r="D25992" s="25"/>
      <c r="F25992" s="21"/>
      <c r="G25992" s="16"/>
    </row>
    <row r="25993" spans="4:7" ht="15" x14ac:dyDescent="0.3">
      <c r="D25993" s="25"/>
      <c r="F25993" s="21"/>
      <c r="G25993" s="16"/>
    </row>
    <row r="25994" spans="4:7" ht="15" x14ac:dyDescent="0.3">
      <c r="D25994" s="25"/>
      <c r="F25994" s="21"/>
      <c r="G25994" s="16"/>
    </row>
    <row r="25995" spans="4:7" ht="15" x14ac:dyDescent="0.3">
      <c r="D25995" s="25"/>
      <c r="F25995" s="21"/>
      <c r="G25995" s="16"/>
    </row>
    <row r="25996" spans="4:7" ht="15" x14ac:dyDescent="0.3">
      <c r="D25996" s="25"/>
      <c r="F25996" s="21"/>
      <c r="G25996" s="16"/>
    </row>
    <row r="25997" spans="4:7" ht="15" x14ac:dyDescent="0.3">
      <c r="D25997" s="25"/>
      <c r="F25997" s="21"/>
      <c r="G25997" s="16"/>
    </row>
    <row r="25998" spans="4:7" ht="15" x14ac:dyDescent="0.3">
      <c r="D25998" s="25"/>
      <c r="F25998" s="21"/>
      <c r="G25998" s="16"/>
    </row>
    <row r="25999" spans="4:7" ht="15" x14ac:dyDescent="0.3">
      <c r="D25999" s="25"/>
      <c r="F25999" s="21"/>
      <c r="G25999" s="16"/>
    </row>
    <row r="26000" spans="4:7" ht="15" x14ac:dyDescent="0.3">
      <c r="D26000" s="25"/>
      <c r="F26000" s="21"/>
      <c r="G26000" s="16"/>
    </row>
    <row r="26001" spans="4:7" ht="15" x14ac:dyDescent="0.3">
      <c r="D26001" s="25"/>
      <c r="F26001" s="21"/>
      <c r="G26001" s="16"/>
    </row>
    <row r="26002" spans="4:7" ht="15" x14ac:dyDescent="0.3">
      <c r="D26002" s="25"/>
      <c r="F26002" s="21"/>
      <c r="G26002" s="16"/>
    </row>
    <row r="26003" spans="4:7" ht="15" x14ac:dyDescent="0.3">
      <c r="D26003" s="25"/>
      <c r="F26003" s="21"/>
      <c r="G26003" s="16"/>
    </row>
    <row r="26004" spans="4:7" ht="15" x14ac:dyDescent="0.3">
      <c r="D26004" s="25"/>
      <c r="F26004" s="21"/>
      <c r="G26004" s="16"/>
    </row>
    <row r="26005" spans="4:7" ht="15" x14ac:dyDescent="0.3">
      <c r="D26005" s="25"/>
      <c r="F26005" s="21"/>
      <c r="G26005" s="16"/>
    </row>
    <row r="26006" spans="4:7" ht="15" x14ac:dyDescent="0.3">
      <c r="D26006" s="25"/>
      <c r="F26006" s="21"/>
      <c r="G26006" s="16"/>
    </row>
    <row r="26007" spans="4:7" ht="15" x14ac:dyDescent="0.3">
      <c r="D26007" s="25"/>
      <c r="F26007" s="21"/>
      <c r="G26007" s="16"/>
    </row>
    <row r="26008" spans="4:7" ht="15" x14ac:dyDescent="0.3">
      <c r="D26008" s="25"/>
      <c r="F26008" s="21"/>
      <c r="G26008" s="16"/>
    </row>
    <row r="26009" spans="4:7" ht="15" x14ac:dyDescent="0.3">
      <c r="D26009" s="25"/>
      <c r="F26009" s="21"/>
      <c r="G26009" s="16"/>
    </row>
    <row r="26010" spans="4:7" ht="15" x14ac:dyDescent="0.3">
      <c r="D26010" s="25"/>
      <c r="F26010" s="21"/>
      <c r="G26010" s="16"/>
    </row>
    <row r="26011" spans="4:7" ht="15" x14ac:dyDescent="0.3">
      <c r="D26011" s="25"/>
      <c r="F26011" s="21"/>
      <c r="G26011" s="16"/>
    </row>
    <row r="26012" spans="4:7" ht="15" x14ac:dyDescent="0.3">
      <c r="D26012" s="25"/>
      <c r="F26012" s="21"/>
      <c r="G26012" s="16"/>
    </row>
    <row r="26013" spans="4:7" ht="15" x14ac:dyDescent="0.3">
      <c r="D26013" s="25"/>
      <c r="F26013" s="21"/>
      <c r="G26013" s="16"/>
    </row>
    <row r="26014" spans="4:7" ht="15" x14ac:dyDescent="0.3">
      <c r="D26014" s="25"/>
      <c r="F26014" s="21"/>
      <c r="G26014" s="16"/>
    </row>
    <row r="26015" spans="4:7" ht="15" x14ac:dyDescent="0.3">
      <c r="D26015" s="25"/>
      <c r="F26015" s="21"/>
      <c r="G26015" s="16"/>
    </row>
    <row r="26016" spans="4:7" ht="15" x14ac:dyDescent="0.3">
      <c r="D26016" s="25"/>
      <c r="F26016" s="21"/>
      <c r="G26016" s="16"/>
    </row>
    <row r="26017" spans="4:7" ht="15" x14ac:dyDescent="0.3">
      <c r="D26017" s="25"/>
      <c r="F26017" s="21"/>
      <c r="G26017" s="16"/>
    </row>
    <row r="26018" spans="4:7" ht="15" x14ac:dyDescent="0.3">
      <c r="D26018" s="25"/>
      <c r="F26018" s="21"/>
      <c r="G26018" s="16"/>
    </row>
    <row r="26019" spans="4:7" ht="15" x14ac:dyDescent="0.3">
      <c r="D26019" s="25"/>
      <c r="F26019" s="21"/>
      <c r="G26019" s="16"/>
    </row>
    <row r="26020" spans="4:7" ht="15" x14ac:dyDescent="0.3">
      <c r="D26020" s="25"/>
      <c r="F26020" s="21"/>
      <c r="G26020" s="16"/>
    </row>
    <row r="26021" spans="4:7" ht="15" x14ac:dyDescent="0.3">
      <c r="D26021" s="25"/>
      <c r="F26021" s="21"/>
      <c r="G26021" s="16"/>
    </row>
    <row r="26022" spans="4:7" ht="15" x14ac:dyDescent="0.3">
      <c r="D26022" s="25"/>
      <c r="F26022" s="21"/>
      <c r="G26022" s="16"/>
    </row>
    <row r="26023" spans="4:7" ht="15" x14ac:dyDescent="0.3">
      <c r="D26023" s="25"/>
      <c r="F26023" s="21"/>
      <c r="G26023" s="16"/>
    </row>
    <row r="26024" spans="4:7" ht="15" x14ac:dyDescent="0.3">
      <c r="D26024" s="25"/>
      <c r="F26024" s="21"/>
      <c r="G26024" s="16"/>
    </row>
    <row r="26025" spans="4:7" ht="15" x14ac:dyDescent="0.3">
      <c r="D26025" s="25"/>
      <c r="F26025" s="21"/>
      <c r="G26025" s="16"/>
    </row>
    <row r="26026" spans="4:7" ht="15" x14ac:dyDescent="0.3">
      <c r="D26026" s="25"/>
      <c r="F26026" s="21"/>
      <c r="G26026" s="16"/>
    </row>
    <row r="26027" spans="4:7" ht="15" x14ac:dyDescent="0.3">
      <c r="D26027" s="25"/>
      <c r="F26027" s="21"/>
      <c r="G26027" s="16"/>
    </row>
    <row r="26028" spans="4:7" ht="15" x14ac:dyDescent="0.3">
      <c r="D26028" s="25"/>
      <c r="F26028" s="21"/>
      <c r="G26028" s="16"/>
    </row>
    <row r="26029" spans="4:7" ht="15" x14ac:dyDescent="0.3">
      <c r="D26029" s="25"/>
      <c r="F26029" s="21"/>
      <c r="G26029" s="16"/>
    </row>
    <row r="26030" spans="4:7" ht="15" x14ac:dyDescent="0.3">
      <c r="D26030" s="25"/>
      <c r="F26030" s="21"/>
      <c r="G26030" s="16"/>
    </row>
    <row r="26031" spans="4:7" ht="15" x14ac:dyDescent="0.3">
      <c r="D26031" s="25"/>
      <c r="F26031" s="21"/>
      <c r="G26031" s="16"/>
    </row>
    <row r="26032" spans="4:7" ht="15" x14ac:dyDescent="0.3">
      <c r="D26032" s="25"/>
      <c r="F26032" s="21"/>
      <c r="G26032" s="16"/>
    </row>
    <row r="26033" spans="4:7" ht="15" x14ac:dyDescent="0.3">
      <c r="D26033" s="25"/>
      <c r="F26033" s="21"/>
      <c r="G26033" s="16"/>
    </row>
    <row r="26034" spans="4:7" ht="15" x14ac:dyDescent="0.3">
      <c r="D26034" s="25"/>
      <c r="F26034" s="21"/>
      <c r="G26034" s="16"/>
    </row>
    <row r="26035" spans="4:7" ht="15" x14ac:dyDescent="0.3">
      <c r="D26035" s="25"/>
      <c r="F26035" s="21"/>
      <c r="G26035" s="16"/>
    </row>
    <row r="26036" spans="4:7" ht="15" x14ac:dyDescent="0.3">
      <c r="D26036" s="25"/>
      <c r="F26036" s="21"/>
      <c r="G26036" s="16"/>
    </row>
    <row r="26037" spans="4:7" ht="15" x14ac:dyDescent="0.3">
      <c r="D26037" s="25"/>
      <c r="F26037" s="21"/>
      <c r="G26037" s="16"/>
    </row>
    <row r="26038" spans="4:7" ht="15" x14ac:dyDescent="0.3">
      <c r="D26038" s="25"/>
      <c r="F26038" s="21"/>
      <c r="G26038" s="16"/>
    </row>
    <row r="26039" spans="4:7" ht="15" x14ac:dyDescent="0.3">
      <c r="D26039" s="25"/>
      <c r="F26039" s="21"/>
      <c r="G26039" s="16"/>
    </row>
    <row r="26040" spans="4:7" ht="15" x14ac:dyDescent="0.3">
      <c r="D26040" s="25"/>
      <c r="F26040" s="21"/>
      <c r="G26040" s="16"/>
    </row>
    <row r="26041" spans="4:7" ht="15" x14ac:dyDescent="0.3">
      <c r="D26041" s="25"/>
      <c r="F26041" s="21"/>
      <c r="G26041" s="16"/>
    </row>
    <row r="26042" spans="4:7" ht="15" x14ac:dyDescent="0.3">
      <c r="D26042" s="25"/>
      <c r="F26042" s="21"/>
      <c r="G26042" s="16"/>
    </row>
    <row r="26043" spans="4:7" ht="15" x14ac:dyDescent="0.3">
      <c r="D26043" s="25"/>
      <c r="F26043" s="21"/>
      <c r="G26043" s="16"/>
    </row>
    <row r="26044" spans="4:7" ht="15" x14ac:dyDescent="0.3">
      <c r="D26044" s="25"/>
      <c r="F26044" s="21"/>
      <c r="G26044" s="16"/>
    </row>
    <row r="26045" spans="4:7" ht="15" x14ac:dyDescent="0.3">
      <c r="D26045" s="25"/>
      <c r="F26045" s="21"/>
      <c r="G26045" s="16"/>
    </row>
    <row r="26046" spans="4:7" ht="15" x14ac:dyDescent="0.3">
      <c r="D26046" s="25"/>
      <c r="F26046" s="21"/>
      <c r="G26046" s="16"/>
    </row>
    <row r="26047" spans="4:7" ht="15" x14ac:dyDescent="0.3">
      <c r="D26047" s="25"/>
      <c r="F26047" s="21"/>
      <c r="G26047" s="16"/>
    </row>
    <row r="26048" spans="4:7" ht="15" x14ac:dyDescent="0.3">
      <c r="D26048" s="25"/>
      <c r="F26048" s="21"/>
      <c r="G26048" s="16"/>
    </row>
    <row r="26049" spans="4:7" ht="15" x14ac:dyDescent="0.3">
      <c r="D26049" s="25"/>
      <c r="F26049" s="21"/>
      <c r="G26049" s="16"/>
    </row>
    <row r="26050" spans="4:7" ht="15" x14ac:dyDescent="0.3">
      <c r="D26050" s="25"/>
      <c r="F26050" s="21"/>
      <c r="G26050" s="16"/>
    </row>
    <row r="26051" spans="4:7" ht="15" x14ac:dyDescent="0.3">
      <c r="D26051" s="25"/>
      <c r="F26051" s="21"/>
      <c r="G26051" s="16"/>
    </row>
    <row r="26052" spans="4:7" ht="15" x14ac:dyDescent="0.3">
      <c r="D26052" s="25"/>
      <c r="F26052" s="21"/>
      <c r="G26052" s="16"/>
    </row>
    <row r="26053" spans="4:7" ht="15" x14ac:dyDescent="0.3">
      <c r="D26053" s="25"/>
      <c r="F26053" s="21"/>
      <c r="G26053" s="16"/>
    </row>
    <row r="26054" spans="4:7" ht="15" x14ac:dyDescent="0.3">
      <c r="D26054" s="25"/>
      <c r="F26054" s="21"/>
      <c r="G26054" s="16"/>
    </row>
    <row r="26055" spans="4:7" ht="15" x14ac:dyDescent="0.3">
      <c r="D26055" s="25"/>
      <c r="F26055" s="21"/>
      <c r="G26055" s="16"/>
    </row>
    <row r="26056" spans="4:7" ht="15" x14ac:dyDescent="0.3">
      <c r="D26056" s="25"/>
      <c r="F26056" s="21"/>
      <c r="G26056" s="16"/>
    </row>
    <row r="26057" spans="4:7" ht="15" x14ac:dyDescent="0.3">
      <c r="D26057" s="25"/>
      <c r="F26057" s="21"/>
      <c r="G26057" s="16"/>
    </row>
    <row r="26058" spans="4:7" ht="15" x14ac:dyDescent="0.3">
      <c r="D26058" s="25"/>
      <c r="F26058" s="21"/>
      <c r="G26058" s="16"/>
    </row>
    <row r="26059" spans="4:7" ht="15" x14ac:dyDescent="0.3">
      <c r="D26059" s="25"/>
      <c r="F26059" s="21"/>
      <c r="G26059" s="16"/>
    </row>
    <row r="26060" spans="4:7" ht="15" x14ac:dyDescent="0.3">
      <c r="D26060" s="25"/>
      <c r="F26060" s="21"/>
      <c r="G26060" s="16"/>
    </row>
    <row r="26061" spans="4:7" ht="15" x14ac:dyDescent="0.3">
      <c r="D26061" s="25"/>
      <c r="F26061" s="21"/>
      <c r="G26061" s="16"/>
    </row>
    <row r="26062" spans="4:7" ht="15" x14ac:dyDescent="0.3">
      <c r="D26062" s="25"/>
      <c r="F26062" s="21"/>
      <c r="G26062" s="16"/>
    </row>
    <row r="26063" spans="4:7" ht="15" x14ac:dyDescent="0.3">
      <c r="D26063" s="25"/>
      <c r="F26063" s="21"/>
      <c r="G26063" s="16"/>
    </row>
    <row r="26064" spans="4:7" ht="15" x14ac:dyDescent="0.3">
      <c r="D26064" s="25"/>
      <c r="F26064" s="21"/>
      <c r="G26064" s="16"/>
    </row>
    <row r="26065" spans="4:7" ht="15" x14ac:dyDescent="0.3">
      <c r="D26065" s="25"/>
      <c r="F26065" s="21"/>
      <c r="G26065" s="16"/>
    </row>
    <row r="26066" spans="4:7" ht="15" x14ac:dyDescent="0.3">
      <c r="D26066" s="25"/>
      <c r="F26066" s="21"/>
      <c r="G26066" s="16"/>
    </row>
    <row r="26067" spans="4:7" ht="15" x14ac:dyDescent="0.3">
      <c r="D26067" s="25"/>
      <c r="F26067" s="21"/>
      <c r="G26067" s="16"/>
    </row>
    <row r="26068" spans="4:7" ht="15" x14ac:dyDescent="0.3">
      <c r="D26068" s="25"/>
      <c r="F26068" s="21"/>
      <c r="G26068" s="16"/>
    </row>
    <row r="26069" spans="4:7" ht="15" x14ac:dyDescent="0.3">
      <c r="D26069" s="25"/>
      <c r="F26069" s="21"/>
      <c r="G26069" s="16"/>
    </row>
    <row r="26070" spans="4:7" ht="15" x14ac:dyDescent="0.3">
      <c r="D26070" s="25"/>
      <c r="F26070" s="21"/>
      <c r="G26070" s="16"/>
    </row>
    <row r="26071" spans="4:7" ht="15" x14ac:dyDescent="0.3">
      <c r="D26071" s="25"/>
      <c r="F26071" s="21"/>
      <c r="G26071" s="16"/>
    </row>
    <row r="26072" spans="4:7" ht="15" x14ac:dyDescent="0.3">
      <c r="D26072" s="25"/>
      <c r="F26072" s="21"/>
      <c r="G26072" s="16"/>
    </row>
    <row r="26073" spans="4:7" ht="15" x14ac:dyDescent="0.3">
      <c r="D26073" s="25"/>
      <c r="F26073" s="21"/>
      <c r="G26073" s="16"/>
    </row>
    <row r="26074" spans="4:7" ht="15" x14ac:dyDescent="0.3">
      <c r="D26074" s="25"/>
      <c r="F26074" s="21"/>
      <c r="G26074" s="16"/>
    </row>
    <row r="26075" spans="4:7" ht="15" x14ac:dyDescent="0.3">
      <c r="D26075" s="25"/>
      <c r="F26075" s="21"/>
      <c r="G26075" s="16"/>
    </row>
    <row r="26076" spans="4:7" ht="15" x14ac:dyDescent="0.3">
      <c r="D26076" s="25"/>
      <c r="F26076" s="21"/>
      <c r="G26076" s="16"/>
    </row>
    <row r="26077" spans="4:7" ht="15" x14ac:dyDescent="0.3">
      <c r="D26077" s="25"/>
      <c r="F26077" s="21"/>
      <c r="G26077" s="16"/>
    </row>
    <row r="26078" spans="4:7" ht="15" x14ac:dyDescent="0.3">
      <c r="D26078" s="25"/>
      <c r="F26078" s="21"/>
      <c r="G26078" s="16"/>
    </row>
    <row r="26079" spans="4:7" ht="15" x14ac:dyDescent="0.3">
      <c r="D26079" s="25"/>
      <c r="F26079" s="21"/>
      <c r="G26079" s="16"/>
    </row>
    <row r="26080" spans="4:7" ht="15" x14ac:dyDescent="0.3">
      <c r="D26080" s="25"/>
      <c r="F26080" s="21"/>
      <c r="G26080" s="16"/>
    </row>
    <row r="26081" spans="4:7" ht="15" x14ac:dyDescent="0.3">
      <c r="D26081" s="25"/>
      <c r="F26081" s="21"/>
      <c r="G26081" s="16"/>
    </row>
    <row r="26082" spans="4:7" ht="15" x14ac:dyDescent="0.3">
      <c r="D26082" s="25"/>
      <c r="F26082" s="21"/>
      <c r="G26082" s="16"/>
    </row>
    <row r="26083" spans="4:7" ht="15" x14ac:dyDescent="0.3">
      <c r="D26083" s="25"/>
      <c r="F26083" s="21"/>
      <c r="G26083" s="16"/>
    </row>
    <row r="26084" spans="4:7" ht="15" x14ac:dyDescent="0.3">
      <c r="D26084" s="25"/>
      <c r="F26084" s="21"/>
      <c r="G26084" s="16"/>
    </row>
    <row r="26085" spans="4:7" ht="15" x14ac:dyDescent="0.3">
      <c r="D26085" s="25"/>
      <c r="F26085" s="21"/>
      <c r="G26085" s="16"/>
    </row>
    <row r="26086" spans="4:7" ht="15" x14ac:dyDescent="0.3">
      <c r="D26086" s="25"/>
      <c r="F26086" s="21"/>
      <c r="G26086" s="16"/>
    </row>
    <row r="26087" spans="4:7" ht="15" x14ac:dyDescent="0.3">
      <c r="D26087" s="25"/>
      <c r="F26087" s="21"/>
      <c r="G26087" s="16"/>
    </row>
    <row r="26088" spans="4:7" ht="15" x14ac:dyDescent="0.3">
      <c r="D26088" s="25"/>
      <c r="F26088" s="21"/>
      <c r="G26088" s="16"/>
    </row>
    <row r="26089" spans="4:7" ht="15" x14ac:dyDescent="0.3">
      <c r="D26089" s="25"/>
      <c r="F26089" s="21"/>
      <c r="G26089" s="16"/>
    </row>
    <row r="26090" spans="4:7" ht="15" x14ac:dyDescent="0.3">
      <c r="D26090" s="25"/>
      <c r="F26090" s="21"/>
      <c r="G26090" s="16"/>
    </row>
    <row r="26091" spans="4:7" ht="15" x14ac:dyDescent="0.3">
      <c r="D26091" s="25"/>
      <c r="F26091" s="21"/>
      <c r="G26091" s="16"/>
    </row>
    <row r="26092" spans="4:7" ht="15" x14ac:dyDescent="0.3">
      <c r="D26092" s="25"/>
      <c r="F26092" s="21"/>
      <c r="G26092" s="16"/>
    </row>
    <row r="26093" spans="4:7" ht="15" x14ac:dyDescent="0.3">
      <c r="D26093" s="25"/>
      <c r="F26093" s="21"/>
      <c r="G26093" s="16"/>
    </row>
    <row r="26094" spans="4:7" ht="15" x14ac:dyDescent="0.3">
      <c r="D26094" s="25"/>
      <c r="F26094" s="21"/>
      <c r="G26094" s="16"/>
    </row>
    <row r="26095" spans="4:7" ht="15" x14ac:dyDescent="0.3">
      <c r="D26095" s="25"/>
      <c r="F26095" s="21"/>
      <c r="G26095" s="16"/>
    </row>
    <row r="26096" spans="4:7" ht="15" x14ac:dyDescent="0.3">
      <c r="D26096" s="25"/>
      <c r="F26096" s="21"/>
      <c r="G26096" s="16"/>
    </row>
    <row r="26097" spans="4:7" ht="15" x14ac:dyDescent="0.3">
      <c r="D26097" s="25"/>
      <c r="F26097" s="21"/>
      <c r="G26097" s="16"/>
    </row>
    <row r="26098" spans="4:7" ht="15" x14ac:dyDescent="0.3">
      <c r="D26098" s="25"/>
      <c r="F26098" s="21"/>
      <c r="G26098" s="16"/>
    </row>
    <row r="26099" spans="4:7" ht="15" x14ac:dyDescent="0.3">
      <c r="D26099" s="25"/>
      <c r="F26099" s="21"/>
      <c r="G26099" s="16"/>
    </row>
    <row r="26100" spans="4:7" ht="15" x14ac:dyDescent="0.3">
      <c r="D26100" s="25"/>
      <c r="F26100" s="21"/>
      <c r="G26100" s="16"/>
    </row>
    <row r="26101" spans="4:7" ht="15" x14ac:dyDescent="0.3">
      <c r="D26101" s="25"/>
      <c r="F26101" s="21"/>
      <c r="G26101" s="16"/>
    </row>
    <row r="26102" spans="4:7" ht="15" x14ac:dyDescent="0.3">
      <c r="D26102" s="25"/>
      <c r="F26102" s="21"/>
      <c r="G26102" s="16"/>
    </row>
    <row r="26103" spans="4:7" ht="15" x14ac:dyDescent="0.3">
      <c r="D26103" s="25"/>
      <c r="F26103" s="21"/>
      <c r="G26103" s="16"/>
    </row>
    <row r="26104" spans="4:7" ht="15" x14ac:dyDescent="0.3">
      <c r="D26104" s="25"/>
      <c r="F26104" s="21"/>
      <c r="G26104" s="16"/>
    </row>
    <row r="26105" spans="4:7" ht="15" x14ac:dyDescent="0.3">
      <c r="D26105" s="25"/>
      <c r="F26105" s="21"/>
      <c r="G26105" s="16"/>
    </row>
    <row r="26106" spans="4:7" ht="15" x14ac:dyDescent="0.3">
      <c r="D26106" s="25"/>
      <c r="F26106" s="21"/>
      <c r="G26106" s="16"/>
    </row>
    <row r="26107" spans="4:7" ht="15" x14ac:dyDescent="0.3">
      <c r="D26107" s="25"/>
      <c r="F26107" s="21"/>
      <c r="G26107" s="16"/>
    </row>
    <row r="26108" spans="4:7" ht="15" x14ac:dyDescent="0.3">
      <c r="D26108" s="25"/>
      <c r="F26108" s="21"/>
      <c r="G26108" s="16"/>
    </row>
    <row r="26109" spans="4:7" ht="15" x14ac:dyDescent="0.3">
      <c r="D26109" s="25"/>
      <c r="F26109" s="21"/>
      <c r="G26109" s="16"/>
    </row>
    <row r="26110" spans="4:7" ht="15" x14ac:dyDescent="0.3">
      <c r="D26110" s="25"/>
      <c r="F26110" s="21"/>
      <c r="G26110" s="16"/>
    </row>
    <row r="26111" spans="4:7" ht="15" x14ac:dyDescent="0.3">
      <c r="D26111" s="25"/>
      <c r="F26111" s="21"/>
      <c r="G26111" s="16"/>
    </row>
    <row r="26112" spans="4:7" ht="15" x14ac:dyDescent="0.3">
      <c r="D26112" s="25"/>
      <c r="F26112" s="21"/>
      <c r="G26112" s="16"/>
    </row>
    <row r="26113" spans="4:7" ht="15" x14ac:dyDescent="0.3">
      <c r="D26113" s="25"/>
      <c r="F26113" s="21"/>
      <c r="G26113" s="16"/>
    </row>
    <row r="26114" spans="4:7" ht="15" x14ac:dyDescent="0.3">
      <c r="D26114" s="25"/>
      <c r="F26114" s="21"/>
      <c r="G26114" s="16"/>
    </row>
    <row r="26115" spans="4:7" ht="15" x14ac:dyDescent="0.3">
      <c r="D26115" s="25"/>
      <c r="F26115" s="21"/>
      <c r="G26115" s="16"/>
    </row>
    <row r="26116" spans="4:7" ht="15" x14ac:dyDescent="0.3">
      <c r="D26116" s="25"/>
      <c r="F26116" s="21"/>
      <c r="G26116" s="16"/>
    </row>
    <row r="26117" spans="4:7" ht="15" x14ac:dyDescent="0.3">
      <c r="D26117" s="25"/>
      <c r="F26117" s="21"/>
      <c r="G26117" s="16"/>
    </row>
    <row r="26118" spans="4:7" ht="15" x14ac:dyDescent="0.3">
      <c r="D26118" s="25"/>
      <c r="F26118" s="21"/>
      <c r="G26118" s="16"/>
    </row>
    <row r="26119" spans="4:7" ht="15" x14ac:dyDescent="0.3">
      <c r="D26119" s="25"/>
      <c r="F26119" s="21"/>
      <c r="G26119" s="16"/>
    </row>
    <row r="26120" spans="4:7" ht="15" x14ac:dyDescent="0.3">
      <c r="D26120" s="25"/>
      <c r="F26120" s="21"/>
      <c r="G26120" s="16"/>
    </row>
    <row r="26121" spans="4:7" ht="15" x14ac:dyDescent="0.3">
      <c r="D26121" s="25"/>
      <c r="F26121" s="21"/>
      <c r="G26121" s="16"/>
    </row>
    <row r="26122" spans="4:7" ht="15" x14ac:dyDescent="0.3">
      <c r="D26122" s="25"/>
      <c r="F26122" s="21"/>
      <c r="G26122" s="16"/>
    </row>
    <row r="26123" spans="4:7" ht="15" x14ac:dyDescent="0.3">
      <c r="D26123" s="25"/>
      <c r="F26123" s="21"/>
      <c r="G26123" s="16"/>
    </row>
    <row r="26124" spans="4:7" ht="15" x14ac:dyDescent="0.3">
      <c r="D26124" s="25"/>
      <c r="F26124" s="21"/>
      <c r="G26124" s="16"/>
    </row>
    <row r="26125" spans="4:7" ht="15" x14ac:dyDescent="0.3">
      <c r="D26125" s="25"/>
      <c r="F26125" s="21"/>
      <c r="G26125" s="16"/>
    </row>
    <row r="26126" spans="4:7" ht="15" x14ac:dyDescent="0.3">
      <c r="D26126" s="25"/>
      <c r="F26126" s="21"/>
      <c r="G26126" s="16"/>
    </row>
    <row r="26127" spans="4:7" ht="15" x14ac:dyDescent="0.3">
      <c r="D26127" s="25"/>
      <c r="F26127" s="21"/>
      <c r="G26127" s="16"/>
    </row>
    <row r="26128" spans="4:7" ht="15" x14ac:dyDescent="0.3">
      <c r="D26128" s="25"/>
      <c r="F26128" s="21"/>
      <c r="G26128" s="16"/>
    </row>
    <row r="26129" spans="4:7" ht="15" x14ac:dyDescent="0.3">
      <c r="D26129" s="25"/>
      <c r="F26129" s="21"/>
      <c r="G26129" s="16"/>
    </row>
    <row r="26130" spans="4:7" ht="15" x14ac:dyDescent="0.3">
      <c r="D26130" s="25"/>
      <c r="F26130" s="21"/>
      <c r="G26130" s="16"/>
    </row>
    <row r="26131" spans="4:7" ht="15" x14ac:dyDescent="0.3">
      <c r="D26131" s="25"/>
      <c r="F26131" s="21"/>
      <c r="G26131" s="16"/>
    </row>
    <row r="26132" spans="4:7" ht="15" x14ac:dyDescent="0.3">
      <c r="D26132" s="25"/>
      <c r="F26132" s="21"/>
      <c r="G26132" s="16"/>
    </row>
    <row r="26133" spans="4:7" ht="15" x14ac:dyDescent="0.3">
      <c r="D26133" s="25"/>
      <c r="F26133" s="21"/>
      <c r="G26133" s="16"/>
    </row>
    <row r="26134" spans="4:7" ht="15" x14ac:dyDescent="0.3">
      <c r="D26134" s="25"/>
      <c r="F26134" s="21"/>
      <c r="G26134" s="16"/>
    </row>
    <row r="26135" spans="4:7" ht="15" x14ac:dyDescent="0.3">
      <c r="D26135" s="25"/>
      <c r="F26135" s="21"/>
      <c r="G26135" s="16"/>
    </row>
    <row r="26136" spans="4:7" ht="15" x14ac:dyDescent="0.3">
      <c r="D26136" s="25"/>
      <c r="F26136" s="21"/>
      <c r="G26136" s="16"/>
    </row>
    <row r="26137" spans="4:7" ht="15" x14ac:dyDescent="0.3">
      <c r="D26137" s="25"/>
      <c r="F26137" s="21"/>
      <c r="G26137" s="16"/>
    </row>
    <row r="26138" spans="4:7" ht="15" x14ac:dyDescent="0.3">
      <c r="D26138" s="25"/>
      <c r="F26138" s="21"/>
      <c r="G26138" s="16"/>
    </row>
    <row r="26139" spans="4:7" ht="15" x14ac:dyDescent="0.3">
      <c r="D26139" s="25"/>
      <c r="F26139" s="21"/>
      <c r="G26139" s="16"/>
    </row>
    <row r="26140" spans="4:7" ht="15" x14ac:dyDescent="0.3">
      <c r="D26140" s="25"/>
      <c r="F26140" s="21"/>
      <c r="G26140" s="16"/>
    </row>
    <row r="26141" spans="4:7" ht="15" x14ac:dyDescent="0.3">
      <c r="D26141" s="25"/>
      <c r="F26141" s="21"/>
      <c r="G26141" s="16"/>
    </row>
    <row r="26142" spans="4:7" ht="15" x14ac:dyDescent="0.3">
      <c r="D26142" s="25"/>
      <c r="F26142" s="21"/>
      <c r="G26142" s="16"/>
    </row>
    <row r="26143" spans="4:7" ht="15" x14ac:dyDescent="0.3">
      <c r="D26143" s="25"/>
      <c r="F26143" s="21"/>
      <c r="G26143" s="16"/>
    </row>
    <row r="26144" spans="4:7" ht="15" x14ac:dyDescent="0.3">
      <c r="D26144" s="25"/>
      <c r="F26144" s="21"/>
      <c r="G26144" s="16"/>
    </row>
    <row r="26145" spans="4:7" ht="15" x14ac:dyDescent="0.3">
      <c r="D26145" s="25"/>
      <c r="F26145" s="21"/>
      <c r="G26145" s="16"/>
    </row>
    <row r="26146" spans="4:7" ht="15" x14ac:dyDescent="0.3">
      <c r="D26146" s="25"/>
      <c r="F26146" s="21"/>
      <c r="G26146" s="16"/>
    </row>
    <row r="26147" spans="4:7" ht="15" x14ac:dyDescent="0.3">
      <c r="D26147" s="25"/>
      <c r="F26147" s="21"/>
      <c r="G26147" s="16"/>
    </row>
    <row r="26148" spans="4:7" ht="15" x14ac:dyDescent="0.3">
      <c r="D26148" s="25"/>
      <c r="F26148" s="21"/>
      <c r="G26148" s="16"/>
    </row>
    <row r="26149" spans="4:7" ht="15" x14ac:dyDescent="0.3">
      <c r="D26149" s="25"/>
      <c r="F26149" s="21"/>
      <c r="G26149" s="16"/>
    </row>
    <row r="26150" spans="4:7" ht="15" x14ac:dyDescent="0.3">
      <c r="D26150" s="25"/>
      <c r="F26150" s="21"/>
      <c r="G26150" s="16"/>
    </row>
    <row r="26151" spans="4:7" ht="15" x14ac:dyDescent="0.3">
      <c r="D26151" s="25"/>
      <c r="F26151" s="21"/>
      <c r="G26151" s="16"/>
    </row>
    <row r="26152" spans="4:7" ht="15" x14ac:dyDescent="0.3">
      <c r="D26152" s="25"/>
      <c r="F26152" s="21"/>
      <c r="G26152" s="16"/>
    </row>
    <row r="26153" spans="4:7" ht="15" x14ac:dyDescent="0.3">
      <c r="D26153" s="25"/>
      <c r="F26153" s="21"/>
      <c r="G26153" s="16"/>
    </row>
    <row r="26154" spans="4:7" ht="15" x14ac:dyDescent="0.3">
      <c r="D26154" s="25"/>
      <c r="F26154" s="21"/>
      <c r="G26154" s="16"/>
    </row>
    <row r="26155" spans="4:7" ht="15" x14ac:dyDescent="0.3">
      <c r="D26155" s="25"/>
      <c r="F26155" s="21"/>
      <c r="G26155" s="16"/>
    </row>
    <row r="26156" spans="4:7" ht="15" x14ac:dyDescent="0.3">
      <c r="D26156" s="25"/>
      <c r="F26156" s="21"/>
      <c r="G26156" s="16"/>
    </row>
    <row r="26157" spans="4:7" ht="15" x14ac:dyDescent="0.3">
      <c r="D26157" s="25"/>
      <c r="F26157" s="21"/>
      <c r="G26157" s="16"/>
    </row>
    <row r="26158" spans="4:7" ht="15" x14ac:dyDescent="0.3">
      <c r="D26158" s="25"/>
      <c r="F26158" s="21"/>
      <c r="G26158" s="16"/>
    </row>
    <row r="26159" spans="4:7" ht="15" x14ac:dyDescent="0.3">
      <c r="D26159" s="25"/>
      <c r="F26159" s="21"/>
      <c r="G26159" s="16"/>
    </row>
    <row r="26160" spans="4:7" ht="15" x14ac:dyDescent="0.3">
      <c r="D26160" s="25"/>
      <c r="F26160" s="21"/>
      <c r="G26160" s="16"/>
    </row>
    <row r="26161" spans="4:7" ht="15" x14ac:dyDescent="0.3">
      <c r="D26161" s="25"/>
      <c r="F26161" s="21"/>
      <c r="G26161" s="16"/>
    </row>
    <row r="26162" spans="4:7" ht="15" x14ac:dyDescent="0.3">
      <c r="D26162" s="25"/>
      <c r="F26162" s="21"/>
      <c r="G26162" s="16"/>
    </row>
    <row r="26163" spans="4:7" ht="15" x14ac:dyDescent="0.3">
      <c r="D26163" s="25"/>
      <c r="F26163" s="21"/>
      <c r="G26163" s="16"/>
    </row>
    <row r="26164" spans="4:7" ht="15" x14ac:dyDescent="0.3">
      <c r="D26164" s="25"/>
      <c r="F26164" s="21"/>
      <c r="G26164" s="16"/>
    </row>
    <row r="26165" spans="4:7" ht="15" x14ac:dyDescent="0.3">
      <c r="D26165" s="25"/>
      <c r="F26165" s="21"/>
      <c r="G26165" s="16"/>
    </row>
    <row r="26166" spans="4:7" ht="15" x14ac:dyDescent="0.3">
      <c r="D26166" s="25"/>
      <c r="F26166" s="21"/>
      <c r="G26166" s="16"/>
    </row>
    <row r="26167" spans="4:7" ht="15" x14ac:dyDescent="0.3">
      <c r="D26167" s="25"/>
      <c r="F26167" s="21"/>
      <c r="G26167" s="16"/>
    </row>
    <row r="26168" spans="4:7" ht="15" x14ac:dyDescent="0.3">
      <c r="D26168" s="25"/>
      <c r="F26168" s="21"/>
      <c r="G26168" s="16"/>
    </row>
    <row r="26169" spans="4:7" ht="15" x14ac:dyDescent="0.3">
      <c r="D26169" s="25"/>
      <c r="F26169" s="21"/>
      <c r="G26169" s="16"/>
    </row>
    <row r="26170" spans="4:7" ht="15" x14ac:dyDescent="0.3">
      <c r="D26170" s="25"/>
      <c r="F26170" s="21"/>
      <c r="G26170" s="16"/>
    </row>
    <row r="26171" spans="4:7" ht="15" x14ac:dyDescent="0.3">
      <c r="D26171" s="25"/>
      <c r="F26171" s="21"/>
      <c r="G26171" s="16"/>
    </row>
    <row r="26172" spans="4:7" ht="15" x14ac:dyDescent="0.3">
      <c r="D26172" s="25"/>
      <c r="F26172" s="21"/>
      <c r="G26172" s="16"/>
    </row>
    <row r="26173" spans="4:7" ht="15" x14ac:dyDescent="0.3">
      <c r="D26173" s="25"/>
      <c r="F26173" s="21"/>
      <c r="G26173" s="16"/>
    </row>
    <row r="26174" spans="4:7" ht="15" x14ac:dyDescent="0.3">
      <c r="D26174" s="25"/>
      <c r="F26174" s="21"/>
      <c r="G26174" s="16"/>
    </row>
    <row r="26175" spans="4:7" ht="15" x14ac:dyDescent="0.3">
      <c r="D26175" s="25"/>
      <c r="F26175" s="21"/>
      <c r="G26175" s="16"/>
    </row>
    <row r="26176" spans="4:7" ht="15" x14ac:dyDescent="0.3">
      <c r="D26176" s="25"/>
      <c r="F26176" s="21"/>
      <c r="G26176" s="16"/>
    </row>
    <row r="26177" spans="4:7" ht="15" x14ac:dyDescent="0.3">
      <c r="D26177" s="25"/>
      <c r="F26177" s="21"/>
      <c r="G26177" s="16"/>
    </row>
    <row r="26178" spans="4:7" ht="15" x14ac:dyDescent="0.3">
      <c r="D26178" s="25"/>
      <c r="F26178" s="21"/>
      <c r="G26178" s="16"/>
    </row>
    <row r="26179" spans="4:7" ht="15" x14ac:dyDescent="0.3">
      <c r="D26179" s="25"/>
      <c r="F26179" s="21"/>
      <c r="G26179" s="16"/>
    </row>
    <row r="26180" spans="4:7" ht="15" x14ac:dyDescent="0.3">
      <c r="D26180" s="25"/>
      <c r="F26180" s="21"/>
      <c r="G26180" s="16"/>
    </row>
    <row r="26181" spans="4:7" ht="15" x14ac:dyDescent="0.3">
      <c r="D26181" s="25"/>
      <c r="F26181" s="21"/>
      <c r="G26181" s="16"/>
    </row>
    <row r="26182" spans="4:7" ht="15" x14ac:dyDescent="0.3">
      <c r="D26182" s="25"/>
      <c r="F26182" s="21"/>
      <c r="G26182" s="16"/>
    </row>
    <row r="26183" spans="4:7" ht="15" x14ac:dyDescent="0.3">
      <c r="D26183" s="25"/>
      <c r="F26183" s="21"/>
      <c r="G26183" s="16"/>
    </row>
    <row r="26184" spans="4:7" ht="15" x14ac:dyDescent="0.3">
      <c r="D26184" s="25"/>
      <c r="F26184" s="21"/>
      <c r="G26184" s="16"/>
    </row>
    <row r="26185" spans="4:7" ht="15" x14ac:dyDescent="0.3">
      <c r="D26185" s="25"/>
      <c r="F26185" s="21"/>
      <c r="G26185" s="16"/>
    </row>
    <row r="26186" spans="4:7" ht="15" x14ac:dyDescent="0.3">
      <c r="D26186" s="25"/>
      <c r="F26186" s="21"/>
      <c r="G26186" s="16"/>
    </row>
    <row r="26187" spans="4:7" ht="15" x14ac:dyDescent="0.3">
      <c r="D26187" s="25"/>
      <c r="F26187" s="21"/>
      <c r="G26187" s="16"/>
    </row>
    <row r="26188" spans="4:7" ht="15" x14ac:dyDescent="0.3">
      <c r="D26188" s="25"/>
      <c r="F26188" s="21"/>
      <c r="G26188" s="16"/>
    </row>
    <row r="26189" spans="4:7" ht="15" x14ac:dyDescent="0.3">
      <c r="D26189" s="25"/>
      <c r="F26189" s="21"/>
      <c r="G26189" s="16"/>
    </row>
    <row r="26190" spans="4:7" ht="15" x14ac:dyDescent="0.3">
      <c r="D26190" s="25"/>
      <c r="F26190" s="21"/>
      <c r="G26190" s="16"/>
    </row>
    <row r="26191" spans="4:7" ht="15" x14ac:dyDescent="0.3">
      <c r="D26191" s="25"/>
      <c r="F26191" s="21"/>
      <c r="G26191" s="16"/>
    </row>
    <row r="26192" spans="4:7" ht="15" x14ac:dyDescent="0.3">
      <c r="D26192" s="25"/>
      <c r="F26192" s="21"/>
      <c r="G26192" s="16"/>
    </row>
    <row r="26193" spans="4:7" ht="15" x14ac:dyDescent="0.3">
      <c r="D26193" s="25"/>
      <c r="F26193" s="21"/>
      <c r="G26193" s="16"/>
    </row>
    <row r="26194" spans="4:7" ht="15" x14ac:dyDescent="0.3">
      <c r="D26194" s="25"/>
      <c r="F26194" s="21"/>
      <c r="G26194" s="16"/>
    </row>
    <row r="26195" spans="4:7" ht="15" x14ac:dyDescent="0.3">
      <c r="D26195" s="25"/>
      <c r="F26195" s="21"/>
      <c r="G26195" s="16"/>
    </row>
    <row r="26196" spans="4:7" ht="15" x14ac:dyDescent="0.3">
      <c r="D26196" s="25"/>
      <c r="F26196" s="21"/>
      <c r="G26196" s="16"/>
    </row>
    <row r="26197" spans="4:7" ht="15" x14ac:dyDescent="0.3">
      <c r="D26197" s="25"/>
      <c r="F26197" s="21"/>
      <c r="G26197" s="16"/>
    </row>
    <row r="26198" spans="4:7" ht="15" x14ac:dyDescent="0.3">
      <c r="D26198" s="25"/>
      <c r="F26198" s="21"/>
      <c r="G26198" s="16"/>
    </row>
    <row r="26199" spans="4:7" ht="15" x14ac:dyDescent="0.3">
      <c r="D26199" s="25"/>
      <c r="F26199" s="21"/>
      <c r="G26199" s="16"/>
    </row>
    <row r="26200" spans="4:7" ht="15" x14ac:dyDescent="0.3">
      <c r="D26200" s="25"/>
      <c r="F26200" s="21"/>
      <c r="G26200" s="16"/>
    </row>
    <row r="26201" spans="4:7" ht="15" x14ac:dyDescent="0.3">
      <c r="D26201" s="25"/>
      <c r="F26201" s="21"/>
      <c r="G26201" s="16"/>
    </row>
    <row r="26202" spans="4:7" ht="15" x14ac:dyDescent="0.3">
      <c r="D26202" s="25"/>
      <c r="F26202" s="21"/>
      <c r="G26202" s="16"/>
    </row>
    <row r="26203" spans="4:7" ht="15" x14ac:dyDescent="0.3">
      <c r="D26203" s="25"/>
      <c r="F26203" s="21"/>
      <c r="G26203" s="16"/>
    </row>
    <row r="26204" spans="4:7" ht="15" x14ac:dyDescent="0.3">
      <c r="D26204" s="25"/>
      <c r="F26204" s="21"/>
      <c r="G26204" s="16"/>
    </row>
    <row r="26205" spans="4:7" ht="15" x14ac:dyDescent="0.3">
      <c r="D26205" s="25"/>
      <c r="F26205" s="21"/>
      <c r="G26205" s="16"/>
    </row>
    <row r="26206" spans="4:7" ht="15" x14ac:dyDescent="0.3">
      <c r="D26206" s="25"/>
      <c r="F26206" s="21"/>
      <c r="G26206" s="16"/>
    </row>
    <row r="26207" spans="4:7" ht="15" x14ac:dyDescent="0.3">
      <c r="D26207" s="25"/>
      <c r="F26207" s="21"/>
      <c r="G26207" s="16"/>
    </row>
    <row r="26208" spans="4:7" ht="15" x14ac:dyDescent="0.3">
      <c r="D26208" s="25"/>
      <c r="F26208" s="21"/>
      <c r="G26208" s="16"/>
    </row>
    <row r="26209" spans="4:7" ht="15" x14ac:dyDescent="0.3">
      <c r="D26209" s="25"/>
      <c r="F26209" s="21"/>
      <c r="G26209" s="16"/>
    </row>
    <row r="26210" spans="4:7" ht="15" x14ac:dyDescent="0.3">
      <c r="D26210" s="25"/>
      <c r="F26210" s="21"/>
      <c r="G26210" s="16"/>
    </row>
    <row r="26211" spans="4:7" ht="15" x14ac:dyDescent="0.3">
      <c r="D26211" s="25"/>
      <c r="F26211" s="21"/>
      <c r="G26211" s="16"/>
    </row>
    <row r="26212" spans="4:7" ht="15" x14ac:dyDescent="0.3">
      <c r="D26212" s="25"/>
      <c r="F26212" s="21"/>
      <c r="G26212" s="16"/>
    </row>
    <row r="26213" spans="4:7" ht="15" x14ac:dyDescent="0.3">
      <c r="D26213" s="25"/>
      <c r="F26213" s="21"/>
      <c r="G26213" s="16"/>
    </row>
    <row r="26214" spans="4:7" ht="15" x14ac:dyDescent="0.3">
      <c r="D26214" s="25"/>
      <c r="F26214" s="21"/>
      <c r="G26214" s="16"/>
    </row>
    <row r="26215" spans="4:7" ht="15" x14ac:dyDescent="0.3">
      <c r="D26215" s="25"/>
      <c r="F26215" s="21"/>
      <c r="G26215" s="16"/>
    </row>
    <row r="26216" spans="4:7" ht="15" x14ac:dyDescent="0.3">
      <c r="D26216" s="25"/>
      <c r="F26216" s="21"/>
      <c r="G26216" s="16"/>
    </row>
    <row r="26217" spans="4:7" ht="15" x14ac:dyDescent="0.3">
      <c r="D26217" s="25"/>
      <c r="F26217" s="21"/>
      <c r="G26217" s="16"/>
    </row>
    <row r="26218" spans="4:7" ht="15" x14ac:dyDescent="0.3">
      <c r="D26218" s="25"/>
      <c r="F26218" s="21"/>
      <c r="G26218" s="16"/>
    </row>
    <row r="26219" spans="4:7" ht="15" x14ac:dyDescent="0.3">
      <c r="D26219" s="25"/>
      <c r="F26219" s="21"/>
      <c r="G26219" s="16"/>
    </row>
    <row r="26220" spans="4:7" ht="15" x14ac:dyDescent="0.3">
      <c r="D26220" s="25"/>
      <c r="F26220" s="21"/>
      <c r="G26220" s="16"/>
    </row>
    <row r="26221" spans="4:7" ht="15" x14ac:dyDescent="0.3">
      <c r="D26221" s="25"/>
      <c r="F26221" s="21"/>
      <c r="G26221" s="16"/>
    </row>
    <row r="26222" spans="4:7" ht="15" x14ac:dyDescent="0.3">
      <c r="D26222" s="25"/>
      <c r="F26222" s="21"/>
      <c r="G26222" s="16"/>
    </row>
    <row r="26223" spans="4:7" ht="15" x14ac:dyDescent="0.3">
      <c r="D26223" s="25"/>
      <c r="F26223" s="21"/>
      <c r="G26223" s="16"/>
    </row>
    <row r="26224" spans="4:7" ht="15" x14ac:dyDescent="0.3">
      <c r="D26224" s="25"/>
      <c r="F26224" s="21"/>
      <c r="G26224" s="16"/>
    </row>
    <row r="26225" spans="4:7" ht="15" x14ac:dyDescent="0.3">
      <c r="D26225" s="25"/>
      <c r="F26225" s="21"/>
      <c r="G26225" s="16"/>
    </row>
    <row r="26226" spans="4:7" ht="15" x14ac:dyDescent="0.3">
      <c r="D26226" s="25"/>
      <c r="F26226" s="21"/>
      <c r="G26226" s="16"/>
    </row>
    <row r="26227" spans="4:7" ht="15" x14ac:dyDescent="0.3">
      <c r="D26227" s="25"/>
      <c r="F26227" s="21"/>
      <c r="G26227" s="16"/>
    </row>
    <row r="26228" spans="4:7" ht="15" x14ac:dyDescent="0.3">
      <c r="D26228" s="25"/>
      <c r="F26228" s="21"/>
      <c r="G26228" s="16"/>
    </row>
    <row r="26229" spans="4:7" ht="15" x14ac:dyDescent="0.3">
      <c r="D26229" s="25"/>
      <c r="F26229" s="21"/>
      <c r="G26229" s="16"/>
    </row>
    <row r="26230" spans="4:7" ht="15" x14ac:dyDescent="0.3">
      <c r="D26230" s="25"/>
      <c r="F26230" s="21"/>
      <c r="G26230" s="16"/>
    </row>
    <row r="26231" spans="4:7" ht="15" x14ac:dyDescent="0.3">
      <c r="D26231" s="25"/>
      <c r="F26231" s="21"/>
      <c r="G26231" s="16"/>
    </row>
    <row r="26232" spans="4:7" ht="15" x14ac:dyDescent="0.3">
      <c r="D26232" s="25"/>
      <c r="F26232" s="21"/>
      <c r="G26232" s="16"/>
    </row>
    <row r="26233" spans="4:7" ht="15" x14ac:dyDescent="0.3">
      <c r="D26233" s="25"/>
      <c r="F26233" s="21"/>
      <c r="G26233" s="16"/>
    </row>
    <row r="26234" spans="4:7" ht="15" x14ac:dyDescent="0.3">
      <c r="D26234" s="25"/>
      <c r="F26234" s="21"/>
      <c r="G26234" s="16"/>
    </row>
    <row r="26235" spans="4:7" ht="15" x14ac:dyDescent="0.3">
      <c r="D26235" s="25"/>
      <c r="F26235" s="21"/>
      <c r="G26235" s="16"/>
    </row>
    <row r="26236" spans="4:7" ht="15" x14ac:dyDescent="0.3">
      <c r="D26236" s="25"/>
      <c r="F26236" s="21"/>
      <c r="G26236" s="16"/>
    </row>
    <row r="26237" spans="4:7" ht="15" x14ac:dyDescent="0.3">
      <c r="D26237" s="25"/>
      <c r="F26237" s="21"/>
      <c r="G26237" s="16"/>
    </row>
    <row r="26238" spans="4:7" ht="15" x14ac:dyDescent="0.3">
      <c r="D26238" s="25"/>
      <c r="F26238" s="21"/>
      <c r="G26238" s="16"/>
    </row>
    <row r="26239" spans="4:7" ht="15" x14ac:dyDescent="0.3">
      <c r="D26239" s="25"/>
      <c r="F26239" s="21"/>
      <c r="G26239" s="16"/>
    </row>
    <row r="26240" spans="4:7" ht="15" x14ac:dyDescent="0.3">
      <c r="D26240" s="25"/>
      <c r="F26240" s="21"/>
      <c r="G26240" s="16"/>
    </row>
    <row r="26241" spans="4:7" ht="15" x14ac:dyDescent="0.3">
      <c r="D26241" s="25"/>
      <c r="F26241" s="21"/>
      <c r="G26241" s="16"/>
    </row>
    <row r="26242" spans="4:7" ht="15" x14ac:dyDescent="0.3">
      <c r="D26242" s="25"/>
      <c r="F26242" s="21"/>
      <c r="G26242" s="16"/>
    </row>
    <row r="26243" spans="4:7" ht="15" x14ac:dyDescent="0.3">
      <c r="D26243" s="25"/>
      <c r="F26243" s="21"/>
      <c r="G26243" s="16"/>
    </row>
    <row r="26244" spans="4:7" ht="15" x14ac:dyDescent="0.3">
      <c r="D26244" s="25"/>
      <c r="F26244" s="21"/>
      <c r="G26244" s="16"/>
    </row>
    <row r="26245" spans="4:7" ht="15" x14ac:dyDescent="0.3">
      <c r="D26245" s="25"/>
      <c r="F26245" s="21"/>
      <c r="G26245" s="16"/>
    </row>
    <row r="26246" spans="4:7" ht="15" x14ac:dyDescent="0.3">
      <c r="D26246" s="25"/>
      <c r="F26246" s="21"/>
      <c r="G26246" s="16"/>
    </row>
    <row r="26247" spans="4:7" ht="15" x14ac:dyDescent="0.3">
      <c r="D26247" s="25"/>
      <c r="F26247" s="21"/>
      <c r="G26247" s="16"/>
    </row>
    <row r="26248" spans="4:7" ht="15" x14ac:dyDescent="0.3">
      <c r="D26248" s="25"/>
      <c r="F26248" s="21"/>
      <c r="G26248" s="16"/>
    </row>
    <row r="26249" spans="4:7" ht="15" x14ac:dyDescent="0.3">
      <c r="D26249" s="25"/>
      <c r="F26249" s="21"/>
      <c r="G26249" s="16"/>
    </row>
    <row r="26250" spans="4:7" ht="15" x14ac:dyDescent="0.3">
      <c r="D26250" s="25"/>
      <c r="F26250" s="21"/>
      <c r="G26250" s="16"/>
    </row>
    <row r="26251" spans="4:7" ht="15" x14ac:dyDescent="0.3">
      <c r="D26251" s="25"/>
      <c r="F26251" s="21"/>
      <c r="G26251" s="16"/>
    </row>
    <row r="26252" spans="4:7" ht="15" x14ac:dyDescent="0.3">
      <c r="D26252" s="25"/>
      <c r="F26252" s="21"/>
      <c r="G26252" s="16"/>
    </row>
    <row r="26253" spans="4:7" ht="15" x14ac:dyDescent="0.3">
      <c r="D26253" s="25"/>
      <c r="F26253" s="21"/>
      <c r="G26253" s="16"/>
    </row>
    <row r="26254" spans="4:7" ht="15" x14ac:dyDescent="0.3">
      <c r="D26254" s="25"/>
      <c r="F26254" s="21"/>
      <c r="G26254" s="16"/>
    </row>
    <row r="26255" spans="4:7" ht="15" x14ac:dyDescent="0.3">
      <c r="D26255" s="25"/>
      <c r="F26255" s="21"/>
      <c r="G26255" s="16"/>
    </row>
    <row r="26256" spans="4:7" ht="15" x14ac:dyDescent="0.3">
      <c r="D26256" s="25"/>
      <c r="F26256" s="21"/>
      <c r="G26256" s="16"/>
    </row>
    <row r="26257" spans="4:7" ht="15" x14ac:dyDescent="0.3">
      <c r="D26257" s="25"/>
      <c r="F26257" s="21"/>
      <c r="G26257" s="16"/>
    </row>
    <row r="26258" spans="4:7" ht="15" x14ac:dyDescent="0.3">
      <c r="D26258" s="25"/>
      <c r="F26258" s="21"/>
      <c r="G26258" s="16"/>
    </row>
    <row r="26259" spans="4:7" ht="15" x14ac:dyDescent="0.3">
      <c r="D26259" s="25"/>
      <c r="F26259" s="21"/>
      <c r="G26259" s="16"/>
    </row>
    <row r="26260" spans="4:7" ht="15" x14ac:dyDescent="0.3">
      <c r="D26260" s="25"/>
      <c r="F26260" s="21"/>
      <c r="G26260" s="16"/>
    </row>
    <row r="26261" spans="4:7" ht="15" x14ac:dyDescent="0.3">
      <c r="D26261" s="25"/>
      <c r="F26261" s="21"/>
      <c r="G26261" s="16"/>
    </row>
    <row r="26262" spans="4:7" ht="15" x14ac:dyDescent="0.3">
      <c r="D26262" s="25"/>
      <c r="F26262" s="21"/>
      <c r="G26262" s="16"/>
    </row>
    <row r="26263" spans="4:7" ht="15" x14ac:dyDescent="0.3">
      <c r="D26263" s="25"/>
      <c r="F26263" s="21"/>
      <c r="G26263" s="16"/>
    </row>
    <row r="26264" spans="4:7" ht="15" x14ac:dyDescent="0.3">
      <c r="D26264" s="25"/>
      <c r="F26264" s="21"/>
      <c r="G26264" s="16"/>
    </row>
    <row r="26265" spans="4:7" ht="15" x14ac:dyDescent="0.3">
      <c r="D26265" s="25"/>
      <c r="F26265" s="21"/>
      <c r="G26265" s="16"/>
    </row>
    <row r="26266" spans="4:7" ht="15" x14ac:dyDescent="0.3">
      <c r="D26266" s="25"/>
      <c r="F26266" s="21"/>
      <c r="G26266" s="16"/>
    </row>
    <row r="26267" spans="4:7" ht="15" x14ac:dyDescent="0.3">
      <c r="D26267" s="25"/>
      <c r="F26267" s="21"/>
      <c r="G26267" s="16"/>
    </row>
    <row r="26268" spans="4:7" ht="15" x14ac:dyDescent="0.3">
      <c r="D26268" s="25"/>
      <c r="F26268" s="21"/>
      <c r="G26268" s="16"/>
    </row>
    <row r="26269" spans="4:7" ht="15" x14ac:dyDescent="0.3">
      <c r="D26269" s="25"/>
      <c r="F26269" s="21"/>
      <c r="G26269" s="16"/>
    </row>
    <row r="26270" spans="4:7" ht="15" x14ac:dyDescent="0.3">
      <c r="D26270" s="25"/>
      <c r="F26270" s="21"/>
      <c r="G26270" s="16"/>
    </row>
    <row r="26271" spans="4:7" ht="15" x14ac:dyDescent="0.3">
      <c r="D26271" s="25"/>
      <c r="F26271" s="21"/>
      <c r="G26271" s="16"/>
    </row>
    <row r="26272" spans="4:7" ht="15" x14ac:dyDescent="0.3">
      <c r="D26272" s="25"/>
      <c r="F26272" s="21"/>
      <c r="G26272" s="16"/>
    </row>
    <row r="26273" spans="4:7" ht="15" x14ac:dyDescent="0.3">
      <c r="D26273" s="25"/>
      <c r="F26273" s="21"/>
      <c r="G26273" s="16"/>
    </row>
    <row r="26274" spans="4:7" ht="15" x14ac:dyDescent="0.3">
      <c r="D26274" s="25"/>
      <c r="F26274" s="21"/>
      <c r="G26274" s="16"/>
    </row>
    <row r="26275" spans="4:7" ht="15" x14ac:dyDescent="0.3">
      <c r="D26275" s="25"/>
      <c r="F26275" s="21"/>
      <c r="G26275" s="16"/>
    </row>
    <row r="26276" spans="4:7" ht="15" x14ac:dyDescent="0.3">
      <c r="D26276" s="25"/>
      <c r="F26276" s="21"/>
      <c r="G26276" s="16"/>
    </row>
    <row r="26277" spans="4:7" ht="15" x14ac:dyDescent="0.3">
      <c r="D26277" s="25"/>
      <c r="F26277" s="21"/>
      <c r="G26277" s="16"/>
    </row>
    <row r="26278" spans="4:7" ht="15" x14ac:dyDescent="0.3">
      <c r="D26278" s="25"/>
      <c r="F26278" s="21"/>
      <c r="G26278" s="16"/>
    </row>
    <row r="26279" spans="4:7" ht="15" x14ac:dyDescent="0.3">
      <c r="D26279" s="25"/>
      <c r="F26279" s="21"/>
      <c r="G26279" s="16"/>
    </row>
    <row r="26280" spans="4:7" ht="15" x14ac:dyDescent="0.3">
      <c r="D26280" s="25"/>
      <c r="F26280" s="21"/>
      <c r="G26280" s="16"/>
    </row>
    <row r="26281" spans="4:7" ht="15" x14ac:dyDescent="0.3">
      <c r="D26281" s="25"/>
      <c r="F26281" s="21"/>
      <c r="G26281" s="16"/>
    </row>
    <row r="26282" spans="4:7" ht="15" x14ac:dyDescent="0.3">
      <c r="D26282" s="25"/>
      <c r="F26282" s="21"/>
      <c r="G26282" s="16"/>
    </row>
    <row r="26283" spans="4:7" ht="15" x14ac:dyDescent="0.3">
      <c r="D26283" s="25"/>
      <c r="F26283" s="21"/>
      <c r="G26283" s="16"/>
    </row>
    <row r="26284" spans="4:7" ht="15" x14ac:dyDescent="0.3">
      <c r="D26284" s="25"/>
      <c r="F26284" s="21"/>
      <c r="G26284" s="16"/>
    </row>
    <row r="26285" spans="4:7" ht="15" x14ac:dyDescent="0.3">
      <c r="D26285" s="25"/>
      <c r="F26285" s="21"/>
      <c r="G26285" s="16"/>
    </row>
    <row r="26286" spans="4:7" ht="15" x14ac:dyDescent="0.3">
      <c r="D26286" s="25"/>
      <c r="F26286" s="21"/>
      <c r="G26286" s="16"/>
    </row>
    <row r="26287" spans="4:7" ht="15" x14ac:dyDescent="0.3">
      <c r="D26287" s="25"/>
      <c r="F26287" s="21"/>
      <c r="G26287" s="16"/>
    </row>
    <row r="26288" spans="4:7" ht="15" x14ac:dyDescent="0.3">
      <c r="D26288" s="25"/>
      <c r="F26288" s="21"/>
      <c r="G26288" s="16"/>
    </row>
    <row r="26289" spans="4:7" ht="15" x14ac:dyDescent="0.3">
      <c r="D26289" s="25"/>
      <c r="F26289" s="21"/>
      <c r="G26289" s="16"/>
    </row>
    <row r="26290" spans="4:7" ht="15" x14ac:dyDescent="0.3">
      <c r="D26290" s="25"/>
      <c r="F26290" s="21"/>
      <c r="G26290" s="16"/>
    </row>
    <row r="26291" spans="4:7" ht="15" x14ac:dyDescent="0.3">
      <c r="D26291" s="25"/>
      <c r="F26291" s="21"/>
      <c r="G26291" s="16"/>
    </row>
    <row r="26292" spans="4:7" ht="15" x14ac:dyDescent="0.3">
      <c r="D26292" s="25"/>
      <c r="F26292" s="21"/>
      <c r="G26292" s="16"/>
    </row>
    <row r="26293" spans="4:7" ht="15" x14ac:dyDescent="0.3">
      <c r="D26293" s="25"/>
      <c r="F26293" s="21"/>
      <c r="G26293" s="16"/>
    </row>
    <row r="26294" spans="4:7" ht="15" x14ac:dyDescent="0.3">
      <c r="D26294" s="25"/>
      <c r="F26294" s="21"/>
      <c r="G26294" s="16"/>
    </row>
    <row r="26295" spans="4:7" ht="15" x14ac:dyDescent="0.3">
      <c r="D26295" s="25"/>
      <c r="F26295" s="21"/>
      <c r="G26295" s="16"/>
    </row>
    <row r="26296" spans="4:7" ht="15" x14ac:dyDescent="0.3">
      <c r="D26296" s="25"/>
      <c r="F26296" s="21"/>
      <c r="G26296" s="16"/>
    </row>
    <row r="26297" spans="4:7" ht="15" x14ac:dyDescent="0.3">
      <c r="D26297" s="25"/>
      <c r="F26297" s="21"/>
      <c r="G26297" s="16"/>
    </row>
    <row r="26298" spans="4:7" ht="15" x14ac:dyDescent="0.3">
      <c r="D26298" s="25"/>
      <c r="F26298" s="21"/>
      <c r="G26298" s="16"/>
    </row>
    <row r="26299" spans="4:7" ht="15" x14ac:dyDescent="0.3">
      <c r="D26299" s="25"/>
      <c r="F26299" s="21"/>
      <c r="G26299" s="16"/>
    </row>
    <row r="26300" spans="4:7" ht="15" x14ac:dyDescent="0.3">
      <c r="D26300" s="25"/>
      <c r="F26300" s="21"/>
      <c r="G26300" s="16"/>
    </row>
    <row r="26301" spans="4:7" ht="15" x14ac:dyDescent="0.3">
      <c r="D26301" s="25"/>
      <c r="F26301" s="21"/>
      <c r="G26301" s="16"/>
    </row>
    <row r="26302" spans="4:7" ht="15" x14ac:dyDescent="0.3">
      <c r="D26302" s="25"/>
      <c r="F26302" s="21"/>
      <c r="G26302" s="16"/>
    </row>
    <row r="26303" spans="4:7" ht="15" x14ac:dyDescent="0.3">
      <c r="D26303" s="25"/>
      <c r="F26303" s="21"/>
      <c r="G26303" s="16"/>
    </row>
    <row r="26304" spans="4:7" ht="15" x14ac:dyDescent="0.3">
      <c r="D26304" s="25"/>
      <c r="F26304" s="21"/>
      <c r="G26304" s="16"/>
    </row>
    <row r="26305" spans="4:7" ht="15" x14ac:dyDescent="0.3">
      <c r="D26305" s="25"/>
      <c r="F26305" s="21"/>
      <c r="G26305" s="16"/>
    </row>
    <row r="26306" spans="4:7" ht="15" x14ac:dyDescent="0.3">
      <c r="D26306" s="25"/>
      <c r="F26306" s="21"/>
      <c r="G26306" s="16"/>
    </row>
    <row r="26307" spans="4:7" ht="15" x14ac:dyDescent="0.3">
      <c r="D26307" s="25"/>
      <c r="F26307" s="21"/>
      <c r="G26307" s="16"/>
    </row>
    <row r="26308" spans="4:7" ht="15" x14ac:dyDescent="0.3">
      <c r="D26308" s="25"/>
      <c r="F26308" s="21"/>
      <c r="G26308" s="16"/>
    </row>
    <row r="26309" spans="4:7" ht="15" x14ac:dyDescent="0.3">
      <c r="D26309" s="25"/>
      <c r="F26309" s="21"/>
      <c r="G26309" s="16"/>
    </row>
    <row r="26310" spans="4:7" ht="15" x14ac:dyDescent="0.3">
      <c r="D26310" s="25"/>
      <c r="F26310" s="21"/>
      <c r="G26310" s="16"/>
    </row>
    <row r="26311" spans="4:7" ht="15" x14ac:dyDescent="0.3">
      <c r="D26311" s="25"/>
      <c r="F26311" s="21"/>
      <c r="G26311" s="16"/>
    </row>
    <row r="26312" spans="4:7" ht="15" x14ac:dyDescent="0.3">
      <c r="D26312" s="25"/>
      <c r="F26312" s="21"/>
      <c r="G26312" s="16"/>
    </row>
    <row r="26313" spans="4:7" ht="15" x14ac:dyDescent="0.3">
      <c r="D26313" s="25"/>
      <c r="F26313" s="21"/>
      <c r="G26313" s="16"/>
    </row>
    <row r="26314" spans="4:7" ht="15" x14ac:dyDescent="0.3">
      <c r="D26314" s="25"/>
      <c r="F26314" s="21"/>
      <c r="G26314" s="16"/>
    </row>
    <row r="26315" spans="4:7" ht="15" x14ac:dyDescent="0.3">
      <c r="D26315" s="25"/>
      <c r="F26315" s="21"/>
      <c r="G26315" s="16"/>
    </row>
    <row r="26316" spans="4:7" ht="15" x14ac:dyDescent="0.3">
      <c r="D26316" s="25"/>
      <c r="F26316" s="21"/>
      <c r="G26316" s="16"/>
    </row>
    <row r="26317" spans="4:7" ht="15" x14ac:dyDescent="0.3">
      <c r="D26317" s="25"/>
      <c r="F26317" s="21"/>
      <c r="G26317" s="16"/>
    </row>
    <row r="26318" spans="4:7" ht="15" x14ac:dyDescent="0.3">
      <c r="D26318" s="25"/>
      <c r="F26318" s="21"/>
      <c r="G26318" s="16"/>
    </row>
    <row r="26319" spans="4:7" ht="15" x14ac:dyDescent="0.3">
      <c r="D26319" s="25"/>
      <c r="F26319" s="21"/>
      <c r="G26319" s="16"/>
    </row>
    <row r="26320" spans="4:7" ht="15" x14ac:dyDescent="0.3">
      <c r="D26320" s="25"/>
      <c r="F26320" s="21"/>
      <c r="G26320" s="16"/>
    </row>
    <row r="26321" spans="4:7" ht="15" x14ac:dyDescent="0.3">
      <c r="D26321" s="25"/>
      <c r="F26321" s="21"/>
      <c r="G26321" s="16"/>
    </row>
    <row r="26322" spans="4:7" ht="15" x14ac:dyDescent="0.3">
      <c r="D26322" s="25"/>
      <c r="F26322" s="21"/>
      <c r="G26322" s="16"/>
    </row>
    <row r="26323" spans="4:7" ht="15" x14ac:dyDescent="0.3">
      <c r="D26323" s="25"/>
      <c r="F26323" s="21"/>
      <c r="G26323" s="16"/>
    </row>
    <row r="26324" spans="4:7" ht="15" x14ac:dyDescent="0.3">
      <c r="D26324" s="25"/>
      <c r="F26324" s="21"/>
      <c r="G26324" s="16"/>
    </row>
    <row r="26325" spans="4:7" ht="15" x14ac:dyDescent="0.3">
      <c r="D26325" s="25"/>
      <c r="F26325" s="21"/>
      <c r="G26325" s="16"/>
    </row>
    <row r="26326" spans="4:7" ht="15" x14ac:dyDescent="0.3">
      <c r="D26326" s="25"/>
      <c r="F26326" s="21"/>
      <c r="G26326" s="16"/>
    </row>
    <row r="26327" spans="4:7" ht="15" x14ac:dyDescent="0.3">
      <c r="D26327" s="25"/>
      <c r="F26327" s="21"/>
      <c r="G26327" s="16"/>
    </row>
    <row r="26328" spans="4:7" ht="15" x14ac:dyDescent="0.3">
      <c r="D26328" s="25"/>
      <c r="F26328" s="21"/>
      <c r="G26328" s="16"/>
    </row>
    <row r="26329" spans="4:7" ht="15" x14ac:dyDescent="0.3">
      <c r="D26329" s="25"/>
      <c r="F26329" s="21"/>
      <c r="G26329" s="16"/>
    </row>
    <row r="26330" spans="4:7" ht="15" x14ac:dyDescent="0.3">
      <c r="D26330" s="25"/>
      <c r="F26330" s="21"/>
      <c r="G26330" s="16"/>
    </row>
    <row r="26331" spans="4:7" ht="15" x14ac:dyDescent="0.3">
      <c r="D26331" s="25"/>
      <c r="F26331" s="21"/>
      <c r="G26331" s="16"/>
    </row>
    <row r="26332" spans="4:7" ht="15" x14ac:dyDescent="0.3">
      <c r="D26332" s="25"/>
      <c r="F26332" s="21"/>
      <c r="G26332" s="16"/>
    </row>
    <row r="26333" spans="4:7" ht="15" x14ac:dyDescent="0.3">
      <c r="D26333" s="25"/>
      <c r="F26333" s="21"/>
      <c r="G26333" s="16"/>
    </row>
    <row r="26334" spans="4:7" ht="15" x14ac:dyDescent="0.3">
      <c r="D26334" s="25"/>
      <c r="F26334" s="21"/>
      <c r="G26334" s="16"/>
    </row>
    <row r="26335" spans="4:7" ht="15" x14ac:dyDescent="0.3">
      <c r="D26335" s="25"/>
      <c r="F26335" s="21"/>
      <c r="G26335" s="16"/>
    </row>
    <row r="26336" spans="4:7" ht="15" x14ac:dyDescent="0.3">
      <c r="D26336" s="25"/>
      <c r="F26336" s="21"/>
      <c r="G26336" s="16"/>
    </row>
    <row r="26337" spans="4:7" ht="15" x14ac:dyDescent="0.3">
      <c r="D26337" s="25"/>
      <c r="F26337" s="21"/>
      <c r="G26337" s="16"/>
    </row>
    <row r="26338" spans="4:7" ht="15" x14ac:dyDescent="0.3">
      <c r="D26338" s="25"/>
      <c r="F26338" s="21"/>
      <c r="G26338" s="16"/>
    </row>
    <row r="26339" spans="4:7" ht="15" x14ac:dyDescent="0.3">
      <c r="D26339" s="25"/>
      <c r="F26339" s="21"/>
      <c r="G26339" s="16"/>
    </row>
    <row r="26340" spans="4:7" ht="15" x14ac:dyDescent="0.3">
      <c r="D26340" s="25"/>
      <c r="F26340" s="21"/>
      <c r="G26340" s="16"/>
    </row>
    <row r="26341" spans="4:7" ht="15" x14ac:dyDescent="0.3">
      <c r="D26341" s="25"/>
      <c r="F26341" s="21"/>
      <c r="G26341" s="16"/>
    </row>
    <row r="26342" spans="4:7" ht="15" x14ac:dyDescent="0.3">
      <c r="D26342" s="25"/>
      <c r="F26342" s="21"/>
      <c r="G26342" s="16"/>
    </row>
    <row r="26343" spans="4:7" ht="15" x14ac:dyDescent="0.3">
      <c r="D26343" s="25"/>
      <c r="F26343" s="21"/>
      <c r="G26343" s="16"/>
    </row>
    <row r="26344" spans="4:7" ht="15" x14ac:dyDescent="0.3">
      <c r="D26344" s="25"/>
      <c r="F26344" s="21"/>
      <c r="G26344" s="16"/>
    </row>
    <row r="26345" spans="4:7" ht="15" x14ac:dyDescent="0.3">
      <c r="D26345" s="25"/>
      <c r="F26345" s="21"/>
      <c r="G26345" s="16"/>
    </row>
    <row r="26346" spans="4:7" ht="15" x14ac:dyDescent="0.3">
      <c r="D26346" s="25"/>
      <c r="F26346" s="21"/>
      <c r="G26346" s="16"/>
    </row>
    <row r="26347" spans="4:7" ht="15" x14ac:dyDescent="0.3">
      <c r="D26347" s="25"/>
      <c r="F26347" s="21"/>
      <c r="G26347" s="16"/>
    </row>
    <row r="26348" spans="4:7" ht="15" x14ac:dyDescent="0.3">
      <c r="D26348" s="25"/>
      <c r="F26348" s="21"/>
      <c r="G26348" s="16"/>
    </row>
    <row r="26349" spans="4:7" ht="15" x14ac:dyDescent="0.3">
      <c r="D26349" s="25"/>
      <c r="F26349" s="21"/>
      <c r="G26349" s="16"/>
    </row>
    <row r="26350" spans="4:7" ht="15" x14ac:dyDescent="0.3">
      <c r="D26350" s="25"/>
      <c r="F26350" s="21"/>
      <c r="G26350" s="16"/>
    </row>
    <row r="26351" spans="4:7" ht="15" x14ac:dyDescent="0.3">
      <c r="D26351" s="25"/>
      <c r="F26351" s="21"/>
      <c r="G26351" s="16"/>
    </row>
    <row r="26352" spans="4:7" ht="15" x14ac:dyDescent="0.3">
      <c r="D26352" s="25"/>
      <c r="F26352" s="21"/>
      <c r="G26352" s="16"/>
    </row>
    <row r="26353" spans="4:7" ht="15" x14ac:dyDescent="0.3">
      <c r="D26353" s="25"/>
      <c r="F26353" s="21"/>
      <c r="G26353" s="16"/>
    </row>
    <row r="26354" spans="4:7" ht="15" x14ac:dyDescent="0.3">
      <c r="D26354" s="25"/>
      <c r="F26354" s="21"/>
      <c r="G26354" s="16"/>
    </row>
    <row r="26355" spans="4:7" ht="15" x14ac:dyDescent="0.3">
      <c r="D26355" s="25"/>
      <c r="F26355" s="21"/>
      <c r="G26355" s="16"/>
    </row>
    <row r="26356" spans="4:7" ht="15" x14ac:dyDescent="0.3">
      <c r="D26356" s="25"/>
      <c r="F26356" s="21"/>
      <c r="G26356" s="16"/>
    </row>
    <row r="26357" spans="4:7" ht="15" x14ac:dyDescent="0.3">
      <c r="D26357" s="25"/>
      <c r="F26357" s="21"/>
      <c r="G26357" s="16"/>
    </row>
    <row r="26358" spans="4:7" ht="15" x14ac:dyDescent="0.3">
      <c r="D26358" s="25"/>
      <c r="F26358" s="21"/>
      <c r="G26358" s="16"/>
    </row>
    <row r="26359" spans="4:7" ht="15" x14ac:dyDescent="0.3">
      <c r="D26359" s="25"/>
      <c r="F26359" s="21"/>
      <c r="G26359" s="16"/>
    </row>
    <row r="26360" spans="4:7" ht="15" x14ac:dyDescent="0.3">
      <c r="D26360" s="25"/>
      <c r="F26360" s="21"/>
      <c r="G26360" s="16"/>
    </row>
    <row r="26361" spans="4:7" ht="15" x14ac:dyDescent="0.3">
      <c r="D26361" s="25"/>
      <c r="F26361" s="21"/>
      <c r="G26361" s="16"/>
    </row>
    <row r="26362" spans="4:7" ht="15" x14ac:dyDescent="0.3">
      <c r="D26362" s="25"/>
      <c r="F26362" s="21"/>
      <c r="G26362" s="16"/>
    </row>
    <row r="26363" spans="4:7" ht="15" x14ac:dyDescent="0.3">
      <c r="D26363" s="25"/>
      <c r="F26363" s="21"/>
      <c r="G26363" s="16"/>
    </row>
    <row r="26364" spans="4:7" ht="15" x14ac:dyDescent="0.3">
      <c r="D26364" s="25"/>
      <c r="F26364" s="21"/>
      <c r="G26364" s="16"/>
    </row>
    <row r="26365" spans="4:7" ht="15" x14ac:dyDescent="0.3">
      <c r="D26365" s="25"/>
      <c r="F26365" s="21"/>
      <c r="G26365" s="16"/>
    </row>
    <row r="26366" spans="4:7" ht="15" x14ac:dyDescent="0.3">
      <c r="D26366" s="25"/>
      <c r="F26366" s="21"/>
      <c r="G26366" s="16"/>
    </row>
    <row r="26367" spans="4:7" ht="15" x14ac:dyDescent="0.3">
      <c r="D26367" s="25"/>
      <c r="F26367" s="21"/>
      <c r="G26367" s="16"/>
    </row>
    <row r="26368" spans="4:7" ht="15" x14ac:dyDescent="0.3">
      <c r="D26368" s="25"/>
      <c r="F26368" s="21"/>
      <c r="G26368" s="16"/>
    </row>
    <row r="26369" spans="4:7" ht="15" x14ac:dyDescent="0.3">
      <c r="D26369" s="25"/>
      <c r="F26369" s="21"/>
      <c r="G26369" s="16"/>
    </row>
    <row r="26370" spans="4:7" ht="15" x14ac:dyDescent="0.3">
      <c r="D26370" s="25"/>
      <c r="F26370" s="21"/>
      <c r="G26370" s="16"/>
    </row>
    <row r="26371" spans="4:7" ht="15" x14ac:dyDescent="0.3">
      <c r="D26371" s="25"/>
      <c r="F26371" s="21"/>
      <c r="G26371" s="16"/>
    </row>
    <row r="26372" spans="4:7" ht="15" x14ac:dyDescent="0.3">
      <c r="D26372" s="25"/>
      <c r="F26372" s="21"/>
      <c r="G26372" s="16"/>
    </row>
    <row r="26373" spans="4:7" ht="15" x14ac:dyDescent="0.3">
      <c r="D26373" s="25"/>
      <c r="F26373" s="21"/>
      <c r="G26373" s="16"/>
    </row>
    <row r="26374" spans="4:7" ht="15" x14ac:dyDescent="0.3">
      <c r="D26374" s="25"/>
      <c r="F26374" s="21"/>
      <c r="G26374" s="16"/>
    </row>
    <row r="26375" spans="4:7" ht="15" x14ac:dyDescent="0.3">
      <c r="D26375" s="25"/>
      <c r="F26375" s="21"/>
      <c r="G26375" s="16"/>
    </row>
    <row r="26376" spans="4:7" ht="15" x14ac:dyDescent="0.3">
      <c r="D26376" s="25"/>
      <c r="F26376" s="21"/>
      <c r="G26376" s="16"/>
    </row>
    <row r="26377" spans="4:7" ht="15" x14ac:dyDescent="0.3">
      <c r="D26377" s="25"/>
      <c r="F26377" s="21"/>
      <c r="G26377" s="16"/>
    </row>
    <row r="26378" spans="4:7" ht="15" x14ac:dyDescent="0.3">
      <c r="D26378" s="25"/>
      <c r="F26378" s="21"/>
      <c r="G26378" s="16"/>
    </row>
    <row r="26379" spans="4:7" ht="15" x14ac:dyDescent="0.3">
      <c r="D26379" s="25"/>
      <c r="F26379" s="21"/>
      <c r="G26379" s="16"/>
    </row>
    <row r="26380" spans="4:7" ht="15" x14ac:dyDescent="0.3">
      <c r="D26380" s="25"/>
      <c r="F26380" s="21"/>
      <c r="G26380" s="16"/>
    </row>
    <row r="26381" spans="4:7" ht="15" x14ac:dyDescent="0.3">
      <c r="D26381" s="25"/>
      <c r="F26381" s="21"/>
      <c r="G26381" s="16"/>
    </row>
    <row r="26382" spans="4:7" ht="15" x14ac:dyDescent="0.3">
      <c r="D26382" s="25"/>
      <c r="F26382" s="21"/>
      <c r="G26382" s="16"/>
    </row>
    <row r="26383" spans="4:7" ht="15" x14ac:dyDescent="0.3">
      <c r="D26383" s="25"/>
      <c r="F26383" s="21"/>
      <c r="G26383" s="16"/>
    </row>
    <row r="26384" spans="4:7" ht="15" x14ac:dyDescent="0.3">
      <c r="D26384" s="25"/>
      <c r="F26384" s="21"/>
      <c r="G26384" s="16"/>
    </row>
    <row r="26385" spans="4:7" ht="15" x14ac:dyDescent="0.3">
      <c r="D26385" s="25"/>
      <c r="F26385" s="21"/>
      <c r="G26385" s="16"/>
    </row>
    <row r="26386" spans="4:7" ht="15" x14ac:dyDescent="0.3">
      <c r="D26386" s="25"/>
      <c r="F26386" s="21"/>
      <c r="G26386" s="16"/>
    </row>
    <row r="26387" spans="4:7" ht="15" x14ac:dyDescent="0.3">
      <c r="D26387" s="25"/>
      <c r="F26387" s="21"/>
      <c r="G26387" s="16"/>
    </row>
    <row r="26388" spans="4:7" ht="15" x14ac:dyDescent="0.3">
      <c r="D26388" s="25"/>
      <c r="F26388" s="21"/>
      <c r="G26388" s="16"/>
    </row>
    <row r="26389" spans="4:7" ht="15" x14ac:dyDescent="0.3">
      <c r="D26389" s="25"/>
      <c r="F26389" s="21"/>
      <c r="G26389" s="16"/>
    </row>
    <row r="26390" spans="4:7" ht="15" x14ac:dyDescent="0.3">
      <c r="D26390" s="25"/>
      <c r="F26390" s="21"/>
      <c r="G26390" s="16"/>
    </row>
    <row r="26391" spans="4:7" ht="15" x14ac:dyDescent="0.3">
      <c r="D26391" s="25"/>
      <c r="F26391" s="21"/>
      <c r="G26391" s="16"/>
    </row>
    <row r="26392" spans="4:7" ht="15" x14ac:dyDescent="0.3">
      <c r="D26392" s="25"/>
      <c r="F26392" s="21"/>
      <c r="G26392" s="16"/>
    </row>
    <row r="26393" spans="4:7" ht="15" x14ac:dyDescent="0.3">
      <c r="D26393" s="25"/>
      <c r="F26393" s="21"/>
      <c r="G26393" s="16"/>
    </row>
    <row r="26394" spans="4:7" ht="15" x14ac:dyDescent="0.3">
      <c r="D26394" s="25"/>
      <c r="F26394" s="21"/>
      <c r="G26394" s="16"/>
    </row>
    <row r="26395" spans="4:7" ht="15" x14ac:dyDescent="0.3">
      <c r="D26395" s="25"/>
      <c r="F26395" s="21"/>
      <c r="G26395" s="16"/>
    </row>
    <row r="26396" spans="4:7" ht="15" x14ac:dyDescent="0.3">
      <c r="D26396" s="25"/>
      <c r="F26396" s="21"/>
      <c r="G26396" s="16"/>
    </row>
    <row r="26397" spans="4:7" ht="15" x14ac:dyDescent="0.3">
      <c r="D26397" s="25"/>
      <c r="F26397" s="21"/>
      <c r="G26397" s="16"/>
    </row>
    <row r="26398" spans="4:7" ht="15" x14ac:dyDescent="0.3">
      <c r="D26398" s="25"/>
      <c r="F26398" s="21"/>
      <c r="G26398" s="16"/>
    </row>
    <row r="26399" spans="4:7" ht="15" x14ac:dyDescent="0.3">
      <c r="D26399" s="25"/>
      <c r="F26399" s="21"/>
      <c r="G26399" s="16"/>
    </row>
    <row r="26400" spans="4:7" ht="15" x14ac:dyDescent="0.3">
      <c r="D26400" s="25"/>
      <c r="F26400" s="21"/>
      <c r="G26400" s="16"/>
    </row>
    <row r="26401" spans="4:7" ht="15" x14ac:dyDescent="0.3">
      <c r="D26401" s="25"/>
      <c r="F26401" s="21"/>
      <c r="G26401" s="16"/>
    </row>
    <row r="26402" spans="4:7" ht="15" x14ac:dyDescent="0.3">
      <c r="D26402" s="25"/>
      <c r="F26402" s="21"/>
      <c r="G26402" s="16"/>
    </row>
    <row r="26403" spans="4:7" ht="15" x14ac:dyDescent="0.3">
      <c r="D26403" s="25"/>
      <c r="F26403" s="21"/>
      <c r="G26403" s="16"/>
    </row>
    <row r="26404" spans="4:7" ht="15" x14ac:dyDescent="0.3">
      <c r="D26404" s="25"/>
      <c r="F26404" s="21"/>
      <c r="G26404" s="16"/>
    </row>
    <row r="26405" spans="4:7" ht="15" x14ac:dyDescent="0.3">
      <c r="D26405" s="25"/>
      <c r="F26405" s="21"/>
      <c r="G26405" s="16"/>
    </row>
    <row r="26406" spans="4:7" ht="15" x14ac:dyDescent="0.3">
      <c r="D26406" s="25"/>
      <c r="F26406" s="21"/>
      <c r="G26406" s="16"/>
    </row>
    <row r="26407" spans="4:7" ht="15" x14ac:dyDescent="0.3">
      <c r="D26407" s="25"/>
      <c r="F26407" s="21"/>
      <c r="G26407" s="16"/>
    </row>
    <row r="26408" spans="4:7" ht="15" x14ac:dyDescent="0.3">
      <c r="D26408" s="25"/>
      <c r="F26408" s="21"/>
      <c r="G26408" s="16"/>
    </row>
    <row r="26409" spans="4:7" ht="15" x14ac:dyDescent="0.3">
      <c r="D26409" s="25"/>
      <c r="F26409" s="21"/>
      <c r="G26409" s="16"/>
    </row>
    <row r="26410" spans="4:7" ht="15" x14ac:dyDescent="0.3">
      <c r="D26410" s="25"/>
      <c r="F26410" s="21"/>
      <c r="G26410" s="16"/>
    </row>
    <row r="26411" spans="4:7" ht="15" x14ac:dyDescent="0.3">
      <c r="D26411" s="25"/>
      <c r="F26411" s="21"/>
      <c r="G26411" s="16"/>
    </row>
    <row r="26412" spans="4:7" ht="15" x14ac:dyDescent="0.3">
      <c r="D26412" s="25"/>
      <c r="F26412" s="21"/>
      <c r="G26412" s="16"/>
    </row>
    <row r="26413" spans="4:7" ht="15" x14ac:dyDescent="0.3">
      <c r="D26413" s="25"/>
      <c r="F26413" s="21"/>
      <c r="G26413" s="16"/>
    </row>
    <row r="26414" spans="4:7" ht="15" x14ac:dyDescent="0.3">
      <c r="D26414" s="25"/>
      <c r="F26414" s="21"/>
      <c r="G26414" s="16"/>
    </row>
    <row r="26415" spans="4:7" ht="15" x14ac:dyDescent="0.3">
      <c r="D26415" s="25"/>
      <c r="F26415" s="21"/>
      <c r="G26415" s="16"/>
    </row>
    <row r="26416" spans="4:7" ht="15" x14ac:dyDescent="0.3">
      <c r="D26416" s="25"/>
      <c r="F26416" s="21"/>
      <c r="G26416" s="16"/>
    </row>
    <row r="26417" spans="4:7" ht="15" x14ac:dyDescent="0.3">
      <c r="D26417" s="25"/>
      <c r="F26417" s="21"/>
      <c r="G26417" s="16"/>
    </row>
    <row r="26418" spans="4:7" ht="15" x14ac:dyDescent="0.3">
      <c r="D26418" s="25"/>
      <c r="F26418" s="21"/>
      <c r="G26418" s="16"/>
    </row>
    <row r="26419" spans="4:7" ht="15" x14ac:dyDescent="0.3">
      <c r="D26419" s="25"/>
      <c r="F26419" s="21"/>
      <c r="G26419" s="16"/>
    </row>
    <row r="26420" spans="4:7" ht="15" x14ac:dyDescent="0.3">
      <c r="D26420" s="25"/>
      <c r="F26420" s="21"/>
      <c r="G26420" s="16"/>
    </row>
    <row r="26421" spans="4:7" ht="15" x14ac:dyDescent="0.3">
      <c r="D26421" s="25"/>
      <c r="F26421" s="21"/>
      <c r="G26421" s="16"/>
    </row>
    <row r="26422" spans="4:7" ht="15" x14ac:dyDescent="0.3">
      <c r="D26422" s="25"/>
      <c r="F26422" s="21"/>
      <c r="G26422" s="16"/>
    </row>
    <row r="26423" spans="4:7" ht="15" x14ac:dyDescent="0.3">
      <c r="D26423" s="25"/>
      <c r="F26423" s="21"/>
      <c r="G26423" s="16"/>
    </row>
    <row r="26424" spans="4:7" ht="15" x14ac:dyDescent="0.3">
      <c r="D26424" s="25"/>
      <c r="F26424" s="21"/>
      <c r="G26424" s="16"/>
    </row>
    <row r="26425" spans="4:7" ht="15" x14ac:dyDescent="0.3">
      <c r="D26425" s="25"/>
      <c r="F26425" s="21"/>
      <c r="G26425" s="16"/>
    </row>
    <row r="26426" spans="4:7" ht="15" x14ac:dyDescent="0.3">
      <c r="D26426" s="25"/>
      <c r="F26426" s="21"/>
      <c r="G26426" s="16"/>
    </row>
    <row r="26427" spans="4:7" ht="15" x14ac:dyDescent="0.3">
      <c r="D26427" s="25"/>
      <c r="F26427" s="21"/>
      <c r="G26427" s="16"/>
    </row>
    <row r="26428" spans="4:7" ht="15" x14ac:dyDescent="0.3">
      <c r="D26428" s="25"/>
      <c r="F26428" s="21"/>
      <c r="G26428" s="16"/>
    </row>
    <row r="26429" spans="4:7" ht="15" x14ac:dyDescent="0.3">
      <c r="D26429" s="25"/>
      <c r="F26429" s="21"/>
      <c r="G26429" s="16"/>
    </row>
    <row r="26430" spans="4:7" ht="15" x14ac:dyDescent="0.3">
      <c r="D26430" s="25"/>
      <c r="F26430" s="21"/>
      <c r="G26430" s="16"/>
    </row>
    <row r="26431" spans="4:7" ht="15" x14ac:dyDescent="0.3">
      <c r="D26431" s="25"/>
      <c r="F26431" s="21"/>
      <c r="G26431" s="16"/>
    </row>
    <row r="26432" spans="4:7" ht="15" x14ac:dyDescent="0.3">
      <c r="D26432" s="25"/>
      <c r="F26432" s="21"/>
      <c r="G26432" s="16"/>
    </row>
    <row r="26433" spans="4:7" ht="15" x14ac:dyDescent="0.3">
      <c r="D26433" s="25"/>
      <c r="F26433" s="21"/>
      <c r="G26433" s="16"/>
    </row>
    <row r="26434" spans="4:7" ht="15" x14ac:dyDescent="0.3">
      <c r="D26434" s="25"/>
      <c r="F26434" s="21"/>
      <c r="G26434" s="16"/>
    </row>
    <row r="26435" spans="4:7" ht="15" x14ac:dyDescent="0.3">
      <c r="D26435" s="25"/>
      <c r="F26435" s="21"/>
      <c r="G26435" s="16"/>
    </row>
    <row r="26436" spans="4:7" ht="15" x14ac:dyDescent="0.3">
      <c r="D26436" s="25"/>
      <c r="F26436" s="21"/>
      <c r="G26436" s="16"/>
    </row>
    <row r="26437" spans="4:7" ht="15" x14ac:dyDescent="0.3">
      <c r="D26437" s="25"/>
      <c r="F26437" s="21"/>
      <c r="G26437" s="16"/>
    </row>
    <row r="26438" spans="4:7" ht="15" x14ac:dyDescent="0.3">
      <c r="D26438" s="25"/>
      <c r="F26438" s="21"/>
      <c r="G26438" s="16"/>
    </row>
    <row r="26439" spans="4:7" ht="15" x14ac:dyDescent="0.3">
      <c r="D26439" s="25"/>
      <c r="F26439" s="21"/>
      <c r="G26439" s="16"/>
    </row>
    <row r="26440" spans="4:7" ht="15" x14ac:dyDescent="0.3">
      <c r="D26440" s="25"/>
      <c r="F26440" s="21"/>
      <c r="G26440" s="16"/>
    </row>
    <row r="26441" spans="4:7" ht="15" x14ac:dyDescent="0.3">
      <c r="D26441" s="25"/>
      <c r="F26441" s="21"/>
      <c r="G26441" s="16"/>
    </row>
    <row r="26442" spans="4:7" ht="15" x14ac:dyDescent="0.3">
      <c r="D26442" s="25"/>
      <c r="F26442" s="21"/>
      <c r="G26442" s="16"/>
    </row>
    <row r="26443" spans="4:7" ht="15" x14ac:dyDescent="0.3">
      <c r="D26443" s="25"/>
      <c r="F26443" s="21"/>
      <c r="G26443" s="16"/>
    </row>
    <row r="26444" spans="4:7" ht="15" x14ac:dyDescent="0.3">
      <c r="D26444" s="25"/>
      <c r="F26444" s="21"/>
      <c r="G26444" s="16"/>
    </row>
    <row r="26445" spans="4:7" ht="15" x14ac:dyDescent="0.3">
      <c r="D26445" s="25"/>
      <c r="F26445" s="21"/>
      <c r="G26445" s="16"/>
    </row>
    <row r="26446" spans="4:7" ht="15" x14ac:dyDescent="0.3">
      <c r="D26446" s="25"/>
      <c r="F26446" s="21"/>
      <c r="G26446" s="16"/>
    </row>
    <row r="26447" spans="4:7" ht="15" x14ac:dyDescent="0.3">
      <c r="D26447" s="25"/>
      <c r="F26447" s="21"/>
      <c r="G26447" s="16"/>
    </row>
    <row r="26448" spans="4:7" ht="15" x14ac:dyDescent="0.3">
      <c r="D26448" s="25"/>
      <c r="F26448" s="21"/>
      <c r="G26448" s="16"/>
    </row>
    <row r="26449" spans="4:7" ht="15" x14ac:dyDescent="0.3">
      <c r="D26449" s="25"/>
      <c r="F26449" s="21"/>
      <c r="G26449" s="16"/>
    </row>
    <row r="26450" spans="4:7" ht="15" x14ac:dyDescent="0.3">
      <c r="D26450" s="25"/>
      <c r="F26450" s="21"/>
      <c r="G26450" s="16"/>
    </row>
    <row r="26451" spans="4:7" ht="15" x14ac:dyDescent="0.3">
      <c r="D26451" s="25"/>
      <c r="F26451" s="21"/>
      <c r="G26451" s="16"/>
    </row>
    <row r="26452" spans="4:7" ht="15" x14ac:dyDescent="0.3">
      <c r="D26452" s="25"/>
      <c r="F26452" s="21"/>
      <c r="G26452" s="16"/>
    </row>
    <row r="26453" spans="4:7" ht="15" x14ac:dyDescent="0.3">
      <c r="D26453" s="25"/>
      <c r="F26453" s="21"/>
      <c r="G26453" s="16"/>
    </row>
    <row r="26454" spans="4:7" ht="15" x14ac:dyDescent="0.3">
      <c r="D26454" s="25"/>
      <c r="F26454" s="21"/>
      <c r="G26454" s="16"/>
    </row>
    <row r="26455" spans="4:7" ht="15" x14ac:dyDescent="0.3">
      <c r="D26455" s="25"/>
      <c r="F26455" s="21"/>
      <c r="G26455" s="16"/>
    </row>
    <row r="26456" spans="4:7" ht="15" x14ac:dyDescent="0.3">
      <c r="D26456" s="25"/>
      <c r="F26456" s="21"/>
      <c r="G26456" s="16"/>
    </row>
    <row r="26457" spans="4:7" ht="15" x14ac:dyDescent="0.3">
      <c r="D26457" s="25"/>
      <c r="F26457" s="21"/>
      <c r="G26457" s="16"/>
    </row>
    <row r="26458" spans="4:7" ht="15" x14ac:dyDescent="0.3">
      <c r="D26458" s="25"/>
      <c r="F26458" s="21"/>
      <c r="G26458" s="16"/>
    </row>
    <row r="26459" spans="4:7" ht="15" x14ac:dyDescent="0.3">
      <c r="D26459" s="25"/>
      <c r="F26459" s="21"/>
      <c r="G26459" s="16"/>
    </row>
    <row r="26460" spans="4:7" ht="15" x14ac:dyDescent="0.3">
      <c r="D26460" s="25"/>
      <c r="F26460" s="21"/>
      <c r="G26460" s="16"/>
    </row>
    <row r="26461" spans="4:7" ht="15" x14ac:dyDescent="0.3">
      <c r="D26461" s="25"/>
      <c r="F26461" s="21"/>
      <c r="G26461" s="16"/>
    </row>
    <row r="26462" spans="4:7" ht="15" x14ac:dyDescent="0.3">
      <c r="D26462" s="25"/>
      <c r="F26462" s="21"/>
      <c r="G26462" s="16"/>
    </row>
    <row r="26463" spans="4:7" ht="15" x14ac:dyDescent="0.3">
      <c r="D26463" s="25"/>
      <c r="F26463" s="21"/>
      <c r="G26463" s="16"/>
    </row>
    <row r="26464" spans="4:7" ht="15" x14ac:dyDescent="0.3">
      <c r="D26464" s="25"/>
      <c r="F26464" s="21"/>
      <c r="G26464" s="16"/>
    </row>
    <row r="26465" spans="4:7" ht="15" x14ac:dyDescent="0.3">
      <c r="D26465" s="25"/>
      <c r="F26465" s="21"/>
      <c r="G26465" s="16"/>
    </row>
    <row r="26466" spans="4:7" ht="15" x14ac:dyDescent="0.3">
      <c r="D26466" s="25"/>
      <c r="F26466" s="21"/>
      <c r="G26466" s="16"/>
    </row>
    <row r="26467" spans="4:7" ht="15" x14ac:dyDescent="0.3">
      <c r="D26467" s="25"/>
      <c r="F26467" s="21"/>
      <c r="G26467" s="16"/>
    </row>
    <row r="26468" spans="4:7" ht="15" x14ac:dyDescent="0.3">
      <c r="D26468" s="25"/>
      <c r="F26468" s="21"/>
      <c r="G26468" s="16"/>
    </row>
    <row r="26469" spans="4:7" ht="15" x14ac:dyDescent="0.3">
      <c r="D26469" s="25"/>
      <c r="F26469" s="21"/>
      <c r="G26469" s="16"/>
    </row>
    <row r="26470" spans="4:7" ht="15" x14ac:dyDescent="0.3">
      <c r="D26470" s="25"/>
      <c r="F26470" s="21"/>
      <c r="G26470" s="16"/>
    </row>
    <row r="26471" spans="4:7" ht="15" x14ac:dyDescent="0.3">
      <c r="D26471" s="25"/>
      <c r="F26471" s="21"/>
      <c r="G26471" s="16"/>
    </row>
    <row r="26472" spans="4:7" ht="15" x14ac:dyDescent="0.3">
      <c r="D26472" s="25"/>
      <c r="F26472" s="21"/>
      <c r="G26472" s="16"/>
    </row>
    <row r="26473" spans="4:7" ht="15" x14ac:dyDescent="0.3">
      <c r="D26473" s="25"/>
      <c r="F26473" s="21"/>
      <c r="G26473" s="16"/>
    </row>
    <row r="26474" spans="4:7" ht="15" x14ac:dyDescent="0.3">
      <c r="D26474" s="25"/>
      <c r="F26474" s="21"/>
      <c r="G26474" s="16"/>
    </row>
    <row r="26475" spans="4:7" ht="15" x14ac:dyDescent="0.3">
      <c r="D26475" s="25"/>
      <c r="F26475" s="21"/>
      <c r="G26475" s="16"/>
    </row>
    <row r="26476" spans="4:7" ht="15" x14ac:dyDescent="0.3">
      <c r="D26476" s="25"/>
      <c r="F26476" s="21"/>
      <c r="G26476" s="16"/>
    </row>
    <row r="26477" spans="4:7" ht="15" x14ac:dyDescent="0.3">
      <c r="D26477" s="25"/>
      <c r="F26477" s="21"/>
      <c r="G26477" s="16"/>
    </row>
    <row r="26478" spans="4:7" ht="15" x14ac:dyDescent="0.3">
      <c r="D26478" s="25"/>
      <c r="F26478" s="21"/>
      <c r="G26478" s="16"/>
    </row>
    <row r="26479" spans="4:7" ht="15" x14ac:dyDescent="0.3">
      <c r="D26479" s="25"/>
      <c r="F26479" s="21"/>
      <c r="G26479" s="16"/>
    </row>
    <row r="26480" spans="4:7" ht="15" x14ac:dyDescent="0.3">
      <c r="D26480" s="25"/>
      <c r="F26480" s="21"/>
      <c r="G26480" s="16"/>
    </row>
    <row r="26481" spans="4:7" ht="15" x14ac:dyDescent="0.3">
      <c r="D26481" s="25"/>
      <c r="F26481" s="21"/>
      <c r="G26481" s="16"/>
    </row>
    <row r="26482" spans="4:7" ht="15" x14ac:dyDescent="0.3">
      <c r="D26482" s="25"/>
      <c r="F26482" s="21"/>
      <c r="G26482" s="16"/>
    </row>
    <row r="26483" spans="4:7" ht="15" x14ac:dyDescent="0.3">
      <c r="D26483" s="25"/>
      <c r="F26483" s="21"/>
      <c r="G26483" s="16"/>
    </row>
    <row r="26484" spans="4:7" ht="15" x14ac:dyDescent="0.3">
      <c r="D26484" s="25"/>
      <c r="F26484" s="21"/>
      <c r="G26484" s="16"/>
    </row>
    <row r="26485" spans="4:7" ht="15" x14ac:dyDescent="0.3">
      <c r="D26485" s="25"/>
      <c r="F26485" s="21"/>
      <c r="G26485" s="16"/>
    </row>
    <row r="26486" spans="4:7" ht="15" x14ac:dyDescent="0.3">
      <c r="D26486" s="25"/>
      <c r="F26486" s="21"/>
      <c r="G26486" s="16"/>
    </row>
    <row r="26487" spans="4:7" ht="15" x14ac:dyDescent="0.3">
      <c r="D26487" s="25"/>
      <c r="F26487" s="21"/>
      <c r="G26487" s="16"/>
    </row>
    <row r="26488" spans="4:7" ht="15" x14ac:dyDescent="0.3">
      <c r="D26488" s="25"/>
      <c r="F26488" s="21"/>
      <c r="G26488" s="16"/>
    </row>
    <row r="26489" spans="4:7" ht="15" x14ac:dyDescent="0.3">
      <c r="D26489" s="25"/>
      <c r="F26489" s="21"/>
      <c r="G26489" s="16"/>
    </row>
    <row r="26490" spans="4:7" ht="15" x14ac:dyDescent="0.3">
      <c r="D26490" s="25"/>
      <c r="F26490" s="21"/>
      <c r="G26490" s="16"/>
    </row>
    <row r="26491" spans="4:7" ht="15" x14ac:dyDescent="0.3">
      <c r="D26491" s="25"/>
      <c r="F26491" s="21"/>
      <c r="G26491" s="16"/>
    </row>
    <row r="26492" spans="4:7" ht="15" x14ac:dyDescent="0.3">
      <c r="D26492" s="25"/>
      <c r="F26492" s="21"/>
      <c r="G26492" s="16"/>
    </row>
    <row r="26493" spans="4:7" ht="15" x14ac:dyDescent="0.3">
      <c r="D26493" s="25"/>
      <c r="F26493" s="21"/>
      <c r="G26493" s="16"/>
    </row>
    <row r="26494" spans="4:7" ht="15" x14ac:dyDescent="0.3">
      <c r="D26494" s="25"/>
      <c r="F26494" s="21"/>
      <c r="G26494" s="16"/>
    </row>
    <row r="26495" spans="4:7" ht="15" x14ac:dyDescent="0.3">
      <c r="D26495" s="25"/>
      <c r="F26495" s="21"/>
      <c r="G26495" s="16"/>
    </row>
    <row r="26496" spans="4:7" ht="15" x14ac:dyDescent="0.3">
      <c r="D26496" s="25"/>
      <c r="F26496" s="21"/>
      <c r="G26496" s="16"/>
    </row>
    <row r="26497" spans="4:7" ht="15" x14ac:dyDescent="0.3">
      <c r="D26497" s="25"/>
      <c r="F26497" s="21"/>
      <c r="G26497" s="16"/>
    </row>
    <row r="26498" spans="4:7" ht="15" x14ac:dyDescent="0.3">
      <c r="D26498" s="25"/>
      <c r="F26498" s="21"/>
      <c r="G26498" s="16"/>
    </row>
    <row r="26499" spans="4:7" ht="15" x14ac:dyDescent="0.3">
      <c r="D26499" s="25"/>
      <c r="F26499" s="21"/>
      <c r="G26499" s="16"/>
    </row>
    <row r="26500" spans="4:7" ht="15" x14ac:dyDescent="0.3">
      <c r="D26500" s="25"/>
      <c r="F26500" s="21"/>
      <c r="G26500" s="16"/>
    </row>
    <row r="26501" spans="4:7" ht="15" x14ac:dyDescent="0.3">
      <c r="D26501" s="25"/>
      <c r="F26501" s="21"/>
      <c r="G26501" s="16"/>
    </row>
    <row r="26502" spans="4:7" ht="15" x14ac:dyDescent="0.3">
      <c r="D26502" s="25"/>
      <c r="F26502" s="21"/>
      <c r="G26502" s="16"/>
    </row>
    <row r="26503" spans="4:7" ht="15" x14ac:dyDescent="0.3">
      <c r="D26503" s="25"/>
      <c r="F26503" s="21"/>
      <c r="G26503" s="16"/>
    </row>
    <row r="26504" spans="4:7" ht="15" x14ac:dyDescent="0.3">
      <c r="D26504" s="25"/>
      <c r="F26504" s="21"/>
      <c r="G26504" s="16"/>
    </row>
    <row r="26505" spans="4:7" ht="15" x14ac:dyDescent="0.3">
      <c r="D26505" s="25"/>
      <c r="F26505" s="21"/>
      <c r="G26505" s="16"/>
    </row>
    <row r="26506" spans="4:7" ht="15" x14ac:dyDescent="0.3">
      <c r="D26506" s="25"/>
      <c r="F26506" s="21"/>
      <c r="G26506" s="16"/>
    </row>
    <row r="26507" spans="4:7" ht="15" x14ac:dyDescent="0.3">
      <c r="D26507" s="25"/>
      <c r="F26507" s="21"/>
      <c r="G26507" s="16"/>
    </row>
    <row r="26508" spans="4:7" ht="15" x14ac:dyDescent="0.3">
      <c r="D26508" s="25"/>
      <c r="F26508" s="21"/>
      <c r="G26508" s="16"/>
    </row>
    <row r="26509" spans="4:7" ht="15" x14ac:dyDescent="0.3">
      <c r="D26509" s="25"/>
      <c r="F26509" s="21"/>
      <c r="G26509" s="16"/>
    </row>
    <row r="26510" spans="4:7" ht="15" x14ac:dyDescent="0.3">
      <c r="D26510" s="25"/>
      <c r="F26510" s="21"/>
      <c r="G26510" s="16"/>
    </row>
    <row r="26511" spans="4:7" ht="15" x14ac:dyDescent="0.3">
      <c r="D26511" s="25"/>
      <c r="F26511" s="21"/>
      <c r="G26511" s="16"/>
    </row>
    <row r="26512" spans="4:7" ht="15" x14ac:dyDescent="0.3">
      <c r="D26512" s="25"/>
      <c r="F26512" s="21"/>
      <c r="G26512" s="16"/>
    </row>
    <row r="26513" spans="4:7" ht="15" x14ac:dyDescent="0.3">
      <c r="D26513" s="25"/>
      <c r="F26513" s="21"/>
      <c r="G26513" s="16"/>
    </row>
    <row r="26514" spans="4:7" ht="15" x14ac:dyDescent="0.3">
      <c r="D26514" s="25"/>
      <c r="F26514" s="21"/>
      <c r="G26514" s="16"/>
    </row>
    <row r="26515" spans="4:7" ht="15" x14ac:dyDescent="0.3">
      <c r="D26515" s="25"/>
      <c r="F26515" s="21"/>
      <c r="G26515" s="16"/>
    </row>
    <row r="26516" spans="4:7" ht="15" x14ac:dyDescent="0.3">
      <c r="D26516" s="25"/>
      <c r="F26516" s="21"/>
      <c r="G26516" s="16"/>
    </row>
    <row r="26517" spans="4:7" ht="15" x14ac:dyDescent="0.3">
      <c r="D26517" s="25"/>
      <c r="F26517" s="21"/>
      <c r="G26517" s="16"/>
    </row>
    <row r="26518" spans="4:7" ht="15" x14ac:dyDescent="0.3">
      <c r="D26518" s="25"/>
      <c r="F26518" s="21"/>
      <c r="G26518" s="16"/>
    </row>
    <row r="26519" spans="4:7" ht="15" x14ac:dyDescent="0.3">
      <c r="D26519" s="25"/>
      <c r="F26519" s="21"/>
      <c r="G26519" s="16"/>
    </row>
    <row r="26520" spans="4:7" ht="15" x14ac:dyDescent="0.3">
      <c r="D26520" s="25"/>
      <c r="F26520" s="21"/>
      <c r="G26520" s="16"/>
    </row>
    <row r="26521" spans="4:7" ht="15" x14ac:dyDescent="0.3">
      <c r="D26521" s="25"/>
      <c r="F26521" s="21"/>
      <c r="G26521" s="16"/>
    </row>
    <row r="26522" spans="4:7" ht="15" x14ac:dyDescent="0.3">
      <c r="D26522" s="25"/>
      <c r="F26522" s="21"/>
      <c r="G26522" s="16"/>
    </row>
    <row r="26523" spans="4:7" ht="15" x14ac:dyDescent="0.3">
      <c r="D26523" s="25"/>
      <c r="F26523" s="21"/>
      <c r="G26523" s="16"/>
    </row>
    <row r="26524" spans="4:7" ht="15" x14ac:dyDescent="0.3">
      <c r="D26524" s="25"/>
      <c r="F26524" s="21"/>
      <c r="G26524" s="16"/>
    </row>
    <row r="26525" spans="4:7" ht="15" x14ac:dyDescent="0.3">
      <c r="D26525" s="25"/>
      <c r="F26525" s="21"/>
      <c r="G26525" s="16"/>
    </row>
    <row r="26526" spans="4:7" ht="15" x14ac:dyDescent="0.3">
      <c r="D26526" s="25"/>
      <c r="F26526" s="21"/>
      <c r="G26526" s="16"/>
    </row>
    <row r="26527" spans="4:7" ht="15" x14ac:dyDescent="0.3">
      <c r="D26527" s="25"/>
      <c r="F26527" s="21"/>
      <c r="G26527" s="16"/>
    </row>
    <row r="26528" spans="4:7" ht="15" x14ac:dyDescent="0.3">
      <c r="D26528" s="25"/>
      <c r="F26528" s="21"/>
      <c r="G26528" s="16"/>
    </row>
    <row r="26529" spans="4:7" ht="15" x14ac:dyDescent="0.3">
      <c r="D26529" s="25"/>
      <c r="F26529" s="21"/>
      <c r="G26529" s="16"/>
    </row>
    <row r="26530" spans="4:7" ht="15" x14ac:dyDescent="0.3">
      <c r="D26530" s="25"/>
      <c r="F26530" s="21"/>
      <c r="G26530" s="16"/>
    </row>
    <row r="26531" spans="4:7" ht="15" x14ac:dyDescent="0.3">
      <c r="D26531" s="25"/>
      <c r="F26531" s="21"/>
      <c r="G26531" s="16"/>
    </row>
    <row r="26532" spans="4:7" ht="15" x14ac:dyDescent="0.3">
      <c r="D26532" s="25"/>
      <c r="F26532" s="21"/>
      <c r="G26532" s="16"/>
    </row>
    <row r="26533" spans="4:7" ht="15" x14ac:dyDescent="0.3">
      <c r="D26533" s="25"/>
      <c r="F26533" s="21"/>
      <c r="G26533" s="16"/>
    </row>
    <row r="26534" spans="4:7" ht="15" x14ac:dyDescent="0.3">
      <c r="D26534" s="25"/>
      <c r="F26534" s="21"/>
      <c r="G26534" s="16"/>
    </row>
    <row r="26535" spans="4:7" ht="15" x14ac:dyDescent="0.3">
      <c r="D26535" s="25"/>
      <c r="F26535" s="21"/>
      <c r="G26535" s="16"/>
    </row>
    <row r="26536" spans="4:7" ht="15" x14ac:dyDescent="0.3">
      <c r="D26536" s="25"/>
      <c r="F26536" s="21"/>
      <c r="G26536" s="16"/>
    </row>
    <row r="26537" spans="4:7" ht="15" x14ac:dyDescent="0.3">
      <c r="D26537" s="25"/>
      <c r="F26537" s="21"/>
      <c r="G26537" s="16"/>
    </row>
    <row r="26538" spans="4:7" ht="15" x14ac:dyDescent="0.3">
      <c r="D26538" s="25"/>
      <c r="F26538" s="21"/>
      <c r="G26538" s="16"/>
    </row>
    <row r="26539" spans="4:7" ht="15" x14ac:dyDescent="0.3">
      <c r="D26539" s="25"/>
      <c r="F26539" s="21"/>
      <c r="G26539" s="16"/>
    </row>
    <row r="26540" spans="4:7" ht="15" x14ac:dyDescent="0.3">
      <c r="D26540" s="25"/>
      <c r="F26540" s="21"/>
      <c r="G26540" s="16"/>
    </row>
    <row r="26541" spans="4:7" ht="15" x14ac:dyDescent="0.3">
      <c r="D26541" s="25"/>
      <c r="F26541" s="21"/>
      <c r="G26541" s="16"/>
    </row>
    <row r="26542" spans="4:7" ht="15" x14ac:dyDescent="0.3">
      <c r="D26542" s="25"/>
      <c r="F26542" s="21"/>
      <c r="G26542" s="16"/>
    </row>
    <row r="26543" spans="4:7" ht="15" x14ac:dyDescent="0.3">
      <c r="D26543" s="25"/>
      <c r="F26543" s="21"/>
      <c r="G26543" s="16"/>
    </row>
    <row r="26544" spans="4:7" ht="15" x14ac:dyDescent="0.3">
      <c r="D26544" s="25"/>
      <c r="F26544" s="21"/>
      <c r="G26544" s="16"/>
    </row>
    <row r="26545" spans="4:7" ht="15" x14ac:dyDescent="0.3">
      <c r="D26545" s="25"/>
      <c r="F26545" s="21"/>
      <c r="G26545" s="16"/>
    </row>
    <row r="26546" spans="4:7" ht="15" x14ac:dyDescent="0.3">
      <c r="D26546" s="25"/>
      <c r="F26546" s="21"/>
      <c r="G26546" s="16"/>
    </row>
    <row r="26547" spans="4:7" ht="15" x14ac:dyDescent="0.3">
      <c r="D26547" s="25"/>
      <c r="F26547" s="21"/>
      <c r="G26547" s="16"/>
    </row>
    <row r="26548" spans="4:7" ht="15" x14ac:dyDescent="0.3">
      <c r="D26548" s="25"/>
      <c r="F26548" s="21"/>
      <c r="G26548" s="16"/>
    </row>
    <row r="26549" spans="4:7" ht="15" x14ac:dyDescent="0.3">
      <c r="D26549" s="25"/>
      <c r="F26549" s="21"/>
      <c r="G26549" s="16"/>
    </row>
    <row r="26550" spans="4:7" ht="15" x14ac:dyDescent="0.3">
      <c r="D26550" s="25"/>
      <c r="F26550" s="21"/>
      <c r="G26550" s="16"/>
    </row>
    <row r="26551" spans="4:7" ht="15" x14ac:dyDescent="0.3">
      <c r="D26551" s="25"/>
      <c r="F26551" s="21"/>
      <c r="G26551" s="16"/>
    </row>
    <row r="26552" spans="4:7" ht="15" x14ac:dyDescent="0.3">
      <c r="D26552" s="25"/>
      <c r="F26552" s="21"/>
      <c r="G26552" s="16"/>
    </row>
    <row r="26553" spans="4:7" ht="15" x14ac:dyDescent="0.3">
      <c r="D26553" s="25"/>
      <c r="F26553" s="21"/>
      <c r="G26553" s="16"/>
    </row>
    <row r="26554" spans="4:7" ht="15" x14ac:dyDescent="0.3">
      <c r="D26554" s="25"/>
      <c r="F26554" s="21"/>
      <c r="G26554" s="16"/>
    </row>
    <row r="26555" spans="4:7" ht="15" x14ac:dyDescent="0.3">
      <c r="D26555" s="25"/>
      <c r="F26555" s="21"/>
      <c r="G26555" s="16"/>
    </row>
    <row r="26556" spans="4:7" ht="15" x14ac:dyDescent="0.3">
      <c r="D26556" s="25"/>
      <c r="F26556" s="21"/>
      <c r="G26556" s="16"/>
    </row>
    <row r="26557" spans="4:7" ht="15" x14ac:dyDescent="0.3">
      <c r="D26557" s="25"/>
      <c r="F26557" s="21"/>
      <c r="G26557" s="16"/>
    </row>
    <row r="26558" spans="4:7" ht="15" x14ac:dyDescent="0.3">
      <c r="D26558" s="25"/>
      <c r="F26558" s="21"/>
      <c r="G26558" s="16"/>
    </row>
    <row r="26559" spans="4:7" ht="15" x14ac:dyDescent="0.3">
      <c r="D26559" s="25"/>
      <c r="F26559" s="21"/>
      <c r="G26559" s="16"/>
    </row>
    <row r="26560" spans="4:7" ht="15" x14ac:dyDescent="0.3">
      <c r="D26560" s="25"/>
      <c r="F26560" s="21"/>
      <c r="G26560" s="16"/>
    </row>
    <row r="26561" spans="4:7" ht="15" x14ac:dyDescent="0.3">
      <c r="D26561" s="25"/>
      <c r="F26561" s="21"/>
      <c r="G26561" s="16"/>
    </row>
    <row r="26562" spans="4:7" ht="15" x14ac:dyDescent="0.3">
      <c r="D26562" s="25"/>
      <c r="F26562" s="21"/>
      <c r="G26562" s="16"/>
    </row>
    <row r="26563" spans="4:7" ht="15" x14ac:dyDescent="0.3">
      <c r="D26563" s="25"/>
      <c r="F26563" s="21"/>
      <c r="G26563" s="16"/>
    </row>
    <row r="26564" spans="4:7" ht="15" x14ac:dyDescent="0.3">
      <c r="D26564" s="25"/>
      <c r="F26564" s="21"/>
      <c r="G26564" s="16"/>
    </row>
    <row r="26565" spans="4:7" ht="15" x14ac:dyDescent="0.3">
      <c r="D26565" s="25"/>
      <c r="F26565" s="21"/>
      <c r="G26565" s="16"/>
    </row>
    <row r="26566" spans="4:7" ht="15" x14ac:dyDescent="0.3">
      <c r="D26566" s="25"/>
      <c r="F26566" s="21"/>
      <c r="G26566" s="16"/>
    </row>
    <row r="26567" spans="4:7" ht="15" x14ac:dyDescent="0.3">
      <c r="D26567" s="25"/>
      <c r="F26567" s="21"/>
      <c r="G26567" s="16"/>
    </row>
    <row r="26568" spans="4:7" ht="15" x14ac:dyDescent="0.3">
      <c r="D26568" s="25"/>
      <c r="F26568" s="21"/>
      <c r="G26568" s="16"/>
    </row>
    <row r="26569" spans="4:7" ht="15" x14ac:dyDescent="0.3">
      <c r="D26569" s="25"/>
      <c r="F26569" s="21"/>
      <c r="G26569" s="16"/>
    </row>
    <row r="26570" spans="4:7" ht="15" x14ac:dyDescent="0.3">
      <c r="D26570" s="25"/>
      <c r="F26570" s="21"/>
      <c r="G26570" s="16"/>
    </row>
    <row r="26571" spans="4:7" ht="15" x14ac:dyDescent="0.3">
      <c r="D26571" s="25"/>
      <c r="F26571" s="21"/>
      <c r="G26571" s="16"/>
    </row>
    <row r="26572" spans="4:7" ht="15" x14ac:dyDescent="0.3">
      <c r="D26572" s="25"/>
      <c r="F26572" s="21"/>
      <c r="G26572" s="16"/>
    </row>
    <row r="26573" spans="4:7" ht="15" x14ac:dyDescent="0.3">
      <c r="D26573" s="25"/>
      <c r="F26573" s="21"/>
      <c r="G26573" s="16"/>
    </row>
    <row r="26574" spans="4:7" ht="15" x14ac:dyDescent="0.3">
      <c r="D26574" s="25"/>
      <c r="F26574" s="21"/>
      <c r="G26574" s="16"/>
    </row>
    <row r="26575" spans="4:7" ht="15" x14ac:dyDescent="0.3">
      <c r="D26575" s="25"/>
      <c r="F26575" s="21"/>
      <c r="G26575" s="16"/>
    </row>
    <row r="26576" spans="4:7" ht="15" x14ac:dyDescent="0.3">
      <c r="D26576" s="25"/>
      <c r="F26576" s="21"/>
      <c r="G26576" s="16"/>
    </row>
    <row r="26577" spans="4:7" ht="15" x14ac:dyDescent="0.3">
      <c r="D26577" s="25"/>
      <c r="F26577" s="21"/>
      <c r="G26577" s="16"/>
    </row>
    <row r="26578" spans="4:7" ht="15" x14ac:dyDescent="0.3">
      <c r="D26578" s="25"/>
      <c r="F26578" s="21"/>
      <c r="G26578" s="16"/>
    </row>
    <row r="26579" spans="4:7" ht="15" x14ac:dyDescent="0.3">
      <c r="D26579" s="25"/>
      <c r="F26579" s="21"/>
      <c r="G26579" s="16"/>
    </row>
    <row r="26580" spans="4:7" ht="15" x14ac:dyDescent="0.3">
      <c r="D26580" s="25"/>
      <c r="F26580" s="21"/>
      <c r="G26580" s="16"/>
    </row>
    <row r="26581" spans="4:7" ht="15" x14ac:dyDescent="0.3">
      <c r="D26581" s="25"/>
      <c r="F26581" s="21"/>
      <c r="G26581" s="16"/>
    </row>
    <row r="26582" spans="4:7" ht="15" x14ac:dyDescent="0.3">
      <c r="D26582" s="25"/>
      <c r="F26582" s="21"/>
      <c r="G26582" s="16"/>
    </row>
    <row r="26583" spans="4:7" ht="15" x14ac:dyDescent="0.3">
      <c r="D26583" s="25"/>
      <c r="F26583" s="21"/>
      <c r="G26583" s="16"/>
    </row>
    <row r="26584" spans="4:7" ht="15" x14ac:dyDescent="0.3">
      <c r="D26584" s="25"/>
      <c r="F26584" s="21"/>
      <c r="G26584" s="16"/>
    </row>
    <row r="26585" spans="4:7" ht="15" x14ac:dyDescent="0.3">
      <c r="D26585" s="25"/>
      <c r="F26585" s="21"/>
      <c r="G26585" s="16"/>
    </row>
    <row r="26586" spans="4:7" ht="15" x14ac:dyDescent="0.3">
      <c r="D26586" s="25"/>
      <c r="F26586" s="21"/>
      <c r="G26586" s="16"/>
    </row>
    <row r="26587" spans="4:7" ht="15" x14ac:dyDescent="0.3">
      <c r="D26587" s="25"/>
      <c r="F26587" s="21"/>
      <c r="G26587" s="16"/>
    </row>
    <row r="26588" spans="4:7" ht="15" x14ac:dyDescent="0.3">
      <c r="D26588" s="25"/>
      <c r="F26588" s="21"/>
      <c r="G26588" s="16"/>
    </row>
    <row r="26589" spans="4:7" ht="15" x14ac:dyDescent="0.3">
      <c r="D26589" s="25"/>
      <c r="F26589" s="21"/>
      <c r="G26589" s="16"/>
    </row>
    <row r="26590" spans="4:7" ht="15" x14ac:dyDescent="0.3">
      <c r="D26590" s="25"/>
      <c r="F26590" s="21"/>
      <c r="G26590" s="16"/>
    </row>
    <row r="26591" spans="4:7" ht="15" x14ac:dyDescent="0.3">
      <c r="D26591" s="25"/>
      <c r="F26591" s="21"/>
      <c r="G26591" s="16"/>
    </row>
    <row r="26592" spans="4:7" ht="15" x14ac:dyDescent="0.3">
      <c r="D26592" s="25"/>
      <c r="F26592" s="21"/>
      <c r="G26592" s="16"/>
    </row>
    <row r="26593" spans="4:7" ht="15" x14ac:dyDescent="0.3">
      <c r="D26593" s="25"/>
      <c r="F26593" s="21"/>
      <c r="G26593" s="16"/>
    </row>
    <row r="26594" spans="4:7" ht="15" x14ac:dyDescent="0.3">
      <c r="D26594" s="25"/>
      <c r="F26594" s="21"/>
      <c r="G26594" s="16"/>
    </row>
    <row r="26595" spans="4:7" ht="15" x14ac:dyDescent="0.3">
      <c r="D26595" s="25"/>
      <c r="F26595" s="21"/>
      <c r="G26595" s="16"/>
    </row>
    <row r="26596" spans="4:7" ht="15" x14ac:dyDescent="0.3">
      <c r="D26596" s="25"/>
      <c r="F26596" s="21"/>
      <c r="G26596" s="16"/>
    </row>
    <row r="26597" spans="4:7" ht="15" x14ac:dyDescent="0.3">
      <c r="D26597" s="25"/>
      <c r="F26597" s="21"/>
      <c r="G26597" s="16"/>
    </row>
    <row r="26598" spans="4:7" ht="15" x14ac:dyDescent="0.3">
      <c r="D26598" s="25"/>
      <c r="F26598" s="21"/>
      <c r="G26598" s="16"/>
    </row>
    <row r="26599" spans="4:7" ht="15" x14ac:dyDescent="0.3">
      <c r="D26599" s="25"/>
      <c r="F26599" s="21"/>
      <c r="G26599" s="16"/>
    </row>
    <row r="26600" spans="4:7" ht="15" x14ac:dyDescent="0.3">
      <c r="D26600" s="25"/>
      <c r="F26600" s="21"/>
      <c r="G26600" s="16"/>
    </row>
    <row r="26601" spans="4:7" ht="15" x14ac:dyDescent="0.3">
      <c r="D26601" s="25"/>
      <c r="F26601" s="21"/>
      <c r="G26601" s="16"/>
    </row>
    <row r="26602" spans="4:7" ht="15" x14ac:dyDescent="0.3">
      <c r="D26602" s="25"/>
      <c r="F26602" s="21"/>
      <c r="G26602" s="16"/>
    </row>
    <row r="26603" spans="4:7" ht="15" x14ac:dyDescent="0.3">
      <c r="D26603" s="25"/>
      <c r="F26603" s="21"/>
      <c r="G26603" s="16"/>
    </row>
    <row r="26604" spans="4:7" ht="15" x14ac:dyDescent="0.3">
      <c r="D26604" s="25"/>
      <c r="F26604" s="21"/>
      <c r="G26604" s="16"/>
    </row>
    <row r="26605" spans="4:7" ht="15" x14ac:dyDescent="0.3">
      <c r="D26605" s="25"/>
      <c r="F26605" s="21"/>
      <c r="G26605" s="16"/>
    </row>
    <row r="26606" spans="4:7" ht="15" x14ac:dyDescent="0.3">
      <c r="D26606" s="25"/>
      <c r="F26606" s="21"/>
      <c r="G26606" s="16"/>
    </row>
    <row r="26607" spans="4:7" ht="15" x14ac:dyDescent="0.3">
      <c r="D26607" s="25"/>
      <c r="F26607" s="21"/>
      <c r="G26607" s="16"/>
    </row>
    <row r="26608" spans="4:7" ht="15" x14ac:dyDescent="0.3">
      <c r="D26608" s="25"/>
      <c r="F26608" s="21"/>
      <c r="G26608" s="16"/>
    </row>
    <row r="26609" spans="4:7" ht="15" x14ac:dyDescent="0.3">
      <c r="D26609" s="25"/>
      <c r="F26609" s="21"/>
      <c r="G26609" s="16"/>
    </row>
    <row r="26610" spans="4:7" ht="15" x14ac:dyDescent="0.3">
      <c r="D26610" s="25"/>
      <c r="F26610" s="21"/>
      <c r="G26610" s="16"/>
    </row>
    <row r="26611" spans="4:7" ht="15" x14ac:dyDescent="0.3">
      <c r="D26611" s="25"/>
      <c r="F26611" s="21"/>
      <c r="G26611" s="16"/>
    </row>
    <row r="26612" spans="4:7" ht="15" x14ac:dyDescent="0.3">
      <c r="D26612" s="25"/>
      <c r="F26612" s="21"/>
      <c r="G26612" s="16"/>
    </row>
    <row r="26613" spans="4:7" ht="15" x14ac:dyDescent="0.3">
      <c r="D26613" s="25"/>
      <c r="F26613" s="21"/>
      <c r="G26613" s="16"/>
    </row>
    <row r="26614" spans="4:7" ht="15" x14ac:dyDescent="0.3">
      <c r="D26614" s="25"/>
      <c r="F26614" s="21"/>
      <c r="G26614" s="16"/>
    </row>
    <row r="26615" spans="4:7" ht="15" x14ac:dyDescent="0.3">
      <c r="D26615" s="25"/>
      <c r="F26615" s="21"/>
      <c r="G26615" s="16"/>
    </row>
    <row r="26616" spans="4:7" ht="15" x14ac:dyDescent="0.3">
      <c r="D26616" s="25"/>
      <c r="F26616" s="21"/>
      <c r="G26616" s="16"/>
    </row>
    <row r="26617" spans="4:7" ht="15" x14ac:dyDescent="0.3">
      <c r="D26617" s="25"/>
      <c r="F26617" s="21"/>
      <c r="G26617" s="16"/>
    </row>
    <row r="26618" spans="4:7" ht="15" x14ac:dyDescent="0.3">
      <c r="D26618" s="25"/>
      <c r="F26618" s="21"/>
      <c r="G26618" s="16"/>
    </row>
    <row r="26619" spans="4:7" ht="15" x14ac:dyDescent="0.3">
      <c r="D26619" s="25"/>
      <c r="F26619" s="21"/>
      <c r="G26619" s="16"/>
    </row>
    <row r="26620" spans="4:7" ht="15" x14ac:dyDescent="0.3">
      <c r="D26620" s="25"/>
      <c r="F26620" s="21"/>
      <c r="G26620" s="16"/>
    </row>
    <row r="26621" spans="4:7" ht="15" x14ac:dyDescent="0.3">
      <c r="D26621" s="25"/>
      <c r="F26621" s="21"/>
      <c r="G26621" s="16"/>
    </row>
    <row r="26622" spans="4:7" ht="15" x14ac:dyDescent="0.3">
      <c r="D26622" s="25"/>
      <c r="F26622" s="21"/>
      <c r="G26622" s="16"/>
    </row>
    <row r="26623" spans="4:7" ht="15" x14ac:dyDescent="0.3">
      <c r="D26623" s="25"/>
      <c r="F26623" s="21"/>
      <c r="G26623" s="16"/>
    </row>
    <row r="26624" spans="4:7" ht="15" x14ac:dyDescent="0.3">
      <c r="D26624" s="25"/>
      <c r="F26624" s="21"/>
      <c r="G26624" s="16"/>
    </row>
    <row r="26625" spans="4:7" ht="15" x14ac:dyDescent="0.3">
      <c r="D26625" s="25"/>
      <c r="F26625" s="21"/>
      <c r="G26625" s="16"/>
    </row>
    <row r="26626" spans="4:7" ht="15" x14ac:dyDescent="0.3">
      <c r="D26626" s="25"/>
      <c r="F26626" s="21"/>
      <c r="G26626" s="16"/>
    </row>
    <row r="26627" spans="4:7" ht="15" x14ac:dyDescent="0.3">
      <c r="D26627" s="25"/>
      <c r="F26627" s="21"/>
      <c r="G26627" s="16"/>
    </row>
    <row r="26628" spans="4:7" ht="15" x14ac:dyDescent="0.3">
      <c r="D26628" s="25"/>
      <c r="F26628" s="21"/>
      <c r="G26628" s="16"/>
    </row>
    <row r="26629" spans="4:7" ht="15" x14ac:dyDescent="0.3">
      <c r="D26629" s="25"/>
      <c r="F26629" s="21"/>
      <c r="G26629" s="16"/>
    </row>
    <row r="26630" spans="4:7" ht="15" x14ac:dyDescent="0.3">
      <c r="D26630" s="25"/>
      <c r="F26630" s="21"/>
      <c r="G26630" s="16"/>
    </row>
    <row r="26631" spans="4:7" ht="15" x14ac:dyDescent="0.3">
      <c r="D26631" s="25"/>
      <c r="F26631" s="21"/>
      <c r="G26631" s="16"/>
    </row>
    <row r="26632" spans="4:7" ht="15" x14ac:dyDescent="0.3">
      <c r="D26632" s="25"/>
      <c r="F26632" s="21"/>
      <c r="G26632" s="16"/>
    </row>
    <row r="26633" spans="4:7" ht="15" x14ac:dyDescent="0.3">
      <c r="D26633" s="25"/>
      <c r="F26633" s="21"/>
      <c r="G26633" s="16"/>
    </row>
    <row r="26634" spans="4:7" ht="15" x14ac:dyDescent="0.3">
      <c r="D26634" s="25"/>
      <c r="F26634" s="21"/>
      <c r="G26634" s="16"/>
    </row>
    <row r="26635" spans="4:7" ht="15" x14ac:dyDescent="0.3">
      <c r="D26635" s="25"/>
      <c r="F26635" s="21"/>
      <c r="G26635" s="16"/>
    </row>
    <row r="26636" spans="4:7" ht="15" x14ac:dyDescent="0.3">
      <c r="D26636" s="25"/>
      <c r="F26636" s="21"/>
      <c r="G26636" s="16"/>
    </row>
    <row r="26637" spans="4:7" ht="15" x14ac:dyDescent="0.3">
      <c r="D26637" s="25"/>
      <c r="F26637" s="21"/>
      <c r="G26637" s="16"/>
    </row>
    <row r="26638" spans="4:7" ht="15" x14ac:dyDescent="0.3">
      <c r="D26638" s="25"/>
      <c r="F26638" s="21"/>
      <c r="G26638" s="16"/>
    </row>
    <row r="26639" spans="4:7" ht="15" x14ac:dyDescent="0.3">
      <c r="D26639" s="25"/>
      <c r="F26639" s="21"/>
      <c r="G26639" s="16"/>
    </row>
    <row r="26640" spans="4:7" ht="15" x14ac:dyDescent="0.3">
      <c r="D26640" s="25"/>
      <c r="F26640" s="21"/>
      <c r="G26640" s="16"/>
    </row>
    <row r="26641" spans="4:7" ht="15" x14ac:dyDescent="0.3">
      <c r="D26641" s="25"/>
      <c r="F26641" s="21"/>
      <c r="G26641" s="16"/>
    </row>
    <row r="26642" spans="4:7" ht="15" x14ac:dyDescent="0.3">
      <c r="D26642" s="25"/>
      <c r="F26642" s="21"/>
      <c r="G26642" s="16"/>
    </row>
    <row r="26643" spans="4:7" ht="15" x14ac:dyDescent="0.3">
      <c r="D26643" s="25"/>
      <c r="F26643" s="21"/>
      <c r="G26643" s="16"/>
    </row>
    <row r="26644" spans="4:7" ht="15" x14ac:dyDescent="0.3">
      <c r="D26644" s="25"/>
      <c r="F26644" s="21"/>
      <c r="G26644" s="16"/>
    </row>
    <row r="26645" spans="4:7" ht="15" x14ac:dyDescent="0.3">
      <c r="D26645" s="25"/>
      <c r="F26645" s="21"/>
      <c r="G26645" s="16"/>
    </row>
    <row r="26646" spans="4:7" ht="15" x14ac:dyDescent="0.3">
      <c r="D26646" s="25"/>
      <c r="F26646" s="21"/>
      <c r="G26646" s="16"/>
    </row>
    <row r="26647" spans="4:7" ht="15" x14ac:dyDescent="0.3">
      <c r="D26647" s="25"/>
      <c r="F26647" s="21"/>
      <c r="G26647" s="16"/>
    </row>
    <row r="26648" spans="4:7" ht="15" x14ac:dyDescent="0.3">
      <c r="D26648" s="25"/>
      <c r="F26648" s="21"/>
      <c r="G26648" s="16"/>
    </row>
    <row r="26649" spans="4:7" ht="15" x14ac:dyDescent="0.3">
      <c r="D26649" s="25"/>
      <c r="F26649" s="21"/>
      <c r="G26649" s="16"/>
    </row>
    <row r="26650" spans="4:7" ht="15" x14ac:dyDescent="0.3">
      <c r="D26650" s="25"/>
      <c r="F26650" s="21"/>
      <c r="G26650" s="16"/>
    </row>
    <row r="26651" spans="4:7" ht="15" x14ac:dyDescent="0.3">
      <c r="D26651" s="25"/>
      <c r="F26651" s="21"/>
      <c r="G26651" s="16"/>
    </row>
    <row r="26652" spans="4:7" ht="15" x14ac:dyDescent="0.3">
      <c r="D26652" s="25"/>
      <c r="F26652" s="21"/>
      <c r="G26652" s="16"/>
    </row>
    <row r="26653" spans="4:7" ht="15" x14ac:dyDescent="0.3">
      <c r="D26653" s="25"/>
      <c r="F26653" s="21"/>
      <c r="G26653" s="16"/>
    </row>
    <row r="26654" spans="4:7" ht="15" x14ac:dyDescent="0.3">
      <c r="D26654" s="25"/>
      <c r="F26654" s="21"/>
      <c r="G26654" s="16"/>
    </row>
    <row r="26655" spans="4:7" ht="15" x14ac:dyDescent="0.3">
      <c r="D26655" s="25"/>
      <c r="F26655" s="21"/>
      <c r="G26655" s="16"/>
    </row>
    <row r="26656" spans="4:7" ht="15" x14ac:dyDescent="0.3">
      <c r="D26656" s="25"/>
      <c r="F26656" s="21"/>
      <c r="G26656" s="16"/>
    </row>
    <row r="26657" spans="4:7" ht="15" x14ac:dyDescent="0.3">
      <c r="D26657" s="25"/>
      <c r="F26657" s="21"/>
      <c r="G26657" s="16"/>
    </row>
    <row r="26658" spans="4:7" ht="15" x14ac:dyDescent="0.3">
      <c r="D26658" s="25"/>
      <c r="F26658" s="21"/>
      <c r="G26658" s="16"/>
    </row>
    <row r="26659" spans="4:7" ht="15" x14ac:dyDescent="0.3">
      <c r="D26659" s="25"/>
      <c r="F26659" s="21"/>
      <c r="G26659" s="16"/>
    </row>
    <row r="26660" spans="4:7" ht="15" x14ac:dyDescent="0.3">
      <c r="D26660" s="25"/>
      <c r="F26660" s="21"/>
      <c r="G26660" s="16"/>
    </row>
    <row r="26661" spans="4:7" ht="15" x14ac:dyDescent="0.3">
      <c r="D26661" s="25"/>
      <c r="F26661" s="21"/>
      <c r="G26661" s="16"/>
    </row>
    <row r="26662" spans="4:7" ht="15" x14ac:dyDescent="0.3">
      <c r="D26662" s="25"/>
      <c r="F26662" s="21"/>
      <c r="G26662" s="16"/>
    </row>
    <row r="26663" spans="4:7" ht="15" x14ac:dyDescent="0.3">
      <c r="D26663" s="25"/>
      <c r="F26663" s="21"/>
      <c r="G26663" s="16"/>
    </row>
    <row r="26664" spans="4:7" ht="15" x14ac:dyDescent="0.3">
      <c r="D26664" s="25"/>
      <c r="F26664" s="21"/>
      <c r="G26664" s="16"/>
    </row>
    <row r="26665" spans="4:7" ht="15" x14ac:dyDescent="0.3">
      <c r="D26665" s="25"/>
      <c r="F26665" s="21"/>
      <c r="G26665" s="16"/>
    </row>
    <row r="26666" spans="4:7" ht="15" x14ac:dyDescent="0.3">
      <c r="D26666" s="25"/>
      <c r="F26666" s="21"/>
      <c r="G26666" s="16"/>
    </row>
    <row r="26667" spans="4:7" ht="15" x14ac:dyDescent="0.3">
      <c r="D26667" s="25"/>
      <c r="F26667" s="21"/>
      <c r="G26667" s="16"/>
    </row>
    <row r="26668" spans="4:7" ht="15" x14ac:dyDescent="0.3">
      <c r="D26668" s="25"/>
      <c r="F26668" s="21"/>
      <c r="G26668" s="16"/>
    </row>
    <row r="26669" spans="4:7" ht="15" x14ac:dyDescent="0.3">
      <c r="D26669" s="25"/>
      <c r="F26669" s="21"/>
      <c r="G26669" s="16"/>
    </row>
    <row r="26670" spans="4:7" ht="15" x14ac:dyDescent="0.3">
      <c r="D26670" s="25"/>
      <c r="F26670" s="21"/>
      <c r="G26670" s="16"/>
    </row>
    <row r="26671" spans="4:7" ht="15" x14ac:dyDescent="0.3">
      <c r="D26671" s="25"/>
      <c r="F26671" s="21"/>
      <c r="G26671" s="16"/>
    </row>
    <row r="26672" spans="4:7" ht="15" x14ac:dyDescent="0.3">
      <c r="D26672" s="25"/>
      <c r="F26672" s="21"/>
      <c r="G26672" s="16"/>
    </row>
    <row r="26673" spans="4:7" ht="15" x14ac:dyDescent="0.3">
      <c r="D26673" s="25"/>
      <c r="F26673" s="21"/>
      <c r="G26673" s="16"/>
    </row>
    <row r="26674" spans="4:7" ht="15" x14ac:dyDescent="0.3">
      <c r="D26674" s="25"/>
      <c r="F26674" s="21"/>
      <c r="G26674" s="16"/>
    </row>
    <row r="26675" spans="4:7" ht="15" x14ac:dyDescent="0.3">
      <c r="D26675" s="25"/>
      <c r="F26675" s="21"/>
      <c r="G26675" s="16"/>
    </row>
    <row r="26676" spans="4:7" ht="15" x14ac:dyDescent="0.3">
      <c r="D26676" s="25"/>
      <c r="F26676" s="21"/>
      <c r="G26676" s="16"/>
    </row>
    <row r="26677" spans="4:7" ht="15" x14ac:dyDescent="0.3">
      <c r="D26677" s="25"/>
      <c r="F26677" s="21"/>
      <c r="G26677" s="16"/>
    </row>
    <row r="26678" spans="4:7" ht="15" x14ac:dyDescent="0.3">
      <c r="D26678" s="25"/>
      <c r="F26678" s="21"/>
      <c r="G26678" s="16"/>
    </row>
    <row r="26679" spans="4:7" ht="15" x14ac:dyDescent="0.3">
      <c r="D26679" s="25"/>
      <c r="F26679" s="21"/>
      <c r="G26679" s="16"/>
    </row>
    <row r="26680" spans="4:7" ht="15" x14ac:dyDescent="0.3">
      <c r="D26680" s="25"/>
      <c r="F26680" s="21"/>
      <c r="G26680" s="16"/>
    </row>
    <row r="26681" spans="4:7" ht="15" x14ac:dyDescent="0.3">
      <c r="D26681" s="25"/>
      <c r="F26681" s="21"/>
      <c r="G26681" s="16"/>
    </row>
    <row r="26682" spans="4:7" ht="15" x14ac:dyDescent="0.3">
      <c r="D26682" s="25"/>
      <c r="F26682" s="21"/>
      <c r="G26682" s="16"/>
    </row>
    <row r="26683" spans="4:7" ht="15" x14ac:dyDescent="0.3">
      <c r="D26683" s="25"/>
      <c r="F26683" s="21"/>
      <c r="G26683" s="16"/>
    </row>
    <row r="26684" spans="4:7" ht="15" x14ac:dyDescent="0.3">
      <c r="D26684" s="25"/>
      <c r="F26684" s="21"/>
      <c r="G26684" s="16"/>
    </row>
    <row r="26685" spans="4:7" ht="15" x14ac:dyDescent="0.3">
      <c r="D26685" s="25"/>
      <c r="F26685" s="21"/>
      <c r="G26685" s="16"/>
    </row>
    <row r="26686" spans="4:7" ht="15" x14ac:dyDescent="0.3">
      <c r="D26686" s="25"/>
      <c r="F26686" s="21"/>
      <c r="G26686" s="16"/>
    </row>
    <row r="26687" spans="4:7" ht="15" x14ac:dyDescent="0.3">
      <c r="D26687" s="25"/>
      <c r="F26687" s="21"/>
      <c r="G26687" s="16"/>
    </row>
    <row r="26688" spans="4:7" ht="15" x14ac:dyDescent="0.3">
      <c r="D26688" s="25"/>
      <c r="F26688" s="21"/>
      <c r="G26688" s="16"/>
    </row>
    <row r="26689" spans="4:7" ht="15" x14ac:dyDescent="0.3">
      <c r="D26689" s="25"/>
      <c r="F26689" s="21"/>
      <c r="G26689" s="16"/>
    </row>
    <row r="26690" spans="4:7" ht="15" x14ac:dyDescent="0.3">
      <c r="D26690" s="25"/>
      <c r="F26690" s="21"/>
      <c r="G26690" s="16"/>
    </row>
    <row r="26691" spans="4:7" ht="15" x14ac:dyDescent="0.3">
      <c r="D26691" s="25"/>
      <c r="F26691" s="21"/>
      <c r="G26691" s="16"/>
    </row>
    <row r="26692" spans="4:7" ht="15" x14ac:dyDescent="0.3">
      <c r="D26692" s="25"/>
      <c r="F26692" s="21"/>
      <c r="G26692" s="16"/>
    </row>
    <row r="26693" spans="4:7" ht="15" x14ac:dyDescent="0.3">
      <c r="D26693" s="25"/>
      <c r="F26693" s="21"/>
      <c r="G26693" s="16"/>
    </row>
    <row r="26694" spans="4:7" ht="15" x14ac:dyDescent="0.3">
      <c r="D26694" s="25"/>
      <c r="F26694" s="21"/>
      <c r="G26694" s="16"/>
    </row>
    <row r="26695" spans="4:7" ht="15" x14ac:dyDescent="0.3">
      <c r="D26695" s="25"/>
      <c r="F26695" s="21"/>
      <c r="G26695" s="16"/>
    </row>
    <row r="26696" spans="4:7" ht="15" x14ac:dyDescent="0.3">
      <c r="D26696" s="25"/>
      <c r="F26696" s="21"/>
      <c r="G26696" s="16"/>
    </row>
    <row r="26697" spans="4:7" ht="15" x14ac:dyDescent="0.3">
      <c r="D26697" s="25"/>
      <c r="F26697" s="21"/>
      <c r="G26697" s="16"/>
    </row>
    <row r="26698" spans="4:7" ht="15" x14ac:dyDescent="0.3">
      <c r="D26698" s="25"/>
      <c r="F26698" s="21"/>
      <c r="G26698" s="16"/>
    </row>
    <row r="26699" spans="4:7" ht="15" x14ac:dyDescent="0.3">
      <c r="D26699" s="25"/>
      <c r="F26699" s="21"/>
      <c r="G26699" s="16"/>
    </row>
    <row r="26700" spans="4:7" ht="15" x14ac:dyDescent="0.3">
      <c r="D26700" s="25"/>
      <c r="F26700" s="21"/>
      <c r="G26700" s="16"/>
    </row>
    <row r="26701" spans="4:7" ht="15" x14ac:dyDescent="0.3">
      <c r="D26701" s="25"/>
      <c r="F26701" s="21"/>
      <c r="G26701" s="16"/>
    </row>
    <row r="26702" spans="4:7" ht="15" x14ac:dyDescent="0.3">
      <c r="D26702" s="25"/>
      <c r="F26702" s="21"/>
      <c r="G26702" s="16"/>
    </row>
    <row r="26703" spans="4:7" ht="15" x14ac:dyDescent="0.3">
      <c r="D26703" s="25"/>
      <c r="F26703" s="21"/>
      <c r="G26703" s="16"/>
    </row>
    <row r="26704" spans="4:7" ht="15" x14ac:dyDescent="0.3">
      <c r="D26704" s="25"/>
      <c r="F26704" s="21"/>
      <c r="G26704" s="16"/>
    </row>
    <row r="26705" spans="4:7" ht="15" x14ac:dyDescent="0.3">
      <c r="D26705" s="25"/>
      <c r="F26705" s="21"/>
      <c r="G26705" s="16"/>
    </row>
    <row r="26706" spans="4:7" ht="15" x14ac:dyDescent="0.3">
      <c r="D26706" s="25"/>
      <c r="F26706" s="21"/>
      <c r="G26706" s="16"/>
    </row>
    <row r="26707" spans="4:7" ht="15" x14ac:dyDescent="0.3">
      <c r="D26707" s="25"/>
      <c r="F26707" s="21"/>
      <c r="G26707" s="16"/>
    </row>
    <row r="26708" spans="4:7" ht="15" x14ac:dyDescent="0.3">
      <c r="D26708" s="25"/>
      <c r="F26708" s="21"/>
      <c r="G26708" s="16"/>
    </row>
    <row r="26709" spans="4:7" ht="15" x14ac:dyDescent="0.3">
      <c r="D26709" s="25"/>
      <c r="F26709" s="21"/>
      <c r="G26709" s="16"/>
    </row>
    <row r="26710" spans="4:7" ht="15" x14ac:dyDescent="0.3">
      <c r="D26710" s="25"/>
      <c r="F26710" s="21"/>
      <c r="G26710" s="16"/>
    </row>
    <row r="26711" spans="4:7" ht="15" x14ac:dyDescent="0.3">
      <c r="D26711" s="25"/>
      <c r="F26711" s="21"/>
      <c r="G26711" s="16"/>
    </row>
    <row r="26712" spans="4:7" ht="15" x14ac:dyDescent="0.3">
      <c r="D26712" s="25"/>
      <c r="F26712" s="21"/>
      <c r="G26712" s="16"/>
    </row>
    <row r="26713" spans="4:7" ht="15" x14ac:dyDescent="0.3">
      <c r="D26713" s="25"/>
      <c r="F26713" s="21"/>
      <c r="G26713" s="16"/>
    </row>
    <row r="26714" spans="4:7" ht="15" x14ac:dyDescent="0.3">
      <c r="D26714" s="25"/>
      <c r="F26714" s="21"/>
      <c r="G26714" s="16"/>
    </row>
    <row r="26715" spans="4:7" ht="15" x14ac:dyDescent="0.3">
      <c r="D26715" s="25"/>
      <c r="F26715" s="21"/>
      <c r="G26715" s="16"/>
    </row>
    <row r="26716" spans="4:7" ht="15" x14ac:dyDescent="0.3">
      <c r="D26716" s="25"/>
      <c r="F26716" s="21"/>
      <c r="G26716" s="16"/>
    </row>
    <row r="26717" spans="4:7" ht="15" x14ac:dyDescent="0.3">
      <c r="D26717" s="25"/>
      <c r="F26717" s="21"/>
      <c r="G26717" s="16"/>
    </row>
    <row r="26718" spans="4:7" ht="15" x14ac:dyDescent="0.3">
      <c r="D26718" s="25"/>
      <c r="F26718" s="21"/>
      <c r="G26718" s="16"/>
    </row>
    <row r="26719" spans="4:7" ht="15" x14ac:dyDescent="0.3">
      <c r="D26719" s="25"/>
      <c r="F26719" s="21"/>
      <c r="G26719" s="16"/>
    </row>
    <row r="26720" spans="4:7" ht="15" x14ac:dyDescent="0.3">
      <c r="D26720" s="25"/>
      <c r="F26720" s="21"/>
      <c r="G26720" s="16"/>
    </row>
    <row r="26721" spans="4:7" ht="15" x14ac:dyDescent="0.3">
      <c r="D26721" s="25"/>
      <c r="F26721" s="21"/>
      <c r="G26721" s="16"/>
    </row>
    <row r="26722" spans="4:7" ht="15" x14ac:dyDescent="0.3">
      <c r="D26722" s="25"/>
      <c r="F26722" s="21"/>
      <c r="G26722" s="16"/>
    </row>
    <row r="26723" spans="4:7" ht="15" x14ac:dyDescent="0.3">
      <c r="D26723" s="25"/>
      <c r="F26723" s="21"/>
      <c r="G26723" s="16"/>
    </row>
    <row r="26724" spans="4:7" ht="15" x14ac:dyDescent="0.3">
      <c r="D26724" s="25"/>
      <c r="F26724" s="21"/>
      <c r="G26724" s="16"/>
    </row>
    <row r="26725" spans="4:7" ht="15" x14ac:dyDescent="0.3">
      <c r="D26725" s="25"/>
      <c r="F26725" s="21"/>
      <c r="G26725" s="16"/>
    </row>
    <row r="26726" spans="4:7" ht="15" x14ac:dyDescent="0.3">
      <c r="D26726" s="25"/>
      <c r="F26726" s="21"/>
      <c r="G26726" s="16"/>
    </row>
    <row r="26727" spans="4:7" ht="15" x14ac:dyDescent="0.3">
      <c r="D26727" s="25"/>
      <c r="F26727" s="21"/>
      <c r="G26727" s="16"/>
    </row>
    <row r="26728" spans="4:7" ht="15" x14ac:dyDescent="0.3">
      <c r="D26728" s="25"/>
      <c r="F26728" s="21"/>
      <c r="G26728" s="16"/>
    </row>
    <row r="26729" spans="4:7" ht="15" x14ac:dyDescent="0.3">
      <c r="D26729" s="25"/>
      <c r="F26729" s="21"/>
      <c r="G26729" s="16"/>
    </row>
    <row r="26730" spans="4:7" ht="15" x14ac:dyDescent="0.3">
      <c r="D26730" s="25"/>
      <c r="F26730" s="21"/>
      <c r="G26730" s="16"/>
    </row>
    <row r="26731" spans="4:7" ht="15" x14ac:dyDescent="0.3">
      <c r="D26731" s="25"/>
      <c r="F26731" s="21"/>
      <c r="G26731" s="16"/>
    </row>
    <row r="26732" spans="4:7" ht="15" x14ac:dyDescent="0.3">
      <c r="D26732" s="25"/>
      <c r="F26732" s="21"/>
      <c r="G26732" s="16"/>
    </row>
    <row r="26733" spans="4:7" ht="15" x14ac:dyDescent="0.3">
      <c r="D26733" s="25"/>
      <c r="F26733" s="21"/>
      <c r="G26733" s="16"/>
    </row>
    <row r="26734" spans="4:7" ht="15" x14ac:dyDescent="0.3">
      <c r="D26734" s="25"/>
      <c r="F26734" s="21"/>
      <c r="G26734" s="16"/>
    </row>
    <row r="26735" spans="4:7" ht="15" x14ac:dyDescent="0.3">
      <c r="D26735" s="25"/>
      <c r="F26735" s="21"/>
      <c r="G26735" s="16"/>
    </row>
    <row r="26736" spans="4:7" ht="15" x14ac:dyDescent="0.3">
      <c r="D26736" s="25"/>
      <c r="F26736" s="21"/>
      <c r="G26736" s="16"/>
    </row>
    <row r="26737" spans="4:7" ht="15" x14ac:dyDescent="0.3">
      <c r="D26737" s="25"/>
      <c r="F26737" s="21"/>
      <c r="G26737" s="16"/>
    </row>
    <row r="26738" spans="4:7" ht="15" x14ac:dyDescent="0.3">
      <c r="D26738" s="25"/>
      <c r="F26738" s="21"/>
      <c r="G26738" s="16"/>
    </row>
    <row r="26739" spans="4:7" ht="15" x14ac:dyDescent="0.3">
      <c r="D26739" s="25"/>
      <c r="F26739" s="21"/>
      <c r="G26739" s="16"/>
    </row>
    <row r="26740" spans="4:7" ht="15" x14ac:dyDescent="0.3">
      <c r="D26740" s="25"/>
      <c r="F26740" s="21"/>
      <c r="G26740" s="16"/>
    </row>
    <row r="26741" spans="4:7" ht="15" x14ac:dyDescent="0.3">
      <c r="D26741" s="25"/>
      <c r="F26741" s="21"/>
      <c r="G26741" s="16"/>
    </row>
    <row r="26742" spans="4:7" ht="15" x14ac:dyDescent="0.3">
      <c r="D26742" s="25"/>
      <c r="F26742" s="21"/>
      <c r="G26742" s="16"/>
    </row>
    <row r="26743" spans="4:7" ht="15" x14ac:dyDescent="0.3">
      <c r="D26743" s="25"/>
      <c r="F26743" s="21"/>
      <c r="G26743" s="16"/>
    </row>
    <row r="26744" spans="4:7" ht="15" x14ac:dyDescent="0.3">
      <c r="D26744" s="25"/>
      <c r="F26744" s="21"/>
      <c r="G26744" s="16"/>
    </row>
    <row r="26745" spans="4:7" ht="15" x14ac:dyDescent="0.3">
      <c r="D26745" s="25"/>
      <c r="F26745" s="21"/>
      <c r="G26745" s="16"/>
    </row>
    <row r="26746" spans="4:7" ht="15" x14ac:dyDescent="0.3">
      <c r="D26746" s="25"/>
      <c r="F26746" s="21"/>
      <c r="G26746" s="16"/>
    </row>
    <row r="26747" spans="4:7" ht="15" x14ac:dyDescent="0.3">
      <c r="D26747" s="25"/>
      <c r="F26747" s="21"/>
      <c r="G26747" s="16"/>
    </row>
    <row r="26748" spans="4:7" ht="15" x14ac:dyDescent="0.3">
      <c r="D26748" s="25"/>
      <c r="F26748" s="21"/>
      <c r="G26748" s="16"/>
    </row>
    <row r="26749" spans="4:7" ht="15" x14ac:dyDescent="0.3">
      <c r="D26749" s="25"/>
      <c r="F26749" s="21"/>
      <c r="G26749" s="16"/>
    </row>
    <row r="26750" spans="4:7" ht="15" x14ac:dyDescent="0.3">
      <c r="D26750" s="25"/>
      <c r="F26750" s="21"/>
      <c r="G26750" s="16"/>
    </row>
    <row r="26751" spans="4:7" ht="15" x14ac:dyDescent="0.3">
      <c r="D26751" s="25"/>
      <c r="F26751" s="21"/>
      <c r="G26751" s="16"/>
    </row>
    <row r="26752" spans="4:7" ht="15" x14ac:dyDescent="0.3">
      <c r="D26752" s="25"/>
      <c r="F26752" s="21"/>
      <c r="G26752" s="16"/>
    </row>
    <row r="26753" spans="4:7" ht="15" x14ac:dyDescent="0.3">
      <c r="D26753" s="25"/>
      <c r="F26753" s="21"/>
      <c r="G26753" s="16"/>
    </row>
    <row r="26754" spans="4:7" ht="15" x14ac:dyDescent="0.3">
      <c r="D26754" s="25"/>
      <c r="F26754" s="21"/>
      <c r="G26754" s="16"/>
    </row>
    <row r="26755" spans="4:7" ht="15" x14ac:dyDescent="0.3">
      <c r="D26755" s="25"/>
      <c r="F26755" s="21"/>
      <c r="G26755" s="16"/>
    </row>
    <row r="26756" spans="4:7" ht="15" x14ac:dyDescent="0.3">
      <c r="D26756" s="25"/>
      <c r="F26756" s="21"/>
      <c r="G26756" s="16"/>
    </row>
    <row r="26757" spans="4:7" ht="15" x14ac:dyDescent="0.3">
      <c r="D26757" s="25"/>
      <c r="F26757" s="21"/>
      <c r="G26757" s="16"/>
    </row>
    <row r="26758" spans="4:7" ht="15" x14ac:dyDescent="0.3">
      <c r="D26758" s="25"/>
      <c r="F26758" s="21"/>
      <c r="G26758" s="16"/>
    </row>
    <row r="26759" spans="4:7" ht="15" x14ac:dyDescent="0.3">
      <c r="D26759" s="25"/>
      <c r="F26759" s="21"/>
      <c r="G26759" s="16"/>
    </row>
    <row r="26760" spans="4:7" ht="15" x14ac:dyDescent="0.3">
      <c r="D26760" s="25"/>
      <c r="F26760" s="21"/>
      <c r="G26760" s="16"/>
    </row>
    <row r="26761" spans="4:7" ht="15" x14ac:dyDescent="0.3">
      <c r="D26761" s="25"/>
      <c r="F26761" s="21"/>
      <c r="G26761" s="16"/>
    </row>
    <row r="26762" spans="4:7" ht="15" x14ac:dyDescent="0.3">
      <c r="D26762" s="25"/>
      <c r="F26762" s="21"/>
      <c r="G26762" s="16"/>
    </row>
    <row r="26763" spans="4:7" ht="15" x14ac:dyDescent="0.3">
      <c r="D26763" s="25"/>
      <c r="F26763" s="21"/>
      <c r="G26763" s="16"/>
    </row>
    <row r="26764" spans="4:7" ht="15" x14ac:dyDescent="0.3">
      <c r="D26764" s="25"/>
      <c r="F26764" s="21"/>
      <c r="G26764" s="16"/>
    </row>
    <row r="26765" spans="4:7" ht="15" x14ac:dyDescent="0.3">
      <c r="D26765" s="25"/>
      <c r="F26765" s="21"/>
      <c r="G26765" s="16"/>
    </row>
    <row r="26766" spans="4:7" ht="15" x14ac:dyDescent="0.3">
      <c r="D26766" s="25"/>
      <c r="F26766" s="21"/>
      <c r="G26766" s="16"/>
    </row>
    <row r="26767" spans="4:7" ht="15" x14ac:dyDescent="0.3">
      <c r="D26767" s="25"/>
      <c r="F26767" s="21"/>
      <c r="G26767" s="16"/>
    </row>
    <row r="26768" spans="4:7" ht="15" x14ac:dyDescent="0.3">
      <c r="D26768" s="25"/>
      <c r="F26768" s="21"/>
      <c r="G26768" s="16"/>
    </row>
    <row r="26769" spans="4:7" ht="15" x14ac:dyDescent="0.3">
      <c r="D26769" s="25"/>
      <c r="F26769" s="21"/>
      <c r="G26769" s="16"/>
    </row>
    <row r="26770" spans="4:7" ht="15" x14ac:dyDescent="0.3">
      <c r="D26770" s="25"/>
      <c r="F26770" s="21"/>
      <c r="G26770" s="16"/>
    </row>
    <row r="26771" spans="4:7" ht="15" x14ac:dyDescent="0.3">
      <c r="D26771" s="25"/>
      <c r="F26771" s="21"/>
      <c r="G26771" s="16"/>
    </row>
    <row r="26772" spans="4:7" ht="15" x14ac:dyDescent="0.3">
      <c r="D26772" s="25"/>
      <c r="F26772" s="21"/>
      <c r="G26772" s="16"/>
    </row>
    <row r="26773" spans="4:7" ht="15" x14ac:dyDescent="0.3">
      <c r="D26773" s="25"/>
      <c r="F26773" s="21"/>
      <c r="G26773" s="16"/>
    </row>
    <row r="26774" spans="4:7" ht="15" x14ac:dyDescent="0.3">
      <c r="D26774" s="25"/>
      <c r="F26774" s="21"/>
      <c r="G26774" s="16"/>
    </row>
    <row r="26775" spans="4:7" ht="15" x14ac:dyDescent="0.3">
      <c r="D26775" s="25"/>
      <c r="F26775" s="21"/>
      <c r="G26775" s="16"/>
    </row>
    <row r="26776" spans="4:7" ht="15" x14ac:dyDescent="0.3">
      <c r="D26776" s="25"/>
      <c r="F26776" s="21"/>
      <c r="G26776" s="16"/>
    </row>
    <row r="26777" spans="4:7" ht="15" x14ac:dyDescent="0.3">
      <c r="D26777" s="25"/>
      <c r="F26777" s="21"/>
      <c r="G26777" s="16"/>
    </row>
    <row r="26778" spans="4:7" ht="15" x14ac:dyDescent="0.3">
      <c r="D26778" s="25"/>
      <c r="F26778" s="21"/>
      <c r="G26778" s="16"/>
    </row>
    <row r="26779" spans="4:7" ht="15" x14ac:dyDescent="0.3">
      <c r="D26779" s="25"/>
      <c r="F26779" s="21"/>
      <c r="G26779" s="16"/>
    </row>
    <row r="26780" spans="4:7" ht="15" x14ac:dyDescent="0.3">
      <c r="D26780" s="25"/>
      <c r="F26780" s="21"/>
      <c r="G26780" s="16"/>
    </row>
    <row r="26781" spans="4:7" ht="15" x14ac:dyDescent="0.3">
      <c r="D26781" s="25"/>
      <c r="F26781" s="21"/>
      <c r="G26781" s="16"/>
    </row>
    <row r="26782" spans="4:7" ht="15" x14ac:dyDescent="0.3">
      <c r="D26782" s="25"/>
      <c r="F26782" s="21"/>
      <c r="G26782" s="16"/>
    </row>
    <row r="26783" spans="4:7" ht="15" x14ac:dyDescent="0.3">
      <c r="D26783" s="25"/>
      <c r="F26783" s="21"/>
      <c r="G26783" s="16"/>
    </row>
    <row r="26784" spans="4:7" ht="15" x14ac:dyDescent="0.3">
      <c r="D26784" s="25"/>
      <c r="F26784" s="21"/>
      <c r="G26784" s="16"/>
    </row>
    <row r="26785" spans="4:7" ht="15" x14ac:dyDescent="0.3">
      <c r="D26785" s="25"/>
      <c r="F26785" s="21"/>
      <c r="G26785" s="16"/>
    </row>
    <row r="26786" spans="4:7" ht="15" x14ac:dyDescent="0.3">
      <c r="D26786" s="25"/>
      <c r="F26786" s="21"/>
      <c r="G26786" s="16"/>
    </row>
    <row r="26787" spans="4:7" ht="15" x14ac:dyDescent="0.3">
      <c r="D26787" s="25"/>
      <c r="F26787" s="21"/>
      <c r="G26787" s="16"/>
    </row>
    <row r="26788" spans="4:7" ht="15" x14ac:dyDescent="0.3">
      <c r="D26788" s="25"/>
      <c r="F26788" s="21"/>
      <c r="G26788" s="16"/>
    </row>
    <row r="26789" spans="4:7" ht="15" x14ac:dyDescent="0.3">
      <c r="D26789" s="25"/>
      <c r="F26789" s="21"/>
      <c r="G26789" s="16"/>
    </row>
    <row r="26790" spans="4:7" ht="15" x14ac:dyDescent="0.3">
      <c r="D26790" s="25"/>
      <c r="F26790" s="21"/>
      <c r="G26790" s="16"/>
    </row>
    <row r="26791" spans="4:7" ht="15" x14ac:dyDescent="0.3">
      <c r="D26791" s="25"/>
      <c r="F26791" s="21"/>
      <c r="G26791" s="16"/>
    </row>
    <row r="26792" spans="4:7" ht="15" x14ac:dyDescent="0.3">
      <c r="D26792" s="25"/>
      <c r="F26792" s="21"/>
      <c r="G26792" s="16"/>
    </row>
    <row r="26793" spans="4:7" ht="15" x14ac:dyDescent="0.3">
      <c r="D26793" s="25"/>
      <c r="F26793" s="21"/>
      <c r="G26793" s="16"/>
    </row>
    <row r="26794" spans="4:7" ht="15" x14ac:dyDescent="0.3">
      <c r="D26794" s="25"/>
      <c r="F26794" s="21"/>
      <c r="G26794" s="16"/>
    </row>
    <row r="26795" spans="4:7" ht="15" x14ac:dyDescent="0.3">
      <c r="D26795" s="25"/>
      <c r="F26795" s="21"/>
      <c r="G26795" s="16"/>
    </row>
    <row r="26796" spans="4:7" ht="15" x14ac:dyDescent="0.3">
      <c r="D26796" s="25"/>
      <c r="F26796" s="21"/>
      <c r="G26796" s="16"/>
    </row>
    <row r="26797" spans="4:7" ht="15" x14ac:dyDescent="0.3">
      <c r="D26797" s="25"/>
      <c r="F26797" s="21"/>
      <c r="G26797" s="16"/>
    </row>
    <row r="26798" spans="4:7" ht="15" x14ac:dyDescent="0.3">
      <c r="D26798" s="25"/>
      <c r="F26798" s="21"/>
      <c r="G26798" s="16"/>
    </row>
    <row r="26799" spans="4:7" ht="15" x14ac:dyDescent="0.3">
      <c r="D26799" s="25"/>
      <c r="F26799" s="21"/>
      <c r="G26799" s="16"/>
    </row>
    <row r="26800" spans="4:7" ht="15" x14ac:dyDescent="0.3">
      <c r="D26800" s="25"/>
      <c r="F26800" s="21"/>
      <c r="G26800" s="16"/>
    </row>
    <row r="26801" spans="4:7" ht="15" x14ac:dyDescent="0.3">
      <c r="D26801" s="25"/>
      <c r="F26801" s="21"/>
      <c r="G26801" s="16"/>
    </row>
    <row r="26802" spans="4:7" ht="15" x14ac:dyDescent="0.3">
      <c r="D26802" s="25"/>
      <c r="F26802" s="21"/>
      <c r="G26802" s="16"/>
    </row>
    <row r="26803" spans="4:7" ht="15" x14ac:dyDescent="0.3">
      <c r="D26803" s="25"/>
      <c r="F26803" s="21"/>
      <c r="G26803" s="16"/>
    </row>
    <row r="26804" spans="4:7" ht="15" x14ac:dyDescent="0.3">
      <c r="D26804" s="25"/>
      <c r="F26804" s="21"/>
      <c r="G26804" s="16"/>
    </row>
    <row r="26805" spans="4:7" ht="15" x14ac:dyDescent="0.3">
      <c r="D26805" s="25"/>
      <c r="F26805" s="21"/>
      <c r="G26805" s="16"/>
    </row>
    <row r="26806" spans="4:7" ht="15" x14ac:dyDescent="0.3">
      <c r="D26806" s="25"/>
      <c r="F26806" s="21"/>
      <c r="G26806" s="16"/>
    </row>
    <row r="26807" spans="4:7" ht="15" x14ac:dyDescent="0.3">
      <c r="D26807" s="25"/>
      <c r="F26807" s="21"/>
      <c r="G26807" s="16"/>
    </row>
    <row r="26808" spans="4:7" ht="15" x14ac:dyDescent="0.3">
      <c r="D26808" s="25"/>
      <c r="F26808" s="21"/>
      <c r="G26808" s="16"/>
    </row>
    <row r="26809" spans="4:7" ht="15" x14ac:dyDescent="0.3">
      <c r="D26809" s="25"/>
      <c r="F26809" s="21"/>
      <c r="G26809" s="16"/>
    </row>
    <row r="26810" spans="4:7" ht="15" x14ac:dyDescent="0.3">
      <c r="D26810" s="25"/>
      <c r="F26810" s="21"/>
      <c r="G26810" s="16"/>
    </row>
    <row r="26811" spans="4:7" ht="15" x14ac:dyDescent="0.3">
      <c r="D26811" s="25"/>
      <c r="F26811" s="21"/>
      <c r="G26811" s="16"/>
    </row>
    <row r="26812" spans="4:7" ht="15" x14ac:dyDescent="0.3">
      <c r="D26812" s="25"/>
      <c r="F26812" s="21"/>
      <c r="G26812" s="16"/>
    </row>
    <row r="26813" spans="4:7" ht="15" x14ac:dyDescent="0.3">
      <c r="D26813" s="25"/>
      <c r="F26813" s="21"/>
      <c r="G26813" s="16"/>
    </row>
    <row r="26814" spans="4:7" ht="15" x14ac:dyDescent="0.3">
      <c r="D26814" s="25"/>
      <c r="F26814" s="21"/>
      <c r="G26814" s="16"/>
    </row>
    <row r="26815" spans="4:7" ht="15" x14ac:dyDescent="0.3">
      <c r="D26815" s="25"/>
      <c r="F26815" s="21"/>
      <c r="G26815" s="16"/>
    </row>
    <row r="26816" spans="4:7" ht="15" x14ac:dyDescent="0.3">
      <c r="D26816" s="25"/>
      <c r="F26816" s="21"/>
      <c r="G26816" s="16"/>
    </row>
    <row r="26817" spans="4:7" ht="15" x14ac:dyDescent="0.3">
      <c r="D26817" s="25"/>
      <c r="F26817" s="21"/>
      <c r="G26817" s="16"/>
    </row>
    <row r="26818" spans="4:7" ht="15" x14ac:dyDescent="0.3">
      <c r="D26818" s="25"/>
      <c r="F26818" s="21"/>
      <c r="G26818" s="16"/>
    </row>
    <row r="26819" spans="4:7" ht="15" x14ac:dyDescent="0.3">
      <c r="D26819" s="25"/>
      <c r="F26819" s="21"/>
      <c r="G26819" s="16"/>
    </row>
    <row r="26820" spans="4:7" ht="15" x14ac:dyDescent="0.3">
      <c r="D26820" s="25"/>
      <c r="F26820" s="21"/>
      <c r="G26820" s="16"/>
    </row>
    <row r="26821" spans="4:7" ht="15" x14ac:dyDescent="0.3">
      <c r="D26821" s="25"/>
      <c r="F26821" s="21"/>
      <c r="G26821" s="16"/>
    </row>
    <row r="26822" spans="4:7" ht="15" x14ac:dyDescent="0.3">
      <c r="D26822" s="25"/>
      <c r="F26822" s="21"/>
      <c r="G26822" s="16"/>
    </row>
    <row r="26823" spans="4:7" ht="15" x14ac:dyDescent="0.3">
      <c r="D26823" s="25"/>
      <c r="F26823" s="21"/>
      <c r="G26823" s="16"/>
    </row>
    <row r="26824" spans="4:7" ht="15" x14ac:dyDescent="0.3">
      <c r="D26824" s="25"/>
      <c r="F26824" s="21"/>
      <c r="G26824" s="16"/>
    </row>
    <row r="26825" spans="4:7" ht="15" x14ac:dyDescent="0.3">
      <c r="D26825" s="25"/>
      <c r="F26825" s="21"/>
      <c r="G26825" s="16"/>
    </row>
    <row r="26826" spans="4:7" ht="15" x14ac:dyDescent="0.3">
      <c r="D26826" s="25"/>
      <c r="F26826" s="21"/>
      <c r="G26826" s="16"/>
    </row>
    <row r="26827" spans="4:7" ht="15" x14ac:dyDescent="0.3">
      <c r="D26827" s="25"/>
      <c r="F26827" s="21"/>
      <c r="G26827" s="16"/>
    </row>
    <row r="26828" spans="4:7" ht="15" x14ac:dyDescent="0.3">
      <c r="D26828" s="25"/>
      <c r="F26828" s="21"/>
      <c r="G26828" s="16"/>
    </row>
    <row r="26829" spans="4:7" ht="15" x14ac:dyDescent="0.3">
      <c r="D26829" s="25"/>
      <c r="F26829" s="21"/>
      <c r="G26829" s="16"/>
    </row>
    <row r="26830" spans="4:7" ht="15" x14ac:dyDescent="0.3">
      <c r="D26830" s="25"/>
      <c r="F26830" s="21"/>
      <c r="G26830" s="16"/>
    </row>
    <row r="26831" spans="4:7" ht="15" x14ac:dyDescent="0.3">
      <c r="D26831" s="25"/>
      <c r="F26831" s="21"/>
      <c r="G26831" s="16"/>
    </row>
    <row r="26832" spans="4:7" ht="15" x14ac:dyDescent="0.3">
      <c r="D26832" s="25"/>
      <c r="F26832" s="21"/>
      <c r="G26832" s="16"/>
    </row>
    <row r="26833" spans="4:7" ht="15" x14ac:dyDescent="0.3">
      <c r="D26833" s="25"/>
      <c r="F26833" s="21"/>
      <c r="G26833" s="16"/>
    </row>
    <row r="26834" spans="4:7" ht="15" x14ac:dyDescent="0.3">
      <c r="D26834" s="25"/>
      <c r="F26834" s="21"/>
      <c r="G26834" s="16"/>
    </row>
    <row r="26835" spans="4:7" ht="15" x14ac:dyDescent="0.3">
      <c r="D26835" s="25"/>
      <c r="F26835" s="21"/>
      <c r="G26835" s="16"/>
    </row>
    <row r="26836" spans="4:7" ht="15" x14ac:dyDescent="0.3">
      <c r="D26836" s="25"/>
      <c r="F26836" s="21"/>
      <c r="G26836" s="16"/>
    </row>
    <row r="26837" spans="4:7" ht="15" x14ac:dyDescent="0.3">
      <c r="D26837" s="25"/>
      <c r="F26837" s="21"/>
      <c r="G26837" s="16"/>
    </row>
    <row r="26838" spans="4:7" ht="15" x14ac:dyDescent="0.3">
      <c r="D26838" s="25"/>
      <c r="F26838" s="21"/>
      <c r="G26838" s="16"/>
    </row>
    <row r="26839" spans="4:7" ht="15" x14ac:dyDescent="0.3">
      <c r="D26839" s="25"/>
      <c r="F26839" s="21"/>
      <c r="G26839" s="16"/>
    </row>
    <row r="26840" spans="4:7" ht="15" x14ac:dyDescent="0.3">
      <c r="D26840" s="25"/>
      <c r="F26840" s="21"/>
      <c r="G26840" s="16"/>
    </row>
    <row r="26841" spans="4:7" ht="15" x14ac:dyDescent="0.3">
      <c r="D26841" s="25"/>
      <c r="F26841" s="21"/>
      <c r="G26841" s="16"/>
    </row>
    <row r="26842" spans="4:7" ht="15" x14ac:dyDescent="0.3">
      <c r="D26842" s="25"/>
      <c r="F26842" s="21"/>
      <c r="G26842" s="16"/>
    </row>
    <row r="26843" spans="4:7" ht="15" x14ac:dyDescent="0.3">
      <c r="D26843" s="25"/>
      <c r="F26843" s="21"/>
      <c r="G26843" s="16"/>
    </row>
    <row r="26844" spans="4:7" ht="15" x14ac:dyDescent="0.3">
      <c r="D26844" s="25"/>
      <c r="F26844" s="21"/>
      <c r="G26844" s="16"/>
    </row>
    <row r="26845" spans="4:7" ht="15" x14ac:dyDescent="0.3">
      <c r="D26845" s="25"/>
      <c r="F26845" s="21"/>
      <c r="G26845" s="16"/>
    </row>
    <row r="26846" spans="4:7" ht="15" x14ac:dyDescent="0.3">
      <c r="D26846" s="25"/>
      <c r="F26846" s="21"/>
      <c r="G26846" s="16"/>
    </row>
    <row r="26847" spans="4:7" ht="15" x14ac:dyDescent="0.3">
      <c r="D26847" s="25"/>
      <c r="F26847" s="21"/>
      <c r="G26847" s="16"/>
    </row>
    <row r="26848" spans="4:7" ht="15" x14ac:dyDescent="0.3">
      <c r="D26848" s="25"/>
      <c r="F26848" s="21"/>
      <c r="G26848" s="16"/>
    </row>
    <row r="26849" spans="4:7" ht="15" x14ac:dyDescent="0.3">
      <c r="D26849" s="25"/>
      <c r="F26849" s="21"/>
      <c r="G26849" s="16"/>
    </row>
    <row r="26850" spans="4:7" ht="15" x14ac:dyDescent="0.3">
      <c r="D26850" s="25"/>
      <c r="F26850" s="21"/>
      <c r="G26850" s="16"/>
    </row>
    <row r="26851" spans="4:7" ht="15" x14ac:dyDescent="0.3">
      <c r="D26851" s="25"/>
      <c r="F26851" s="21"/>
      <c r="G26851" s="16"/>
    </row>
    <row r="26852" spans="4:7" ht="15" x14ac:dyDescent="0.3">
      <c r="D26852" s="25"/>
      <c r="F26852" s="21"/>
      <c r="G26852" s="16"/>
    </row>
    <row r="26853" spans="4:7" ht="15" x14ac:dyDescent="0.3">
      <c r="D26853" s="25"/>
      <c r="F26853" s="21"/>
      <c r="G26853" s="16"/>
    </row>
    <row r="26854" spans="4:7" ht="15" x14ac:dyDescent="0.3">
      <c r="D26854" s="25"/>
      <c r="F26854" s="21"/>
      <c r="G26854" s="16"/>
    </row>
    <row r="26855" spans="4:7" ht="15" x14ac:dyDescent="0.3">
      <c r="D26855" s="25"/>
      <c r="F26855" s="21"/>
      <c r="G26855" s="16"/>
    </row>
    <row r="26856" spans="4:7" ht="15" x14ac:dyDescent="0.3">
      <c r="D26856" s="25"/>
      <c r="F26856" s="21"/>
      <c r="G26856" s="16"/>
    </row>
    <row r="26857" spans="4:7" ht="15" x14ac:dyDescent="0.3">
      <c r="D26857" s="25"/>
      <c r="F26857" s="21"/>
      <c r="G26857" s="16"/>
    </row>
    <row r="26858" spans="4:7" ht="15" x14ac:dyDescent="0.3">
      <c r="D26858" s="25"/>
      <c r="F26858" s="21"/>
      <c r="G26858" s="16"/>
    </row>
    <row r="26859" spans="4:7" ht="15" x14ac:dyDescent="0.3">
      <c r="D26859" s="25"/>
      <c r="F26859" s="21"/>
      <c r="G26859" s="16"/>
    </row>
    <row r="26860" spans="4:7" ht="15" x14ac:dyDescent="0.3">
      <c r="D26860" s="25"/>
      <c r="F26860" s="21"/>
      <c r="G26860" s="16"/>
    </row>
    <row r="26861" spans="4:7" ht="15" x14ac:dyDescent="0.3">
      <c r="D26861" s="25"/>
      <c r="F26861" s="21"/>
      <c r="G26861" s="16"/>
    </row>
    <row r="26862" spans="4:7" ht="15" x14ac:dyDescent="0.3">
      <c r="D26862" s="25"/>
      <c r="F26862" s="21"/>
      <c r="G26862" s="16"/>
    </row>
    <row r="26863" spans="4:7" ht="15" x14ac:dyDescent="0.3">
      <c r="D26863" s="25"/>
      <c r="F26863" s="21"/>
      <c r="G26863" s="16"/>
    </row>
    <row r="26864" spans="4:7" ht="15" x14ac:dyDescent="0.3">
      <c r="D26864" s="25"/>
      <c r="F26864" s="21"/>
      <c r="G26864" s="16"/>
    </row>
    <row r="26865" spans="4:7" ht="15" x14ac:dyDescent="0.3">
      <c r="D26865" s="25"/>
      <c r="F26865" s="21"/>
      <c r="G26865" s="16"/>
    </row>
    <row r="26866" spans="4:7" ht="15" x14ac:dyDescent="0.3">
      <c r="D26866" s="25"/>
      <c r="F26866" s="21"/>
      <c r="G26866" s="16"/>
    </row>
    <row r="26867" spans="4:7" ht="15" x14ac:dyDescent="0.3">
      <c r="D26867" s="25"/>
      <c r="F26867" s="21"/>
      <c r="G26867" s="16"/>
    </row>
    <row r="26868" spans="4:7" ht="15" x14ac:dyDescent="0.3">
      <c r="D26868" s="25"/>
      <c r="F26868" s="21"/>
      <c r="G26868" s="16"/>
    </row>
    <row r="26869" spans="4:7" ht="15" x14ac:dyDescent="0.3">
      <c r="D26869" s="25"/>
      <c r="F26869" s="21"/>
      <c r="G26869" s="16"/>
    </row>
    <row r="26870" spans="4:7" ht="15" x14ac:dyDescent="0.3">
      <c r="D26870" s="25"/>
      <c r="F26870" s="21"/>
      <c r="G26870" s="16"/>
    </row>
    <row r="26871" spans="4:7" ht="15" x14ac:dyDescent="0.3">
      <c r="D26871" s="25"/>
      <c r="F26871" s="21"/>
      <c r="G26871" s="16"/>
    </row>
    <row r="26872" spans="4:7" ht="15" x14ac:dyDescent="0.3">
      <c r="D26872" s="25"/>
      <c r="F26872" s="21"/>
      <c r="G26872" s="16"/>
    </row>
    <row r="26873" spans="4:7" ht="15" x14ac:dyDescent="0.3">
      <c r="D26873" s="25"/>
      <c r="F26873" s="21"/>
      <c r="G26873" s="16"/>
    </row>
    <row r="26874" spans="4:7" ht="15" x14ac:dyDescent="0.3">
      <c r="D26874" s="25"/>
      <c r="F26874" s="21"/>
      <c r="G26874" s="16"/>
    </row>
    <row r="26875" spans="4:7" ht="15" x14ac:dyDescent="0.3">
      <c r="D26875" s="25"/>
      <c r="F26875" s="21"/>
      <c r="G26875" s="16"/>
    </row>
    <row r="26876" spans="4:7" ht="15" x14ac:dyDescent="0.3">
      <c r="D26876" s="25"/>
      <c r="F26876" s="21"/>
      <c r="G26876" s="16"/>
    </row>
    <row r="26877" spans="4:7" ht="15" x14ac:dyDescent="0.3">
      <c r="D26877" s="25"/>
      <c r="F26877" s="21"/>
      <c r="G26877" s="16"/>
    </row>
    <row r="26878" spans="4:7" ht="15" x14ac:dyDescent="0.3">
      <c r="D26878" s="25"/>
      <c r="F26878" s="21"/>
      <c r="G26878" s="16"/>
    </row>
    <row r="26879" spans="4:7" ht="15" x14ac:dyDescent="0.3">
      <c r="D26879" s="25"/>
      <c r="F26879" s="21"/>
      <c r="G26879" s="16"/>
    </row>
    <row r="26880" spans="4:7" ht="15" x14ac:dyDescent="0.3">
      <c r="D26880" s="25"/>
      <c r="F26880" s="21"/>
      <c r="G26880" s="16"/>
    </row>
    <row r="26881" spans="4:7" ht="15" x14ac:dyDescent="0.3">
      <c r="D26881" s="25"/>
      <c r="F26881" s="21"/>
      <c r="G26881" s="16"/>
    </row>
    <row r="26882" spans="4:7" ht="15" x14ac:dyDescent="0.3">
      <c r="D26882" s="25"/>
      <c r="F26882" s="21"/>
      <c r="G26882" s="16"/>
    </row>
    <row r="26883" spans="4:7" ht="15" x14ac:dyDescent="0.3">
      <c r="D26883" s="25"/>
      <c r="F26883" s="21"/>
      <c r="G26883" s="16"/>
    </row>
    <row r="26884" spans="4:7" ht="15" x14ac:dyDescent="0.3">
      <c r="D26884" s="25"/>
      <c r="F26884" s="21"/>
      <c r="G26884" s="16"/>
    </row>
    <row r="26885" spans="4:7" ht="15" x14ac:dyDescent="0.3">
      <c r="D26885" s="25"/>
      <c r="F26885" s="21"/>
      <c r="G26885" s="16"/>
    </row>
    <row r="26886" spans="4:7" ht="15" x14ac:dyDescent="0.3">
      <c r="D26886" s="25"/>
      <c r="F26886" s="21"/>
      <c r="G26886" s="16"/>
    </row>
    <row r="26887" spans="4:7" ht="15" x14ac:dyDescent="0.3">
      <c r="D26887" s="25"/>
      <c r="F26887" s="21"/>
      <c r="G26887" s="16"/>
    </row>
    <row r="26888" spans="4:7" ht="15" x14ac:dyDescent="0.3">
      <c r="D26888" s="25"/>
      <c r="F26888" s="21"/>
      <c r="G26888" s="16"/>
    </row>
    <row r="26889" spans="4:7" ht="15" x14ac:dyDescent="0.3">
      <c r="D26889" s="25"/>
      <c r="F26889" s="21"/>
      <c r="G26889" s="16"/>
    </row>
    <row r="26890" spans="4:7" ht="15" x14ac:dyDescent="0.3">
      <c r="D26890" s="25"/>
      <c r="F26890" s="21"/>
      <c r="G26890" s="16"/>
    </row>
    <row r="26891" spans="4:7" ht="15" x14ac:dyDescent="0.3">
      <c r="D26891" s="25"/>
      <c r="F26891" s="21"/>
      <c r="G26891" s="16"/>
    </row>
    <row r="26892" spans="4:7" ht="15" x14ac:dyDescent="0.3">
      <c r="D26892" s="25"/>
      <c r="F26892" s="21"/>
      <c r="G26892" s="16"/>
    </row>
    <row r="26893" spans="4:7" ht="15" x14ac:dyDescent="0.3">
      <c r="D26893" s="25"/>
      <c r="F26893" s="21"/>
      <c r="G26893" s="16"/>
    </row>
    <row r="26894" spans="4:7" ht="15" x14ac:dyDescent="0.3">
      <c r="D26894" s="25"/>
      <c r="F26894" s="21"/>
      <c r="G26894" s="16"/>
    </row>
    <row r="26895" spans="4:7" ht="15" x14ac:dyDescent="0.3">
      <c r="D26895" s="25"/>
      <c r="F26895" s="21"/>
      <c r="G26895" s="16"/>
    </row>
    <row r="26896" spans="4:7" ht="15" x14ac:dyDescent="0.3">
      <c r="D26896" s="25"/>
      <c r="F26896" s="21"/>
      <c r="G26896" s="16"/>
    </row>
    <row r="26897" spans="4:7" ht="15" x14ac:dyDescent="0.3">
      <c r="D26897" s="25"/>
      <c r="F26897" s="21"/>
      <c r="G26897" s="16"/>
    </row>
    <row r="26898" spans="4:7" ht="15" x14ac:dyDescent="0.3">
      <c r="D26898" s="25"/>
      <c r="F26898" s="21"/>
      <c r="G26898" s="16"/>
    </row>
    <row r="26899" spans="4:7" ht="15" x14ac:dyDescent="0.3">
      <c r="D26899" s="25"/>
      <c r="F26899" s="21"/>
      <c r="G26899" s="16"/>
    </row>
    <row r="26900" spans="4:7" ht="15" x14ac:dyDescent="0.3">
      <c r="D26900" s="25"/>
      <c r="F26900" s="21"/>
      <c r="G26900" s="16"/>
    </row>
    <row r="26901" spans="4:7" ht="15" x14ac:dyDescent="0.3">
      <c r="D26901" s="25"/>
      <c r="F26901" s="21"/>
      <c r="G26901" s="16"/>
    </row>
    <row r="26902" spans="4:7" ht="15" x14ac:dyDescent="0.3">
      <c r="D26902" s="25"/>
      <c r="F26902" s="21"/>
      <c r="G26902" s="16"/>
    </row>
    <row r="26903" spans="4:7" ht="15" x14ac:dyDescent="0.3">
      <c r="D26903" s="25"/>
      <c r="F26903" s="21"/>
      <c r="G26903" s="16"/>
    </row>
    <row r="26904" spans="4:7" ht="15" x14ac:dyDescent="0.3">
      <c r="D26904" s="25"/>
      <c r="F26904" s="21"/>
      <c r="G26904" s="16"/>
    </row>
    <row r="26905" spans="4:7" ht="15" x14ac:dyDescent="0.3">
      <c r="D26905" s="25"/>
      <c r="F26905" s="21"/>
      <c r="G26905" s="16"/>
    </row>
    <row r="26906" spans="4:7" ht="15" x14ac:dyDescent="0.3">
      <c r="D26906" s="25"/>
      <c r="F26906" s="21"/>
      <c r="G26906" s="16"/>
    </row>
    <row r="26907" spans="4:7" ht="15" x14ac:dyDescent="0.3">
      <c r="D26907" s="25"/>
      <c r="F26907" s="21"/>
      <c r="G26907" s="16"/>
    </row>
    <row r="26908" spans="4:7" ht="15" x14ac:dyDescent="0.3">
      <c r="D26908" s="25"/>
      <c r="F26908" s="21"/>
      <c r="G26908" s="16"/>
    </row>
    <row r="26909" spans="4:7" ht="15" x14ac:dyDescent="0.3">
      <c r="D26909" s="25"/>
      <c r="F26909" s="21"/>
      <c r="G26909" s="16"/>
    </row>
    <row r="26910" spans="4:7" ht="15" x14ac:dyDescent="0.3">
      <c r="D26910" s="25"/>
      <c r="F26910" s="21"/>
      <c r="G26910" s="16"/>
    </row>
    <row r="26911" spans="4:7" ht="15" x14ac:dyDescent="0.3">
      <c r="D26911" s="25"/>
      <c r="F26911" s="21"/>
      <c r="G26911" s="16"/>
    </row>
    <row r="26912" spans="4:7" ht="15" x14ac:dyDescent="0.3">
      <c r="D26912" s="25"/>
      <c r="F26912" s="21"/>
      <c r="G26912" s="16"/>
    </row>
    <row r="26913" spans="4:7" ht="15" x14ac:dyDescent="0.3">
      <c r="D26913" s="25"/>
      <c r="F26913" s="21"/>
      <c r="G26913" s="16"/>
    </row>
    <row r="26914" spans="4:7" ht="15" x14ac:dyDescent="0.3">
      <c r="D26914" s="25"/>
      <c r="F26914" s="21"/>
      <c r="G26914" s="16"/>
    </row>
    <row r="26915" spans="4:7" ht="15" x14ac:dyDescent="0.3">
      <c r="D26915" s="25"/>
      <c r="F26915" s="21"/>
      <c r="G26915" s="16"/>
    </row>
    <row r="26916" spans="4:7" ht="15" x14ac:dyDescent="0.3">
      <c r="D26916" s="25"/>
      <c r="F26916" s="21"/>
      <c r="G26916" s="16"/>
    </row>
    <row r="26917" spans="4:7" ht="15" x14ac:dyDescent="0.3">
      <c r="D26917" s="25"/>
      <c r="F26917" s="21"/>
      <c r="G26917" s="16"/>
    </row>
    <row r="26918" spans="4:7" ht="15" x14ac:dyDescent="0.3">
      <c r="D26918" s="25"/>
      <c r="F26918" s="21"/>
      <c r="G26918" s="16"/>
    </row>
    <row r="26919" spans="4:7" ht="15" x14ac:dyDescent="0.3">
      <c r="D26919" s="25"/>
      <c r="F26919" s="21"/>
      <c r="G26919" s="16"/>
    </row>
    <row r="26920" spans="4:7" ht="15" x14ac:dyDescent="0.3">
      <c r="D26920" s="25"/>
      <c r="F26920" s="21"/>
      <c r="G26920" s="16"/>
    </row>
    <row r="26921" spans="4:7" ht="15" x14ac:dyDescent="0.3">
      <c r="D26921" s="25"/>
      <c r="F26921" s="21"/>
      <c r="G26921" s="16"/>
    </row>
    <row r="26922" spans="4:7" ht="15" x14ac:dyDescent="0.3">
      <c r="D26922" s="25"/>
      <c r="F26922" s="21"/>
      <c r="G26922" s="16"/>
    </row>
    <row r="26923" spans="4:7" ht="15" x14ac:dyDescent="0.3">
      <c r="D26923" s="25"/>
      <c r="F26923" s="21"/>
      <c r="G26923" s="16"/>
    </row>
    <row r="26924" spans="4:7" ht="15" x14ac:dyDescent="0.3">
      <c r="D26924" s="25"/>
      <c r="F26924" s="21"/>
      <c r="G26924" s="16"/>
    </row>
    <row r="26925" spans="4:7" ht="15" x14ac:dyDescent="0.3">
      <c r="D26925" s="25"/>
      <c r="F26925" s="21"/>
      <c r="G26925" s="16"/>
    </row>
    <row r="26926" spans="4:7" ht="15" x14ac:dyDescent="0.3">
      <c r="D26926" s="25"/>
      <c r="F26926" s="21"/>
      <c r="G26926" s="16"/>
    </row>
    <row r="26927" spans="4:7" ht="15" x14ac:dyDescent="0.3">
      <c r="D26927" s="25"/>
      <c r="F26927" s="21"/>
      <c r="G26927" s="16"/>
    </row>
    <row r="26928" spans="4:7" ht="15" x14ac:dyDescent="0.3">
      <c r="D26928" s="25"/>
      <c r="F26928" s="21"/>
      <c r="G26928" s="16"/>
    </row>
    <row r="26929" spans="4:7" ht="15" x14ac:dyDescent="0.3">
      <c r="D26929" s="25"/>
      <c r="F26929" s="21"/>
      <c r="G26929" s="16"/>
    </row>
    <row r="26930" spans="4:7" ht="15" x14ac:dyDescent="0.3">
      <c r="D26930" s="25"/>
      <c r="F26930" s="21"/>
      <c r="G26930" s="16"/>
    </row>
    <row r="26931" spans="4:7" ht="15" x14ac:dyDescent="0.3">
      <c r="D26931" s="25"/>
      <c r="F26931" s="21"/>
      <c r="G26931" s="16"/>
    </row>
    <row r="26932" spans="4:7" ht="15" x14ac:dyDescent="0.3">
      <c r="D26932" s="25"/>
      <c r="F26932" s="21"/>
      <c r="G26932" s="16"/>
    </row>
    <row r="26933" spans="4:7" ht="15" x14ac:dyDescent="0.3">
      <c r="D26933" s="25"/>
      <c r="F26933" s="21"/>
      <c r="G26933" s="16"/>
    </row>
    <row r="26934" spans="4:7" ht="15" x14ac:dyDescent="0.3">
      <c r="D26934" s="25"/>
      <c r="F26934" s="21"/>
      <c r="G26934" s="16"/>
    </row>
    <row r="26935" spans="4:7" ht="15" x14ac:dyDescent="0.3">
      <c r="D26935" s="25"/>
      <c r="F26935" s="21"/>
      <c r="G26935" s="16"/>
    </row>
    <row r="26936" spans="4:7" ht="15" x14ac:dyDescent="0.3">
      <c r="D26936" s="25"/>
      <c r="F26936" s="21"/>
      <c r="G26936" s="16"/>
    </row>
    <row r="26937" spans="4:7" ht="15" x14ac:dyDescent="0.3">
      <c r="D26937" s="25"/>
      <c r="F26937" s="21"/>
      <c r="G26937" s="16"/>
    </row>
    <row r="26938" spans="4:7" ht="15" x14ac:dyDescent="0.3">
      <c r="D26938" s="25"/>
      <c r="F26938" s="21"/>
      <c r="G26938" s="16"/>
    </row>
    <row r="26939" spans="4:7" ht="15" x14ac:dyDescent="0.3">
      <c r="D26939" s="25"/>
      <c r="F26939" s="21"/>
      <c r="G26939" s="16"/>
    </row>
    <row r="26940" spans="4:7" ht="15" x14ac:dyDescent="0.3">
      <c r="D26940" s="25"/>
      <c r="F26940" s="21"/>
      <c r="G26940" s="16"/>
    </row>
    <row r="26941" spans="4:7" ht="15" x14ac:dyDescent="0.3">
      <c r="D26941" s="25"/>
      <c r="F26941" s="21"/>
      <c r="G26941" s="16"/>
    </row>
    <row r="26942" spans="4:7" ht="15" x14ac:dyDescent="0.3">
      <c r="D26942" s="25"/>
      <c r="F26942" s="21"/>
      <c r="G26942" s="16"/>
    </row>
    <row r="26943" spans="4:7" ht="15" x14ac:dyDescent="0.3">
      <c r="D26943" s="25"/>
      <c r="F26943" s="21"/>
      <c r="G26943" s="16"/>
    </row>
    <row r="26944" spans="4:7" ht="15" x14ac:dyDescent="0.3">
      <c r="D26944" s="25"/>
      <c r="F26944" s="21"/>
      <c r="G26944" s="16"/>
    </row>
    <row r="26945" spans="4:7" ht="15" x14ac:dyDescent="0.3">
      <c r="D26945" s="25"/>
      <c r="F26945" s="21"/>
      <c r="G26945" s="16"/>
    </row>
    <row r="26946" spans="4:7" ht="15" x14ac:dyDescent="0.3">
      <c r="D26946" s="25"/>
      <c r="F26946" s="21"/>
      <c r="G26946" s="16"/>
    </row>
    <row r="26947" spans="4:7" ht="15" x14ac:dyDescent="0.3">
      <c r="D26947" s="25"/>
      <c r="F26947" s="21"/>
      <c r="G26947" s="16"/>
    </row>
    <row r="26948" spans="4:7" ht="15" x14ac:dyDescent="0.3">
      <c r="D26948" s="25"/>
      <c r="F26948" s="21"/>
      <c r="G26948" s="16"/>
    </row>
    <row r="26949" spans="4:7" ht="15" x14ac:dyDescent="0.3">
      <c r="D26949" s="25"/>
      <c r="F26949" s="21"/>
      <c r="G26949" s="16"/>
    </row>
    <row r="26950" spans="4:7" ht="15" x14ac:dyDescent="0.3">
      <c r="D26950" s="25"/>
      <c r="F26950" s="21"/>
      <c r="G26950" s="16"/>
    </row>
    <row r="26951" spans="4:7" ht="15" x14ac:dyDescent="0.3">
      <c r="D26951" s="25"/>
      <c r="F26951" s="21"/>
      <c r="G26951" s="16"/>
    </row>
    <row r="26952" spans="4:7" ht="15" x14ac:dyDescent="0.3">
      <c r="D26952" s="25"/>
      <c r="F26952" s="21"/>
      <c r="G26952" s="16"/>
    </row>
    <row r="26953" spans="4:7" ht="15" x14ac:dyDescent="0.3">
      <c r="D26953" s="25"/>
      <c r="F26953" s="21"/>
      <c r="G26953" s="16"/>
    </row>
    <row r="26954" spans="4:7" ht="15" x14ac:dyDescent="0.3">
      <c r="D26954" s="25"/>
      <c r="F26954" s="21"/>
      <c r="G26954" s="16"/>
    </row>
    <row r="26955" spans="4:7" ht="15" x14ac:dyDescent="0.3">
      <c r="D26955" s="25"/>
      <c r="F26955" s="21"/>
      <c r="G26955" s="16"/>
    </row>
    <row r="26956" spans="4:7" ht="15" x14ac:dyDescent="0.3">
      <c r="D26956" s="25"/>
      <c r="F26956" s="21"/>
      <c r="G26956" s="16"/>
    </row>
    <row r="26957" spans="4:7" ht="15" x14ac:dyDescent="0.3">
      <c r="D26957" s="25"/>
      <c r="F26957" s="21"/>
      <c r="G26957" s="16"/>
    </row>
    <row r="26958" spans="4:7" ht="15" x14ac:dyDescent="0.3">
      <c r="D26958" s="25"/>
      <c r="F26958" s="21"/>
      <c r="G26958" s="16"/>
    </row>
    <row r="26959" spans="4:7" ht="15" x14ac:dyDescent="0.3">
      <c r="D26959" s="25"/>
      <c r="F26959" s="21"/>
      <c r="G26959" s="16"/>
    </row>
    <row r="26960" spans="4:7" ht="15" x14ac:dyDescent="0.3">
      <c r="D26960" s="25"/>
      <c r="F26960" s="21"/>
      <c r="G26960" s="16"/>
    </row>
    <row r="26961" spans="4:7" ht="15" x14ac:dyDescent="0.3">
      <c r="D26961" s="25"/>
      <c r="F26961" s="21"/>
      <c r="G26961" s="16"/>
    </row>
    <row r="26962" spans="4:7" ht="15" x14ac:dyDescent="0.3">
      <c r="D26962" s="25"/>
      <c r="F26962" s="21"/>
      <c r="G26962" s="16"/>
    </row>
    <row r="26963" spans="4:7" ht="15" x14ac:dyDescent="0.3">
      <c r="D26963" s="25"/>
      <c r="F26963" s="21"/>
      <c r="G26963" s="16"/>
    </row>
    <row r="26964" spans="4:7" ht="15" x14ac:dyDescent="0.3">
      <c r="D26964" s="25"/>
      <c r="F26964" s="21"/>
      <c r="G26964" s="16"/>
    </row>
    <row r="26965" spans="4:7" ht="15" x14ac:dyDescent="0.3">
      <c r="D26965" s="25"/>
      <c r="F26965" s="21"/>
      <c r="G26965" s="16"/>
    </row>
    <row r="26966" spans="4:7" ht="15" x14ac:dyDescent="0.3">
      <c r="D26966" s="25"/>
      <c r="F26966" s="21"/>
      <c r="G26966" s="16"/>
    </row>
    <row r="26967" spans="4:7" ht="15" x14ac:dyDescent="0.3">
      <c r="D26967" s="25"/>
      <c r="F26967" s="21"/>
      <c r="G26967" s="16"/>
    </row>
    <row r="26968" spans="4:7" ht="15" x14ac:dyDescent="0.3">
      <c r="D26968" s="25"/>
      <c r="F26968" s="21"/>
      <c r="G26968" s="16"/>
    </row>
    <row r="26969" spans="4:7" ht="15" x14ac:dyDescent="0.3">
      <c r="D26969" s="25"/>
      <c r="F26969" s="21"/>
      <c r="G26969" s="16"/>
    </row>
    <row r="26970" spans="4:7" ht="15" x14ac:dyDescent="0.3">
      <c r="D26970" s="25"/>
      <c r="F26970" s="21"/>
      <c r="G26970" s="16"/>
    </row>
    <row r="26971" spans="4:7" ht="15" x14ac:dyDescent="0.3">
      <c r="D26971" s="25"/>
      <c r="F26971" s="21"/>
      <c r="G26971" s="16"/>
    </row>
    <row r="26972" spans="4:7" ht="15" x14ac:dyDescent="0.3">
      <c r="D26972" s="25"/>
      <c r="F26972" s="21"/>
      <c r="G26972" s="16"/>
    </row>
    <row r="26973" spans="4:7" ht="15" x14ac:dyDescent="0.3">
      <c r="D26973" s="25"/>
      <c r="F26973" s="21"/>
      <c r="G26973" s="16"/>
    </row>
    <row r="26974" spans="4:7" ht="15" x14ac:dyDescent="0.3">
      <c r="D26974" s="25"/>
      <c r="F26974" s="21"/>
      <c r="G26974" s="16"/>
    </row>
    <row r="26975" spans="4:7" ht="15" x14ac:dyDescent="0.3">
      <c r="D26975" s="25"/>
      <c r="F26975" s="21"/>
      <c r="G26975" s="16"/>
    </row>
    <row r="26976" spans="4:7" ht="15" x14ac:dyDescent="0.3">
      <c r="D26976" s="25"/>
      <c r="F26976" s="21"/>
      <c r="G26976" s="16"/>
    </row>
    <row r="26977" spans="4:7" ht="15" x14ac:dyDescent="0.3">
      <c r="D26977" s="25"/>
      <c r="F26977" s="21"/>
      <c r="G26977" s="16"/>
    </row>
    <row r="26978" spans="4:7" ht="15" x14ac:dyDescent="0.3">
      <c r="D26978" s="25"/>
      <c r="F26978" s="21"/>
      <c r="G26978" s="16"/>
    </row>
    <row r="26979" spans="4:7" ht="15" x14ac:dyDescent="0.3">
      <c r="D26979" s="25"/>
      <c r="F26979" s="21"/>
      <c r="G26979" s="16"/>
    </row>
    <row r="26980" spans="4:7" ht="15" x14ac:dyDescent="0.3">
      <c r="D26980" s="25"/>
      <c r="F26980" s="21"/>
      <c r="G26980" s="16"/>
    </row>
    <row r="26981" spans="4:7" ht="15" x14ac:dyDescent="0.3">
      <c r="D26981" s="25"/>
      <c r="F26981" s="21"/>
      <c r="G26981" s="16"/>
    </row>
    <row r="26982" spans="4:7" ht="15" x14ac:dyDescent="0.3">
      <c r="D26982" s="25"/>
      <c r="F26982" s="21"/>
      <c r="G26982" s="16"/>
    </row>
    <row r="26983" spans="4:7" ht="15" x14ac:dyDescent="0.3">
      <c r="D26983" s="25"/>
      <c r="F26983" s="21"/>
      <c r="G26983" s="16"/>
    </row>
    <row r="26984" spans="4:7" ht="15" x14ac:dyDescent="0.3">
      <c r="D26984" s="25"/>
      <c r="F26984" s="21"/>
      <c r="G26984" s="16"/>
    </row>
    <row r="26985" spans="4:7" ht="15" x14ac:dyDescent="0.3">
      <c r="D26985" s="25"/>
      <c r="F26985" s="21"/>
      <c r="G26985" s="16"/>
    </row>
    <row r="26986" spans="4:7" ht="15" x14ac:dyDescent="0.3">
      <c r="D26986" s="25"/>
      <c r="F26986" s="21"/>
      <c r="G26986" s="16"/>
    </row>
    <row r="26987" spans="4:7" ht="15" x14ac:dyDescent="0.3">
      <c r="D26987" s="25"/>
      <c r="F26987" s="21"/>
      <c r="G26987" s="16"/>
    </row>
    <row r="26988" spans="4:7" ht="15" x14ac:dyDescent="0.3">
      <c r="D26988" s="25"/>
      <c r="F26988" s="21"/>
      <c r="G26988" s="16"/>
    </row>
    <row r="26989" spans="4:7" ht="15" x14ac:dyDescent="0.3">
      <c r="D26989" s="25"/>
      <c r="F26989" s="21"/>
      <c r="G26989" s="16"/>
    </row>
    <row r="26990" spans="4:7" ht="15" x14ac:dyDescent="0.3">
      <c r="D26990" s="25"/>
      <c r="F26990" s="21"/>
      <c r="G26990" s="16"/>
    </row>
    <row r="26991" spans="4:7" ht="15" x14ac:dyDescent="0.3">
      <c r="D26991" s="25"/>
      <c r="F26991" s="21"/>
      <c r="G26991" s="16"/>
    </row>
    <row r="26992" spans="4:7" ht="15" x14ac:dyDescent="0.3">
      <c r="D26992" s="25"/>
      <c r="F26992" s="21"/>
      <c r="G26992" s="16"/>
    </row>
    <row r="26993" spans="4:7" ht="15" x14ac:dyDescent="0.3">
      <c r="D26993" s="25"/>
      <c r="F26993" s="21"/>
      <c r="G26993" s="16"/>
    </row>
    <row r="26994" spans="4:7" ht="15" x14ac:dyDescent="0.3">
      <c r="D26994" s="25"/>
      <c r="F26994" s="21"/>
      <c r="G26994" s="16"/>
    </row>
    <row r="26995" spans="4:7" ht="15" x14ac:dyDescent="0.3">
      <c r="D26995" s="25"/>
      <c r="F26995" s="21"/>
      <c r="G26995" s="16"/>
    </row>
    <row r="26996" spans="4:7" ht="15" x14ac:dyDescent="0.3">
      <c r="D26996" s="25"/>
      <c r="F26996" s="21"/>
      <c r="G26996" s="16"/>
    </row>
    <row r="26997" spans="4:7" ht="15" x14ac:dyDescent="0.3">
      <c r="D26997" s="25"/>
      <c r="F26997" s="21"/>
      <c r="G26997" s="16"/>
    </row>
    <row r="26998" spans="4:7" ht="15" x14ac:dyDescent="0.3">
      <c r="D26998" s="25"/>
      <c r="F26998" s="21"/>
      <c r="G26998" s="16"/>
    </row>
    <row r="26999" spans="4:7" ht="15" x14ac:dyDescent="0.3">
      <c r="D26999" s="25"/>
      <c r="F26999" s="21"/>
      <c r="G26999" s="16"/>
    </row>
    <row r="27000" spans="4:7" ht="15" x14ac:dyDescent="0.3">
      <c r="D27000" s="25"/>
      <c r="F27000" s="21"/>
      <c r="G27000" s="16"/>
    </row>
    <row r="27001" spans="4:7" ht="15" x14ac:dyDescent="0.3">
      <c r="D27001" s="25"/>
      <c r="F27001" s="21"/>
      <c r="G27001" s="16"/>
    </row>
    <row r="27002" spans="4:7" ht="15" x14ac:dyDescent="0.3">
      <c r="D27002" s="25"/>
      <c r="F27002" s="21"/>
      <c r="G27002" s="16"/>
    </row>
    <row r="27003" spans="4:7" ht="15" x14ac:dyDescent="0.3">
      <c r="D27003" s="25"/>
      <c r="F27003" s="21"/>
      <c r="G27003" s="16"/>
    </row>
    <row r="27004" spans="4:7" ht="15" x14ac:dyDescent="0.3">
      <c r="D27004" s="25"/>
      <c r="F27004" s="21"/>
      <c r="G27004" s="16"/>
    </row>
    <row r="27005" spans="4:7" ht="15" x14ac:dyDescent="0.3">
      <c r="D27005" s="25"/>
      <c r="F27005" s="21"/>
      <c r="G27005" s="16"/>
    </row>
    <row r="27006" spans="4:7" ht="15" x14ac:dyDescent="0.3">
      <c r="D27006" s="25"/>
      <c r="F27006" s="21"/>
      <c r="G27006" s="16"/>
    </row>
    <row r="27007" spans="4:7" ht="15" x14ac:dyDescent="0.3">
      <c r="D27007" s="25"/>
      <c r="F27007" s="21"/>
      <c r="G27007" s="16"/>
    </row>
    <row r="27008" spans="4:7" ht="15" x14ac:dyDescent="0.3">
      <c r="D27008" s="25"/>
      <c r="F27008" s="21"/>
      <c r="G27008" s="16"/>
    </row>
    <row r="27009" spans="4:7" ht="15" x14ac:dyDescent="0.3">
      <c r="D27009" s="25"/>
      <c r="F27009" s="21"/>
      <c r="G27009" s="16"/>
    </row>
    <row r="27010" spans="4:7" ht="15" x14ac:dyDescent="0.3">
      <c r="D27010" s="25"/>
      <c r="F27010" s="21"/>
      <c r="G27010" s="16"/>
    </row>
    <row r="27011" spans="4:7" ht="15" x14ac:dyDescent="0.3">
      <c r="D27011" s="25"/>
      <c r="F27011" s="21"/>
      <c r="G27011" s="16"/>
    </row>
    <row r="27012" spans="4:7" ht="15" x14ac:dyDescent="0.3">
      <c r="D27012" s="25"/>
      <c r="F27012" s="21"/>
      <c r="G27012" s="16"/>
    </row>
    <row r="27013" spans="4:7" ht="15" x14ac:dyDescent="0.3">
      <c r="D27013" s="25"/>
      <c r="F27013" s="21"/>
      <c r="G27013" s="16"/>
    </row>
    <row r="27014" spans="4:7" ht="15" x14ac:dyDescent="0.3">
      <c r="D27014" s="25"/>
      <c r="F27014" s="21"/>
      <c r="G27014" s="16"/>
    </row>
    <row r="27015" spans="4:7" ht="15" x14ac:dyDescent="0.3">
      <c r="D27015" s="25"/>
      <c r="F27015" s="21"/>
      <c r="G27015" s="16"/>
    </row>
    <row r="27016" spans="4:7" ht="15" x14ac:dyDescent="0.3">
      <c r="D27016" s="25"/>
      <c r="F27016" s="21"/>
      <c r="G27016" s="16"/>
    </row>
    <row r="27017" spans="4:7" ht="15" x14ac:dyDescent="0.3">
      <c r="D27017" s="25"/>
      <c r="F27017" s="21"/>
      <c r="G27017" s="16"/>
    </row>
    <row r="27018" spans="4:7" ht="15" x14ac:dyDescent="0.3">
      <c r="D27018" s="25"/>
      <c r="F27018" s="21"/>
      <c r="G27018" s="16"/>
    </row>
    <row r="27019" spans="4:7" ht="15" x14ac:dyDescent="0.3">
      <c r="D27019" s="25"/>
      <c r="F27019" s="21"/>
      <c r="G27019" s="16"/>
    </row>
    <row r="27020" spans="4:7" ht="15" x14ac:dyDescent="0.3">
      <c r="D27020" s="25"/>
      <c r="F27020" s="21"/>
      <c r="G27020" s="16"/>
    </row>
    <row r="27021" spans="4:7" ht="15" x14ac:dyDescent="0.3">
      <c r="D27021" s="25"/>
      <c r="F27021" s="21"/>
      <c r="G27021" s="16"/>
    </row>
    <row r="27022" spans="4:7" ht="15" x14ac:dyDescent="0.3">
      <c r="D27022" s="25"/>
      <c r="F27022" s="21"/>
      <c r="G27022" s="16"/>
    </row>
    <row r="27023" spans="4:7" ht="15" x14ac:dyDescent="0.3">
      <c r="D27023" s="25"/>
      <c r="F27023" s="21"/>
      <c r="G27023" s="16"/>
    </row>
    <row r="27024" spans="4:7" ht="15" x14ac:dyDescent="0.3">
      <c r="D27024" s="25"/>
      <c r="F27024" s="21"/>
      <c r="G27024" s="16"/>
    </row>
    <row r="27025" spans="4:7" ht="15" x14ac:dyDescent="0.3">
      <c r="D27025" s="25"/>
      <c r="F27025" s="21"/>
      <c r="G27025" s="16"/>
    </row>
    <row r="27026" spans="4:7" ht="15" x14ac:dyDescent="0.3">
      <c r="D27026" s="25"/>
      <c r="F27026" s="21"/>
      <c r="G27026" s="16"/>
    </row>
    <row r="27027" spans="4:7" ht="15" x14ac:dyDescent="0.3">
      <c r="D27027" s="25"/>
      <c r="F27027" s="21"/>
      <c r="G27027" s="16"/>
    </row>
    <row r="27028" spans="4:7" ht="15" x14ac:dyDescent="0.3">
      <c r="D27028" s="25"/>
      <c r="F27028" s="21"/>
      <c r="G27028" s="16"/>
    </row>
    <row r="27029" spans="4:7" ht="15" x14ac:dyDescent="0.3">
      <c r="D27029" s="25"/>
      <c r="F27029" s="21"/>
      <c r="G27029" s="16"/>
    </row>
    <row r="27030" spans="4:7" ht="15" x14ac:dyDescent="0.3">
      <c r="D27030" s="25"/>
      <c r="F27030" s="21"/>
      <c r="G27030" s="16"/>
    </row>
    <row r="27031" spans="4:7" ht="15" x14ac:dyDescent="0.3">
      <c r="D27031" s="25"/>
      <c r="F27031" s="21"/>
      <c r="G27031" s="16"/>
    </row>
    <row r="27032" spans="4:7" ht="15" x14ac:dyDescent="0.3">
      <c r="D27032" s="25"/>
      <c r="F27032" s="21"/>
      <c r="G27032" s="16"/>
    </row>
    <row r="27033" spans="4:7" ht="15" x14ac:dyDescent="0.3">
      <c r="D27033" s="25"/>
      <c r="F27033" s="21"/>
      <c r="G27033" s="16"/>
    </row>
    <row r="27034" spans="4:7" ht="15" x14ac:dyDescent="0.3">
      <c r="D27034" s="25"/>
      <c r="F27034" s="21"/>
      <c r="G27034" s="16"/>
    </row>
    <row r="27035" spans="4:7" ht="15" x14ac:dyDescent="0.3">
      <c r="D27035" s="25"/>
      <c r="F27035" s="21"/>
      <c r="G27035" s="16"/>
    </row>
    <row r="27036" spans="4:7" ht="15" x14ac:dyDescent="0.3">
      <c r="D27036" s="25"/>
      <c r="F27036" s="21"/>
      <c r="G27036" s="16"/>
    </row>
    <row r="27037" spans="4:7" ht="15" x14ac:dyDescent="0.3">
      <c r="D27037" s="25"/>
      <c r="F27037" s="21"/>
      <c r="G27037" s="16"/>
    </row>
    <row r="27038" spans="4:7" ht="15" x14ac:dyDescent="0.3">
      <c r="D27038" s="25"/>
      <c r="F27038" s="21"/>
      <c r="G27038" s="16"/>
    </row>
    <row r="27039" spans="4:7" ht="15" x14ac:dyDescent="0.3">
      <c r="D27039" s="25"/>
      <c r="F27039" s="21"/>
      <c r="G27039" s="16"/>
    </row>
    <row r="27040" spans="4:7" ht="15" x14ac:dyDescent="0.3">
      <c r="D27040" s="25"/>
      <c r="F27040" s="21"/>
      <c r="G27040" s="16"/>
    </row>
    <row r="27041" spans="4:7" ht="15" x14ac:dyDescent="0.3">
      <c r="D27041" s="25"/>
      <c r="F27041" s="21"/>
      <c r="G27041" s="16"/>
    </row>
    <row r="27042" spans="4:7" ht="15" x14ac:dyDescent="0.3">
      <c r="D27042" s="25"/>
      <c r="F27042" s="21"/>
      <c r="G27042" s="16"/>
    </row>
    <row r="27043" spans="4:7" ht="15" x14ac:dyDescent="0.3">
      <c r="D27043" s="25"/>
      <c r="F27043" s="21"/>
      <c r="G27043" s="16"/>
    </row>
    <row r="27044" spans="4:7" ht="15" x14ac:dyDescent="0.3">
      <c r="D27044" s="25"/>
      <c r="F27044" s="21"/>
      <c r="G27044" s="16"/>
    </row>
    <row r="27045" spans="4:7" ht="15" x14ac:dyDescent="0.3">
      <c r="D27045" s="25"/>
      <c r="F27045" s="21"/>
      <c r="G27045" s="16"/>
    </row>
    <row r="27046" spans="4:7" ht="15" x14ac:dyDescent="0.3">
      <c r="D27046" s="25"/>
      <c r="F27046" s="21"/>
      <c r="G27046" s="16"/>
    </row>
    <row r="27047" spans="4:7" ht="15" x14ac:dyDescent="0.3">
      <c r="D27047" s="25"/>
      <c r="F27047" s="21"/>
      <c r="G27047" s="16"/>
    </row>
    <row r="27048" spans="4:7" ht="15" x14ac:dyDescent="0.3">
      <c r="D27048" s="25"/>
      <c r="F27048" s="21"/>
      <c r="G27048" s="16"/>
    </row>
    <row r="27049" spans="4:7" ht="15" x14ac:dyDescent="0.3">
      <c r="D27049" s="25"/>
      <c r="F27049" s="21"/>
      <c r="G27049" s="16"/>
    </row>
    <row r="27050" spans="4:7" ht="15" x14ac:dyDescent="0.3">
      <c r="D27050" s="25"/>
      <c r="F27050" s="21"/>
      <c r="G27050" s="16"/>
    </row>
    <row r="27051" spans="4:7" ht="15" x14ac:dyDescent="0.3">
      <c r="D27051" s="25"/>
      <c r="F27051" s="21"/>
      <c r="G27051" s="16"/>
    </row>
    <row r="27052" spans="4:7" ht="15" x14ac:dyDescent="0.3">
      <c r="D27052" s="25"/>
      <c r="F27052" s="21"/>
      <c r="G27052" s="16"/>
    </row>
    <row r="27053" spans="4:7" ht="15" x14ac:dyDescent="0.3">
      <c r="D27053" s="25"/>
      <c r="F27053" s="21"/>
      <c r="G27053" s="16"/>
    </row>
    <row r="27054" spans="4:7" ht="15" x14ac:dyDescent="0.3">
      <c r="D27054" s="25"/>
      <c r="F27054" s="21"/>
      <c r="G27054" s="16"/>
    </row>
    <row r="27055" spans="4:7" ht="15" x14ac:dyDescent="0.3">
      <c r="D27055" s="25"/>
      <c r="F27055" s="21"/>
      <c r="G27055" s="16"/>
    </row>
    <row r="27056" spans="4:7" ht="15" x14ac:dyDescent="0.3">
      <c r="D27056" s="25"/>
      <c r="F27056" s="21"/>
      <c r="G27056" s="16"/>
    </row>
    <row r="27057" spans="4:7" ht="15" x14ac:dyDescent="0.3">
      <c r="D27057" s="25"/>
      <c r="F27057" s="21"/>
      <c r="G27057" s="16"/>
    </row>
    <row r="27058" spans="4:7" ht="15" x14ac:dyDescent="0.3">
      <c r="D27058" s="25"/>
      <c r="F27058" s="21"/>
      <c r="G27058" s="16"/>
    </row>
    <row r="27059" spans="4:7" ht="15" x14ac:dyDescent="0.3">
      <c r="D27059" s="25"/>
      <c r="F27059" s="21"/>
      <c r="G27059" s="16"/>
    </row>
    <row r="27060" spans="4:7" ht="15" x14ac:dyDescent="0.3">
      <c r="D27060" s="25"/>
      <c r="F27060" s="21"/>
      <c r="G27060" s="16"/>
    </row>
    <row r="27061" spans="4:7" ht="15" x14ac:dyDescent="0.3">
      <c r="D27061" s="25"/>
      <c r="F27061" s="21"/>
      <c r="G27061" s="16"/>
    </row>
    <row r="27062" spans="4:7" ht="15" x14ac:dyDescent="0.3">
      <c r="D27062" s="25"/>
      <c r="F27062" s="21"/>
      <c r="G27062" s="16"/>
    </row>
    <row r="27063" spans="4:7" ht="15" x14ac:dyDescent="0.3">
      <c r="D27063" s="25"/>
      <c r="F27063" s="21"/>
      <c r="G27063" s="16"/>
    </row>
    <row r="27064" spans="4:7" ht="15" x14ac:dyDescent="0.3">
      <c r="D27064" s="25"/>
      <c r="F27064" s="21"/>
      <c r="G27064" s="16"/>
    </row>
    <row r="27065" spans="4:7" ht="15" x14ac:dyDescent="0.3">
      <c r="D27065" s="25"/>
      <c r="F27065" s="21"/>
      <c r="G27065" s="16"/>
    </row>
    <row r="27066" spans="4:7" ht="15" x14ac:dyDescent="0.3">
      <c r="D27066" s="25"/>
      <c r="F27066" s="21"/>
      <c r="G27066" s="16"/>
    </row>
    <row r="27067" spans="4:7" ht="15" x14ac:dyDescent="0.3">
      <c r="D27067" s="25"/>
      <c r="F27067" s="21"/>
      <c r="G27067" s="16"/>
    </row>
    <row r="27068" spans="4:7" ht="15" x14ac:dyDescent="0.3">
      <c r="D27068" s="25"/>
      <c r="F27068" s="21"/>
      <c r="G27068" s="16"/>
    </row>
    <row r="27069" spans="4:7" ht="15" x14ac:dyDescent="0.3">
      <c r="D27069" s="25"/>
      <c r="F27069" s="21"/>
      <c r="G27069" s="16"/>
    </row>
    <row r="27070" spans="4:7" ht="15" x14ac:dyDescent="0.3">
      <c r="D27070" s="25"/>
      <c r="F27070" s="21"/>
      <c r="G27070" s="16"/>
    </row>
    <row r="27071" spans="4:7" ht="15" x14ac:dyDescent="0.3">
      <c r="D27071" s="25"/>
      <c r="F27071" s="21"/>
      <c r="G27071" s="16"/>
    </row>
    <row r="27072" spans="4:7" ht="15" x14ac:dyDescent="0.3">
      <c r="D27072" s="25"/>
      <c r="F27072" s="21"/>
      <c r="G27072" s="16"/>
    </row>
    <row r="27073" spans="4:7" ht="15" x14ac:dyDescent="0.3">
      <c r="D27073" s="25"/>
      <c r="F27073" s="21"/>
      <c r="G27073" s="16"/>
    </row>
    <row r="27074" spans="4:7" ht="15" x14ac:dyDescent="0.3">
      <c r="D27074" s="25"/>
      <c r="F27074" s="21"/>
      <c r="G27074" s="16"/>
    </row>
    <row r="27075" spans="4:7" ht="15" x14ac:dyDescent="0.3">
      <c r="D27075" s="25"/>
      <c r="F27075" s="21"/>
      <c r="G27075" s="16"/>
    </row>
    <row r="27076" spans="4:7" ht="15" x14ac:dyDescent="0.3">
      <c r="D27076" s="25"/>
      <c r="F27076" s="21"/>
      <c r="G27076" s="16"/>
    </row>
    <row r="27077" spans="4:7" ht="15" x14ac:dyDescent="0.3">
      <c r="D27077" s="25"/>
      <c r="F27077" s="21"/>
      <c r="G27077" s="16"/>
    </row>
    <row r="27078" spans="4:7" ht="15" x14ac:dyDescent="0.3">
      <c r="D27078" s="25"/>
      <c r="F27078" s="21"/>
      <c r="G27078" s="16"/>
    </row>
    <row r="27079" spans="4:7" ht="15" x14ac:dyDescent="0.3">
      <c r="D27079" s="25"/>
      <c r="F27079" s="21"/>
      <c r="G27079" s="16"/>
    </row>
    <row r="27080" spans="4:7" ht="15" x14ac:dyDescent="0.3">
      <c r="D27080" s="25"/>
      <c r="F27080" s="21"/>
      <c r="G27080" s="16"/>
    </row>
    <row r="27081" spans="4:7" ht="15" x14ac:dyDescent="0.3">
      <c r="D27081" s="25"/>
      <c r="F27081" s="21"/>
      <c r="G27081" s="16"/>
    </row>
    <row r="27082" spans="4:7" ht="15" x14ac:dyDescent="0.3">
      <c r="D27082" s="25"/>
      <c r="F27082" s="21"/>
      <c r="G27082" s="16"/>
    </row>
    <row r="27083" spans="4:7" ht="15" x14ac:dyDescent="0.3">
      <c r="D27083" s="25"/>
      <c r="F27083" s="21"/>
      <c r="G27083" s="16"/>
    </row>
    <row r="27084" spans="4:7" ht="15" x14ac:dyDescent="0.3">
      <c r="D27084" s="25"/>
      <c r="F27084" s="21"/>
      <c r="G27084" s="16"/>
    </row>
    <row r="27085" spans="4:7" ht="15" x14ac:dyDescent="0.3">
      <c r="D27085" s="25"/>
      <c r="F27085" s="21"/>
      <c r="G27085" s="16"/>
    </row>
    <row r="27086" spans="4:7" ht="15" x14ac:dyDescent="0.3">
      <c r="D27086" s="25"/>
      <c r="F27086" s="21"/>
      <c r="G27086" s="16"/>
    </row>
    <row r="27087" spans="4:7" ht="15" x14ac:dyDescent="0.3">
      <c r="D27087" s="25"/>
      <c r="F27087" s="21"/>
      <c r="G27087" s="16"/>
    </row>
    <row r="27088" spans="4:7" ht="15" x14ac:dyDescent="0.3">
      <c r="D27088" s="25"/>
      <c r="F27088" s="21"/>
      <c r="G27088" s="16"/>
    </row>
    <row r="27089" spans="4:7" ht="15" x14ac:dyDescent="0.3">
      <c r="D27089" s="25"/>
      <c r="F27089" s="21"/>
      <c r="G27089" s="16"/>
    </row>
    <row r="27090" spans="4:7" ht="15" x14ac:dyDescent="0.3">
      <c r="D27090" s="25"/>
      <c r="F27090" s="21"/>
      <c r="G27090" s="16"/>
    </row>
    <row r="27091" spans="4:7" ht="15" x14ac:dyDescent="0.3">
      <c r="D27091" s="25"/>
      <c r="F27091" s="21"/>
      <c r="G27091" s="16"/>
    </row>
    <row r="27092" spans="4:7" ht="15" x14ac:dyDescent="0.3">
      <c r="D27092" s="25"/>
      <c r="F27092" s="21"/>
      <c r="G27092" s="16"/>
    </row>
    <row r="27093" spans="4:7" ht="15" x14ac:dyDescent="0.3">
      <c r="D27093" s="25"/>
      <c r="F27093" s="21"/>
      <c r="G27093" s="16"/>
    </row>
    <row r="27094" spans="4:7" ht="15" x14ac:dyDescent="0.3">
      <c r="D27094" s="25"/>
      <c r="F27094" s="21"/>
      <c r="G27094" s="16"/>
    </row>
    <row r="27095" spans="4:7" ht="15" x14ac:dyDescent="0.3">
      <c r="D27095" s="25"/>
      <c r="F27095" s="21"/>
      <c r="G27095" s="16"/>
    </row>
    <row r="27096" spans="4:7" ht="15" x14ac:dyDescent="0.3">
      <c r="D27096" s="25"/>
      <c r="F27096" s="21"/>
      <c r="G27096" s="16"/>
    </row>
    <row r="27097" spans="4:7" ht="15" x14ac:dyDescent="0.3">
      <c r="D27097" s="25"/>
      <c r="F27097" s="21"/>
      <c r="G27097" s="16"/>
    </row>
    <row r="27098" spans="4:7" ht="15" x14ac:dyDescent="0.3">
      <c r="D27098" s="25"/>
      <c r="F27098" s="21"/>
      <c r="G27098" s="16"/>
    </row>
    <row r="27099" spans="4:7" ht="15" x14ac:dyDescent="0.3">
      <c r="D27099" s="25"/>
      <c r="F27099" s="21"/>
      <c r="G27099" s="16"/>
    </row>
    <row r="27100" spans="4:7" ht="15" x14ac:dyDescent="0.3">
      <c r="D27100" s="25"/>
      <c r="F27100" s="21"/>
      <c r="G27100" s="16"/>
    </row>
    <row r="27101" spans="4:7" ht="15" x14ac:dyDescent="0.3">
      <c r="D27101" s="25"/>
      <c r="F27101" s="21"/>
      <c r="G27101" s="16"/>
    </row>
    <row r="27102" spans="4:7" ht="15" x14ac:dyDescent="0.3">
      <c r="D27102" s="25"/>
      <c r="F27102" s="21"/>
      <c r="G27102" s="16"/>
    </row>
    <row r="27103" spans="4:7" ht="15" x14ac:dyDescent="0.3">
      <c r="D27103" s="25"/>
      <c r="F27103" s="21"/>
      <c r="G27103" s="16"/>
    </row>
    <row r="27104" spans="4:7" ht="15" x14ac:dyDescent="0.3">
      <c r="D27104" s="25"/>
      <c r="F27104" s="21"/>
      <c r="G27104" s="16"/>
    </row>
    <row r="27105" spans="4:7" ht="15" x14ac:dyDescent="0.3">
      <c r="D27105" s="25"/>
      <c r="F27105" s="21"/>
      <c r="G27105" s="16"/>
    </row>
    <row r="27106" spans="4:7" ht="15" x14ac:dyDescent="0.3">
      <c r="D27106" s="25"/>
      <c r="F27106" s="21"/>
      <c r="G27106" s="16"/>
    </row>
    <row r="27107" spans="4:7" ht="15" x14ac:dyDescent="0.3">
      <c r="D27107" s="25"/>
      <c r="F27107" s="21"/>
      <c r="G27107" s="16"/>
    </row>
    <row r="27108" spans="4:7" ht="15" x14ac:dyDescent="0.3">
      <c r="D27108" s="25"/>
      <c r="F27108" s="21"/>
      <c r="G27108" s="16"/>
    </row>
    <row r="27109" spans="4:7" ht="15" x14ac:dyDescent="0.3">
      <c r="D27109" s="25"/>
      <c r="F27109" s="21"/>
      <c r="G27109" s="16"/>
    </row>
    <row r="27110" spans="4:7" ht="15" x14ac:dyDescent="0.3">
      <c r="D27110" s="25"/>
      <c r="F27110" s="21"/>
      <c r="G27110" s="16"/>
    </row>
    <row r="27111" spans="4:7" ht="15" x14ac:dyDescent="0.3">
      <c r="D27111" s="25"/>
      <c r="F27111" s="21"/>
      <c r="G27111" s="16"/>
    </row>
    <row r="27112" spans="4:7" ht="15" x14ac:dyDescent="0.3">
      <c r="D27112" s="25"/>
      <c r="F27112" s="21"/>
      <c r="G27112" s="16"/>
    </row>
    <row r="27113" spans="4:7" ht="15" x14ac:dyDescent="0.3">
      <c r="D27113" s="25"/>
      <c r="F27113" s="21"/>
      <c r="G27113" s="16"/>
    </row>
    <row r="27114" spans="4:7" ht="15" x14ac:dyDescent="0.3">
      <c r="D27114" s="25"/>
      <c r="F27114" s="21"/>
      <c r="G27114" s="16"/>
    </row>
    <row r="27115" spans="4:7" ht="15" x14ac:dyDescent="0.3">
      <c r="D27115" s="25"/>
      <c r="F27115" s="21"/>
      <c r="G27115" s="16"/>
    </row>
    <row r="27116" spans="4:7" ht="15" x14ac:dyDescent="0.3">
      <c r="D27116" s="25"/>
      <c r="F27116" s="21"/>
      <c r="G27116" s="16"/>
    </row>
    <row r="27117" spans="4:7" ht="15" x14ac:dyDescent="0.3">
      <c r="D27117" s="25"/>
      <c r="F27117" s="21"/>
      <c r="G27117" s="16"/>
    </row>
    <row r="27118" spans="4:7" ht="15" x14ac:dyDescent="0.3">
      <c r="D27118" s="25"/>
      <c r="F27118" s="21"/>
      <c r="G27118" s="16"/>
    </row>
    <row r="27119" spans="4:7" ht="15" x14ac:dyDescent="0.3">
      <c r="D27119" s="25"/>
      <c r="F27119" s="21"/>
      <c r="G27119" s="16"/>
    </row>
    <row r="27120" spans="4:7" ht="15" x14ac:dyDescent="0.3">
      <c r="D27120" s="25"/>
      <c r="F27120" s="21"/>
      <c r="G27120" s="16"/>
    </row>
    <row r="27121" spans="4:7" ht="15" x14ac:dyDescent="0.3">
      <c r="D27121" s="25"/>
      <c r="F27121" s="21"/>
      <c r="G27121" s="16"/>
    </row>
    <row r="27122" spans="4:7" ht="15" x14ac:dyDescent="0.3">
      <c r="D27122" s="25"/>
      <c r="F27122" s="21"/>
      <c r="G27122" s="16"/>
    </row>
    <row r="27123" spans="4:7" ht="15" x14ac:dyDescent="0.3">
      <c r="D27123" s="25"/>
      <c r="F27123" s="21"/>
      <c r="G27123" s="16"/>
    </row>
    <row r="27124" spans="4:7" ht="15" x14ac:dyDescent="0.3">
      <c r="D27124" s="25"/>
      <c r="F27124" s="21"/>
      <c r="G27124" s="16"/>
    </row>
    <row r="27125" spans="4:7" ht="15" x14ac:dyDescent="0.3">
      <c r="D27125" s="25"/>
      <c r="F27125" s="21"/>
      <c r="G27125" s="16"/>
    </row>
    <row r="27126" spans="4:7" ht="15" x14ac:dyDescent="0.3">
      <c r="D27126" s="25"/>
      <c r="F27126" s="21"/>
      <c r="G27126" s="16"/>
    </row>
    <row r="27127" spans="4:7" ht="15" x14ac:dyDescent="0.3">
      <c r="D27127" s="25"/>
      <c r="F27127" s="21"/>
      <c r="G27127" s="16"/>
    </row>
    <row r="27128" spans="4:7" ht="15" x14ac:dyDescent="0.3">
      <c r="D27128" s="25"/>
      <c r="F27128" s="21"/>
      <c r="G27128" s="16"/>
    </row>
    <row r="27129" spans="4:7" ht="15" x14ac:dyDescent="0.3">
      <c r="D27129" s="25"/>
      <c r="F27129" s="21"/>
      <c r="G27129" s="16"/>
    </row>
    <row r="27130" spans="4:7" ht="15" x14ac:dyDescent="0.3">
      <c r="D27130" s="25"/>
      <c r="F27130" s="21"/>
      <c r="G27130" s="16"/>
    </row>
    <row r="27131" spans="4:7" ht="15" x14ac:dyDescent="0.3">
      <c r="D27131" s="25"/>
      <c r="F27131" s="21"/>
      <c r="G27131" s="16"/>
    </row>
    <row r="27132" spans="4:7" ht="15" x14ac:dyDescent="0.3">
      <c r="D27132" s="25"/>
      <c r="F27132" s="21"/>
      <c r="G27132" s="16"/>
    </row>
    <row r="27133" spans="4:7" ht="15" x14ac:dyDescent="0.3">
      <c r="D27133" s="25"/>
      <c r="F27133" s="21"/>
      <c r="G27133" s="16"/>
    </row>
    <row r="27134" spans="4:7" ht="15" x14ac:dyDescent="0.3">
      <c r="D27134" s="25"/>
      <c r="F27134" s="21"/>
      <c r="G27134" s="16"/>
    </row>
    <row r="27135" spans="4:7" ht="15" x14ac:dyDescent="0.3">
      <c r="D27135" s="25"/>
      <c r="F27135" s="21"/>
      <c r="G27135" s="16"/>
    </row>
    <row r="27136" spans="4:7" ht="15" x14ac:dyDescent="0.3">
      <c r="D27136" s="25"/>
      <c r="F27136" s="21"/>
      <c r="G27136" s="16"/>
    </row>
    <row r="27137" spans="4:7" ht="15" x14ac:dyDescent="0.3">
      <c r="D27137" s="25"/>
      <c r="F27137" s="21"/>
      <c r="G27137" s="16"/>
    </row>
    <row r="27138" spans="4:7" ht="15" x14ac:dyDescent="0.3">
      <c r="D27138" s="25"/>
      <c r="F27138" s="21"/>
      <c r="G27138" s="16"/>
    </row>
    <row r="27139" spans="4:7" ht="15" x14ac:dyDescent="0.3">
      <c r="D27139" s="25"/>
      <c r="F27139" s="21"/>
      <c r="G27139" s="16"/>
    </row>
    <row r="27140" spans="4:7" ht="15" x14ac:dyDescent="0.3">
      <c r="D27140" s="25"/>
      <c r="F27140" s="21"/>
      <c r="G27140" s="16"/>
    </row>
    <row r="27141" spans="4:7" ht="15" x14ac:dyDescent="0.3">
      <c r="D27141" s="25"/>
      <c r="F27141" s="21"/>
      <c r="G27141" s="16"/>
    </row>
    <row r="27142" spans="4:7" ht="15" x14ac:dyDescent="0.3">
      <c r="D27142" s="25"/>
      <c r="F27142" s="21"/>
      <c r="G27142" s="16"/>
    </row>
    <row r="27143" spans="4:7" ht="15" x14ac:dyDescent="0.3">
      <c r="D27143" s="25"/>
      <c r="F27143" s="21"/>
      <c r="G27143" s="16"/>
    </row>
    <row r="27144" spans="4:7" ht="15" x14ac:dyDescent="0.3">
      <c r="D27144" s="25"/>
      <c r="F27144" s="21"/>
      <c r="G27144" s="16"/>
    </row>
    <row r="27145" spans="4:7" ht="15" x14ac:dyDescent="0.3">
      <c r="D27145" s="25"/>
      <c r="F27145" s="21"/>
      <c r="G27145" s="16"/>
    </row>
    <row r="27146" spans="4:7" ht="15" x14ac:dyDescent="0.3">
      <c r="D27146" s="25"/>
      <c r="F27146" s="21"/>
      <c r="G27146" s="16"/>
    </row>
    <row r="27147" spans="4:7" ht="15" x14ac:dyDescent="0.3">
      <c r="D27147" s="25"/>
      <c r="F27147" s="21"/>
      <c r="G27147" s="16"/>
    </row>
    <row r="27148" spans="4:7" ht="15" x14ac:dyDescent="0.3">
      <c r="D27148" s="25"/>
      <c r="F27148" s="21"/>
      <c r="G27148" s="16"/>
    </row>
    <row r="27149" spans="4:7" ht="15" x14ac:dyDescent="0.3">
      <c r="D27149" s="25"/>
      <c r="F27149" s="21"/>
      <c r="G27149" s="16"/>
    </row>
    <row r="27150" spans="4:7" ht="15" x14ac:dyDescent="0.3">
      <c r="D27150" s="25"/>
      <c r="F27150" s="21"/>
      <c r="G27150" s="16"/>
    </row>
    <row r="27151" spans="4:7" ht="15" x14ac:dyDescent="0.3">
      <c r="D27151" s="25"/>
      <c r="F27151" s="21"/>
      <c r="G27151" s="16"/>
    </row>
    <row r="27152" spans="4:7" ht="15" x14ac:dyDescent="0.3">
      <c r="D27152" s="25"/>
      <c r="F27152" s="21"/>
      <c r="G27152" s="16"/>
    </row>
    <row r="27153" spans="4:7" ht="15" x14ac:dyDescent="0.3">
      <c r="D27153" s="25"/>
      <c r="F27153" s="21"/>
      <c r="G27153" s="16"/>
    </row>
    <row r="27154" spans="4:7" ht="15" x14ac:dyDescent="0.3">
      <c r="D27154" s="25"/>
      <c r="F27154" s="21"/>
      <c r="G27154" s="16"/>
    </row>
    <row r="27155" spans="4:7" ht="15" x14ac:dyDescent="0.3">
      <c r="D27155" s="25"/>
      <c r="F27155" s="21"/>
      <c r="G27155" s="16"/>
    </row>
    <row r="27156" spans="4:7" ht="15" x14ac:dyDescent="0.3">
      <c r="D27156" s="25"/>
      <c r="F27156" s="21"/>
      <c r="G27156" s="16"/>
    </row>
    <row r="27157" spans="4:7" ht="15" x14ac:dyDescent="0.3">
      <c r="D27157" s="25"/>
      <c r="F27157" s="21"/>
      <c r="G27157" s="16"/>
    </row>
    <row r="27158" spans="4:7" ht="15" x14ac:dyDescent="0.3">
      <c r="D27158" s="25"/>
      <c r="F27158" s="21"/>
      <c r="G27158" s="16"/>
    </row>
    <row r="27159" spans="4:7" ht="15" x14ac:dyDescent="0.3">
      <c r="D27159" s="25"/>
      <c r="F27159" s="21"/>
      <c r="G27159" s="16"/>
    </row>
    <row r="27160" spans="4:7" ht="15" x14ac:dyDescent="0.3">
      <c r="D27160" s="25"/>
      <c r="F27160" s="21"/>
      <c r="G27160" s="16"/>
    </row>
    <row r="27161" spans="4:7" ht="15" x14ac:dyDescent="0.3">
      <c r="D27161" s="25"/>
      <c r="F27161" s="21"/>
      <c r="G27161" s="16"/>
    </row>
    <row r="27162" spans="4:7" ht="15" x14ac:dyDescent="0.3">
      <c r="D27162" s="25"/>
      <c r="F27162" s="21"/>
      <c r="G27162" s="16"/>
    </row>
    <row r="27163" spans="4:7" ht="15" x14ac:dyDescent="0.3">
      <c r="D27163" s="25"/>
      <c r="F27163" s="21"/>
      <c r="G27163" s="16"/>
    </row>
    <row r="27164" spans="4:7" ht="15" x14ac:dyDescent="0.3">
      <c r="D27164" s="25"/>
      <c r="F27164" s="21"/>
      <c r="G27164" s="16"/>
    </row>
    <row r="27165" spans="4:7" ht="15" x14ac:dyDescent="0.3">
      <c r="D27165" s="25"/>
      <c r="F27165" s="21"/>
      <c r="G27165" s="16"/>
    </row>
    <row r="27166" spans="4:7" ht="15" x14ac:dyDescent="0.3">
      <c r="D27166" s="25"/>
      <c r="F27166" s="21"/>
      <c r="G27166" s="16"/>
    </row>
    <row r="27167" spans="4:7" ht="15" x14ac:dyDescent="0.3">
      <c r="D27167" s="25"/>
      <c r="F27167" s="21"/>
      <c r="G27167" s="16"/>
    </row>
    <row r="27168" spans="4:7" ht="15" x14ac:dyDescent="0.3">
      <c r="D27168" s="25"/>
      <c r="F27168" s="21"/>
      <c r="G27168" s="16"/>
    </row>
    <row r="27169" spans="4:7" ht="15" x14ac:dyDescent="0.3">
      <c r="D27169" s="25"/>
      <c r="F27169" s="21"/>
      <c r="G27169" s="16"/>
    </row>
    <row r="27170" spans="4:7" ht="15" x14ac:dyDescent="0.3">
      <c r="D27170" s="25"/>
      <c r="F27170" s="21"/>
      <c r="G27170" s="16"/>
    </row>
    <row r="27171" spans="4:7" ht="15" x14ac:dyDescent="0.3">
      <c r="D27171" s="25"/>
      <c r="F27171" s="21"/>
      <c r="G27171" s="16"/>
    </row>
    <row r="27172" spans="4:7" ht="15" x14ac:dyDescent="0.3">
      <c r="D27172" s="25"/>
      <c r="F27172" s="21"/>
      <c r="G27172" s="16"/>
    </row>
    <row r="27173" spans="4:7" ht="15" x14ac:dyDescent="0.3">
      <c r="D27173" s="25"/>
      <c r="F27173" s="21"/>
      <c r="G27173" s="16"/>
    </row>
    <row r="27174" spans="4:7" ht="15" x14ac:dyDescent="0.3">
      <c r="D27174" s="25"/>
      <c r="F27174" s="21"/>
      <c r="G27174" s="16"/>
    </row>
    <row r="27175" spans="4:7" ht="15" x14ac:dyDescent="0.3">
      <c r="D27175" s="25"/>
      <c r="F27175" s="21"/>
      <c r="G27175" s="16"/>
    </row>
    <row r="27176" spans="4:7" ht="15" x14ac:dyDescent="0.3">
      <c r="D27176" s="25"/>
      <c r="F27176" s="21"/>
      <c r="G27176" s="16"/>
    </row>
    <row r="27177" spans="4:7" ht="15" x14ac:dyDescent="0.3">
      <c r="D27177" s="25"/>
      <c r="F27177" s="21"/>
      <c r="G27177" s="16"/>
    </row>
    <row r="27178" spans="4:7" ht="15" x14ac:dyDescent="0.3">
      <c r="D27178" s="25"/>
      <c r="F27178" s="21"/>
      <c r="G27178" s="16"/>
    </row>
    <row r="27179" spans="4:7" ht="15" x14ac:dyDescent="0.3">
      <c r="D27179" s="25"/>
      <c r="F27179" s="21"/>
      <c r="G27179" s="16"/>
    </row>
    <row r="27180" spans="4:7" ht="15" x14ac:dyDescent="0.3">
      <c r="D27180" s="25"/>
      <c r="F27180" s="21"/>
      <c r="G27180" s="16"/>
    </row>
    <row r="27181" spans="4:7" ht="15" x14ac:dyDescent="0.3">
      <c r="D27181" s="25"/>
      <c r="F27181" s="21"/>
      <c r="G27181" s="16"/>
    </row>
    <row r="27182" spans="4:7" ht="15" x14ac:dyDescent="0.3">
      <c r="D27182" s="25"/>
      <c r="F27182" s="21"/>
      <c r="G27182" s="16"/>
    </row>
    <row r="27183" spans="4:7" ht="15" x14ac:dyDescent="0.3">
      <c r="D27183" s="25"/>
      <c r="F27183" s="21"/>
      <c r="G27183" s="16"/>
    </row>
    <row r="27184" spans="4:7" ht="15" x14ac:dyDescent="0.3">
      <c r="D27184" s="25"/>
      <c r="F27184" s="21"/>
      <c r="G27184" s="16"/>
    </row>
    <row r="27185" spans="4:7" ht="15" x14ac:dyDescent="0.3">
      <c r="D27185" s="25"/>
      <c r="F27185" s="21"/>
      <c r="G27185" s="16"/>
    </row>
    <row r="27186" spans="4:7" ht="15" x14ac:dyDescent="0.3">
      <c r="D27186" s="25"/>
      <c r="F27186" s="21"/>
      <c r="G27186" s="16"/>
    </row>
    <row r="27187" spans="4:7" ht="15" x14ac:dyDescent="0.3">
      <c r="D27187" s="25"/>
      <c r="F27187" s="21"/>
      <c r="G27187" s="16"/>
    </row>
    <row r="27188" spans="4:7" ht="15" x14ac:dyDescent="0.3">
      <c r="D27188" s="25"/>
      <c r="F27188" s="21"/>
      <c r="G27188" s="16"/>
    </row>
    <row r="27189" spans="4:7" ht="15" x14ac:dyDescent="0.3">
      <c r="D27189" s="25"/>
      <c r="F27189" s="21"/>
      <c r="G27189" s="16"/>
    </row>
    <row r="27190" spans="4:7" ht="15" x14ac:dyDescent="0.3">
      <c r="D27190" s="25"/>
      <c r="F27190" s="21"/>
      <c r="G27190" s="16"/>
    </row>
    <row r="27191" spans="4:7" ht="15" x14ac:dyDescent="0.3">
      <c r="D27191" s="25"/>
      <c r="F27191" s="21"/>
      <c r="G27191" s="16"/>
    </row>
    <row r="27192" spans="4:7" ht="15" x14ac:dyDescent="0.3">
      <c r="D27192" s="25"/>
      <c r="F27192" s="21"/>
      <c r="G27192" s="16"/>
    </row>
    <row r="27193" spans="4:7" ht="15" x14ac:dyDescent="0.3">
      <c r="D27193" s="25"/>
      <c r="F27193" s="21"/>
      <c r="G27193" s="16"/>
    </row>
    <row r="27194" spans="4:7" ht="15" x14ac:dyDescent="0.3">
      <c r="D27194" s="25"/>
      <c r="F27194" s="21"/>
      <c r="G27194" s="16"/>
    </row>
    <row r="27195" spans="4:7" ht="15" x14ac:dyDescent="0.3">
      <c r="D27195" s="25"/>
      <c r="F27195" s="21"/>
      <c r="G27195" s="16"/>
    </row>
    <row r="27196" spans="4:7" ht="15" x14ac:dyDescent="0.3">
      <c r="D27196" s="25"/>
      <c r="F27196" s="21"/>
      <c r="G27196" s="16"/>
    </row>
    <row r="27197" spans="4:7" ht="15" x14ac:dyDescent="0.3">
      <c r="D27197" s="25"/>
      <c r="F27197" s="21"/>
      <c r="G27197" s="16"/>
    </row>
    <row r="27198" spans="4:7" ht="15" x14ac:dyDescent="0.3">
      <c r="D27198" s="25"/>
      <c r="F27198" s="21"/>
      <c r="G27198" s="16"/>
    </row>
    <row r="27199" spans="4:7" ht="15" x14ac:dyDescent="0.3">
      <c r="D27199" s="25"/>
      <c r="F27199" s="21"/>
      <c r="G27199" s="16"/>
    </row>
    <row r="27200" spans="4:7" ht="15" x14ac:dyDescent="0.3">
      <c r="D27200" s="25"/>
      <c r="F27200" s="21"/>
      <c r="G27200" s="16"/>
    </row>
    <row r="27201" spans="4:7" ht="15" x14ac:dyDescent="0.3">
      <c r="D27201" s="25"/>
      <c r="F27201" s="21"/>
      <c r="G27201" s="16"/>
    </row>
    <row r="27202" spans="4:7" ht="15" x14ac:dyDescent="0.3">
      <c r="D27202" s="25"/>
      <c r="F27202" s="21"/>
      <c r="G27202" s="16"/>
    </row>
    <row r="27203" spans="4:7" ht="15" x14ac:dyDescent="0.3">
      <c r="D27203" s="25"/>
      <c r="F27203" s="21"/>
      <c r="G27203" s="16"/>
    </row>
    <row r="27204" spans="4:7" ht="15" x14ac:dyDescent="0.3">
      <c r="D27204" s="25"/>
      <c r="F27204" s="21"/>
      <c r="G27204" s="16"/>
    </row>
    <row r="27205" spans="4:7" ht="15" x14ac:dyDescent="0.3">
      <c r="D27205" s="25"/>
      <c r="F27205" s="21"/>
      <c r="G27205" s="16"/>
    </row>
    <row r="27206" spans="4:7" ht="15" x14ac:dyDescent="0.3">
      <c r="D27206" s="25"/>
      <c r="F27206" s="21"/>
      <c r="G27206" s="16"/>
    </row>
    <row r="27207" spans="4:7" ht="15" x14ac:dyDescent="0.3">
      <c r="D27207" s="25"/>
      <c r="F27207" s="21"/>
      <c r="G27207" s="16"/>
    </row>
    <row r="27208" spans="4:7" ht="15" x14ac:dyDescent="0.3">
      <c r="D27208" s="25"/>
      <c r="F27208" s="21"/>
      <c r="G27208" s="16"/>
    </row>
    <row r="27209" spans="4:7" ht="15" x14ac:dyDescent="0.3">
      <c r="D27209" s="25"/>
      <c r="F27209" s="21"/>
      <c r="G27209" s="16"/>
    </row>
    <row r="27210" spans="4:7" ht="15" x14ac:dyDescent="0.3">
      <c r="D27210" s="25"/>
      <c r="F27210" s="21"/>
      <c r="G27210" s="16"/>
    </row>
    <row r="27211" spans="4:7" ht="15" x14ac:dyDescent="0.3">
      <c r="D27211" s="25"/>
      <c r="F27211" s="21"/>
      <c r="G27211" s="16"/>
    </row>
    <row r="27212" spans="4:7" ht="15" x14ac:dyDescent="0.3">
      <c r="D27212" s="25"/>
      <c r="F27212" s="21"/>
      <c r="G27212" s="16"/>
    </row>
    <row r="27213" spans="4:7" ht="15" x14ac:dyDescent="0.3">
      <c r="D27213" s="25"/>
      <c r="F27213" s="21"/>
      <c r="G27213" s="16"/>
    </row>
    <row r="27214" spans="4:7" ht="15" x14ac:dyDescent="0.3">
      <c r="D27214" s="25"/>
      <c r="F27214" s="21"/>
      <c r="G27214" s="16"/>
    </row>
    <row r="27215" spans="4:7" ht="15" x14ac:dyDescent="0.3">
      <c r="D27215" s="25"/>
      <c r="F27215" s="21"/>
      <c r="G27215" s="16"/>
    </row>
    <row r="27216" spans="4:7" ht="15" x14ac:dyDescent="0.3">
      <c r="D27216" s="25"/>
      <c r="F27216" s="21"/>
      <c r="G27216" s="16"/>
    </row>
    <row r="27217" spans="4:7" ht="15" x14ac:dyDescent="0.3">
      <c r="D27217" s="25"/>
      <c r="F27217" s="21"/>
      <c r="G27217" s="16"/>
    </row>
    <row r="27218" spans="4:7" ht="15" x14ac:dyDescent="0.3">
      <c r="D27218" s="25"/>
      <c r="F27218" s="21"/>
      <c r="G27218" s="16"/>
    </row>
    <row r="27219" spans="4:7" ht="15" x14ac:dyDescent="0.3">
      <c r="D27219" s="25"/>
      <c r="F27219" s="21"/>
      <c r="G27219" s="16"/>
    </row>
    <row r="27220" spans="4:7" ht="15" x14ac:dyDescent="0.3">
      <c r="D27220" s="25"/>
      <c r="F27220" s="21"/>
      <c r="G27220" s="16"/>
    </row>
    <row r="27221" spans="4:7" ht="15" x14ac:dyDescent="0.3">
      <c r="D27221" s="25"/>
      <c r="F27221" s="21"/>
      <c r="G27221" s="16"/>
    </row>
    <row r="27222" spans="4:7" ht="15" x14ac:dyDescent="0.3">
      <c r="D27222" s="25"/>
      <c r="F27222" s="21"/>
      <c r="G27222" s="16"/>
    </row>
    <row r="27223" spans="4:7" ht="15" x14ac:dyDescent="0.3">
      <c r="D27223" s="25"/>
      <c r="F27223" s="21"/>
      <c r="G27223" s="16"/>
    </row>
    <row r="27224" spans="4:7" ht="15" x14ac:dyDescent="0.3">
      <c r="D27224" s="25"/>
      <c r="F27224" s="21"/>
      <c r="G27224" s="16"/>
    </row>
    <row r="27225" spans="4:7" ht="15" x14ac:dyDescent="0.3">
      <c r="D27225" s="25"/>
      <c r="F27225" s="21"/>
      <c r="G27225" s="16"/>
    </row>
    <row r="27226" spans="4:7" ht="15" x14ac:dyDescent="0.3">
      <c r="D27226" s="25"/>
      <c r="F27226" s="21"/>
      <c r="G27226" s="16"/>
    </row>
    <row r="27227" spans="4:7" ht="15" x14ac:dyDescent="0.3">
      <c r="D27227" s="25"/>
      <c r="F27227" s="21"/>
      <c r="G27227" s="16"/>
    </row>
    <row r="27228" spans="4:7" ht="15" x14ac:dyDescent="0.3">
      <c r="D27228" s="25"/>
      <c r="F27228" s="21"/>
      <c r="G27228" s="16"/>
    </row>
    <row r="27229" spans="4:7" ht="15" x14ac:dyDescent="0.3">
      <c r="D27229" s="25"/>
      <c r="F27229" s="21"/>
      <c r="G27229" s="16"/>
    </row>
    <row r="27230" spans="4:7" ht="15" x14ac:dyDescent="0.3">
      <c r="D27230" s="25"/>
      <c r="F27230" s="21"/>
      <c r="G27230" s="16"/>
    </row>
    <row r="27231" spans="4:7" ht="15" x14ac:dyDescent="0.3">
      <c r="D27231" s="25"/>
      <c r="F27231" s="21"/>
      <c r="G27231" s="16"/>
    </row>
    <row r="27232" spans="4:7" ht="15" x14ac:dyDescent="0.3">
      <c r="D27232" s="25"/>
      <c r="F27232" s="21"/>
      <c r="G27232" s="16"/>
    </row>
    <row r="27233" spans="4:7" ht="15" x14ac:dyDescent="0.3">
      <c r="D27233" s="25"/>
      <c r="F27233" s="21"/>
      <c r="G27233" s="16"/>
    </row>
    <row r="27234" spans="4:7" ht="15" x14ac:dyDescent="0.3">
      <c r="D27234" s="25"/>
      <c r="F27234" s="21"/>
      <c r="G27234" s="16"/>
    </row>
    <row r="27235" spans="4:7" ht="15" x14ac:dyDescent="0.3">
      <c r="D27235" s="25"/>
      <c r="F27235" s="21"/>
      <c r="G27235" s="16"/>
    </row>
    <row r="27236" spans="4:7" ht="15" x14ac:dyDescent="0.3">
      <c r="D27236" s="25"/>
      <c r="F27236" s="21"/>
      <c r="G27236" s="16"/>
    </row>
    <row r="27237" spans="4:7" ht="15" x14ac:dyDescent="0.3">
      <c r="D27237" s="25"/>
      <c r="F27237" s="21"/>
      <c r="G27237" s="16"/>
    </row>
    <row r="27238" spans="4:7" ht="15" x14ac:dyDescent="0.3">
      <c r="D27238" s="25"/>
      <c r="F27238" s="21"/>
      <c r="G27238" s="16"/>
    </row>
    <row r="27239" spans="4:7" ht="15" x14ac:dyDescent="0.3">
      <c r="D27239" s="25"/>
      <c r="F27239" s="21"/>
      <c r="G27239" s="16"/>
    </row>
    <row r="27240" spans="4:7" ht="15" x14ac:dyDescent="0.3">
      <c r="D27240" s="25"/>
      <c r="F27240" s="21"/>
      <c r="G27240" s="16"/>
    </row>
    <row r="27241" spans="4:7" ht="15" x14ac:dyDescent="0.3">
      <c r="D27241" s="25"/>
      <c r="F27241" s="21"/>
      <c r="G27241" s="16"/>
    </row>
    <row r="27242" spans="4:7" ht="15" x14ac:dyDescent="0.3">
      <c r="D27242" s="25"/>
      <c r="F27242" s="21"/>
      <c r="G27242" s="16"/>
    </row>
    <row r="27243" spans="4:7" ht="15" x14ac:dyDescent="0.3">
      <c r="D27243" s="25"/>
      <c r="F27243" s="21"/>
      <c r="G27243" s="16"/>
    </row>
    <row r="27244" spans="4:7" ht="15" x14ac:dyDescent="0.3">
      <c r="D27244" s="25"/>
      <c r="F27244" s="21"/>
      <c r="G27244" s="16"/>
    </row>
    <row r="27245" spans="4:7" ht="15" x14ac:dyDescent="0.3">
      <c r="D27245" s="25"/>
      <c r="F27245" s="21"/>
      <c r="G27245" s="16"/>
    </row>
    <row r="27246" spans="4:7" ht="15" x14ac:dyDescent="0.3">
      <c r="D27246" s="25"/>
      <c r="F27246" s="21"/>
      <c r="G27246" s="16"/>
    </row>
    <row r="27247" spans="4:7" ht="15" x14ac:dyDescent="0.3">
      <c r="D27247" s="25"/>
      <c r="F27247" s="21"/>
      <c r="G27247" s="16"/>
    </row>
    <row r="27248" spans="4:7" ht="15" x14ac:dyDescent="0.3">
      <c r="D27248" s="25"/>
      <c r="F27248" s="21"/>
      <c r="G27248" s="16"/>
    </row>
    <row r="27249" spans="4:7" ht="15" x14ac:dyDescent="0.3">
      <c r="D27249" s="25"/>
      <c r="F27249" s="21"/>
      <c r="G27249" s="16"/>
    </row>
    <row r="27250" spans="4:7" ht="15" x14ac:dyDescent="0.3">
      <c r="D27250" s="25"/>
      <c r="F27250" s="21"/>
      <c r="G27250" s="16"/>
    </row>
    <row r="27251" spans="4:7" ht="15" x14ac:dyDescent="0.3">
      <c r="D27251" s="25"/>
      <c r="F27251" s="21"/>
      <c r="G27251" s="16"/>
    </row>
    <row r="27252" spans="4:7" ht="15" x14ac:dyDescent="0.3">
      <c r="D27252" s="25"/>
      <c r="F27252" s="21"/>
      <c r="G27252" s="16"/>
    </row>
    <row r="27253" spans="4:7" ht="15" x14ac:dyDescent="0.3">
      <c r="D27253" s="25"/>
      <c r="F27253" s="21"/>
      <c r="G27253" s="16"/>
    </row>
    <row r="27254" spans="4:7" ht="15" x14ac:dyDescent="0.3">
      <c r="D27254" s="25"/>
      <c r="F27254" s="21"/>
      <c r="G27254" s="16"/>
    </row>
    <row r="27255" spans="4:7" ht="15" x14ac:dyDescent="0.3">
      <c r="D27255" s="25"/>
      <c r="F27255" s="21"/>
      <c r="G27255" s="16"/>
    </row>
    <row r="27256" spans="4:7" ht="15" x14ac:dyDescent="0.3">
      <c r="D27256" s="25"/>
      <c r="F27256" s="21"/>
      <c r="G27256" s="16"/>
    </row>
    <row r="27257" spans="4:7" ht="15" x14ac:dyDescent="0.3">
      <c r="D27257" s="25"/>
      <c r="F27257" s="21"/>
      <c r="G27257" s="16"/>
    </row>
    <row r="27258" spans="4:7" ht="15" x14ac:dyDescent="0.3">
      <c r="D27258" s="25"/>
      <c r="F27258" s="21"/>
      <c r="G27258" s="16"/>
    </row>
    <row r="27259" spans="4:7" ht="15" x14ac:dyDescent="0.3">
      <c r="D27259" s="25"/>
      <c r="F27259" s="21"/>
      <c r="G27259" s="16"/>
    </row>
    <row r="27260" spans="4:7" ht="15" x14ac:dyDescent="0.3">
      <c r="D27260" s="25"/>
      <c r="F27260" s="21"/>
      <c r="G27260" s="16"/>
    </row>
    <row r="27261" spans="4:7" ht="15" x14ac:dyDescent="0.3">
      <c r="D27261" s="25"/>
      <c r="F27261" s="21"/>
      <c r="G27261" s="16"/>
    </row>
    <row r="27262" spans="4:7" ht="15" x14ac:dyDescent="0.3">
      <c r="D27262" s="25"/>
      <c r="F27262" s="21"/>
      <c r="G27262" s="16"/>
    </row>
    <row r="27263" spans="4:7" ht="15" x14ac:dyDescent="0.3">
      <c r="D27263" s="25"/>
      <c r="F27263" s="21"/>
      <c r="G27263" s="16"/>
    </row>
    <row r="27264" spans="4:7" ht="15" x14ac:dyDescent="0.3">
      <c r="D27264" s="25"/>
      <c r="F27264" s="21"/>
      <c r="G27264" s="16"/>
    </row>
    <row r="27265" spans="4:7" ht="15" x14ac:dyDescent="0.3">
      <c r="D27265" s="25"/>
      <c r="F27265" s="21"/>
      <c r="G27265" s="16"/>
    </row>
    <row r="27266" spans="4:7" ht="15" x14ac:dyDescent="0.3">
      <c r="D27266" s="25"/>
      <c r="F27266" s="21"/>
      <c r="G27266" s="16"/>
    </row>
    <row r="27267" spans="4:7" ht="15" x14ac:dyDescent="0.3">
      <c r="D27267" s="25"/>
      <c r="F27267" s="21"/>
      <c r="G27267" s="16"/>
    </row>
    <row r="27268" spans="4:7" ht="15" x14ac:dyDescent="0.3">
      <c r="D27268" s="25"/>
      <c r="F27268" s="21"/>
      <c r="G27268" s="16"/>
    </row>
    <row r="27269" spans="4:7" ht="15" x14ac:dyDescent="0.3">
      <c r="D27269" s="25"/>
      <c r="F27269" s="21"/>
      <c r="G27269" s="16"/>
    </row>
    <row r="27270" spans="4:7" ht="15" x14ac:dyDescent="0.3">
      <c r="D27270" s="25"/>
      <c r="F27270" s="21"/>
      <c r="G27270" s="16"/>
    </row>
    <row r="27271" spans="4:7" ht="15" x14ac:dyDescent="0.3">
      <c r="D27271" s="25"/>
      <c r="F27271" s="21"/>
      <c r="G27271" s="16"/>
    </row>
    <row r="27272" spans="4:7" ht="15" x14ac:dyDescent="0.3">
      <c r="D27272" s="25"/>
      <c r="F27272" s="21"/>
      <c r="G27272" s="16"/>
    </row>
    <row r="27273" spans="4:7" ht="15" x14ac:dyDescent="0.3">
      <c r="D27273" s="25"/>
      <c r="F27273" s="21"/>
      <c r="G27273" s="16"/>
    </row>
    <row r="27274" spans="4:7" ht="15" x14ac:dyDescent="0.3">
      <c r="D27274" s="25"/>
      <c r="F27274" s="21"/>
      <c r="G27274" s="16"/>
    </row>
    <row r="27275" spans="4:7" ht="15" x14ac:dyDescent="0.3">
      <c r="D27275" s="25"/>
      <c r="F27275" s="21"/>
      <c r="G27275" s="16"/>
    </row>
    <row r="27276" spans="4:7" ht="15" x14ac:dyDescent="0.3">
      <c r="D27276" s="25"/>
      <c r="F27276" s="21"/>
      <c r="G27276" s="16"/>
    </row>
    <row r="27277" spans="4:7" ht="15" x14ac:dyDescent="0.3">
      <c r="D27277" s="25"/>
      <c r="F27277" s="21"/>
      <c r="G27277" s="16"/>
    </row>
    <row r="27278" spans="4:7" ht="15" x14ac:dyDescent="0.3">
      <c r="D27278" s="25"/>
      <c r="F27278" s="21"/>
      <c r="G27278" s="16"/>
    </row>
    <row r="27279" spans="4:7" ht="15" x14ac:dyDescent="0.3">
      <c r="D27279" s="25"/>
      <c r="F27279" s="21"/>
      <c r="G27279" s="16"/>
    </row>
    <row r="27280" spans="4:7" ht="15" x14ac:dyDescent="0.3">
      <c r="D27280" s="25"/>
      <c r="F27280" s="21"/>
      <c r="G27280" s="16"/>
    </row>
    <row r="27281" spans="4:7" ht="15" x14ac:dyDescent="0.3">
      <c r="D27281" s="25"/>
      <c r="F27281" s="21"/>
      <c r="G27281" s="16"/>
    </row>
    <row r="27282" spans="4:7" ht="15" x14ac:dyDescent="0.3">
      <c r="D27282" s="25"/>
      <c r="F27282" s="21"/>
      <c r="G27282" s="16"/>
    </row>
    <row r="27283" spans="4:7" ht="15" x14ac:dyDescent="0.3">
      <c r="D27283" s="25"/>
      <c r="F27283" s="21"/>
      <c r="G27283" s="16"/>
    </row>
    <row r="27284" spans="4:7" ht="15" x14ac:dyDescent="0.3">
      <c r="D27284" s="25"/>
      <c r="F27284" s="21"/>
      <c r="G27284" s="16"/>
    </row>
    <row r="27285" spans="4:7" ht="15" x14ac:dyDescent="0.3">
      <c r="D27285" s="25"/>
      <c r="F27285" s="21"/>
      <c r="G27285" s="16"/>
    </row>
    <row r="27286" spans="4:7" ht="15" x14ac:dyDescent="0.3">
      <c r="D27286" s="25"/>
      <c r="F27286" s="21"/>
      <c r="G27286" s="16"/>
    </row>
    <row r="27287" spans="4:7" ht="15" x14ac:dyDescent="0.3">
      <c r="D27287" s="25"/>
      <c r="F27287" s="21"/>
      <c r="G27287" s="16"/>
    </row>
    <row r="27288" spans="4:7" ht="15" x14ac:dyDescent="0.3">
      <c r="D27288" s="25"/>
      <c r="F27288" s="21"/>
      <c r="G27288" s="16"/>
    </row>
    <row r="27289" spans="4:7" ht="15" x14ac:dyDescent="0.3">
      <c r="D27289" s="25"/>
      <c r="F27289" s="21"/>
      <c r="G27289" s="16"/>
    </row>
    <row r="27290" spans="4:7" ht="15" x14ac:dyDescent="0.3">
      <c r="D27290" s="25"/>
      <c r="F27290" s="21"/>
      <c r="G27290" s="16"/>
    </row>
    <row r="27291" spans="4:7" ht="15" x14ac:dyDescent="0.3">
      <c r="D27291" s="25"/>
      <c r="F27291" s="21"/>
      <c r="G27291" s="16"/>
    </row>
    <row r="27292" spans="4:7" ht="15" x14ac:dyDescent="0.3">
      <c r="D27292" s="25"/>
      <c r="F27292" s="21"/>
      <c r="G27292" s="16"/>
    </row>
    <row r="27293" spans="4:7" ht="15" x14ac:dyDescent="0.3">
      <c r="D27293" s="25"/>
      <c r="F27293" s="21"/>
      <c r="G27293" s="16"/>
    </row>
    <row r="27294" spans="4:7" ht="15" x14ac:dyDescent="0.3">
      <c r="D27294" s="25"/>
      <c r="F27294" s="21"/>
      <c r="G27294" s="16"/>
    </row>
    <row r="27295" spans="4:7" ht="15" x14ac:dyDescent="0.3">
      <c r="D27295" s="25"/>
      <c r="F27295" s="21"/>
      <c r="G27295" s="16"/>
    </row>
    <row r="27296" spans="4:7" ht="15" x14ac:dyDescent="0.3">
      <c r="D27296" s="25"/>
      <c r="F27296" s="21"/>
      <c r="G27296" s="16"/>
    </row>
    <row r="27297" spans="4:7" ht="15" x14ac:dyDescent="0.3">
      <c r="D27297" s="25"/>
      <c r="F27297" s="21"/>
      <c r="G27297" s="16"/>
    </row>
    <row r="27298" spans="4:7" ht="15" x14ac:dyDescent="0.3">
      <c r="D27298" s="25"/>
      <c r="F27298" s="21"/>
      <c r="G27298" s="16"/>
    </row>
    <row r="27299" spans="4:7" ht="15" x14ac:dyDescent="0.3">
      <c r="D27299" s="25"/>
      <c r="F27299" s="21"/>
      <c r="G27299" s="16"/>
    </row>
    <row r="27300" spans="4:7" ht="15" x14ac:dyDescent="0.3">
      <c r="D27300" s="25"/>
      <c r="F27300" s="21"/>
      <c r="G27300" s="16"/>
    </row>
    <row r="27301" spans="4:7" ht="15" x14ac:dyDescent="0.3">
      <c r="D27301" s="25"/>
      <c r="F27301" s="21"/>
      <c r="G27301" s="16"/>
    </row>
    <row r="27302" spans="4:7" ht="15" x14ac:dyDescent="0.3">
      <c r="D27302" s="25"/>
      <c r="F27302" s="21"/>
      <c r="G27302" s="16"/>
    </row>
    <row r="27303" spans="4:7" ht="15" x14ac:dyDescent="0.3">
      <c r="D27303" s="25"/>
      <c r="F27303" s="21"/>
      <c r="G27303" s="16"/>
    </row>
    <row r="27304" spans="4:7" ht="15" x14ac:dyDescent="0.3">
      <c r="D27304" s="25"/>
      <c r="F27304" s="21"/>
      <c r="G27304" s="16"/>
    </row>
    <row r="27305" spans="4:7" ht="15" x14ac:dyDescent="0.3">
      <c r="D27305" s="25"/>
      <c r="F27305" s="21"/>
      <c r="G27305" s="16"/>
    </row>
    <row r="27306" spans="4:7" ht="15" x14ac:dyDescent="0.3">
      <c r="D27306" s="25"/>
      <c r="F27306" s="21"/>
      <c r="G27306" s="16"/>
    </row>
    <row r="27307" spans="4:7" ht="15" x14ac:dyDescent="0.3">
      <c r="D27307" s="25"/>
      <c r="F27307" s="21"/>
      <c r="G27307" s="16"/>
    </row>
    <row r="27308" spans="4:7" ht="15" x14ac:dyDescent="0.3">
      <c r="D27308" s="25"/>
      <c r="F27308" s="21"/>
      <c r="G27308" s="16"/>
    </row>
    <row r="27309" spans="4:7" ht="15" x14ac:dyDescent="0.3">
      <c r="D27309" s="25"/>
      <c r="F27309" s="21"/>
      <c r="G27309" s="16"/>
    </row>
    <row r="27310" spans="4:7" ht="15" x14ac:dyDescent="0.3">
      <c r="D27310" s="25"/>
      <c r="F27310" s="21"/>
      <c r="G27310" s="16"/>
    </row>
    <row r="27311" spans="4:7" ht="15" x14ac:dyDescent="0.3">
      <c r="D27311" s="25"/>
      <c r="F27311" s="21"/>
      <c r="G27311" s="16"/>
    </row>
    <row r="27312" spans="4:7" ht="15" x14ac:dyDescent="0.3">
      <c r="D27312" s="25"/>
      <c r="F27312" s="21"/>
      <c r="G27312" s="16"/>
    </row>
    <row r="27313" spans="4:7" ht="15" x14ac:dyDescent="0.3">
      <c r="D27313" s="25"/>
      <c r="F27313" s="21"/>
      <c r="G27313" s="16"/>
    </row>
    <row r="27314" spans="4:7" ht="15" x14ac:dyDescent="0.3">
      <c r="D27314" s="25"/>
      <c r="F27314" s="21"/>
      <c r="G27314" s="16"/>
    </row>
    <row r="27315" spans="4:7" ht="15" x14ac:dyDescent="0.3">
      <c r="D27315" s="25"/>
      <c r="F27315" s="21"/>
      <c r="G27315" s="16"/>
    </row>
    <row r="27316" spans="4:7" ht="15" x14ac:dyDescent="0.3">
      <c r="D27316" s="25"/>
      <c r="F27316" s="21"/>
      <c r="G27316" s="16"/>
    </row>
    <row r="27317" spans="4:7" ht="15" x14ac:dyDescent="0.3">
      <c r="D27317" s="25"/>
      <c r="F27317" s="21"/>
      <c r="G27317" s="16"/>
    </row>
    <row r="27318" spans="4:7" ht="15" x14ac:dyDescent="0.3">
      <c r="D27318" s="25"/>
      <c r="F27318" s="21"/>
      <c r="G27318" s="16"/>
    </row>
    <row r="27319" spans="4:7" ht="15" x14ac:dyDescent="0.3">
      <c r="D27319" s="25"/>
      <c r="F27319" s="21"/>
      <c r="G27319" s="16"/>
    </row>
    <row r="27320" spans="4:7" ht="15" x14ac:dyDescent="0.3">
      <c r="D27320" s="25"/>
      <c r="F27320" s="21"/>
      <c r="G27320" s="16"/>
    </row>
    <row r="27321" spans="4:7" ht="15" x14ac:dyDescent="0.3">
      <c r="D27321" s="25"/>
      <c r="F27321" s="21"/>
      <c r="G27321" s="16"/>
    </row>
    <row r="27322" spans="4:7" ht="15" x14ac:dyDescent="0.3">
      <c r="D27322" s="25"/>
      <c r="F27322" s="21"/>
      <c r="G27322" s="16"/>
    </row>
    <row r="27323" spans="4:7" ht="15" x14ac:dyDescent="0.3">
      <c r="D27323" s="25"/>
      <c r="F27323" s="21"/>
      <c r="G27323" s="16"/>
    </row>
    <row r="27324" spans="4:7" ht="15" x14ac:dyDescent="0.3">
      <c r="D27324" s="25"/>
      <c r="F27324" s="21"/>
      <c r="G27324" s="16"/>
    </row>
    <row r="27325" spans="4:7" ht="15" x14ac:dyDescent="0.3">
      <c r="D27325" s="25"/>
      <c r="F27325" s="21"/>
      <c r="G27325" s="16"/>
    </row>
    <row r="27326" spans="4:7" ht="15" x14ac:dyDescent="0.3">
      <c r="D27326" s="25"/>
      <c r="F27326" s="21"/>
      <c r="G27326" s="16"/>
    </row>
    <row r="27327" spans="4:7" ht="15" x14ac:dyDescent="0.3">
      <c r="D27327" s="25"/>
      <c r="F27327" s="21"/>
      <c r="G27327" s="16"/>
    </row>
    <row r="27328" spans="4:7" ht="15" x14ac:dyDescent="0.3">
      <c r="D27328" s="25"/>
      <c r="F27328" s="21"/>
      <c r="G27328" s="16"/>
    </row>
    <row r="27329" spans="4:7" ht="15" x14ac:dyDescent="0.3">
      <c r="D27329" s="25"/>
      <c r="F27329" s="21"/>
      <c r="G27329" s="16"/>
    </row>
    <row r="27330" spans="4:7" ht="15" x14ac:dyDescent="0.3">
      <c r="D27330" s="25"/>
      <c r="F27330" s="21"/>
      <c r="G27330" s="16"/>
    </row>
    <row r="27331" spans="4:7" ht="15" x14ac:dyDescent="0.3">
      <c r="D27331" s="25"/>
      <c r="F27331" s="21"/>
      <c r="G27331" s="16"/>
    </row>
    <row r="27332" spans="4:7" ht="15" x14ac:dyDescent="0.3">
      <c r="D27332" s="25"/>
      <c r="F27332" s="21"/>
      <c r="G27332" s="16"/>
    </row>
    <row r="27333" spans="4:7" ht="15" x14ac:dyDescent="0.3">
      <c r="D27333" s="25"/>
      <c r="F27333" s="21"/>
      <c r="G27333" s="16"/>
    </row>
    <row r="27334" spans="4:7" ht="15" x14ac:dyDescent="0.3">
      <c r="D27334" s="25"/>
      <c r="F27334" s="21"/>
      <c r="G27334" s="16"/>
    </row>
    <row r="27335" spans="4:7" ht="15" x14ac:dyDescent="0.3">
      <c r="D27335" s="25"/>
      <c r="F27335" s="21"/>
      <c r="G27335" s="16"/>
    </row>
    <row r="27336" spans="4:7" ht="15" x14ac:dyDescent="0.3">
      <c r="D27336" s="25"/>
      <c r="F27336" s="21"/>
      <c r="G27336" s="16"/>
    </row>
    <row r="27337" spans="4:7" ht="15" x14ac:dyDescent="0.3">
      <c r="D27337" s="25"/>
      <c r="F27337" s="21"/>
      <c r="G27337" s="16"/>
    </row>
    <row r="27338" spans="4:7" ht="15" x14ac:dyDescent="0.3">
      <c r="D27338" s="25"/>
      <c r="F27338" s="21"/>
      <c r="G27338" s="16"/>
    </row>
    <row r="27339" spans="4:7" ht="15" x14ac:dyDescent="0.3">
      <c r="D27339" s="25"/>
      <c r="F27339" s="21"/>
      <c r="G27339" s="16"/>
    </row>
    <row r="27340" spans="4:7" ht="15" x14ac:dyDescent="0.3">
      <c r="D27340" s="25"/>
      <c r="F27340" s="21"/>
      <c r="G27340" s="16"/>
    </row>
    <row r="27341" spans="4:7" ht="15" x14ac:dyDescent="0.3">
      <c r="D27341" s="25"/>
      <c r="F27341" s="21"/>
      <c r="G27341" s="16"/>
    </row>
    <row r="27342" spans="4:7" ht="15" x14ac:dyDescent="0.3">
      <c r="D27342" s="25"/>
      <c r="F27342" s="21"/>
      <c r="G27342" s="16"/>
    </row>
    <row r="27343" spans="4:7" ht="15" x14ac:dyDescent="0.3">
      <c r="D27343" s="25"/>
      <c r="F27343" s="21"/>
      <c r="G27343" s="16"/>
    </row>
    <row r="27344" spans="4:7" ht="15" x14ac:dyDescent="0.3">
      <c r="D27344" s="25"/>
      <c r="F27344" s="21"/>
      <c r="G27344" s="16"/>
    </row>
    <row r="27345" spans="4:7" ht="15" x14ac:dyDescent="0.3">
      <c r="D27345" s="25"/>
      <c r="F27345" s="21"/>
      <c r="G27345" s="16"/>
    </row>
    <row r="27346" spans="4:7" ht="15" x14ac:dyDescent="0.3">
      <c r="D27346" s="25"/>
      <c r="F27346" s="21"/>
      <c r="G27346" s="16"/>
    </row>
    <row r="27347" spans="4:7" ht="15" x14ac:dyDescent="0.3">
      <c r="D27347" s="25"/>
      <c r="F27347" s="21"/>
      <c r="G27347" s="16"/>
    </row>
    <row r="27348" spans="4:7" ht="15" x14ac:dyDescent="0.3">
      <c r="D27348" s="25"/>
      <c r="F27348" s="21"/>
      <c r="G27348" s="16"/>
    </row>
    <row r="27349" spans="4:7" ht="15" x14ac:dyDescent="0.3">
      <c r="D27349" s="25"/>
      <c r="F27349" s="21"/>
      <c r="G27349" s="16"/>
    </row>
    <row r="27350" spans="4:7" ht="15" x14ac:dyDescent="0.3">
      <c r="D27350" s="25"/>
      <c r="F27350" s="21"/>
      <c r="G27350" s="16"/>
    </row>
    <row r="27351" spans="4:7" ht="15" x14ac:dyDescent="0.3">
      <c r="D27351" s="25"/>
      <c r="F27351" s="21"/>
      <c r="G27351" s="16"/>
    </row>
    <row r="27352" spans="4:7" ht="15" x14ac:dyDescent="0.3">
      <c r="D27352" s="25"/>
      <c r="F27352" s="21"/>
      <c r="G27352" s="16"/>
    </row>
    <row r="27353" spans="4:7" ht="15" x14ac:dyDescent="0.3">
      <c r="D27353" s="25"/>
      <c r="F27353" s="21"/>
      <c r="G27353" s="16"/>
    </row>
    <row r="27354" spans="4:7" ht="15" x14ac:dyDescent="0.3">
      <c r="D27354" s="25"/>
      <c r="F27354" s="21"/>
      <c r="G27354" s="16"/>
    </row>
    <row r="27355" spans="4:7" ht="15" x14ac:dyDescent="0.3">
      <c r="D27355" s="25"/>
      <c r="F27355" s="21"/>
      <c r="G27355" s="16"/>
    </row>
    <row r="27356" spans="4:7" ht="15" x14ac:dyDescent="0.3">
      <c r="D27356" s="25"/>
      <c r="F27356" s="21"/>
      <c r="G27356" s="16"/>
    </row>
    <row r="27357" spans="4:7" ht="15" x14ac:dyDescent="0.3">
      <c r="D27357" s="25"/>
      <c r="F27357" s="21"/>
      <c r="G27357" s="16"/>
    </row>
    <row r="27358" spans="4:7" ht="15" x14ac:dyDescent="0.3">
      <c r="D27358" s="25"/>
      <c r="F27358" s="21"/>
      <c r="G27358" s="16"/>
    </row>
    <row r="27359" spans="4:7" ht="15" x14ac:dyDescent="0.3">
      <c r="D27359" s="25"/>
      <c r="F27359" s="21"/>
      <c r="G27359" s="16"/>
    </row>
    <row r="27360" spans="4:7" ht="15" x14ac:dyDescent="0.3">
      <c r="D27360" s="25"/>
      <c r="F27360" s="21"/>
      <c r="G27360" s="16"/>
    </row>
    <row r="27361" spans="4:7" ht="15" x14ac:dyDescent="0.3">
      <c r="D27361" s="25"/>
      <c r="F27361" s="21"/>
      <c r="G27361" s="16"/>
    </row>
    <row r="27362" spans="4:7" ht="15" x14ac:dyDescent="0.3">
      <c r="D27362" s="25"/>
      <c r="F27362" s="21"/>
      <c r="G27362" s="16"/>
    </row>
    <row r="27363" spans="4:7" ht="15" x14ac:dyDescent="0.3">
      <c r="D27363" s="25"/>
      <c r="F27363" s="21"/>
      <c r="G27363" s="16"/>
    </row>
    <row r="27364" spans="4:7" ht="15" x14ac:dyDescent="0.3">
      <c r="D27364" s="25"/>
      <c r="F27364" s="21"/>
      <c r="G27364" s="16"/>
    </row>
    <row r="27365" spans="4:7" ht="15" x14ac:dyDescent="0.3">
      <c r="D27365" s="25"/>
      <c r="F27365" s="21"/>
      <c r="G27365" s="16"/>
    </row>
    <row r="27366" spans="4:7" ht="15" x14ac:dyDescent="0.3">
      <c r="D27366" s="25"/>
      <c r="F27366" s="21"/>
      <c r="G27366" s="16"/>
    </row>
    <row r="27367" spans="4:7" ht="15" x14ac:dyDescent="0.3">
      <c r="D27367" s="25"/>
      <c r="F27367" s="21"/>
      <c r="G27367" s="16"/>
    </row>
    <row r="27368" spans="4:7" ht="15" x14ac:dyDescent="0.3">
      <c r="D27368" s="25"/>
      <c r="F27368" s="21"/>
      <c r="G27368" s="16"/>
    </row>
    <row r="27369" spans="4:7" ht="15" x14ac:dyDescent="0.3">
      <c r="D27369" s="25"/>
      <c r="F27369" s="21"/>
      <c r="G27369" s="16"/>
    </row>
    <row r="27370" spans="4:7" ht="15" x14ac:dyDescent="0.3">
      <c r="D27370" s="25"/>
      <c r="F27370" s="21"/>
      <c r="G27370" s="16"/>
    </row>
    <row r="27371" spans="4:7" ht="15" x14ac:dyDescent="0.3">
      <c r="D27371" s="25"/>
      <c r="F27371" s="21"/>
      <c r="G27371" s="16"/>
    </row>
    <row r="27372" spans="4:7" ht="15" x14ac:dyDescent="0.3">
      <c r="D27372" s="25"/>
      <c r="F27372" s="21"/>
      <c r="G27372" s="16"/>
    </row>
    <row r="27373" spans="4:7" ht="15" x14ac:dyDescent="0.3">
      <c r="D27373" s="25"/>
      <c r="F27373" s="21"/>
      <c r="G27373" s="16"/>
    </row>
    <row r="27374" spans="4:7" ht="15" x14ac:dyDescent="0.3">
      <c r="D27374" s="25"/>
      <c r="F27374" s="21"/>
      <c r="G27374" s="16"/>
    </row>
    <row r="27375" spans="4:7" ht="15" x14ac:dyDescent="0.3">
      <c r="D27375" s="25"/>
      <c r="F27375" s="21"/>
      <c r="G27375" s="16"/>
    </row>
    <row r="27376" spans="4:7" ht="15" x14ac:dyDescent="0.3">
      <c r="D27376" s="25"/>
      <c r="F27376" s="21"/>
      <c r="G27376" s="16"/>
    </row>
    <row r="27377" spans="4:7" ht="15" x14ac:dyDescent="0.3">
      <c r="D27377" s="25"/>
      <c r="F27377" s="21"/>
      <c r="G27377" s="16"/>
    </row>
    <row r="27378" spans="4:7" ht="15" x14ac:dyDescent="0.3">
      <c r="D27378" s="25"/>
      <c r="F27378" s="21"/>
      <c r="G27378" s="16"/>
    </row>
    <row r="27379" spans="4:7" ht="15" x14ac:dyDescent="0.3">
      <c r="D27379" s="25"/>
      <c r="F27379" s="21"/>
      <c r="G27379" s="16"/>
    </row>
    <row r="27380" spans="4:7" ht="15" x14ac:dyDescent="0.3">
      <c r="D27380" s="25"/>
      <c r="F27380" s="21"/>
      <c r="G27380" s="16"/>
    </row>
    <row r="27381" spans="4:7" ht="15" x14ac:dyDescent="0.3">
      <c r="D27381" s="25"/>
      <c r="F27381" s="21"/>
      <c r="G27381" s="16"/>
    </row>
    <row r="27382" spans="4:7" ht="15" x14ac:dyDescent="0.3">
      <c r="D27382" s="25"/>
      <c r="F27382" s="21"/>
      <c r="G27382" s="16"/>
    </row>
    <row r="27383" spans="4:7" ht="15" x14ac:dyDescent="0.3">
      <c r="D27383" s="25"/>
      <c r="F27383" s="21"/>
      <c r="G27383" s="16"/>
    </row>
    <row r="27384" spans="4:7" ht="15" x14ac:dyDescent="0.3">
      <c r="D27384" s="25"/>
      <c r="F27384" s="21"/>
      <c r="G27384" s="16"/>
    </row>
    <row r="27385" spans="4:7" ht="15" x14ac:dyDescent="0.3">
      <c r="D27385" s="25"/>
      <c r="F27385" s="21"/>
      <c r="G27385" s="16"/>
    </row>
    <row r="27386" spans="4:7" ht="15" x14ac:dyDescent="0.3">
      <c r="D27386" s="25"/>
      <c r="F27386" s="21"/>
      <c r="G27386" s="16"/>
    </row>
    <row r="27387" spans="4:7" ht="15" x14ac:dyDescent="0.3">
      <c r="D27387" s="25"/>
      <c r="F27387" s="21"/>
      <c r="G27387" s="16"/>
    </row>
    <row r="27388" spans="4:7" ht="15" x14ac:dyDescent="0.3">
      <c r="D27388" s="25"/>
      <c r="F27388" s="21"/>
      <c r="G27388" s="16"/>
    </row>
    <row r="27389" spans="4:7" ht="15" x14ac:dyDescent="0.3">
      <c r="D27389" s="25"/>
      <c r="F27389" s="21"/>
      <c r="G27389" s="16"/>
    </row>
    <row r="27390" spans="4:7" ht="15" x14ac:dyDescent="0.3">
      <c r="D27390" s="25"/>
      <c r="F27390" s="21"/>
      <c r="G27390" s="16"/>
    </row>
    <row r="27391" spans="4:7" ht="15" x14ac:dyDescent="0.3">
      <c r="D27391" s="25"/>
      <c r="F27391" s="21"/>
      <c r="G27391" s="16"/>
    </row>
    <row r="27392" spans="4:7" ht="15" x14ac:dyDescent="0.3">
      <c r="D27392" s="25"/>
      <c r="F27392" s="21"/>
      <c r="G27392" s="16"/>
    </row>
    <row r="27393" spans="4:7" ht="15" x14ac:dyDescent="0.3">
      <c r="D27393" s="25"/>
      <c r="F27393" s="21"/>
      <c r="G27393" s="16"/>
    </row>
    <row r="27394" spans="4:7" ht="15" x14ac:dyDescent="0.3">
      <c r="D27394" s="25"/>
      <c r="F27394" s="21"/>
      <c r="G27394" s="16"/>
    </row>
    <row r="27395" spans="4:7" ht="15" x14ac:dyDescent="0.3">
      <c r="D27395" s="25"/>
      <c r="F27395" s="21"/>
      <c r="G27395" s="16"/>
    </row>
    <row r="27396" spans="4:7" ht="15" x14ac:dyDescent="0.3">
      <c r="D27396" s="25"/>
      <c r="F27396" s="21"/>
      <c r="G27396" s="16"/>
    </row>
    <row r="27397" spans="4:7" ht="15" x14ac:dyDescent="0.3">
      <c r="D27397" s="25"/>
      <c r="F27397" s="21"/>
      <c r="G27397" s="16"/>
    </row>
    <row r="27398" spans="4:7" ht="15" x14ac:dyDescent="0.3">
      <c r="D27398" s="25"/>
      <c r="F27398" s="21"/>
      <c r="G27398" s="16"/>
    </row>
    <row r="27399" spans="4:7" ht="15" x14ac:dyDescent="0.3">
      <c r="D27399" s="25"/>
      <c r="F27399" s="21"/>
      <c r="G27399" s="16"/>
    </row>
    <row r="27400" spans="4:7" ht="15" x14ac:dyDescent="0.3">
      <c r="D27400" s="25"/>
      <c r="F27400" s="21"/>
      <c r="G27400" s="16"/>
    </row>
    <row r="27401" spans="4:7" ht="15" x14ac:dyDescent="0.3">
      <c r="D27401" s="25"/>
      <c r="F27401" s="21"/>
      <c r="G27401" s="16"/>
    </row>
    <row r="27402" spans="4:7" ht="15" x14ac:dyDescent="0.3">
      <c r="D27402" s="25"/>
      <c r="F27402" s="21"/>
      <c r="G27402" s="16"/>
    </row>
    <row r="27403" spans="4:7" ht="15" x14ac:dyDescent="0.3">
      <c r="D27403" s="25"/>
      <c r="F27403" s="21"/>
      <c r="G27403" s="16"/>
    </row>
    <row r="27404" spans="4:7" ht="15" x14ac:dyDescent="0.3">
      <c r="D27404" s="25"/>
      <c r="F27404" s="21"/>
      <c r="G27404" s="16"/>
    </row>
    <row r="27405" spans="4:7" ht="15" x14ac:dyDescent="0.3">
      <c r="D27405" s="25"/>
      <c r="F27405" s="21"/>
      <c r="G27405" s="16"/>
    </row>
    <row r="27406" spans="4:7" ht="15" x14ac:dyDescent="0.3">
      <c r="D27406" s="25"/>
      <c r="F27406" s="21"/>
      <c r="G27406" s="16"/>
    </row>
    <row r="27407" spans="4:7" ht="15" x14ac:dyDescent="0.3">
      <c r="D27407" s="25"/>
      <c r="F27407" s="21"/>
      <c r="G27407" s="16"/>
    </row>
    <row r="27408" spans="4:7" ht="15" x14ac:dyDescent="0.3">
      <c r="D27408" s="25"/>
      <c r="F27408" s="21"/>
      <c r="G27408" s="16"/>
    </row>
    <row r="27409" spans="4:7" ht="15" x14ac:dyDescent="0.3">
      <c r="D27409" s="25"/>
      <c r="F27409" s="21"/>
      <c r="G27409" s="16"/>
    </row>
    <row r="27410" spans="4:7" ht="15" x14ac:dyDescent="0.3">
      <c r="D27410" s="25"/>
      <c r="F27410" s="21"/>
      <c r="G27410" s="16"/>
    </row>
    <row r="27411" spans="4:7" ht="15" x14ac:dyDescent="0.3">
      <c r="D27411" s="25"/>
      <c r="F27411" s="21"/>
      <c r="G27411" s="16"/>
    </row>
    <row r="27412" spans="4:7" ht="15" x14ac:dyDescent="0.3">
      <c r="D27412" s="25"/>
      <c r="F27412" s="21"/>
      <c r="G27412" s="16"/>
    </row>
    <row r="27413" spans="4:7" ht="15" x14ac:dyDescent="0.3">
      <c r="D27413" s="25"/>
      <c r="F27413" s="21"/>
      <c r="G27413" s="16"/>
    </row>
    <row r="27414" spans="4:7" ht="15" x14ac:dyDescent="0.3">
      <c r="D27414" s="25"/>
      <c r="F27414" s="21"/>
      <c r="G27414" s="16"/>
    </row>
    <row r="27415" spans="4:7" ht="15" x14ac:dyDescent="0.3">
      <c r="D27415" s="25"/>
      <c r="F27415" s="21"/>
      <c r="G27415" s="16"/>
    </row>
    <row r="27416" spans="4:7" ht="15" x14ac:dyDescent="0.3">
      <c r="D27416" s="25"/>
      <c r="F27416" s="21"/>
      <c r="G27416" s="16"/>
    </row>
    <row r="27417" spans="4:7" ht="15" x14ac:dyDescent="0.3">
      <c r="D27417" s="25"/>
      <c r="F27417" s="21"/>
      <c r="G27417" s="16"/>
    </row>
    <row r="27418" spans="4:7" ht="15" x14ac:dyDescent="0.3">
      <c r="D27418" s="25"/>
      <c r="F27418" s="21"/>
      <c r="G27418" s="16"/>
    </row>
    <row r="27419" spans="4:7" ht="15" x14ac:dyDescent="0.3">
      <c r="D27419" s="25"/>
      <c r="F27419" s="21"/>
      <c r="G27419" s="16"/>
    </row>
    <row r="27420" spans="4:7" ht="15" x14ac:dyDescent="0.3">
      <c r="D27420" s="25"/>
      <c r="F27420" s="21"/>
      <c r="G27420" s="16"/>
    </row>
    <row r="27421" spans="4:7" ht="15" x14ac:dyDescent="0.3">
      <c r="D27421" s="25"/>
      <c r="F27421" s="21"/>
      <c r="G27421" s="16"/>
    </row>
    <row r="27422" spans="4:7" ht="15" x14ac:dyDescent="0.3">
      <c r="D27422" s="25"/>
      <c r="F27422" s="21"/>
      <c r="G27422" s="16"/>
    </row>
    <row r="27423" spans="4:7" ht="15" x14ac:dyDescent="0.3">
      <c r="D27423" s="25"/>
      <c r="F27423" s="21"/>
      <c r="G27423" s="16"/>
    </row>
    <row r="27424" spans="4:7" ht="15" x14ac:dyDescent="0.3">
      <c r="D27424" s="25"/>
      <c r="F27424" s="21"/>
      <c r="G27424" s="16"/>
    </row>
    <row r="27425" spans="4:7" ht="15" x14ac:dyDescent="0.3">
      <c r="D27425" s="25"/>
      <c r="F27425" s="21"/>
      <c r="G27425" s="16"/>
    </row>
    <row r="27426" spans="4:7" ht="15" x14ac:dyDescent="0.3">
      <c r="D27426" s="25"/>
      <c r="F27426" s="21"/>
      <c r="G27426" s="16"/>
    </row>
    <row r="27427" spans="4:7" ht="15" x14ac:dyDescent="0.3">
      <c r="D27427" s="25"/>
      <c r="F27427" s="21"/>
      <c r="G27427" s="16"/>
    </row>
    <row r="27428" spans="4:7" ht="15" x14ac:dyDescent="0.3">
      <c r="D27428" s="25"/>
      <c r="F27428" s="21"/>
      <c r="G27428" s="16"/>
    </row>
    <row r="27429" spans="4:7" ht="15" x14ac:dyDescent="0.3">
      <c r="D27429" s="25"/>
      <c r="F27429" s="21"/>
      <c r="G27429" s="16"/>
    </row>
    <row r="27430" spans="4:7" ht="15" x14ac:dyDescent="0.3">
      <c r="D27430" s="25"/>
      <c r="F27430" s="21"/>
      <c r="G27430" s="16"/>
    </row>
    <row r="27431" spans="4:7" ht="15" x14ac:dyDescent="0.3">
      <c r="D27431" s="25"/>
      <c r="F27431" s="21"/>
      <c r="G27431" s="16"/>
    </row>
    <row r="27432" spans="4:7" ht="15" x14ac:dyDescent="0.3">
      <c r="D27432" s="25"/>
      <c r="F27432" s="21"/>
      <c r="G27432" s="16"/>
    </row>
    <row r="27433" spans="4:7" ht="15" x14ac:dyDescent="0.3">
      <c r="D27433" s="25"/>
      <c r="F27433" s="21"/>
      <c r="G27433" s="16"/>
    </row>
    <row r="27434" spans="4:7" ht="15" x14ac:dyDescent="0.3">
      <c r="D27434" s="25"/>
      <c r="F27434" s="21"/>
      <c r="G27434" s="16"/>
    </row>
    <row r="27435" spans="4:7" ht="15" x14ac:dyDescent="0.3">
      <c r="D27435" s="25"/>
      <c r="F27435" s="21"/>
      <c r="G27435" s="16"/>
    </row>
    <row r="27436" spans="4:7" ht="15" x14ac:dyDescent="0.3">
      <c r="D27436" s="25"/>
      <c r="F27436" s="21"/>
      <c r="G27436" s="16"/>
    </row>
    <row r="27437" spans="4:7" ht="15" x14ac:dyDescent="0.3">
      <c r="D27437" s="25"/>
      <c r="F27437" s="21"/>
      <c r="G27437" s="16"/>
    </row>
    <row r="27438" spans="4:7" ht="15" x14ac:dyDescent="0.3">
      <c r="D27438" s="25"/>
      <c r="F27438" s="21"/>
      <c r="G27438" s="16"/>
    </row>
    <row r="27439" spans="4:7" ht="15" x14ac:dyDescent="0.3">
      <c r="D27439" s="25"/>
      <c r="F27439" s="21"/>
      <c r="G27439" s="16"/>
    </row>
    <row r="27440" spans="4:7" ht="15" x14ac:dyDescent="0.3">
      <c r="D27440" s="25"/>
      <c r="F27440" s="21"/>
      <c r="G27440" s="16"/>
    </row>
    <row r="27441" spans="4:7" ht="15" x14ac:dyDescent="0.3">
      <c r="D27441" s="25"/>
      <c r="F27441" s="21"/>
      <c r="G27441" s="16"/>
    </row>
    <row r="27442" spans="4:7" ht="15" x14ac:dyDescent="0.3">
      <c r="D27442" s="25"/>
      <c r="F27442" s="21"/>
      <c r="G27442" s="16"/>
    </row>
    <row r="27443" spans="4:7" ht="15" x14ac:dyDescent="0.3">
      <c r="D27443" s="25"/>
      <c r="F27443" s="21"/>
      <c r="G27443" s="16"/>
    </row>
    <row r="27444" spans="4:7" ht="15" x14ac:dyDescent="0.3">
      <c r="D27444" s="25"/>
      <c r="F27444" s="21"/>
      <c r="G27444" s="16"/>
    </row>
    <row r="27445" spans="4:7" ht="15" x14ac:dyDescent="0.3">
      <c r="D27445" s="25"/>
      <c r="F27445" s="21"/>
      <c r="G27445" s="16"/>
    </row>
    <row r="27446" spans="4:7" ht="15" x14ac:dyDescent="0.3">
      <c r="D27446" s="25"/>
      <c r="F27446" s="21"/>
      <c r="G27446" s="16"/>
    </row>
    <row r="27447" spans="4:7" ht="15" x14ac:dyDescent="0.3">
      <c r="D27447" s="25"/>
      <c r="F27447" s="21"/>
      <c r="G27447" s="16"/>
    </row>
    <row r="27448" spans="4:7" ht="15" x14ac:dyDescent="0.3">
      <c r="D27448" s="25"/>
      <c r="F27448" s="21"/>
      <c r="G27448" s="16"/>
    </row>
    <row r="27449" spans="4:7" ht="15" x14ac:dyDescent="0.3">
      <c r="D27449" s="25"/>
      <c r="F27449" s="21"/>
      <c r="G27449" s="16"/>
    </row>
    <row r="27450" spans="4:7" ht="15" x14ac:dyDescent="0.3">
      <c r="D27450" s="25"/>
      <c r="F27450" s="21"/>
      <c r="G27450" s="16"/>
    </row>
    <row r="27451" spans="4:7" ht="15" x14ac:dyDescent="0.3">
      <c r="D27451" s="25"/>
      <c r="F27451" s="21"/>
      <c r="G27451" s="16"/>
    </row>
    <row r="27452" spans="4:7" ht="15" x14ac:dyDescent="0.3">
      <c r="D27452" s="25"/>
      <c r="F27452" s="21"/>
      <c r="G27452" s="16"/>
    </row>
    <row r="27453" spans="4:7" ht="15" x14ac:dyDescent="0.3">
      <c r="D27453" s="25"/>
      <c r="F27453" s="21"/>
      <c r="G27453" s="16"/>
    </row>
    <row r="27454" spans="4:7" ht="15" x14ac:dyDescent="0.3">
      <c r="D27454" s="25"/>
      <c r="F27454" s="21"/>
      <c r="G27454" s="16"/>
    </row>
    <row r="27455" spans="4:7" ht="15" x14ac:dyDescent="0.3">
      <c r="D27455" s="25"/>
      <c r="F27455" s="21"/>
      <c r="G27455" s="16"/>
    </row>
    <row r="27456" spans="4:7" ht="15" x14ac:dyDescent="0.3">
      <c r="D27456" s="25"/>
      <c r="F27456" s="21"/>
      <c r="G27456" s="16"/>
    </row>
    <row r="27457" spans="4:7" ht="15" x14ac:dyDescent="0.3">
      <c r="D27457" s="25"/>
      <c r="F27457" s="21"/>
      <c r="G27457" s="16"/>
    </row>
    <row r="27458" spans="4:7" ht="15" x14ac:dyDescent="0.3">
      <c r="D27458" s="25"/>
      <c r="F27458" s="21"/>
      <c r="G27458" s="16"/>
    </row>
    <row r="27459" spans="4:7" ht="15" x14ac:dyDescent="0.3">
      <c r="D27459" s="25"/>
      <c r="F27459" s="21"/>
      <c r="G27459" s="16"/>
    </row>
    <row r="27460" spans="4:7" ht="15" x14ac:dyDescent="0.3">
      <c r="D27460" s="25"/>
      <c r="F27460" s="21"/>
      <c r="G27460" s="16"/>
    </row>
    <row r="27461" spans="4:7" ht="15" x14ac:dyDescent="0.3">
      <c r="D27461" s="25"/>
      <c r="F27461" s="21"/>
      <c r="G27461" s="16"/>
    </row>
    <row r="27462" spans="4:7" ht="15" x14ac:dyDescent="0.3">
      <c r="D27462" s="25"/>
      <c r="F27462" s="21"/>
      <c r="G27462" s="16"/>
    </row>
    <row r="27463" spans="4:7" ht="15" x14ac:dyDescent="0.3">
      <c r="D27463" s="25"/>
      <c r="F27463" s="21"/>
      <c r="G27463" s="16"/>
    </row>
    <row r="27464" spans="4:7" ht="15" x14ac:dyDescent="0.3">
      <c r="D27464" s="25"/>
      <c r="F27464" s="21"/>
      <c r="G27464" s="16"/>
    </row>
    <row r="27465" spans="4:7" ht="15" x14ac:dyDescent="0.3">
      <c r="D27465" s="25"/>
      <c r="F27465" s="21"/>
      <c r="G27465" s="16"/>
    </row>
    <row r="27466" spans="4:7" ht="15" x14ac:dyDescent="0.3">
      <c r="D27466" s="25"/>
      <c r="F27466" s="21"/>
      <c r="G27466" s="16"/>
    </row>
    <row r="27467" spans="4:7" ht="15" x14ac:dyDescent="0.3">
      <c r="D27467" s="25"/>
      <c r="F27467" s="21"/>
      <c r="G27467" s="16"/>
    </row>
    <row r="27468" spans="4:7" ht="15" x14ac:dyDescent="0.3">
      <c r="D27468" s="25"/>
      <c r="F27468" s="21"/>
      <c r="G27468" s="16"/>
    </row>
    <row r="27469" spans="4:7" ht="15" x14ac:dyDescent="0.3">
      <c r="D27469" s="25"/>
      <c r="F27469" s="21"/>
      <c r="G27469" s="16"/>
    </row>
    <row r="27470" spans="4:7" ht="15" x14ac:dyDescent="0.3">
      <c r="D27470" s="25"/>
      <c r="F27470" s="21"/>
      <c r="G27470" s="16"/>
    </row>
    <row r="27471" spans="4:7" ht="15" x14ac:dyDescent="0.3">
      <c r="D27471" s="25"/>
      <c r="F27471" s="21"/>
      <c r="G27471" s="16"/>
    </row>
    <row r="27472" spans="4:7" ht="15" x14ac:dyDescent="0.3">
      <c r="D27472" s="25"/>
      <c r="F27472" s="21"/>
      <c r="G27472" s="16"/>
    </row>
    <row r="27473" spans="4:7" ht="15" x14ac:dyDescent="0.3">
      <c r="D27473" s="25"/>
      <c r="F27473" s="21"/>
      <c r="G27473" s="16"/>
    </row>
    <row r="27474" spans="4:7" ht="15" x14ac:dyDescent="0.3">
      <c r="D27474" s="25"/>
      <c r="F27474" s="21"/>
      <c r="G27474" s="16"/>
    </row>
    <row r="27475" spans="4:7" ht="15" x14ac:dyDescent="0.3">
      <c r="D27475" s="25"/>
      <c r="F27475" s="21"/>
      <c r="G27475" s="16"/>
    </row>
    <row r="27476" spans="4:7" ht="15" x14ac:dyDescent="0.3">
      <c r="D27476" s="25"/>
      <c r="F27476" s="21"/>
      <c r="G27476" s="16"/>
    </row>
    <row r="27477" spans="4:7" ht="15" x14ac:dyDescent="0.3">
      <c r="D27477" s="25"/>
      <c r="F27477" s="21"/>
      <c r="G27477" s="16"/>
    </row>
    <row r="27478" spans="4:7" ht="15" x14ac:dyDescent="0.3">
      <c r="D27478" s="25"/>
      <c r="F27478" s="21"/>
      <c r="G27478" s="16"/>
    </row>
    <row r="27479" spans="4:7" ht="15" x14ac:dyDescent="0.3">
      <c r="D27479" s="25"/>
      <c r="F27479" s="21"/>
      <c r="G27479" s="16"/>
    </row>
    <row r="27480" spans="4:7" ht="15" x14ac:dyDescent="0.3">
      <c r="D27480" s="25"/>
      <c r="F27480" s="21"/>
      <c r="G27480" s="16"/>
    </row>
    <row r="27481" spans="4:7" ht="15" x14ac:dyDescent="0.3">
      <c r="D27481" s="25"/>
      <c r="F27481" s="21"/>
      <c r="G27481" s="16"/>
    </row>
    <row r="27482" spans="4:7" ht="15" x14ac:dyDescent="0.3">
      <c r="D27482" s="25"/>
      <c r="F27482" s="21"/>
      <c r="G27482" s="16"/>
    </row>
    <row r="27483" spans="4:7" ht="15" x14ac:dyDescent="0.3">
      <c r="D27483" s="25"/>
      <c r="F27483" s="21"/>
      <c r="G27483" s="16"/>
    </row>
    <row r="27484" spans="4:7" ht="15" x14ac:dyDescent="0.3">
      <c r="D27484" s="25"/>
      <c r="F27484" s="21"/>
      <c r="G27484" s="16"/>
    </row>
    <row r="27485" spans="4:7" ht="15" x14ac:dyDescent="0.3">
      <c r="D27485" s="25"/>
      <c r="F27485" s="21"/>
      <c r="G27485" s="16"/>
    </row>
    <row r="27486" spans="4:7" ht="15" x14ac:dyDescent="0.3">
      <c r="D27486" s="25"/>
      <c r="F27486" s="21"/>
      <c r="G27486" s="16"/>
    </row>
    <row r="27487" spans="4:7" ht="15" x14ac:dyDescent="0.3">
      <c r="D27487" s="25"/>
      <c r="F27487" s="21"/>
      <c r="G27487" s="16"/>
    </row>
    <row r="27488" spans="4:7" ht="15" x14ac:dyDescent="0.3">
      <c r="D27488" s="25"/>
      <c r="F27488" s="21"/>
      <c r="G27488" s="16"/>
    </row>
    <row r="27489" spans="4:7" ht="15" x14ac:dyDescent="0.3">
      <c r="D27489" s="25"/>
      <c r="F27489" s="21"/>
      <c r="G27489" s="16"/>
    </row>
    <row r="27490" spans="4:7" ht="15" x14ac:dyDescent="0.3">
      <c r="D27490" s="25"/>
      <c r="F27490" s="21"/>
      <c r="G27490" s="16"/>
    </row>
    <row r="27491" spans="4:7" ht="15" x14ac:dyDescent="0.3">
      <c r="D27491" s="25"/>
      <c r="F27491" s="21"/>
      <c r="G27491" s="16"/>
    </row>
    <row r="27492" spans="4:7" ht="15" x14ac:dyDescent="0.3">
      <c r="D27492" s="25"/>
      <c r="F27492" s="21"/>
      <c r="G27492" s="16"/>
    </row>
    <row r="27493" spans="4:7" ht="15" x14ac:dyDescent="0.3">
      <c r="D27493" s="25"/>
      <c r="F27493" s="21"/>
      <c r="G27493" s="16"/>
    </row>
    <row r="27494" spans="4:7" ht="15" x14ac:dyDescent="0.3">
      <c r="D27494" s="25"/>
      <c r="F27494" s="21"/>
      <c r="G27494" s="16"/>
    </row>
    <row r="27495" spans="4:7" ht="15" x14ac:dyDescent="0.3">
      <c r="D27495" s="25"/>
      <c r="F27495" s="21"/>
      <c r="G27495" s="16"/>
    </row>
    <row r="27496" spans="4:7" ht="15" x14ac:dyDescent="0.3">
      <c r="D27496" s="25"/>
      <c r="F27496" s="21"/>
      <c r="G27496" s="16"/>
    </row>
    <row r="27497" spans="4:7" ht="15" x14ac:dyDescent="0.3">
      <c r="D27497" s="25"/>
      <c r="F27497" s="21"/>
      <c r="G27497" s="16"/>
    </row>
    <row r="27498" spans="4:7" ht="15" x14ac:dyDescent="0.3">
      <c r="D27498" s="25"/>
      <c r="F27498" s="21"/>
      <c r="G27498" s="16"/>
    </row>
    <row r="27499" spans="4:7" ht="15" x14ac:dyDescent="0.3">
      <c r="D27499" s="25"/>
      <c r="F27499" s="21"/>
      <c r="G27499" s="16"/>
    </row>
    <row r="27500" spans="4:7" ht="15" x14ac:dyDescent="0.3">
      <c r="D27500" s="25"/>
      <c r="F27500" s="21"/>
      <c r="G27500" s="16"/>
    </row>
    <row r="27501" spans="4:7" ht="15" x14ac:dyDescent="0.3">
      <c r="D27501" s="25"/>
      <c r="F27501" s="21"/>
      <c r="G27501" s="16"/>
    </row>
    <row r="27502" spans="4:7" ht="15" x14ac:dyDescent="0.3">
      <c r="D27502" s="25"/>
      <c r="F27502" s="21"/>
      <c r="G27502" s="16"/>
    </row>
    <row r="27503" spans="4:7" ht="15" x14ac:dyDescent="0.3">
      <c r="D27503" s="25"/>
      <c r="F27503" s="21"/>
      <c r="G27503" s="16"/>
    </row>
    <row r="27504" spans="4:7" ht="15" x14ac:dyDescent="0.3">
      <c r="D27504" s="25"/>
      <c r="F27504" s="21"/>
      <c r="G27504" s="16"/>
    </row>
    <row r="27505" spans="4:7" ht="15" x14ac:dyDescent="0.3">
      <c r="D27505" s="25"/>
      <c r="F27505" s="21"/>
      <c r="G27505" s="16"/>
    </row>
    <row r="27506" spans="4:7" ht="15" x14ac:dyDescent="0.3">
      <c r="D27506" s="25"/>
      <c r="F27506" s="21"/>
      <c r="G27506" s="16"/>
    </row>
    <row r="27507" spans="4:7" ht="15" x14ac:dyDescent="0.3">
      <c r="D27507" s="25"/>
      <c r="F27507" s="21"/>
      <c r="G27507" s="16"/>
    </row>
    <row r="27508" spans="4:7" ht="15" x14ac:dyDescent="0.3">
      <c r="D27508" s="25"/>
      <c r="F27508" s="21"/>
      <c r="G27508" s="16"/>
    </row>
    <row r="27509" spans="4:7" ht="15" x14ac:dyDescent="0.3">
      <c r="D27509" s="25"/>
      <c r="F27509" s="21"/>
      <c r="G27509" s="16"/>
    </row>
    <row r="27510" spans="4:7" ht="15" x14ac:dyDescent="0.3">
      <c r="D27510" s="25"/>
      <c r="F27510" s="21"/>
      <c r="G27510" s="16"/>
    </row>
    <row r="27511" spans="4:7" ht="15" x14ac:dyDescent="0.3">
      <c r="D27511" s="25"/>
      <c r="F27511" s="21"/>
      <c r="G27511" s="16"/>
    </row>
    <row r="27512" spans="4:7" ht="15" x14ac:dyDescent="0.3">
      <c r="D27512" s="25"/>
      <c r="F27512" s="21"/>
      <c r="G27512" s="16"/>
    </row>
    <row r="27513" spans="4:7" ht="15" x14ac:dyDescent="0.3">
      <c r="D27513" s="25"/>
      <c r="F27513" s="21"/>
      <c r="G27513" s="16"/>
    </row>
    <row r="27514" spans="4:7" ht="15" x14ac:dyDescent="0.3">
      <c r="D27514" s="25"/>
      <c r="F27514" s="21"/>
      <c r="G27514" s="16"/>
    </row>
    <row r="27515" spans="4:7" ht="15" x14ac:dyDescent="0.3">
      <c r="D27515" s="25"/>
      <c r="F27515" s="21"/>
      <c r="G27515" s="16"/>
    </row>
    <row r="27516" spans="4:7" ht="15" x14ac:dyDescent="0.3">
      <c r="D27516" s="25"/>
      <c r="F27516" s="21"/>
      <c r="G27516" s="16"/>
    </row>
    <row r="27517" spans="4:7" ht="15" x14ac:dyDescent="0.3">
      <c r="D27517" s="25"/>
      <c r="F27517" s="21"/>
      <c r="G27517" s="16"/>
    </row>
    <row r="27518" spans="4:7" ht="15" x14ac:dyDescent="0.3">
      <c r="D27518" s="25"/>
      <c r="F27518" s="21"/>
      <c r="G27518" s="16"/>
    </row>
    <row r="27519" spans="4:7" ht="15" x14ac:dyDescent="0.3">
      <c r="D27519" s="25"/>
      <c r="F27519" s="21"/>
      <c r="G27519" s="16"/>
    </row>
    <row r="27520" spans="4:7" ht="15" x14ac:dyDescent="0.3">
      <c r="D27520" s="25"/>
      <c r="F27520" s="21"/>
      <c r="G27520" s="16"/>
    </row>
    <row r="27521" spans="4:7" ht="15" x14ac:dyDescent="0.3">
      <c r="D27521" s="25"/>
      <c r="F27521" s="21"/>
      <c r="G27521" s="16"/>
    </row>
    <row r="27522" spans="4:7" ht="15" x14ac:dyDescent="0.3">
      <c r="D27522" s="25"/>
      <c r="F27522" s="21"/>
      <c r="G27522" s="16"/>
    </row>
    <row r="27523" spans="4:7" ht="15" x14ac:dyDescent="0.3">
      <c r="D27523" s="25"/>
      <c r="F27523" s="21"/>
      <c r="G27523" s="16"/>
    </row>
    <row r="27524" spans="4:7" ht="15" x14ac:dyDescent="0.3">
      <c r="D27524" s="25"/>
      <c r="F27524" s="21"/>
      <c r="G27524" s="16"/>
    </row>
    <row r="27525" spans="4:7" ht="15" x14ac:dyDescent="0.3">
      <c r="D27525" s="25"/>
      <c r="F27525" s="21"/>
      <c r="G27525" s="16"/>
    </row>
    <row r="27526" spans="4:7" ht="15" x14ac:dyDescent="0.3">
      <c r="D27526" s="25"/>
      <c r="F27526" s="21"/>
      <c r="G27526" s="16"/>
    </row>
    <row r="27527" spans="4:7" ht="15" x14ac:dyDescent="0.3">
      <c r="D27527" s="25"/>
      <c r="F27527" s="21"/>
      <c r="G27527" s="16"/>
    </row>
    <row r="27528" spans="4:7" ht="15" x14ac:dyDescent="0.3">
      <c r="D27528" s="25"/>
      <c r="F27528" s="21"/>
      <c r="G27528" s="16"/>
    </row>
    <row r="27529" spans="4:7" ht="15" x14ac:dyDescent="0.3">
      <c r="D27529" s="25"/>
      <c r="F27529" s="21"/>
      <c r="G27529" s="16"/>
    </row>
    <row r="27530" spans="4:7" ht="15" x14ac:dyDescent="0.3">
      <c r="D27530" s="25"/>
      <c r="F27530" s="21"/>
      <c r="G27530" s="16"/>
    </row>
    <row r="27531" spans="4:7" ht="15" x14ac:dyDescent="0.3">
      <c r="D27531" s="25"/>
      <c r="F27531" s="21"/>
      <c r="G27531" s="16"/>
    </row>
    <row r="27532" spans="4:7" ht="15" x14ac:dyDescent="0.3">
      <c r="D27532" s="25"/>
      <c r="F27532" s="21"/>
      <c r="G27532" s="16"/>
    </row>
    <row r="27533" spans="4:7" ht="15" x14ac:dyDescent="0.3">
      <c r="D27533" s="25"/>
      <c r="F27533" s="21"/>
      <c r="G27533" s="16"/>
    </row>
    <row r="27534" spans="4:7" ht="15" x14ac:dyDescent="0.3">
      <c r="D27534" s="25"/>
      <c r="F27534" s="21"/>
      <c r="G27534" s="16"/>
    </row>
    <row r="27535" spans="4:7" ht="15" x14ac:dyDescent="0.3">
      <c r="D27535" s="25"/>
      <c r="F27535" s="21"/>
      <c r="G27535" s="16"/>
    </row>
    <row r="27536" spans="4:7" ht="15" x14ac:dyDescent="0.3">
      <c r="D27536" s="25"/>
      <c r="F27536" s="21"/>
      <c r="G27536" s="16"/>
    </row>
    <row r="27537" spans="4:7" ht="15" x14ac:dyDescent="0.3">
      <c r="D27537" s="25"/>
      <c r="F27537" s="21"/>
      <c r="G27537" s="16"/>
    </row>
    <row r="27538" spans="4:7" ht="15" x14ac:dyDescent="0.3">
      <c r="D27538" s="25"/>
      <c r="F27538" s="21"/>
      <c r="G27538" s="16"/>
    </row>
    <row r="27539" spans="4:7" ht="15" x14ac:dyDescent="0.3">
      <c r="D27539" s="25"/>
      <c r="F27539" s="21"/>
      <c r="G27539" s="16"/>
    </row>
    <row r="27540" spans="4:7" ht="15" x14ac:dyDescent="0.3">
      <c r="D27540" s="25"/>
      <c r="F27540" s="21"/>
      <c r="G27540" s="16"/>
    </row>
    <row r="27541" spans="4:7" ht="15" x14ac:dyDescent="0.3">
      <c r="D27541" s="25"/>
      <c r="F27541" s="21"/>
      <c r="G27541" s="16"/>
    </row>
    <row r="27542" spans="4:7" ht="15" x14ac:dyDescent="0.3">
      <c r="D27542" s="25"/>
      <c r="F27542" s="21"/>
      <c r="G27542" s="16"/>
    </row>
    <row r="27543" spans="4:7" ht="15" x14ac:dyDescent="0.3">
      <c r="D27543" s="25"/>
      <c r="F27543" s="21"/>
      <c r="G27543" s="16"/>
    </row>
    <row r="27544" spans="4:7" ht="15" x14ac:dyDescent="0.3">
      <c r="D27544" s="25"/>
      <c r="F27544" s="21"/>
      <c r="G27544" s="16"/>
    </row>
    <row r="27545" spans="4:7" ht="15" x14ac:dyDescent="0.3">
      <c r="D27545" s="25"/>
      <c r="F27545" s="21"/>
      <c r="G27545" s="16"/>
    </row>
    <row r="27546" spans="4:7" ht="15" x14ac:dyDescent="0.3">
      <c r="D27546" s="25"/>
      <c r="F27546" s="21"/>
      <c r="G27546" s="16"/>
    </row>
    <row r="27547" spans="4:7" ht="15" x14ac:dyDescent="0.3">
      <c r="D27547" s="25"/>
      <c r="F27547" s="21"/>
      <c r="G27547" s="16"/>
    </row>
    <row r="27548" spans="4:7" ht="15" x14ac:dyDescent="0.3">
      <c r="D27548" s="25"/>
      <c r="F27548" s="21"/>
      <c r="G27548" s="16"/>
    </row>
    <row r="27549" spans="4:7" ht="15" x14ac:dyDescent="0.3">
      <c r="D27549" s="25"/>
      <c r="F27549" s="21"/>
      <c r="G27549" s="16"/>
    </row>
    <row r="27550" spans="4:7" ht="15" x14ac:dyDescent="0.3">
      <c r="D27550" s="25"/>
      <c r="F27550" s="21"/>
      <c r="G27550" s="16"/>
    </row>
    <row r="27551" spans="4:7" ht="15" x14ac:dyDescent="0.3">
      <c r="D27551" s="25"/>
      <c r="F27551" s="21"/>
      <c r="G27551" s="16"/>
    </row>
    <row r="27552" spans="4:7" ht="15" x14ac:dyDescent="0.3">
      <c r="D27552" s="25"/>
      <c r="F27552" s="21"/>
      <c r="G27552" s="16"/>
    </row>
    <row r="27553" spans="4:7" ht="15" x14ac:dyDescent="0.3">
      <c r="D27553" s="25"/>
      <c r="F27553" s="21"/>
      <c r="G27553" s="16"/>
    </row>
    <row r="27554" spans="4:7" ht="15" x14ac:dyDescent="0.3">
      <c r="D27554" s="25"/>
      <c r="F27554" s="21"/>
      <c r="G27554" s="16"/>
    </row>
    <row r="27555" spans="4:7" ht="15" x14ac:dyDescent="0.3">
      <c r="D27555" s="25"/>
      <c r="F27555" s="21"/>
      <c r="G27555" s="16"/>
    </row>
    <row r="27556" spans="4:7" ht="15" x14ac:dyDescent="0.3">
      <c r="D27556" s="25"/>
      <c r="F27556" s="21"/>
      <c r="G27556" s="16"/>
    </row>
    <row r="27557" spans="4:7" ht="15" x14ac:dyDescent="0.3">
      <c r="D27557" s="25"/>
      <c r="F27557" s="21"/>
      <c r="G27557" s="16"/>
    </row>
    <row r="27558" spans="4:7" ht="15" x14ac:dyDescent="0.3">
      <c r="D27558" s="25"/>
      <c r="F27558" s="21"/>
      <c r="G27558" s="16"/>
    </row>
    <row r="27559" spans="4:7" ht="15" x14ac:dyDescent="0.3">
      <c r="D27559" s="25"/>
      <c r="F27559" s="21"/>
      <c r="G27559" s="16"/>
    </row>
    <row r="27560" spans="4:7" ht="15" x14ac:dyDescent="0.3">
      <c r="D27560" s="25"/>
      <c r="F27560" s="21"/>
      <c r="G27560" s="16"/>
    </row>
    <row r="27561" spans="4:7" ht="15" x14ac:dyDescent="0.3">
      <c r="D27561" s="25"/>
      <c r="F27561" s="21"/>
      <c r="G27561" s="16"/>
    </row>
    <row r="27562" spans="4:7" ht="15" x14ac:dyDescent="0.3">
      <c r="D27562" s="25"/>
      <c r="F27562" s="21"/>
      <c r="G27562" s="16"/>
    </row>
    <row r="27563" spans="4:7" ht="15" x14ac:dyDescent="0.3">
      <c r="D27563" s="25"/>
      <c r="F27563" s="21"/>
      <c r="G27563" s="16"/>
    </row>
    <row r="27564" spans="4:7" ht="15" x14ac:dyDescent="0.3">
      <c r="D27564" s="25"/>
      <c r="F27564" s="21"/>
      <c r="G27564" s="16"/>
    </row>
    <row r="27565" spans="4:7" ht="15" x14ac:dyDescent="0.3">
      <c r="D27565" s="25"/>
      <c r="F27565" s="21"/>
      <c r="G27565" s="16"/>
    </row>
    <row r="27566" spans="4:7" ht="15" x14ac:dyDescent="0.3">
      <c r="D27566" s="25"/>
      <c r="F27566" s="21"/>
      <c r="G27566" s="16"/>
    </row>
    <row r="27567" spans="4:7" ht="15" x14ac:dyDescent="0.3">
      <c r="D27567" s="25"/>
      <c r="F27567" s="21"/>
      <c r="G27567" s="16"/>
    </row>
    <row r="27568" spans="4:7" ht="15" x14ac:dyDescent="0.3">
      <c r="D27568" s="25"/>
      <c r="F27568" s="21"/>
      <c r="G27568" s="16"/>
    </row>
    <row r="27569" spans="4:7" ht="15" x14ac:dyDescent="0.3">
      <c r="D27569" s="25"/>
      <c r="F27569" s="21"/>
      <c r="G27569" s="16"/>
    </row>
    <row r="27570" spans="4:7" ht="15" x14ac:dyDescent="0.3">
      <c r="D27570" s="25"/>
      <c r="F27570" s="21"/>
      <c r="G27570" s="16"/>
    </row>
    <row r="27571" spans="4:7" ht="15" x14ac:dyDescent="0.3">
      <c r="D27571" s="25"/>
      <c r="F27571" s="21"/>
      <c r="G27571" s="16"/>
    </row>
    <row r="27572" spans="4:7" ht="15" x14ac:dyDescent="0.3">
      <c r="D27572" s="25"/>
      <c r="F27572" s="21"/>
      <c r="G27572" s="16"/>
    </row>
    <row r="27573" spans="4:7" ht="15" x14ac:dyDescent="0.3">
      <c r="D27573" s="25"/>
      <c r="F27573" s="21"/>
      <c r="G27573" s="16"/>
    </row>
    <row r="27574" spans="4:7" ht="15" x14ac:dyDescent="0.3">
      <c r="D27574" s="25"/>
      <c r="F27574" s="21"/>
      <c r="G27574" s="16"/>
    </row>
    <row r="27575" spans="4:7" ht="15" x14ac:dyDescent="0.3">
      <c r="D27575" s="25"/>
      <c r="F27575" s="21"/>
      <c r="G27575" s="16"/>
    </row>
    <row r="27576" spans="4:7" ht="15" x14ac:dyDescent="0.3">
      <c r="D27576" s="25"/>
      <c r="F27576" s="21"/>
      <c r="G27576" s="16"/>
    </row>
    <row r="27577" spans="4:7" ht="15" x14ac:dyDescent="0.3">
      <c r="D27577" s="25"/>
      <c r="F27577" s="21"/>
      <c r="G27577" s="16"/>
    </row>
    <row r="27578" spans="4:7" ht="15" x14ac:dyDescent="0.3">
      <c r="D27578" s="25"/>
      <c r="F27578" s="21"/>
      <c r="G27578" s="16"/>
    </row>
    <row r="27579" spans="4:7" ht="15" x14ac:dyDescent="0.3">
      <c r="D27579" s="25"/>
      <c r="F27579" s="21"/>
      <c r="G27579" s="16"/>
    </row>
    <row r="27580" spans="4:7" ht="15" x14ac:dyDescent="0.3">
      <c r="D27580" s="25"/>
      <c r="F27580" s="21"/>
      <c r="G27580" s="16"/>
    </row>
    <row r="27581" spans="4:7" ht="15" x14ac:dyDescent="0.3">
      <c r="D27581" s="25"/>
      <c r="F27581" s="21"/>
      <c r="G27581" s="16"/>
    </row>
    <row r="27582" spans="4:7" ht="15" x14ac:dyDescent="0.3">
      <c r="D27582" s="25"/>
      <c r="F27582" s="21"/>
      <c r="G27582" s="16"/>
    </row>
    <row r="27583" spans="4:7" ht="15" x14ac:dyDescent="0.3">
      <c r="D27583" s="25"/>
      <c r="F27583" s="21"/>
      <c r="G27583" s="16"/>
    </row>
    <row r="27584" spans="4:7" ht="15" x14ac:dyDescent="0.3">
      <c r="D27584" s="25"/>
      <c r="F27584" s="21"/>
      <c r="G27584" s="16"/>
    </row>
    <row r="27585" spans="4:7" ht="15" x14ac:dyDescent="0.3">
      <c r="D27585" s="25"/>
      <c r="F27585" s="21"/>
      <c r="G27585" s="16"/>
    </row>
    <row r="27586" spans="4:7" ht="15" x14ac:dyDescent="0.3">
      <c r="D27586" s="25"/>
      <c r="F27586" s="21"/>
      <c r="G27586" s="16"/>
    </row>
    <row r="27587" spans="4:7" ht="15" x14ac:dyDescent="0.3">
      <c r="D27587" s="25"/>
      <c r="F27587" s="21"/>
      <c r="G27587" s="16"/>
    </row>
    <row r="27588" spans="4:7" ht="15" x14ac:dyDescent="0.3">
      <c r="D27588" s="25"/>
      <c r="F27588" s="21"/>
      <c r="G27588" s="16"/>
    </row>
    <row r="27589" spans="4:7" ht="15" x14ac:dyDescent="0.3">
      <c r="D27589" s="25"/>
      <c r="F27589" s="21"/>
      <c r="G27589" s="16"/>
    </row>
    <row r="27590" spans="4:7" ht="15" x14ac:dyDescent="0.3">
      <c r="D27590" s="25"/>
      <c r="F27590" s="21"/>
      <c r="G27590" s="16"/>
    </row>
    <row r="27591" spans="4:7" ht="15" x14ac:dyDescent="0.3">
      <c r="D27591" s="25"/>
      <c r="F27591" s="21"/>
      <c r="G27591" s="16"/>
    </row>
    <row r="27592" spans="4:7" ht="15" x14ac:dyDescent="0.3">
      <c r="D27592" s="25"/>
      <c r="F27592" s="21"/>
      <c r="G27592" s="16"/>
    </row>
    <row r="27593" spans="4:7" ht="15" x14ac:dyDescent="0.3">
      <c r="D27593" s="25"/>
      <c r="F27593" s="21"/>
      <c r="G27593" s="16"/>
    </row>
    <row r="27594" spans="4:7" ht="15" x14ac:dyDescent="0.3">
      <c r="D27594" s="25"/>
      <c r="F27594" s="21"/>
      <c r="G27594" s="16"/>
    </row>
    <row r="27595" spans="4:7" ht="15" x14ac:dyDescent="0.3">
      <c r="D27595" s="25"/>
      <c r="F27595" s="21"/>
      <c r="G27595" s="16"/>
    </row>
    <row r="27596" spans="4:7" ht="15" x14ac:dyDescent="0.3">
      <c r="D27596" s="25"/>
      <c r="F27596" s="21"/>
      <c r="G27596" s="16"/>
    </row>
    <row r="27597" spans="4:7" ht="15" x14ac:dyDescent="0.3">
      <c r="D27597" s="25"/>
      <c r="F27597" s="21"/>
      <c r="G27597" s="16"/>
    </row>
    <row r="27598" spans="4:7" ht="15" x14ac:dyDescent="0.3">
      <c r="D27598" s="25"/>
      <c r="F27598" s="21"/>
      <c r="G27598" s="16"/>
    </row>
    <row r="27599" spans="4:7" ht="15" x14ac:dyDescent="0.3">
      <c r="D27599" s="25"/>
      <c r="F27599" s="21"/>
      <c r="G27599" s="16"/>
    </row>
    <row r="27600" spans="4:7" ht="15" x14ac:dyDescent="0.3">
      <c r="D27600" s="25"/>
      <c r="F27600" s="21"/>
      <c r="G27600" s="16"/>
    </row>
    <row r="27601" spans="4:7" ht="15" x14ac:dyDescent="0.3">
      <c r="D27601" s="25"/>
      <c r="F27601" s="21"/>
      <c r="G27601" s="16"/>
    </row>
    <row r="27602" spans="4:7" ht="15" x14ac:dyDescent="0.3">
      <c r="D27602" s="25"/>
      <c r="F27602" s="21"/>
      <c r="G27602" s="16"/>
    </row>
    <row r="27603" spans="4:7" ht="15" x14ac:dyDescent="0.3">
      <c r="D27603" s="25"/>
      <c r="F27603" s="21"/>
      <c r="G27603" s="16"/>
    </row>
    <row r="27604" spans="4:7" ht="15" x14ac:dyDescent="0.3">
      <c r="D27604" s="25"/>
      <c r="F27604" s="21"/>
      <c r="G27604" s="16"/>
    </row>
    <row r="27605" spans="4:7" ht="15" x14ac:dyDescent="0.3">
      <c r="D27605" s="25"/>
      <c r="F27605" s="21"/>
      <c r="G27605" s="16"/>
    </row>
    <row r="27606" spans="4:7" ht="15" x14ac:dyDescent="0.3">
      <c r="D27606" s="25"/>
      <c r="F27606" s="21"/>
      <c r="G27606" s="16"/>
    </row>
    <row r="27607" spans="4:7" ht="15" x14ac:dyDescent="0.3">
      <c r="D27607" s="25"/>
      <c r="F27607" s="21"/>
      <c r="G27607" s="16"/>
    </row>
    <row r="27608" spans="4:7" ht="15" x14ac:dyDescent="0.3">
      <c r="D27608" s="25"/>
      <c r="F27608" s="21"/>
      <c r="G27608" s="16"/>
    </row>
    <row r="27609" spans="4:7" ht="15" x14ac:dyDescent="0.3">
      <c r="D27609" s="25"/>
      <c r="F27609" s="21"/>
      <c r="G27609" s="16"/>
    </row>
    <row r="27610" spans="4:7" ht="15" x14ac:dyDescent="0.3">
      <c r="D27610" s="25"/>
      <c r="F27610" s="21"/>
      <c r="G27610" s="16"/>
    </row>
    <row r="27611" spans="4:7" ht="15" x14ac:dyDescent="0.3">
      <c r="D27611" s="25"/>
      <c r="F27611" s="21"/>
      <c r="G27611" s="16"/>
    </row>
    <row r="27612" spans="4:7" ht="15" x14ac:dyDescent="0.3">
      <c r="D27612" s="25"/>
      <c r="F27612" s="21"/>
      <c r="G27612" s="16"/>
    </row>
    <row r="27613" spans="4:7" ht="15" x14ac:dyDescent="0.3">
      <c r="D27613" s="25"/>
      <c r="F27613" s="21"/>
      <c r="G27613" s="16"/>
    </row>
    <row r="27614" spans="4:7" ht="15" x14ac:dyDescent="0.3">
      <c r="D27614" s="25"/>
      <c r="F27614" s="21"/>
      <c r="G27614" s="16"/>
    </row>
    <row r="27615" spans="4:7" ht="15" x14ac:dyDescent="0.3">
      <c r="D27615" s="25"/>
      <c r="F27615" s="21"/>
      <c r="G27615" s="16"/>
    </row>
    <row r="27616" spans="4:7" ht="15" x14ac:dyDescent="0.3">
      <c r="D27616" s="25"/>
      <c r="F27616" s="21"/>
      <c r="G27616" s="16"/>
    </row>
    <row r="27617" spans="4:7" ht="15" x14ac:dyDescent="0.3">
      <c r="D27617" s="25"/>
      <c r="F27617" s="21"/>
      <c r="G27617" s="16"/>
    </row>
    <row r="27618" spans="4:7" ht="15" x14ac:dyDescent="0.3">
      <c r="D27618" s="25"/>
      <c r="F27618" s="21"/>
      <c r="G27618" s="16"/>
    </row>
    <row r="27619" spans="4:7" ht="15" x14ac:dyDescent="0.3">
      <c r="D27619" s="25"/>
      <c r="F27619" s="21"/>
      <c r="G27619" s="16"/>
    </row>
    <row r="27620" spans="4:7" ht="15" x14ac:dyDescent="0.3">
      <c r="D27620" s="25"/>
      <c r="F27620" s="21"/>
      <c r="G27620" s="16"/>
    </row>
    <row r="27621" spans="4:7" ht="15" x14ac:dyDescent="0.3">
      <c r="D27621" s="25"/>
      <c r="F27621" s="21"/>
      <c r="G27621" s="16"/>
    </row>
    <row r="27622" spans="4:7" ht="15" x14ac:dyDescent="0.3">
      <c r="D27622" s="25"/>
      <c r="F27622" s="21"/>
      <c r="G27622" s="16"/>
    </row>
    <row r="27623" spans="4:7" ht="15" x14ac:dyDescent="0.3">
      <c r="D27623" s="25"/>
      <c r="F27623" s="21"/>
      <c r="G27623" s="16"/>
    </row>
    <row r="27624" spans="4:7" ht="15" x14ac:dyDescent="0.3">
      <c r="D27624" s="25"/>
      <c r="F27624" s="21"/>
      <c r="G27624" s="16"/>
    </row>
    <row r="27625" spans="4:7" ht="15" x14ac:dyDescent="0.3">
      <c r="D27625" s="25"/>
      <c r="F27625" s="21"/>
      <c r="G27625" s="16"/>
    </row>
    <row r="27626" spans="4:7" ht="15" x14ac:dyDescent="0.3">
      <c r="D27626" s="25"/>
      <c r="F27626" s="21"/>
      <c r="G27626" s="16"/>
    </row>
    <row r="27627" spans="4:7" ht="15" x14ac:dyDescent="0.3">
      <c r="D27627" s="25"/>
      <c r="F27627" s="21"/>
      <c r="G27627" s="16"/>
    </row>
    <row r="27628" spans="4:7" ht="15" x14ac:dyDescent="0.3">
      <c r="D27628" s="25"/>
      <c r="F27628" s="21"/>
      <c r="G27628" s="16"/>
    </row>
    <row r="27629" spans="4:7" ht="15" x14ac:dyDescent="0.3">
      <c r="D27629" s="25"/>
      <c r="F27629" s="21"/>
      <c r="G27629" s="16"/>
    </row>
    <row r="27630" spans="4:7" ht="15" x14ac:dyDescent="0.3">
      <c r="D27630" s="25"/>
      <c r="F27630" s="21"/>
      <c r="G27630" s="16"/>
    </row>
    <row r="27631" spans="4:7" ht="15" x14ac:dyDescent="0.3">
      <c r="D27631" s="25"/>
      <c r="F27631" s="21"/>
      <c r="G27631" s="16"/>
    </row>
    <row r="27632" spans="4:7" ht="15" x14ac:dyDescent="0.3">
      <c r="D27632" s="25"/>
      <c r="F27632" s="21"/>
      <c r="G27632" s="16"/>
    </row>
    <row r="27633" spans="4:7" ht="15" x14ac:dyDescent="0.3">
      <c r="D27633" s="25"/>
      <c r="F27633" s="21"/>
      <c r="G27633" s="16"/>
    </row>
    <row r="27634" spans="4:7" ht="15" x14ac:dyDescent="0.3">
      <c r="D27634" s="25"/>
      <c r="F27634" s="21"/>
      <c r="G27634" s="16"/>
    </row>
    <row r="27635" spans="4:7" ht="15" x14ac:dyDescent="0.3">
      <c r="D27635" s="25"/>
      <c r="F27635" s="21"/>
      <c r="G27635" s="16"/>
    </row>
    <row r="27636" spans="4:7" ht="15" x14ac:dyDescent="0.3">
      <c r="D27636" s="25"/>
      <c r="F27636" s="21"/>
      <c r="G27636" s="16"/>
    </row>
    <row r="27637" spans="4:7" ht="15" x14ac:dyDescent="0.3">
      <c r="D27637" s="25"/>
      <c r="F27637" s="21"/>
      <c r="G27637" s="16"/>
    </row>
    <row r="27638" spans="4:7" ht="15" x14ac:dyDescent="0.3">
      <c r="D27638" s="25"/>
      <c r="F27638" s="21"/>
      <c r="G27638" s="16"/>
    </row>
    <row r="27639" spans="4:7" ht="15" x14ac:dyDescent="0.3">
      <c r="D27639" s="25"/>
      <c r="F27639" s="21"/>
      <c r="G27639" s="16"/>
    </row>
    <row r="27640" spans="4:7" ht="15" x14ac:dyDescent="0.3">
      <c r="D27640" s="25"/>
      <c r="F27640" s="21"/>
      <c r="G27640" s="16"/>
    </row>
    <row r="27641" spans="4:7" ht="15" x14ac:dyDescent="0.3">
      <c r="D27641" s="25"/>
      <c r="F27641" s="21"/>
      <c r="G27641" s="16"/>
    </row>
    <row r="27642" spans="4:7" ht="15" x14ac:dyDescent="0.3">
      <c r="D27642" s="25"/>
      <c r="F27642" s="21"/>
      <c r="G27642" s="16"/>
    </row>
    <row r="27643" spans="4:7" ht="15" x14ac:dyDescent="0.3">
      <c r="D27643" s="25"/>
      <c r="F27643" s="21"/>
      <c r="G27643" s="16"/>
    </row>
    <row r="27644" spans="4:7" ht="15" x14ac:dyDescent="0.3">
      <c r="D27644" s="25"/>
      <c r="F27644" s="21"/>
      <c r="G27644" s="16"/>
    </row>
    <row r="27645" spans="4:7" ht="15" x14ac:dyDescent="0.3">
      <c r="D27645" s="25"/>
      <c r="F27645" s="21"/>
      <c r="G27645" s="16"/>
    </row>
    <row r="27646" spans="4:7" ht="15" x14ac:dyDescent="0.3">
      <c r="D27646" s="25"/>
      <c r="F27646" s="21"/>
      <c r="G27646" s="16"/>
    </row>
    <row r="27647" spans="4:7" ht="15" x14ac:dyDescent="0.3">
      <c r="D27647" s="25"/>
      <c r="F27647" s="21"/>
      <c r="G27647" s="16"/>
    </row>
    <row r="27648" spans="4:7" ht="15" x14ac:dyDescent="0.3">
      <c r="D27648" s="25"/>
      <c r="F27648" s="21"/>
      <c r="G27648" s="16"/>
    </row>
    <row r="27649" spans="4:7" ht="15" x14ac:dyDescent="0.3">
      <c r="D27649" s="25"/>
      <c r="F27649" s="21"/>
      <c r="G27649" s="16"/>
    </row>
    <row r="27650" spans="4:7" ht="15" x14ac:dyDescent="0.3">
      <c r="D27650" s="25"/>
      <c r="F27650" s="21"/>
      <c r="G27650" s="16"/>
    </row>
    <row r="27651" spans="4:7" ht="15" x14ac:dyDescent="0.3">
      <c r="D27651" s="25"/>
      <c r="F27651" s="21"/>
      <c r="G27651" s="16"/>
    </row>
    <row r="27652" spans="4:7" ht="15" x14ac:dyDescent="0.3">
      <c r="D27652" s="25"/>
      <c r="F27652" s="21"/>
      <c r="G27652" s="16"/>
    </row>
    <row r="27653" spans="4:7" ht="15" x14ac:dyDescent="0.3">
      <c r="D27653" s="25"/>
      <c r="F27653" s="21"/>
      <c r="G27653" s="16"/>
    </row>
    <row r="27654" spans="4:7" ht="15" x14ac:dyDescent="0.3">
      <c r="D27654" s="25"/>
      <c r="F27654" s="21"/>
      <c r="G27654" s="16"/>
    </row>
    <row r="27655" spans="4:7" ht="15" x14ac:dyDescent="0.3">
      <c r="D27655" s="25"/>
      <c r="F27655" s="21"/>
      <c r="G27655" s="16"/>
    </row>
    <row r="27656" spans="4:7" ht="15" x14ac:dyDescent="0.3">
      <c r="D27656" s="25"/>
      <c r="F27656" s="21"/>
      <c r="G27656" s="16"/>
    </row>
    <row r="27657" spans="4:7" ht="15" x14ac:dyDescent="0.3">
      <c r="D27657" s="25"/>
      <c r="F27657" s="21"/>
      <c r="G27657" s="16"/>
    </row>
    <row r="27658" spans="4:7" ht="15" x14ac:dyDescent="0.3">
      <c r="D27658" s="25"/>
      <c r="F27658" s="21"/>
      <c r="G27658" s="16"/>
    </row>
    <row r="27659" spans="4:7" ht="15" x14ac:dyDescent="0.3">
      <c r="D27659" s="25"/>
      <c r="F27659" s="21"/>
      <c r="G27659" s="16"/>
    </row>
    <row r="27660" spans="4:7" ht="15" x14ac:dyDescent="0.3">
      <c r="D27660" s="25"/>
      <c r="F27660" s="21"/>
      <c r="G27660" s="16"/>
    </row>
    <row r="27661" spans="4:7" ht="15" x14ac:dyDescent="0.3">
      <c r="D27661" s="25"/>
      <c r="F27661" s="21"/>
      <c r="G27661" s="16"/>
    </row>
    <row r="27662" spans="4:7" ht="15" x14ac:dyDescent="0.3">
      <c r="D27662" s="25"/>
      <c r="F27662" s="21"/>
      <c r="G27662" s="16"/>
    </row>
    <row r="27663" spans="4:7" ht="15" x14ac:dyDescent="0.3">
      <c r="D27663" s="25"/>
      <c r="F27663" s="21"/>
      <c r="G27663" s="16"/>
    </row>
    <row r="27664" spans="4:7" ht="15" x14ac:dyDescent="0.3">
      <c r="D27664" s="25"/>
      <c r="F27664" s="21"/>
      <c r="G27664" s="16"/>
    </row>
    <row r="27665" spans="4:7" ht="15" x14ac:dyDescent="0.3">
      <c r="D27665" s="25"/>
      <c r="F27665" s="21"/>
      <c r="G27665" s="16"/>
    </row>
    <row r="27666" spans="4:7" ht="15" x14ac:dyDescent="0.3">
      <c r="D27666" s="25"/>
      <c r="F27666" s="21"/>
      <c r="G27666" s="16"/>
    </row>
    <row r="27667" spans="4:7" ht="15" x14ac:dyDescent="0.3">
      <c r="D27667" s="25"/>
      <c r="F27667" s="21"/>
      <c r="G27667" s="16"/>
    </row>
    <row r="27668" spans="4:7" ht="15" x14ac:dyDescent="0.3">
      <c r="D27668" s="25"/>
      <c r="F27668" s="21"/>
      <c r="G27668" s="16"/>
    </row>
    <row r="27669" spans="4:7" ht="15" x14ac:dyDescent="0.3">
      <c r="D27669" s="25"/>
      <c r="F27669" s="21"/>
      <c r="G27669" s="16"/>
    </row>
    <row r="27670" spans="4:7" ht="15" x14ac:dyDescent="0.3">
      <c r="D27670" s="25"/>
      <c r="F27670" s="21"/>
      <c r="G27670" s="16"/>
    </row>
    <row r="27671" spans="4:7" ht="15" x14ac:dyDescent="0.3">
      <c r="D27671" s="25"/>
      <c r="F27671" s="21"/>
      <c r="G27671" s="16"/>
    </row>
    <row r="27672" spans="4:7" ht="15" x14ac:dyDescent="0.3">
      <c r="D27672" s="25"/>
      <c r="F27672" s="21"/>
      <c r="G27672" s="16"/>
    </row>
    <row r="27673" spans="4:7" ht="15" x14ac:dyDescent="0.3">
      <c r="D27673" s="25"/>
      <c r="F27673" s="21"/>
      <c r="G27673" s="16"/>
    </row>
    <row r="27674" spans="4:7" ht="15" x14ac:dyDescent="0.3">
      <c r="D27674" s="25"/>
      <c r="F27674" s="21"/>
      <c r="G27674" s="16"/>
    </row>
    <row r="27675" spans="4:7" ht="15" x14ac:dyDescent="0.3">
      <c r="D27675" s="25"/>
      <c r="F27675" s="21"/>
      <c r="G27675" s="16"/>
    </row>
    <row r="27676" spans="4:7" ht="15" x14ac:dyDescent="0.3">
      <c r="D27676" s="25"/>
      <c r="F27676" s="21"/>
      <c r="G27676" s="16"/>
    </row>
    <row r="27677" spans="4:7" ht="15" x14ac:dyDescent="0.3">
      <c r="D27677" s="25"/>
      <c r="F27677" s="21"/>
      <c r="G27677" s="16"/>
    </row>
    <row r="27678" spans="4:7" ht="15" x14ac:dyDescent="0.3">
      <c r="D27678" s="25"/>
      <c r="F27678" s="21"/>
      <c r="G27678" s="16"/>
    </row>
    <row r="27679" spans="4:7" ht="15" x14ac:dyDescent="0.3">
      <c r="D27679" s="25"/>
      <c r="F27679" s="21"/>
      <c r="G27679" s="16"/>
    </row>
    <row r="27680" spans="4:7" ht="15" x14ac:dyDescent="0.3">
      <c r="D27680" s="25"/>
      <c r="F27680" s="21"/>
      <c r="G27680" s="16"/>
    </row>
    <row r="27681" spans="4:7" ht="15" x14ac:dyDescent="0.3">
      <c r="D27681" s="25"/>
      <c r="F27681" s="21"/>
      <c r="G27681" s="16"/>
    </row>
    <row r="27682" spans="4:7" ht="15" x14ac:dyDescent="0.3">
      <c r="D27682" s="25"/>
      <c r="F27682" s="21"/>
      <c r="G27682" s="16"/>
    </row>
    <row r="27683" spans="4:7" ht="15" x14ac:dyDescent="0.3">
      <c r="D27683" s="25"/>
      <c r="F27683" s="21"/>
      <c r="G27683" s="16"/>
    </row>
    <row r="27684" spans="4:7" ht="15" x14ac:dyDescent="0.3">
      <c r="D27684" s="25"/>
      <c r="F27684" s="21"/>
      <c r="G27684" s="16"/>
    </row>
    <row r="27685" spans="4:7" ht="15" x14ac:dyDescent="0.3">
      <c r="D27685" s="25"/>
      <c r="F27685" s="21"/>
      <c r="G27685" s="16"/>
    </row>
    <row r="27686" spans="4:7" ht="15" x14ac:dyDescent="0.3">
      <c r="D27686" s="25"/>
      <c r="F27686" s="21"/>
      <c r="G27686" s="16"/>
    </row>
    <row r="27687" spans="4:7" ht="15" x14ac:dyDescent="0.3">
      <c r="D27687" s="25"/>
      <c r="F27687" s="21"/>
      <c r="G27687" s="16"/>
    </row>
    <row r="27688" spans="4:7" ht="15" x14ac:dyDescent="0.3">
      <c r="D27688" s="25"/>
      <c r="F27688" s="21"/>
      <c r="G27688" s="16"/>
    </row>
    <row r="27689" spans="4:7" ht="15" x14ac:dyDescent="0.3">
      <c r="D27689" s="25"/>
      <c r="F27689" s="21"/>
      <c r="G27689" s="16"/>
    </row>
    <row r="27690" spans="4:7" ht="15" x14ac:dyDescent="0.3">
      <c r="D27690" s="25"/>
      <c r="F27690" s="21"/>
      <c r="G27690" s="16"/>
    </row>
    <row r="27691" spans="4:7" ht="15" x14ac:dyDescent="0.3">
      <c r="D27691" s="25"/>
      <c r="F27691" s="21"/>
      <c r="G27691" s="16"/>
    </row>
    <row r="27692" spans="4:7" ht="15" x14ac:dyDescent="0.3">
      <c r="D27692" s="25"/>
      <c r="F27692" s="21"/>
      <c r="G27692" s="16"/>
    </row>
    <row r="27693" spans="4:7" ht="15" x14ac:dyDescent="0.3">
      <c r="D27693" s="25"/>
      <c r="F27693" s="21"/>
      <c r="G27693" s="16"/>
    </row>
    <row r="27694" spans="4:7" ht="15" x14ac:dyDescent="0.3">
      <c r="D27694" s="25"/>
      <c r="F27694" s="21"/>
      <c r="G27694" s="16"/>
    </row>
    <row r="27695" spans="4:7" ht="15" x14ac:dyDescent="0.3">
      <c r="D27695" s="25"/>
      <c r="F27695" s="21"/>
      <c r="G27695" s="16"/>
    </row>
    <row r="27696" spans="4:7" ht="15" x14ac:dyDescent="0.3">
      <c r="D27696" s="25"/>
      <c r="F27696" s="21"/>
      <c r="G27696" s="16"/>
    </row>
    <row r="27697" spans="4:7" ht="15" x14ac:dyDescent="0.3">
      <c r="D27697" s="25"/>
      <c r="F27697" s="21"/>
      <c r="G27697" s="16"/>
    </row>
    <row r="27698" spans="4:7" ht="15" x14ac:dyDescent="0.3">
      <c r="D27698" s="25"/>
      <c r="F27698" s="21"/>
      <c r="G27698" s="16"/>
    </row>
    <row r="27699" spans="4:7" ht="15" x14ac:dyDescent="0.3">
      <c r="D27699" s="25"/>
      <c r="F27699" s="21"/>
      <c r="G27699" s="16"/>
    </row>
    <row r="27700" spans="4:7" ht="15" x14ac:dyDescent="0.3">
      <c r="D27700" s="25"/>
      <c r="F27700" s="21"/>
      <c r="G27700" s="16"/>
    </row>
    <row r="27701" spans="4:7" ht="15" x14ac:dyDescent="0.3">
      <c r="D27701" s="25"/>
      <c r="F27701" s="21"/>
      <c r="G27701" s="16"/>
    </row>
    <row r="27702" spans="4:7" ht="15" x14ac:dyDescent="0.3">
      <c r="D27702" s="25"/>
      <c r="F27702" s="21"/>
      <c r="G27702" s="16"/>
    </row>
    <row r="27703" spans="4:7" ht="15" x14ac:dyDescent="0.3">
      <c r="D27703" s="25"/>
      <c r="F27703" s="21"/>
      <c r="G27703" s="16"/>
    </row>
    <row r="27704" spans="4:7" ht="15" x14ac:dyDescent="0.3">
      <c r="D27704" s="25"/>
      <c r="F27704" s="21"/>
      <c r="G27704" s="16"/>
    </row>
    <row r="27705" spans="4:7" ht="15" x14ac:dyDescent="0.3">
      <c r="D27705" s="25"/>
      <c r="F27705" s="21"/>
      <c r="G27705" s="16"/>
    </row>
    <row r="27706" spans="4:7" ht="15" x14ac:dyDescent="0.3">
      <c r="D27706" s="25"/>
      <c r="F27706" s="21"/>
      <c r="G27706" s="16"/>
    </row>
    <row r="27707" spans="4:7" ht="15" x14ac:dyDescent="0.3">
      <c r="D27707" s="25"/>
      <c r="F27707" s="21"/>
      <c r="G27707" s="16"/>
    </row>
    <row r="27708" spans="4:7" ht="15" x14ac:dyDescent="0.3">
      <c r="D27708" s="25"/>
      <c r="F27708" s="21"/>
      <c r="G27708" s="16"/>
    </row>
    <row r="27709" spans="4:7" ht="15" x14ac:dyDescent="0.3">
      <c r="D27709" s="25"/>
      <c r="F27709" s="21"/>
      <c r="G27709" s="16"/>
    </row>
    <row r="27710" spans="4:7" ht="15" x14ac:dyDescent="0.3">
      <c r="D27710" s="25"/>
      <c r="F27710" s="21"/>
      <c r="G27710" s="16"/>
    </row>
    <row r="27711" spans="4:7" ht="15" x14ac:dyDescent="0.3">
      <c r="D27711" s="25"/>
      <c r="F27711" s="21"/>
      <c r="G27711" s="16"/>
    </row>
    <row r="27712" spans="4:7" ht="15" x14ac:dyDescent="0.3">
      <c r="D27712" s="25"/>
      <c r="F27712" s="21"/>
      <c r="G27712" s="16"/>
    </row>
    <row r="27713" spans="4:7" ht="15" x14ac:dyDescent="0.3">
      <c r="D27713" s="25"/>
      <c r="F27713" s="21"/>
      <c r="G27713" s="16"/>
    </row>
    <row r="27714" spans="4:7" ht="15" x14ac:dyDescent="0.3">
      <c r="D27714" s="25"/>
      <c r="F27714" s="21"/>
      <c r="G27714" s="16"/>
    </row>
    <row r="27715" spans="4:7" ht="15" x14ac:dyDescent="0.3">
      <c r="D27715" s="25"/>
      <c r="F27715" s="21"/>
      <c r="G27715" s="16"/>
    </row>
    <row r="27716" spans="4:7" ht="15" x14ac:dyDescent="0.3">
      <c r="D27716" s="25"/>
      <c r="F27716" s="21"/>
      <c r="G27716" s="16"/>
    </row>
    <row r="27717" spans="4:7" ht="15" x14ac:dyDescent="0.3">
      <c r="D27717" s="25"/>
      <c r="F27717" s="21"/>
      <c r="G27717" s="16"/>
    </row>
    <row r="27718" spans="4:7" ht="15" x14ac:dyDescent="0.3">
      <c r="D27718" s="25"/>
      <c r="F27718" s="21"/>
      <c r="G27718" s="16"/>
    </row>
    <row r="27719" spans="4:7" ht="15" x14ac:dyDescent="0.3">
      <c r="D27719" s="25"/>
      <c r="F27719" s="21"/>
      <c r="G27719" s="16"/>
    </row>
    <row r="27720" spans="4:7" ht="15" x14ac:dyDescent="0.3">
      <c r="D27720" s="25"/>
      <c r="F27720" s="21"/>
      <c r="G27720" s="16"/>
    </row>
    <row r="27721" spans="4:7" ht="15" x14ac:dyDescent="0.3">
      <c r="D27721" s="25"/>
      <c r="F27721" s="21"/>
      <c r="G27721" s="16"/>
    </row>
    <row r="27722" spans="4:7" ht="15" x14ac:dyDescent="0.3">
      <c r="D27722" s="25"/>
      <c r="F27722" s="21"/>
      <c r="G27722" s="16"/>
    </row>
    <row r="27723" spans="4:7" ht="15" x14ac:dyDescent="0.3">
      <c r="D27723" s="25"/>
      <c r="F27723" s="21"/>
      <c r="G27723" s="16"/>
    </row>
    <row r="27724" spans="4:7" ht="15" x14ac:dyDescent="0.3">
      <c r="D27724" s="25"/>
      <c r="F27724" s="21"/>
      <c r="G27724" s="16"/>
    </row>
    <row r="27725" spans="4:7" ht="15" x14ac:dyDescent="0.3">
      <c r="D27725" s="25"/>
      <c r="F27725" s="21"/>
      <c r="G27725" s="16"/>
    </row>
    <row r="27726" spans="4:7" ht="15" x14ac:dyDescent="0.3">
      <c r="D27726" s="25"/>
      <c r="F27726" s="21"/>
      <c r="G27726" s="16"/>
    </row>
    <row r="27727" spans="4:7" ht="15" x14ac:dyDescent="0.3">
      <c r="D27727" s="25"/>
      <c r="F27727" s="21"/>
      <c r="G27727" s="16"/>
    </row>
    <row r="27728" spans="4:7" ht="15" x14ac:dyDescent="0.3">
      <c r="D27728" s="25"/>
      <c r="F27728" s="21"/>
      <c r="G27728" s="16"/>
    </row>
    <row r="27729" spans="4:7" ht="15" x14ac:dyDescent="0.3">
      <c r="D27729" s="25"/>
      <c r="F27729" s="21"/>
      <c r="G27729" s="16"/>
    </row>
    <row r="27730" spans="4:7" ht="15" x14ac:dyDescent="0.3">
      <c r="D27730" s="25"/>
      <c r="F27730" s="21"/>
      <c r="G27730" s="16"/>
    </row>
    <row r="27731" spans="4:7" ht="15" x14ac:dyDescent="0.3">
      <c r="D27731" s="25"/>
      <c r="F27731" s="21"/>
      <c r="G27731" s="16"/>
    </row>
    <row r="27732" spans="4:7" ht="15" x14ac:dyDescent="0.3">
      <c r="D27732" s="25"/>
      <c r="F27732" s="21"/>
      <c r="G27732" s="16"/>
    </row>
    <row r="27733" spans="4:7" ht="15" x14ac:dyDescent="0.3">
      <c r="D27733" s="25"/>
      <c r="F27733" s="21"/>
      <c r="G27733" s="16"/>
    </row>
    <row r="27734" spans="4:7" ht="15" x14ac:dyDescent="0.3">
      <c r="D27734" s="25"/>
      <c r="F27734" s="21"/>
      <c r="G27734" s="16"/>
    </row>
    <row r="27735" spans="4:7" ht="15" x14ac:dyDescent="0.3">
      <c r="D27735" s="25"/>
      <c r="F27735" s="21"/>
      <c r="G27735" s="16"/>
    </row>
    <row r="27736" spans="4:7" ht="15" x14ac:dyDescent="0.3">
      <c r="D27736" s="25"/>
      <c r="F27736" s="21"/>
      <c r="G27736" s="16"/>
    </row>
    <row r="27737" spans="4:7" ht="15" x14ac:dyDescent="0.3">
      <c r="D27737" s="25"/>
      <c r="F27737" s="21"/>
      <c r="G27737" s="16"/>
    </row>
    <row r="27738" spans="4:7" ht="15" x14ac:dyDescent="0.3">
      <c r="D27738" s="25"/>
      <c r="F27738" s="21"/>
      <c r="G27738" s="16"/>
    </row>
    <row r="27739" spans="4:7" ht="15" x14ac:dyDescent="0.3">
      <c r="D27739" s="25"/>
      <c r="F27739" s="21"/>
      <c r="G27739" s="16"/>
    </row>
    <row r="27740" spans="4:7" ht="15" x14ac:dyDescent="0.3">
      <c r="D27740" s="25"/>
      <c r="F27740" s="21"/>
      <c r="G27740" s="16"/>
    </row>
    <row r="27741" spans="4:7" ht="15" x14ac:dyDescent="0.3">
      <c r="D27741" s="25"/>
      <c r="F27741" s="21"/>
      <c r="G27741" s="16"/>
    </row>
    <row r="27742" spans="4:7" ht="15" x14ac:dyDescent="0.3">
      <c r="D27742" s="25"/>
      <c r="F27742" s="21"/>
      <c r="G27742" s="16"/>
    </row>
    <row r="27743" spans="4:7" ht="15" x14ac:dyDescent="0.3">
      <c r="D27743" s="25"/>
      <c r="F27743" s="21"/>
      <c r="G27743" s="16"/>
    </row>
    <row r="27744" spans="4:7" ht="15" x14ac:dyDescent="0.3">
      <c r="D27744" s="25"/>
      <c r="F27744" s="21"/>
      <c r="G27744" s="16"/>
    </row>
    <row r="27745" spans="4:7" ht="15" x14ac:dyDescent="0.3">
      <c r="D27745" s="25"/>
      <c r="F27745" s="21"/>
      <c r="G27745" s="16"/>
    </row>
    <row r="27746" spans="4:7" ht="15" x14ac:dyDescent="0.3">
      <c r="D27746" s="25"/>
      <c r="F27746" s="21"/>
      <c r="G27746" s="16"/>
    </row>
    <row r="27747" spans="4:7" ht="15" x14ac:dyDescent="0.3">
      <c r="D27747" s="25"/>
      <c r="F27747" s="21"/>
      <c r="G27747" s="16"/>
    </row>
    <row r="27748" spans="4:7" ht="15" x14ac:dyDescent="0.3">
      <c r="D27748" s="25"/>
      <c r="F27748" s="21"/>
      <c r="G27748" s="16"/>
    </row>
    <row r="27749" spans="4:7" ht="15" x14ac:dyDescent="0.3">
      <c r="D27749" s="25"/>
      <c r="F27749" s="21"/>
      <c r="G27749" s="16"/>
    </row>
    <row r="27750" spans="4:7" ht="15" x14ac:dyDescent="0.3">
      <c r="D27750" s="25"/>
      <c r="F27750" s="21"/>
      <c r="G27750" s="16"/>
    </row>
    <row r="27751" spans="4:7" ht="15" x14ac:dyDescent="0.3">
      <c r="D27751" s="25"/>
      <c r="F27751" s="21"/>
      <c r="G27751" s="16"/>
    </row>
    <row r="27752" spans="4:7" ht="15" x14ac:dyDescent="0.3">
      <c r="D27752" s="25"/>
      <c r="F27752" s="21"/>
      <c r="G27752" s="16"/>
    </row>
    <row r="27753" spans="4:7" ht="15" x14ac:dyDescent="0.3">
      <c r="D27753" s="25"/>
      <c r="F27753" s="21"/>
      <c r="G27753" s="16"/>
    </row>
    <row r="27754" spans="4:7" ht="15" x14ac:dyDescent="0.3">
      <c r="D27754" s="25"/>
      <c r="F27754" s="21"/>
      <c r="G27754" s="16"/>
    </row>
    <row r="27755" spans="4:7" ht="15" x14ac:dyDescent="0.3">
      <c r="D27755" s="25"/>
      <c r="F27755" s="21"/>
      <c r="G27755" s="16"/>
    </row>
    <row r="27756" spans="4:7" ht="15" x14ac:dyDescent="0.3">
      <c r="D27756" s="25"/>
      <c r="F27756" s="21"/>
      <c r="G27756" s="16"/>
    </row>
    <row r="27757" spans="4:7" ht="15" x14ac:dyDescent="0.3">
      <c r="D27757" s="25"/>
      <c r="F27757" s="21"/>
      <c r="G27757" s="16"/>
    </row>
    <row r="27758" spans="4:7" ht="15" x14ac:dyDescent="0.3">
      <c r="D27758" s="25"/>
      <c r="F27758" s="21"/>
      <c r="G27758" s="16"/>
    </row>
    <row r="27759" spans="4:7" ht="15" x14ac:dyDescent="0.3">
      <c r="D27759" s="25"/>
      <c r="F27759" s="21"/>
      <c r="G27759" s="16"/>
    </row>
    <row r="27760" spans="4:7" ht="15" x14ac:dyDescent="0.3">
      <c r="D27760" s="25"/>
      <c r="F27760" s="21"/>
      <c r="G27760" s="16"/>
    </row>
    <row r="27761" spans="4:7" ht="15" x14ac:dyDescent="0.3">
      <c r="D27761" s="25"/>
      <c r="F27761" s="21"/>
      <c r="G27761" s="16"/>
    </row>
    <row r="27762" spans="4:7" ht="15" x14ac:dyDescent="0.3">
      <c r="D27762" s="25"/>
      <c r="F27762" s="21"/>
      <c r="G27762" s="16"/>
    </row>
    <row r="27763" spans="4:7" ht="15" x14ac:dyDescent="0.3">
      <c r="D27763" s="25"/>
      <c r="F27763" s="21"/>
      <c r="G27763" s="16"/>
    </row>
    <row r="27764" spans="4:7" ht="15" x14ac:dyDescent="0.3">
      <c r="D27764" s="25"/>
      <c r="F27764" s="21"/>
      <c r="G27764" s="16"/>
    </row>
    <row r="27765" spans="4:7" ht="15" x14ac:dyDescent="0.3">
      <c r="D27765" s="25"/>
      <c r="F27765" s="21"/>
      <c r="G27765" s="16"/>
    </row>
    <row r="27766" spans="4:7" ht="15" x14ac:dyDescent="0.3">
      <c r="D27766" s="25"/>
      <c r="F27766" s="21"/>
      <c r="G27766" s="16"/>
    </row>
    <row r="27767" spans="4:7" ht="15" x14ac:dyDescent="0.3">
      <c r="D27767" s="25"/>
      <c r="F27767" s="21"/>
      <c r="G27767" s="16"/>
    </row>
    <row r="27768" spans="4:7" ht="15" x14ac:dyDescent="0.3">
      <c r="D27768" s="25"/>
      <c r="F27768" s="21"/>
      <c r="G27768" s="16"/>
    </row>
    <row r="27769" spans="4:7" ht="15" x14ac:dyDescent="0.3">
      <c r="D27769" s="25"/>
      <c r="F27769" s="21"/>
      <c r="G27769" s="16"/>
    </row>
    <row r="27770" spans="4:7" ht="15" x14ac:dyDescent="0.3">
      <c r="D27770" s="25"/>
      <c r="F27770" s="21"/>
      <c r="G27770" s="16"/>
    </row>
    <row r="27771" spans="4:7" ht="15" x14ac:dyDescent="0.3">
      <c r="D27771" s="25"/>
      <c r="F27771" s="21"/>
      <c r="G27771" s="16"/>
    </row>
    <row r="27772" spans="4:7" ht="15" x14ac:dyDescent="0.3">
      <c r="D27772" s="25"/>
      <c r="F27772" s="21"/>
      <c r="G27772" s="16"/>
    </row>
    <row r="27773" spans="4:7" ht="15" x14ac:dyDescent="0.3">
      <c r="D27773" s="25"/>
      <c r="F27773" s="21"/>
      <c r="G27773" s="16"/>
    </row>
    <row r="27774" spans="4:7" ht="15" x14ac:dyDescent="0.3">
      <c r="D27774" s="25"/>
      <c r="F27774" s="21"/>
      <c r="G27774" s="16"/>
    </row>
    <row r="27775" spans="4:7" ht="15" x14ac:dyDescent="0.3">
      <c r="D27775" s="25"/>
      <c r="F27775" s="21"/>
      <c r="G27775" s="16"/>
    </row>
    <row r="27776" spans="4:7" ht="15" x14ac:dyDescent="0.3">
      <c r="D27776" s="25"/>
      <c r="F27776" s="21"/>
      <c r="G27776" s="16"/>
    </row>
    <row r="27777" spans="4:7" ht="15" x14ac:dyDescent="0.3">
      <c r="D27777" s="25"/>
      <c r="F27777" s="21"/>
      <c r="G27777" s="16"/>
    </row>
    <row r="27778" spans="4:7" ht="15" x14ac:dyDescent="0.3">
      <c r="D27778" s="25"/>
      <c r="F27778" s="21"/>
      <c r="G27778" s="16"/>
    </row>
    <row r="27779" spans="4:7" ht="15" x14ac:dyDescent="0.3">
      <c r="D27779" s="25"/>
      <c r="F27779" s="21"/>
      <c r="G27779" s="16"/>
    </row>
    <row r="27780" spans="4:7" ht="15" x14ac:dyDescent="0.3">
      <c r="D27780" s="25"/>
      <c r="F27780" s="21"/>
      <c r="G27780" s="16"/>
    </row>
    <row r="27781" spans="4:7" ht="15" x14ac:dyDescent="0.3">
      <c r="D27781" s="25"/>
      <c r="F27781" s="21"/>
      <c r="G27781" s="16"/>
    </row>
    <row r="27782" spans="4:7" ht="15" x14ac:dyDescent="0.3">
      <c r="D27782" s="25"/>
      <c r="F27782" s="21"/>
      <c r="G27782" s="16"/>
    </row>
    <row r="27783" spans="4:7" ht="15" x14ac:dyDescent="0.3">
      <c r="D27783" s="25"/>
      <c r="F27783" s="21"/>
      <c r="G27783" s="16"/>
    </row>
    <row r="27784" spans="4:7" ht="15" x14ac:dyDescent="0.3">
      <c r="D27784" s="25"/>
      <c r="F27784" s="21"/>
      <c r="G27784" s="16"/>
    </row>
    <row r="27785" spans="4:7" ht="15" x14ac:dyDescent="0.3">
      <c r="D27785" s="25"/>
      <c r="F27785" s="21"/>
      <c r="G27785" s="16"/>
    </row>
    <row r="27786" spans="4:7" ht="15" x14ac:dyDescent="0.3">
      <c r="D27786" s="25"/>
      <c r="F27786" s="21"/>
      <c r="G27786" s="16"/>
    </row>
    <row r="27787" spans="4:7" ht="15" x14ac:dyDescent="0.3">
      <c r="D27787" s="25"/>
      <c r="F27787" s="21"/>
      <c r="G27787" s="16"/>
    </row>
    <row r="27788" spans="4:7" ht="15" x14ac:dyDescent="0.3">
      <c r="D27788" s="25"/>
      <c r="F27788" s="21"/>
      <c r="G27788" s="16"/>
    </row>
    <row r="27789" spans="4:7" ht="15" x14ac:dyDescent="0.3">
      <c r="D27789" s="25"/>
      <c r="F27789" s="21"/>
      <c r="G27789" s="16"/>
    </row>
    <row r="27790" spans="4:7" ht="15" x14ac:dyDescent="0.3">
      <c r="D27790" s="25"/>
      <c r="F27790" s="21"/>
      <c r="G27790" s="16"/>
    </row>
    <row r="27791" spans="4:7" ht="15" x14ac:dyDescent="0.3">
      <c r="D27791" s="25"/>
      <c r="F27791" s="21"/>
      <c r="G27791" s="16"/>
    </row>
    <row r="27792" spans="4:7" ht="15" x14ac:dyDescent="0.3">
      <c r="D27792" s="25"/>
      <c r="F27792" s="21"/>
      <c r="G27792" s="16"/>
    </row>
    <row r="27793" spans="4:7" ht="15" x14ac:dyDescent="0.3">
      <c r="D27793" s="25"/>
      <c r="F27793" s="21"/>
      <c r="G27793" s="16"/>
    </row>
    <row r="27794" spans="4:7" ht="15" x14ac:dyDescent="0.3">
      <c r="D27794" s="25"/>
      <c r="F27794" s="21"/>
      <c r="G27794" s="16"/>
    </row>
    <row r="27795" spans="4:7" ht="15" x14ac:dyDescent="0.3">
      <c r="D27795" s="25"/>
      <c r="F27795" s="21"/>
      <c r="G27795" s="16"/>
    </row>
    <row r="27796" spans="4:7" ht="15" x14ac:dyDescent="0.3">
      <c r="D27796" s="25"/>
      <c r="F27796" s="21"/>
      <c r="G27796" s="16"/>
    </row>
    <row r="27797" spans="4:7" ht="15" x14ac:dyDescent="0.3">
      <c r="D27797" s="25"/>
      <c r="F27797" s="21"/>
      <c r="G27797" s="16"/>
    </row>
    <row r="27798" spans="4:7" ht="15" x14ac:dyDescent="0.3">
      <c r="D27798" s="25"/>
      <c r="F27798" s="21"/>
      <c r="G27798" s="16"/>
    </row>
    <row r="27799" spans="4:7" ht="15" x14ac:dyDescent="0.3">
      <c r="D27799" s="25"/>
      <c r="F27799" s="21"/>
      <c r="G27799" s="16"/>
    </row>
    <row r="27800" spans="4:7" ht="15" x14ac:dyDescent="0.3">
      <c r="D27800" s="25"/>
      <c r="F27800" s="21"/>
      <c r="G27800" s="16"/>
    </row>
    <row r="27801" spans="4:7" ht="15" x14ac:dyDescent="0.3">
      <c r="D27801" s="25"/>
      <c r="F27801" s="21"/>
      <c r="G27801" s="16"/>
    </row>
    <row r="27802" spans="4:7" ht="15" x14ac:dyDescent="0.3">
      <c r="D27802" s="25"/>
      <c r="F27802" s="21"/>
      <c r="G27802" s="16"/>
    </row>
    <row r="27803" spans="4:7" ht="15" x14ac:dyDescent="0.3">
      <c r="D27803" s="25"/>
      <c r="F27803" s="21"/>
      <c r="G27803" s="16"/>
    </row>
    <row r="27804" spans="4:7" ht="15" x14ac:dyDescent="0.3">
      <c r="D27804" s="25"/>
      <c r="F27804" s="21"/>
      <c r="G27804" s="16"/>
    </row>
    <row r="27805" spans="4:7" ht="15" x14ac:dyDescent="0.3">
      <c r="D27805" s="25"/>
      <c r="F27805" s="21"/>
      <c r="G27805" s="16"/>
    </row>
    <row r="27806" spans="4:7" ht="15" x14ac:dyDescent="0.3">
      <c r="D27806" s="25"/>
      <c r="F27806" s="21"/>
      <c r="G27806" s="16"/>
    </row>
    <row r="27807" spans="4:7" ht="15" x14ac:dyDescent="0.3">
      <c r="D27807" s="25"/>
      <c r="F27807" s="21"/>
      <c r="G27807" s="16"/>
    </row>
    <row r="27808" spans="4:7" ht="15" x14ac:dyDescent="0.3">
      <c r="D27808" s="25"/>
      <c r="F27808" s="21"/>
      <c r="G27808" s="16"/>
    </row>
    <row r="27809" spans="4:7" ht="15" x14ac:dyDescent="0.3">
      <c r="D27809" s="25"/>
      <c r="F27809" s="21"/>
      <c r="G27809" s="16"/>
    </row>
    <row r="27810" spans="4:7" ht="15" x14ac:dyDescent="0.3">
      <c r="D27810" s="25"/>
      <c r="F27810" s="21"/>
      <c r="G27810" s="16"/>
    </row>
    <row r="27811" spans="4:7" ht="15" x14ac:dyDescent="0.3">
      <c r="D27811" s="25"/>
      <c r="F27811" s="21"/>
      <c r="G27811" s="16"/>
    </row>
    <row r="27812" spans="4:7" ht="15" x14ac:dyDescent="0.3">
      <c r="D27812" s="25"/>
      <c r="F27812" s="21"/>
      <c r="G27812" s="16"/>
    </row>
    <row r="27813" spans="4:7" ht="15" x14ac:dyDescent="0.3">
      <c r="D27813" s="25"/>
      <c r="F27813" s="21"/>
      <c r="G27813" s="16"/>
    </row>
    <row r="27814" spans="4:7" ht="15" x14ac:dyDescent="0.3">
      <c r="D27814" s="25"/>
      <c r="F27814" s="21"/>
      <c r="G27814" s="16"/>
    </row>
    <row r="27815" spans="4:7" ht="15" x14ac:dyDescent="0.3">
      <c r="D27815" s="25"/>
      <c r="F27815" s="21"/>
      <c r="G27815" s="16"/>
    </row>
    <row r="27816" spans="4:7" ht="15" x14ac:dyDescent="0.3">
      <c r="D27816" s="25"/>
      <c r="F27816" s="21"/>
      <c r="G27816" s="16"/>
    </row>
    <row r="27817" spans="4:7" ht="15" x14ac:dyDescent="0.3">
      <c r="D27817" s="25"/>
      <c r="F27817" s="21"/>
      <c r="G27817" s="16"/>
    </row>
    <row r="27818" spans="4:7" ht="15" x14ac:dyDescent="0.3">
      <c r="D27818" s="25"/>
      <c r="F27818" s="21"/>
      <c r="G27818" s="16"/>
    </row>
    <row r="27819" spans="4:7" ht="15" x14ac:dyDescent="0.3">
      <c r="D27819" s="25"/>
      <c r="F27819" s="21"/>
      <c r="G27819" s="16"/>
    </row>
    <row r="27820" spans="4:7" ht="15" x14ac:dyDescent="0.3">
      <c r="D27820" s="25"/>
      <c r="F27820" s="21"/>
      <c r="G27820" s="16"/>
    </row>
    <row r="27821" spans="4:7" ht="15" x14ac:dyDescent="0.3">
      <c r="D27821" s="25"/>
      <c r="F27821" s="21"/>
      <c r="G27821" s="16"/>
    </row>
    <row r="27822" spans="4:7" ht="15" x14ac:dyDescent="0.3">
      <c r="D27822" s="25"/>
      <c r="F27822" s="21"/>
      <c r="G27822" s="16"/>
    </row>
    <row r="27823" spans="4:7" ht="15" x14ac:dyDescent="0.3">
      <c r="D27823" s="25"/>
      <c r="F27823" s="21"/>
      <c r="G27823" s="16"/>
    </row>
    <row r="27824" spans="4:7" ht="15" x14ac:dyDescent="0.3">
      <c r="D27824" s="25"/>
      <c r="F27824" s="21"/>
      <c r="G27824" s="16"/>
    </row>
    <row r="27825" spans="4:7" ht="15" x14ac:dyDescent="0.3">
      <c r="D27825" s="25"/>
      <c r="F27825" s="21"/>
      <c r="G27825" s="16"/>
    </row>
    <row r="27826" spans="4:7" ht="15" x14ac:dyDescent="0.3">
      <c r="D27826" s="25"/>
      <c r="F27826" s="21"/>
      <c r="G27826" s="16"/>
    </row>
    <row r="27827" spans="4:7" ht="15" x14ac:dyDescent="0.3">
      <c r="D27827" s="25"/>
      <c r="F27827" s="21"/>
      <c r="G27827" s="16"/>
    </row>
    <row r="27828" spans="4:7" ht="15" x14ac:dyDescent="0.3">
      <c r="D27828" s="25"/>
      <c r="F27828" s="21"/>
      <c r="G27828" s="16"/>
    </row>
    <row r="27829" spans="4:7" ht="15" x14ac:dyDescent="0.3">
      <c r="D27829" s="25"/>
      <c r="F27829" s="21"/>
      <c r="G27829" s="16"/>
    </row>
    <row r="27830" spans="4:7" ht="15" x14ac:dyDescent="0.3">
      <c r="D27830" s="25"/>
      <c r="F27830" s="21"/>
      <c r="G27830" s="16"/>
    </row>
    <row r="27831" spans="4:7" ht="15" x14ac:dyDescent="0.3">
      <c r="D27831" s="25"/>
      <c r="F27831" s="21"/>
      <c r="G27831" s="16"/>
    </row>
    <row r="27832" spans="4:7" ht="15" x14ac:dyDescent="0.3">
      <c r="D27832" s="25"/>
      <c r="F27832" s="21"/>
      <c r="G27832" s="16"/>
    </row>
    <row r="27833" spans="4:7" ht="15" x14ac:dyDescent="0.3">
      <c r="D27833" s="25"/>
      <c r="F27833" s="21"/>
      <c r="G27833" s="16"/>
    </row>
    <row r="27834" spans="4:7" ht="15" x14ac:dyDescent="0.3">
      <c r="D27834" s="25"/>
      <c r="F27834" s="21"/>
      <c r="G27834" s="16"/>
    </row>
    <row r="27835" spans="4:7" ht="15" x14ac:dyDescent="0.3">
      <c r="D27835" s="25"/>
      <c r="F27835" s="21"/>
      <c r="G27835" s="16"/>
    </row>
    <row r="27836" spans="4:7" ht="15" x14ac:dyDescent="0.3">
      <c r="D27836" s="25"/>
      <c r="F27836" s="21"/>
      <c r="G27836" s="16"/>
    </row>
    <row r="27837" spans="4:7" ht="15" x14ac:dyDescent="0.3">
      <c r="D27837" s="25"/>
      <c r="F27837" s="21"/>
      <c r="G27837" s="16"/>
    </row>
    <row r="27838" spans="4:7" ht="15" x14ac:dyDescent="0.3">
      <c r="D27838" s="25"/>
      <c r="F27838" s="21"/>
      <c r="G27838" s="16"/>
    </row>
    <row r="27839" spans="4:7" ht="15" x14ac:dyDescent="0.3">
      <c r="D27839" s="25"/>
      <c r="F27839" s="21"/>
      <c r="G27839" s="16"/>
    </row>
    <row r="27840" spans="4:7" ht="15" x14ac:dyDescent="0.3">
      <c r="D27840" s="25"/>
      <c r="F27840" s="21"/>
      <c r="G27840" s="16"/>
    </row>
    <row r="27841" spans="4:7" ht="15" x14ac:dyDescent="0.3">
      <c r="D27841" s="25"/>
      <c r="F27841" s="21"/>
      <c r="G27841" s="16"/>
    </row>
    <row r="27842" spans="4:7" ht="15" x14ac:dyDescent="0.3">
      <c r="D27842" s="25"/>
      <c r="F27842" s="21"/>
      <c r="G27842" s="16"/>
    </row>
    <row r="27843" spans="4:7" ht="15" x14ac:dyDescent="0.3">
      <c r="D27843" s="25"/>
      <c r="F27843" s="21"/>
      <c r="G27843" s="16"/>
    </row>
    <row r="27844" spans="4:7" ht="15" x14ac:dyDescent="0.3">
      <c r="D27844" s="25"/>
      <c r="F27844" s="21"/>
      <c r="G27844" s="16"/>
    </row>
    <row r="27845" spans="4:7" ht="15" x14ac:dyDescent="0.3">
      <c r="D27845" s="25"/>
      <c r="F27845" s="21"/>
      <c r="G27845" s="16"/>
    </row>
    <row r="27846" spans="4:7" ht="15" x14ac:dyDescent="0.3">
      <c r="D27846" s="25"/>
      <c r="F27846" s="21"/>
      <c r="G27846" s="16"/>
    </row>
    <row r="27847" spans="4:7" ht="15" x14ac:dyDescent="0.3">
      <c r="D27847" s="25"/>
      <c r="F27847" s="21"/>
      <c r="G27847" s="16"/>
    </row>
    <row r="27848" spans="4:7" ht="15" x14ac:dyDescent="0.3">
      <c r="D27848" s="25"/>
      <c r="F27848" s="21"/>
      <c r="G27848" s="16"/>
    </row>
    <row r="27849" spans="4:7" ht="15" x14ac:dyDescent="0.3">
      <c r="D27849" s="25"/>
      <c r="F27849" s="21"/>
      <c r="G27849" s="16"/>
    </row>
    <row r="27850" spans="4:7" ht="15" x14ac:dyDescent="0.3">
      <c r="D27850" s="25"/>
      <c r="F27850" s="21"/>
      <c r="G27850" s="16"/>
    </row>
    <row r="27851" spans="4:7" ht="15" x14ac:dyDescent="0.3">
      <c r="D27851" s="25"/>
      <c r="F27851" s="21"/>
      <c r="G27851" s="16"/>
    </row>
    <row r="27852" spans="4:7" ht="15" x14ac:dyDescent="0.3">
      <c r="D27852" s="25"/>
      <c r="F27852" s="21"/>
      <c r="G27852" s="16"/>
    </row>
    <row r="27853" spans="4:7" ht="15" x14ac:dyDescent="0.3">
      <c r="D27853" s="25"/>
      <c r="F27853" s="21"/>
      <c r="G27853" s="16"/>
    </row>
    <row r="27854" spans="4:7" ht="15" x14ac:dyDescent="0.3">
      <c r="D27854" s="25"/>
      <c r="F27854" s="21"/>
      <c r="G27854" s="16"/>
    </row>
    <row r="27855" spans="4:7" ht="15" x14ac:dyDescent="0.3">
      <c r="D27855" s="25"/>
      <c r="F27855" s="21"/>
      <c r="G27855" s="16"/>
    </row>
    <row r="27856" spans="4:7" ht="15" x14ac:dyDescent="0.3">
      <c r="D27856" s="25"/>
      <c r="F27856" s="21"/>
      <c r="G27856" s="16"/>
    </row>
    <row r="27857" spans="4:7" ht="15" x14ac:dyDescent="0.3">
      <c r="D27857" s="25"/>
      <c r="F27857" s="21"/>
      <c r="G27857" s="16"/>
    </row>
    <row r="27858" spans="4:7" ht="15" x14ac:dyDescent="0.3">
      <c r="D27858" s="25"/>
      <c r="F27858" s="21"/>
      <c r="G27858" s="16"/>
    </row>
    <row r="27859" spans="4:7" ht="15" x14ac:dyDescent="0.3">
      <c r="D27859" s="25"/>
      <c r="F27859" s="21"/>
      <c r="G27859" s="16"/>
    </row>
    <row r="27860" spans="4:7" ht="15" x14ac:dyDescent="0.3">
      <c r="D27860" s="25"/>
      <c r="F27860" s="21"/>
      <c r="G27860" s="16"/>
    </row>
    <row r="27861" spans="4:7" ht="15" x14ac:dyDescent="0.3">
      <c r="D27861" s="25"/>
      <c r="F27861" s="21"/>
      <c r="G27861" s="16"/>
    </row>
    <row r="27862" spans="4:7" ht="15" x14ac:dyDescent="0.3">
      <c r="D27862" s="25"/>
      <c r="F27862" s="21"/>
      <c r="G27862" s="16"/>
    </row>
    <row r="27863" spans="4:7" ht="15" x14ac:dyDescent="0.3">
      <c r="D27863" s="25"/>
      <c r="F27863" s="21"/>
      <c r="G27863" s="16"/>
    </row>
    <row r="27864" spans="4:7" ht="15" x14ac:dyDescent="0.3">
      <c r="D27864" s="25"/>
      <c r="F27864" s="21"/>
      <c r="G27864" s="16"/>
    </row>
    <row r="27865" spans="4:7" ht="15" x14ac:dyDescent="0.3">
      <c r="D27865" s="25"/>
      <c r="F27865" s="21"/>
      <c r="G27865" s="16"/>
    </row>
    <row r="27866" spans="4:7" ht="15" x14ac:dyDescent="0.3">
      <c r="D27866" s="25"/>
      <c r="F27866" s="21"/>
      <c r="G27866" s="16"/>
    </row>
    <row r="27867" spans="4:7" ht="15" x14ac:dyDescent="0.3">
      <c r="D27867" s="25"/>
      <c r="F27867" s="21"/>
      <c r="G27867" s="16"/>
    </row>
    <row r="27868" spans="4:7" ht="15" x14ac:dyDescent="0.3">
      <c r="D27868" s="25"/>
      <c r="F27868" s="21"/>
      <c r="G27868" s="16"/>
    </row>
    <row r="27869" spans="4:7" ht="15" x14ac:dyDescent="0.3">
      <c r="D27869" s="25"/>
      <c r="F27869" s="21"/>
      <c r="G27869" s="16"/>
    </row>
    <row r="27870" spans="4:7" ht="15" x14ac:dyDescent="0.3">
      <c r="D27870" s="25"/>
      <c r="F27870" s="21"/>
      <c r="G27870" s="16"/>
    </row>
    <row r="27871" spans="4:7" ht="15" x14ac:dyDescent="0.3">
      <c r="D27871" s="25"/>
      <c r="F27871" s="21"/>
      <c r="G27871" s="16"/>
    </row>
    <row r="27872" spans="4:7" ht="15" x14ac:dyDescent="0.3">
      <c r="D27872" s="25"/>
      <c r="F27872" s="21"/>
      <c r="G27872" s="16"/>
    </row>
    <row r="27873" spans="4:7" ht="15" x14ac:dyDescent="0.3">
      <c r="D27873" s="25"/>
      <c r="F27873" s="21"/>
      <c r="G27873" s="16"/>
    </row>
    <row r="27874" spans="4:7" ht="15" x14ac:dyDescent="0.3">
      <c r="D27874" s="25"/>
      <c r="F27874" s="21"/>
      <c r="G27874" s="16"/>
    </row>
    <row r="27875" spans="4:7" ht="15" x14ac:dyDescent="0.3">
      <c r="D27875" s="25"/>
      <c r="F27875" s="21"/>
      <c r="G27875" s="16"/>
    </row>
    <row r="27876" spans="4:7" ht="15" x14ac:dyDescent="0.3">
      <c r="D27876" s="25"/>
      <c r="F27876" s="21"/>
      <c r="G27876" s="16"/>
    </row>
    <row r="27877" spans="4:7" ht="15" x14ac:dyDescent="0.3">
      <c r="D27877" s="25"/>
      <c r="F27877" s="21"/>
      <c r="G27877" s="16"/>
    </row>
    <row r="27878" spans="4:7" ht="15" x14ac:dyDescent="0.3">
      <c r="D27878" s="25"/>
      <c r="F27878" s="21"/>
      <c r="G27878" s="16"/>
    </row>
    <row r="27879" spans="4:7" ht="15" x14ac:dyDescent="0.3">
      <c r="D27879" s="25"/>
      <c r="F27879" s="21"/>
      <c r="G27879" s="16"/>
    </row>
    <row r="27880" spans="4:7" ht="15" x14ac:dyDescent="0.3">
      <c r="D27880" s="25"/>
      <c r="F27880" s="21"/>
      <c r="G27880" s="16"/>
    </row>
    <row r="27881" spans="4:7" ht="15" x14ac:dyDescent="0.3">
      <c r="D27881" s="25"/>
      <c r="F27881" s="21"/>
      <c r="G27881" s="16"/>
    </row>
    <row r="27882" spans="4:7" ht="15" x14ac:dyDescent="0.3">
      <c r="D27882" s="25"/>
      <c r="F27882" s="21"/>
      <c r="G27882" s="16"/>
    </row>
    <row r="27883" spans="4:7" ht="15" x14ac:dyDescent="0.3">
      <c r="D27883" s="25"/>
      <c r="F27883" s="21"/>
      <c r="G27883" s="16"/>
    </row>
    <row r="27884" spans="4:7" ht="15" x14ac:dyDescent="0.3">
      <c r="D27884" s="25"/>
      <c r="F27884" s="21"/>
      <c r="G27884" s="16"/>
    </row>
    <row r="27885" spans="4:7" ht="15" x14ac:dyDescent="0.3">
      <c r="D27885" s="25"/>
      <c r="F27885" s="21"/>
      <c r="G27885" s="16"/>
    </row>
    <row r="27886" spans="4:7" ht="15" x14ac:dyDescent="0.3">
      <c r="D27886" s="25"/>
      <c r="F27886" s="21"/>
      <c r="G27886" s="16"/>
    </row>
    <row r="27887" spans="4:7" ht="15" x14ac:dyDescent="0.3">
      <c r="D27887" s="25"/>
      <c r="F27887" s="21"/>
      <c r="G27887" s="16"/>
    </row>
    <row r="27888" spans="4:7" ht="15" x14ac:dyDescent="0.3">
      <c r="D27888" s="25"/>
      <c r="F27888" s="21"/>
      <c r="G27888" s="16"/>
    </row>
    <row r="27889" spans="4:7" ht="15" x14ac:dyDescent="0.3">
      <c r="D27889" s="25"/>
      <c r="F27889" s="21"/>
      <c r="G27889" s="16"/>
    </row>
    <row r="27890" spans="4:7" ht="15" x14ac:dyDescent="0.3">
      <c r="D27890" s="25"/>
      <c r="F27890" s="21"/>
      <c r="G27890" s="16"/>
    </row>
    <row r="27891" spans="4:7" ht="15" x14ac:dyDescent="0.3">
      <c r="D27891" s="25"/>
      <c r="F27891" s="21"/>
      <c r="G27891" s="16"/>
    </row>
    <row r="27892" spans="4:7" ht="15" x14ac:dyDescent="0.3">
      <c r="D27892" s="25"/>
      <c r="F27892" s="21"/>
      <c r="G27892" s="16"/>
    </row>
    <row r="27893" spans="4:7" ht="15" x14ac:dyDescent="0.3">
      <c r="D27893" s="25"/>
      <c r="F27893" s="21"/>
      <c r="G27893" s="16"/>
    </row>
    <row r="27894" spans="4:7" ht="15" x14ac:dyDescent="0.3">
      <c r="D27894" s="25"/>
      <c r="F27894" s="21"/>
      <c r="G27894" s="16"/>
    </row>
    <row r="27895" spans="4:7" ht="15" x14ac:dyDescent="0.3">
      <c r="D27895" s="25"/>
      <c r="F27895" s="21"/>
      <c r="G27895" s="16"/>
    </row>
    <row r="27896" spans="4:7" ht="15" x14ac:dyDescent="0.3">
      <c r="D27896" s="25"/>
      <c r="F27896" s="21"/>
      <c r="G27896" s="16"/>
    </row>
    <row r="27897" spans="4:7" ht="15" x14ac:dyDescent="0.3">
      <c r="D27897" s="25"/>
      <c r="F27897" s="21"/>
      <c r="G27897" s="16"/>
    </row>
    <row r="27898" spans="4:7" ht="15" x14ac:dyDescent="0.3">
      <c r="D27898" s="25"/>
      <c r="F27898" s="21"/>
      <c r="G27898" s="16"/>
    </row>
    <row r="27899" spans="4:7" ht="15" x14ac:dyDescent="0.3">
      <c r="D27899" s="25"/>
      <c r="F27899" s="21"/>
      <c r="G27899" s="16"/>
    </row>
    <row r="27900" spans="4:7" ht="15" x14ac:dyDescent="0.3">
      <c r="D27900" s="25"/>
      <c r="F27900" s="21"/>
      <c r="G27900" s="16"/>
    </row>
    <row r="27901" spans="4:7" ht="15" x14ac:dyDescent="0.3">
      <c r="D27901" s="25"/>
      <c r="F27901" s="21"/>
      <c r="G27901" s="16"/>
    </row>
    <row r="27902" spans="4:7" ht="15" x14ac:dyDescent="0.3">
      <c r="D27902" s="25"/>
      <c r="F27902" s="21"/>
      <c r="G27902" s="16"/>
    </row>
    <row r="27903" spans="4:7" ht="15" x14ac:dyDescent="0.3">
      <c r="D27903" s="25"/>
      <c r="F27903" s="21"/>
      <c r="G27903" s="16"/>
    </row>
    <row r="27904" spans="4:7" ht="15" x14ac:dyDescent="0.3">
      <c r="D27904" s="25"/>
      <c r="F27904" s="21"/>
      <c r="G27904" s="16"/>
    </row>
    <row r="27905" spans="4:7" ht="15" x14ac:dyDescent="0.3">
      <c r="D27905" s="25"/>
      <c r="F27905" s="21"/>
      <c r="G27905" s="16"/>
    </row>
    <row r="27906" spans="4:7" ht="15" x14ac:dyDescent="0.3">
      <c r="D27906" s="25"/>
      <c r="F27906" s="21"/>
      <c r="G27906" s="16"/>
    </row>
    <row r="27907" spans="4:7" ht="15" x14ac:dyDescent="0.3">
      <c r="D27907" s="25"/>
      <c r="F27907" s="21"/>
      <c r="G27907" s="16"/>
    </row>
    <row r="27908" spans="4:7" ht="15" x14ac:dyDescent="0.3">
      <c r="D27908" s="25"/>
      <c r="F27908" s="21"/>
      <c r="G27908" s="16"/>
    </row>
    <row r="27909" spans="4:7" ht="15" x14ac:dyDescent="0.3">
      <c r="D27909" s="25"/>
      <c r="F27909" s="21"/>
      <c r="G27909" s="16"/>
    </row>
    <row r="27910" spans="4:7" ht="15" x14ac:dyDescent="0.3">
      <c r="D27910" s="25"/>
      <c r="F27910" s="21"/>
      <c r="G27910" s="16"/>
    </row>
    <row r="27911" spans="4:7" ht="15" x14ac:dyDescent="0.3">
      <c r="D27911" s="25"/>
      <c r="F27911" s="21"/>
      <c r="G27911" s="16"/>
    </row>
    <row r="27912" spans="4:7" ht="15" x14ac:dyDescent="0.3">
      <c r="D27912" s="25"/>
      <c r="F27912" s="21"/>
      <c r="G27912" s="16"/>
    </row>
    <row r="27913" spans="4:7" ht="15" x14ac:dyDescent="0.3">
      <c r="D27913" s="25"/>
      <c r="F27913" s="21"/>
      <c r="G27913" s="16"/>
    </row>
    <row r="27914" spans="4:7" ht="15" x14ac:dyDescent="0.3">
      <c r="D27914" s="25"/>
      <c r="F27914" s="21"/>
      <c r="G27914" s="16"/>
    </row>
    <row r="27915" spans="4:7" ht="15" x14ac:dyDescent="0.3">
      <c r="D27915" s="25"/>
      <c r="F27915" s="21"/>
      <c r="G27915" s="16"/>
    </row>
    <row r="27916" spans="4:7" ht="15" x14ac:dyDescent="0.3">
      <c r="D27916" s="25"/>
      <c r="F27916" s="21"/>
      <c r="G27916" s="16"/>
    </row>
    <row r="27917" spans="4:7" ht="15" x14ac:dyDescent="0.3">
      <c r="D27917" s="25"/>
      <c r="F27917" s="21"/>
      <c r="G27917" s="16"/>
    </row>
    <row r="27918" spans="4:7" ht="15" x14ac:dyDescent="0.3">
      <c r="D27918" s="25"/>
      <c r="F27918" s="21"/>
      <c r="G27918" s="16"/>
    </row>
    <row r="27919" spans="4:7" ht="15" x14ac:dyDescent="0.3">
      <c r="D27919" s="25"/>
      <c r="F27919" s="21"/>
      <c r="G27919" s="16"/>
    </row>
    <row r="27920" spans="4:7" ht="15" x14ac:dyDescent="0.3">
      <c r="D27920" s="25"/>
      <c r="F27920" s="21"/>
      <c r="G27920" s="16"/>
    </row>
    <row r="27921" spans="4:7" ht="15" x14ac:dyDescent="0.3">
      <c r="D27921" s="25"/>
      <c r="F27921" s="21"/>
      <c r="G27921" s="16"/>
    </row>
    <row r="27922" spans="4:7" ht="15" x14ac:dyDescent="0.3">
      <c r="D27922" s="25"/>
      <c r="F27922" s="21"/>
      <c r="G27922" s="16"/>
    </row>
    <row r="27923" spans="4:7" ht="15" x14ac:dyDescent="0.3">
      <c r="D27923" s="25"/>
      <c r="F27923" s="21"/>
      <c r="G27923" s="16"/>
    </row>
    <row r="27924" spans="4:7" ht="15" x14ac:dyDescent="0.3">
      <c r="D27924" s="25"/>
      <c r="F27924" s="21"/>
      <c r="G27924" s="16"/>
    </row>
    <row r="27925" spans="4:7" ht="15" x14ac:dyDescent="0.3">
      <c r="D27925" s="25"/>
      <c r="F27925" s="21"/>
      <c r="G27925" s="16"/>
    </row>
    <row r="27926" spans="4:7" ht="15" x14ac:dyDescent="0.3">
      <c r="D27926" s="25"/>
      <c r="F27926" s="21"/>
      <c r="G27926" s="16"/>
    </row>
    <row r="27927" spans="4:7" ht="15" x14ac:dyDescent="0.3">
      <c r="D27927" s="25"/>
      <c r="F27927" s="21"/>
      <c r="G27927" s="16"/>
    </row>
    <row r="27928" spans="4:7" ht="15" x14ac:dyDescent="0.3">
      <c r="D27928" s="25"/>
      <c r="F27928" s="21"/>
      <c r="G27928" s="16"/>
    </row>
    <row r="27929" spans="4:7" ht="15" x14ac:dyDescent="0.3">
      <c r="D27929" s="25"/>
      <c r="F27929" s="21"/>
      <c r="G27929" s="16"/>
    </row>
    <row r="27930" spans="4:7" ht="15" x14ac:dyDescent="0.3">
      <c r="D27930" s="25"/>
      <c r="F27930" s="21"/>
      <c r="G27930" s="16"/>
    </row>
    <row r="27931" spans="4:7" ht="15" x14ac:dyDescent="0.3">
      <c r="D27931" s="25"/>
      <c r="F27931" s="21"/>
      <c r="G27931" s="16"/>
    </row>
    <row r="27932" spans="4:7" ht="15" x14ac:dyDescent="0.3">
      <c r="D27932" s="25"/>
      <c r="F27932" s="21"/>
      <c r="G27932" s="16"/>
    </row>
    <row r="27933" spans="4:7" ht="15" x14ac:dyDescent="0.3">
      <c r="D27933" s="25"/>
      <c r="F27933" s="21"/>
      <c r="G27933" s="16"/>
    </row>
    <row r="27934" spans="4:7" ht="15" x14ac:dyDescent="0.3">
      <c r="D27934" s="25"/>
      <c r="F27934" s="21"/>
      <c r="G27934" s="16"/>
    </row>
    <row r="27935" spans="4:7" ht="15" x14ac:dyDescent="0.3">
      <c r="D27935" s="25"/>
      <c r="F27935" s="21"/>
      <c r="G27935" s="16"/>
    </row>
    <row r="27936" spans="4:7" ht="15" x14ac:dyDescent="0.3">
      <c r="D27936" s="25"/>
      <c r="F27936" s="21"/>
      <c r="G27936" s="16"/>
    </row>
    <row r="27937" spans="4:7" ht="15" x14ac:dyDescent="0.3">
      <c r="D27937" s="25"/>
      <c r="F27937" s="21"/>
      <c r="G27937" s="16"/>
    </row>
    <row r="27938" spans="4:7" ht="15" x14ac:dyDescent="0.3">
      <c r="D27938" s="25"/>
      <c r="F27938" s="21"/>
      <c r="G27938" s="16"/>
    </row>
    <row r="27939" spans="4:7" ht="15" x14ac:dyDescent="0.3">
      <c r="D27939" s="25"/>
      <c r="F27939" s="21"/>
      <c r="G27939" s="16"/>
    </row>
    <row r="27940" spans="4:7" ht="15" x14ac:dyDescent="0.3">
      <c r="D27940" s="25"/>
      <c r="F27940" s="21"/>
      <c r="G27940" s="16"/>
    </row>
    <row r="27941" spans="4:7" ht="15" x14ac:dyDescent="0.3">
      <c r="D27941" s="25"/>
      <c r="F27941" s="21"/>
      <c r="G27941" s="16"/>
    </row>
    <row r="27942" spans="4:7" ht="15" x14ac:dyDescent="0.3">
      <c r="D27942" s="25"/>
      <c r="F27942" s="21"/>
      <c r="G27942" s="16"/>
    </row>
    <row r="27943" spans="4:7" ht="15" x14ac:dyDescent="0.3">
      <c r="D27943" s="25"/>
      <c r="F27943" s="21"/>
      <c r="G27943" s="16"/>
    </row>
    <row r="27944" spans="4:7" ht="15" x14ac:dyDescent="0.3">
      <c r="D27944" s="25"/>
      <c r="F27944" s="21"/>
      <c r="G27944" s="16"/>
    </row>
    <row r="27945" spans="4:7" ht="15" x14ac:dyDescent="0.3">
      <c r="D27945" s="25"/>
      <c r="F27945" s="21"/>
      <c r="G27945" s="16"/>
    </row>
    <row r="27946" spans="4:7" ht="15" x14ac:dyDescent="0.3">
      <c r="D27946" s="25"/>
      <c r="F27946" s="21"/>
      <c r="G27946" s="16"/>
    </row>
    <row r="27947" spans="4:7" ht="15" x14ac:dyDescent="0.3">
      <c r="D27947" s="25"/>
      <c r="F27947" s="21"/>
      <c r="G27947" s="16"/>
    </row>
    <row r="27948" spans="4:7" ht="15" x14ac:dyDescent="0.3">
      <c r="D27948" s="25"/>
      <c r="F27948" s="21"/>
      <c r="G27948" s="16"/>
    </row>
    <row r="27949" spans="4:7" ht="15" x14ac:dyDescent="0.3">
      <c r="D27949" s="25"/>
      <c r="F27949" s="21"/>
      <c r="G27949" s="16"/>
    </row>
    <row r="27950" spans="4:7" ht="15" x14ac:dyDescent="0.3">
      <c r="D27950" s="25"/>
      <c r="F27950" s="21"/>
      <c r="G27950" s="16"/>
    </row>
    <row r="27951" spans="4:7" ht="15" x14ac:dyDescent="0.3">
      <c r="D27951" s="25"/>
      <c r="F27951" s="21"/>
      <c r="G27951" s="16"/>
    </row>
    <row r="27952" spans="4:7" ht="15" x14ac:dyDescent="0.3">
      <c r="D27952" s="25"/>
      <c r="F27952" s="21"/>
      <c r="G27952" s="16"/>
    </row>
    <row r="27953" spans="4:7" ht="15" x14ac:dyDescent="0.3">
      <c r="D27953" s="25"/>
      <c r="F27953" s="21"/>
      <c r="G27953" s="16"/>
    </row>
    <row r="27954" spans="4:7" ht="15" x14ac:dyDescent="0.3">
      <c r="D27954" s="25"/>
      <c r="F27954" s="21"/>
      <c r="G27954" s="16"/>
    </row>
    <row r="27955" spans="4:7" ht="15" x14ac:dyDescent="0.3">
      <c r="D27955" s="25"/>
      <c r="F27955" s="21"/>
      <c r="G27955" s="16"/>
    </row>
    <row r="27956" spans="4:7" ht="15" x14ac:dyDescent="0.3">
      <c r="D27956" s="25"/>
      <c r="F27956" s="21"/>
      <c r="G27956" s="16"/>
    </row>
    <row r="27957" spans="4:7" ht="15" x14ac:dyDescent="0.3">
      <c r="D27957" s="25"/>
      <c r="F27957" s="21"/>
      <c r="G27957" s="16"/>
    </row>
    <row r="27958" spans="4:7" ht="15" x14ac:dyDescent="0.3">
      <c r="D27958" s="25"/>
      <c r="F27958" s="21"/>
      <c r="G27958" s="16"/>
    </row>
    <row r="27959" spans="4:7" ht="15" x14ac:dyDescent="0.3">
      <c r="D27959" s="25"/>
      <c r="F27959" s="21"/>
      <c r="G27959" s="16"/>
    </row>
    <row r="27960" spans="4:7" ht="15" x14ac:dyDescent="0.3">
      <c r="D27960" s="25"/>
      <c r="F27960" s="21"/>
      <c r="G27960" s="16"/>
    </row>
    <row r="27961" spans="4:7" ht="15" x14ac:dyDescent="0.3">
      <c r="D27961" s="25"/>
      <c r="F27961" s="21"/>
      <c r="G27961" s="16"/>
    </row>
    <row r="27962" spans="4:7" ht="15" x14ac:dyDescent="0.3">
      <c r="D27962" s="25"/>
      <c r="F27962" s="21"/>
      <c r="G27962" s="16"/>
    </row>
    <row r="27963" spans="4:7" ht="15" x14ac:dyDescent="0.3">
      <c r="D27963" s="25"/>
      <c r="F27963" s="21"/>
      <c r="G27963" s="16"/>
    </row>
    <row r="27964" spans="4:7" ht="15" x14ac:dyDescent="0.3">
      <c r="D27964" s="25"/>
      <c r="F27964" s="21"/>
      <c r="G27964" s="16"/>
    </row>
    <row r="27965" spans="4:7" ht="15" x14ac:dyDescent="0.3">
      <c r="D27965" s="25"/>
      <c r="F27965" s="21"/>
      <c r="G27965" s="16"/>
    </row>
    <row r="27966" spans="4:7" ht="15" x14ac:dyDescent="0.3">
      <c r="D27966" s="25"/>
      <c r="F27966" s="21"/>
      <c r="G27966" s="16"/>
    </row>
    <row r="27967" spans="4:7" ht="15" x14ac:dyDescent="0.3">
      <c r="D27967" s="25"/>
      <c r="F27967" s="21"/>
      <c r="G27967" s="16"/>
    </row>
    <row r="27968" spans="4:7" ht="15" x14ac:dyDescent="0.3">
      <c r="D27968" s="25"/>
      <c r="F27968" s="21"/>
      <c r="G27968" s="16"/>
    </row>
    <row r="27969" spans="4:7" ht="15" x14ac:dyDescent="0.3">
      <c r="D27969" s="25"/>
      <c r="F27969" s="21"/>
      <c r="G27969" s="16"/>
    </row>
    <row r="27970" spans="4:7" ht="15" x14ac:dyDescent="0.3">
      <c r="D27970" s="25"/>
      <c r="F27970" s="21"/>
      <c r="G27970" s="16"/>
    </row>
    <row r="27971" spans="4:7" ht="15" x14ac:dyDescent="0.3">
      <c r="D27971" s="25"/>
      <c r="F27971" s="21"/>
      <c r="G27971" s="16"/>
    </row>
    <row r="27972" spans="4:7" ht="15" x14ac:dyDescent="0.3">
      <c r="D27972" s="25"/>
      <c r="F27972" s="21"/>
      <c r="G27972" s="16"/>
    </row>
    <row r="27973" spans="4:7" ht="15" x14ac:dyDescent="0.3">
      <c r="D27973" s="25"/>
      <c r="F27973" s="21"/>
      <c r="G27973" s="16"/>
    </row>
    <row r="27974" spans="4:7" ht="15" x14ac:dyDescent="0.3">
      <c r="D27974" s="25"/>
      <c r="F27974" s="21"/>
      <c r="G27974" s="16"/>
    </row>
    <row r="27975" spans="4:7" ht="15" x14ac:dyDescent="0.3">
      <c r="D27975" s="25"/>
      <c r="F27975" s="21"/>
      <c r="G27975" s="16"/>
    </row>
    <row r="27976" spans="4:7" ht="15" x14ac:dyDescent="0.3">
      <c r="D27976" s="25"/>
      <c r="F27976" s="21"/>
      <c r="G27976" s="16"/>
    </row>
    <row r="27977" spans="4:7" ht="15" x14ac:dyDescent="0.3">
      <c r="D27977" s="25"/>
      <c r="F27977" s="21"/>
      <c r="G27977" s="16"/>
    </row>
    <row r="27978" spans="4:7" ht="15" x14ac:dyDescent="0.3">
      <c r="D27978" s="25"/>
      <c r="F27978" s="21"/>
      <c r="G27978" s="16"/>
    </row>
    <row r="27979" spans="4:7" ht="15" x14ac:dyDescent="0.3">
      <c r="D27979" s="25"/>
      <c r="F27979" s="21"/>
      <c r="G27979" s="16"/>
    </row>
    <row r="27980" spans="4:7" ht="15" x14ac:dyDescent="0.3">
      <c r="D27980" s="25"/>
      <c r="F27980" s="21"/>
      <c r="G27980" s="16"/>
    </row>
    <row r="27981" spans="4:7" ht="15" x14ac:dyDescent="0.3">
      <c r="D27981" s="25"/>
      <c r="F27981" s="21"/>
      <c r="G27981" s="16"/>
    </row>
    <row r="27982" spans="4:7" ht="15" x14ac:dyDescent="0.3">
      <c r="D27982" s="25"/>
      <c r="F27982" s="21"/>
      <c r="G27982" s="16"/>
    </row>
    <row r="27983" spans="4:7" ht="15" x14ac:dyDescent="0.3">
      <c r="D27983" s="25"/>
      <c r="F27983" s="21"/>
      <c r="G27983" s="16"/>
    </row>
    <row r="27984" spans="4:7" ht="15" x14ac:dyDescent="0.3">
      <c r="D27984" s="25"/>
      <c r="F27984" s="21"/>
      <c r="G27984" s="16"/>
    </row>
    <row r="27985" spans="4:7" ht="15" x14ac:dyDescent="0.3">
      <c r="D27985" s="25"/>
      <c r="F27985" s="21"/>
      <c r="G27985" s="16"/>
    </row>
    <row r="27986" spans="4:7" ht="15" x14ac:dyDescent="0.3">
      <c r="D27986" s="25"/>
      <c r="F27986" s="21"/>
      <c r="G27986" s="16"/>
    </row>
    <row r="27987" spans="4:7" ht="15" x14ac:dyDescent="0.3">
      <c r="D27987" s="25"/>
      <c r="F27987" s="21"/>
      <c r="G27987" s="16"/>
    </row>
    <row r="27988" spans="4:7" ht="15" x14ac:dyDescent="0.3">
      <c r="D27988" s="25"/>
      <c r="F27988" s="21"/>
      <c r="G27988" s="16"/>
    </row>
    <row r="27989" spans="4:7" ht="15" x14ac:dyDescent="0.3">
      <c r="D27989" s="25"/>
      <c r="F27989" s="21"/>
      <c r="G27989" s="16"/>
    </row>
    <row r="27990" spans="4:7" ht="15" x14ac:dyDescent="0.3">
      <c r="D27990" s="25"/>
      <c r="F27990" s="21"/>
      <c r="G27990" s="16"/>
    </row>
    <row r="27991" spans="4:7" ht="15" x14ac:dyDescent="0.3">
      <c r="D27991" s="25"/>
      <c r="F27991" s="21"/>
      <c r="G27991" s="16"/>
    </row>
    <row r="27992" spans="4:7" ht="15" x14ac:dyDescent="0.3">
      <c r="D27992" s="25"/>
      <c r="F27992" s="21"/>
      <c r="G27992" s="16"/>
    </row>
    <row r="27993" spans="4:7" ht="15" x14ac:dyDescent="0.3">
      <c r="D27993" s="25"/>
      <c r="F27993" s="21"/>
      <c r="G27993" s="16"/>
    </row>
    <row r="27994" spans="4:7" ht="15" x14ac:dyDescent="0.3">
      <c r="D27994" s="25"/>
      <c r="F27994" s="21"/>
      <c r="G27994" s="16"/>
    </row>
    <row r="27995" spans="4:7" ht="15" x14ac:dyDescent="0.3">
      <c r="D27995" s="25"/>
      <c r="F27995" s="21"/>
      <c r="G27995" s="16"/>
    </row>
    <row r="27996" spans="4:7" ht="15" x14ac:dyDescent="0.3">
      <c r="D27996" s="25"/>
      <c r="F27996" s="21"/>
      <c r="G27996" s="16"/>
    </row>
    <row r="27997" spans="4:7" ht="15" x14ac:dyDescent="0.3">
      <c r="D27997" s="25"/>
      <c r="F27997" s="21"/>
      <c r="G27997" s="16"/>
    </row>
    <row r="27998" spans="4:7" ht="15" x14ac:dyDescent="0.3">
      <c r="D27998" s="25"/>
      <c r="F27998" s="21"/>
      <c r="G27998" s="16"/>
    </row>
    <row r="27999" spans="4:7" ht="15" x14ac:dyDescent="0.3">
      <c r="D27999" s="25"/>
      <c r="F27999" s="21"/>
      <c r="G27999" s="16"/>
    </row>
    <row r="28000" spans="4:7" ht="15" x14ac:dyDescent="0.3">
      <c r="D28000" s="25"/>
      <c r="F28000" s="21"/>
      <c r="G28000" s="16"/>
    </row>
    <row r="28001" spans="4:7" ht="15" x14ac:dyDescent="0.3">
      <c r="D28001" s="25"/>
      <c r="F28001" s="21"/>
      <c r="G28001" s="16"/>
    </row>
    <row r="28002" spans="4:7" ht="15" x14ac:dyDescent="0.3">
      <c r="D28002" s="25"/>
      <c r="F28002" s="21"/>
      <c r="G28002" s="16"/>
    </row>
    <row r="28003" spans="4:7" ht="15" x14ac:dyDescent="0.3">
      <c r="D28003" s="25"/>
      <c r="F28003" s="21"/>
      <c r="G28003" s="16"/>
    </row>
    <row r="28004" spans="4:7" ht="15" x14ac:dyDescent="0.3">
      <c r="D28004" s="25"/>
      <c r="F28004" s="21"/>
      <c r="G28004" s="16"/>
    </row>
    <row r="28005" spans="4:7" ht="15" x14ac:dyDescent="0.3">
      <c r="D28005" s="25"/>
      <c r="F28005" s="21"/>
      <c r="G28005" s="16"/>
    </row>
    <row r="28006" spans="4:7" ht="15" x14ac:dyDescent="0.3">
      <c r="D28006" s="25"/>
      <c r="F28006" s="21"/>
      <c r="G28006" s="16"/>
    </row>
    <row r="28007" spans="4:7" ht="15" x14ac:dyDescent="0.3">
      <c r="D28007" s="25"/>
      <c r="F28007" s="21"/>
      <c r="G28007" s="16"/>
    </row>
    <row r="28008" spans="4:7" ht="15" x14ac:dyDescent="0.3">
      <c r="D28008" s="25"/>
      <c r="F28008" s="21"/>
      <c r="G28008" s="16"/>
    </row>
    <row r="28009" spans="4:7" ht="15" x14ac:dyDescent="0.3">
      <c r="D28009" s="25"/>
      <c r="F28009" s="21"/>
      <c r="G28009" s="16"/>
    </row>
    <row r="28010" spans="4:7" ht="15" x14ac:dyDescent="0.3">
      <c r="D28010" s="25"/>
      <c r="F28010" s="21"/>
      <c r="G28010" s="16"/>
    </row>
    <row r="28011" spans="4:7" ht="15" x14ac:dyDescent="0.3">
      <c r="D28011" s="25"/>
      <c r="F28011" s="21"/>
      <c r="G28011" s="16"/>
    </row>
    <row r="28012" spans="4:7" ht="15" x14ac:dyDescent="0.3">
      <c r="D28012" s="25"/>
      <c r="F28012" s="21"/>
      <c r="G28012" s="16"/>
    </row>
    <row r="28013" spans="4:7" ht="15" x14ac:dyDescent="0.3">
      <c r="D28013" s="25"/>
      <c r="F28013" s="21"/>
      <c r="G28013" s="16"/>
    </row>
    <row r="28014" spans="4:7" ht="15" x14ac:dyDescent="0.3">
      <c r="D28014" s="25"/>
      <c r="F28014" s="21"/>
      <c r="G28014" s="16"/>
    </row>
    <row r="28015" spans="4:7" ht="15" x14ac:dyDescent="0.3">
      <c r="D28015" s="25"/>
      <c r="F28015" s="21"/>
      <c r="G28015" s="16"/>
    </row>
    <row r="28016" spans="4:7" ht="15" x14ac:dyDescent="0.3">
      <c r="D28016" s="25"/>
      <c r="F28016" s="21"/>
      <c r="G28016" s="16"/>
    </row>
    <row r="28017" spans="4:7" ht="15" x14ac:dyDescent="0.3">
      <c r="D28017" s="25"/>
      <c r="F28017" s="21"/>
      <c r="G28017" s="16"/>
    </row>
    <row r="28018" spans="4:7" ht="15" x14ac:dyDescent="0.3">
      <c r="D28018" s="25"/>
      <c r="F28018" s="21"/>
      <c r="G28018" s="16"/>
    </row>
    <row r="28019" spans="4:7" ht="15" x14ac:dyDescent="0.3">
      <c r="D28019" s="25"/>
      <c r="F28019" s="21"/>
      <c r="G28019" s="16"/>
    </row>
    <row r="28020" spans="4:7" ht="15" x14ac:dyDescent="0.3">
      <c r="D28020" s="25"/>
      <c r="F28020" s="21"/>
      <c r="G28020" s="16"/>
    </row>
    <row r="28021" spans="4:7" ht="15" x14ac:dyDescent="0.3">
      <c r="D28021" s="25"/>
      <c r="F28021" s="21"/>
      <c r="G28021" s="16"/>
    </row>
    <row r="28022" spans="4:7" ht="15" x14ac:dyDescent="0.3">
      <c r="D28022" s="25"/>
      <c r="F28022" s="21"/>
      <c r="G28022" s="16"/>
    </row>
    <row r="28023" spans="4:7" ht="15" x14ac:dyDescent="0.3">
      <c r="D28023" s="25"/>
      <c r="F28023" s="21"/>
      <c r="G28023" s="16"/>
    </row>
    <row r="28024" spans="4:7" ht="15" x14ac:dyDescent="0.3">
      <c r="D28024" s="25"/>
      <c r="F28024" s="21"/>
      <c r="G28024" s="16"/>
    </row>
    <row r="28025" spans="4:7" ht="15" x14ac:dyDescent="0.3">
      <c r="D28025" s="25"/>
      <c r="F28025" s="21"/>
      <c r="G28025" s="16"/>
    </row>
    <row r="28026" spans="4:7" ht="15" x14ac:dyDescent="0.3">
      <c r="D28026" s="25"/>
      <c r="F28026" s="21"/>
      <c r="G28026" s="16"/>
    </row>
    <row r="28027" spans="4:7" ht="15" x14ac:dyDescent="0.3">
      <c r="D28027" s="25"/>
      <c r="F28027" s="21"/>
      <c r="G28027" s="16"/>
    </row>
    <row r="28028" spans="4:7" ht="15" x14ac:dyDescent="0.3">
      <c r="D28028" s="25"/>
      <c r="F28028" s="21"/>
      <c r="G28028" s="16"/>
    </row>
    <row r="28029" spans="4:7" ht="15" x14ac:dyDescent="0.3">
      <c r="D28029" s="25"/>
      <c r="F28029" s="21"/>
      <c r="G28029" s="16"/>
    </row>
    <row r="28030" spans="4:7" ht="15" x14ac:dyDescent="0.3">
      <c r="D28030" s="25"/>
      <c r="F28030" s="21"/>
      <c r="G28030" s="16"/>
    </row>
    <row r="28031" spans="4:7" ht="15" x14ac:dyDescent="0.3">
      <c r="D28031" s="25"/>
      <c r="F28031" s="21"/>
      <c r="G28031" s="16"/>
    </row>
    <row r="28032" spans="4:7" ht="15" x14ac:dyDescent="0.3">
      <c r="D28032" s="25"/>
      <c r="F28032" s="21"/>
      <c r="G28032" s="16"/>
    </row>
    <row r="28033" spans="4:7" ht="15" x14ac:dyDescent="0.3">
      <c r="D28033" s="25"/>
      <c r="F28033" s="21"/>
      <c r="G28033" s="16"/>
    </row>
    <row r="28034" spans="4:7" ht="15" x14ac:dyDescent="0.3">
      <c r="D28034" s="25"/>
      <c r="F28034" s="21"/>
      <c r="G28034" s="16"/>
    </row>
    <row r="28035" spans="4:7" ht="15" x14ac:dyDescent="0.3">
      <c r="D28035" s="25"/>
      <c r="F28035" s="21"/>
      <c r="G28035" s="16"/>
    </row>
    <row r="28036" spans="4:7" ht="15" x14ac:dyDescent="0.3">
      <c r="D28036" s="25"/>
      <c r="F28036" s="21"/>
      <c r="G28036" s="16"/>
    </row>
    <row r="28037" spans="4:7" ht="15" x14ac:dyDescent="0.3">
      <c r="D28037" s="25"/>
      <c r="F28037" s="21"/>
      <c r="G28037" s="16"/>
    </row>
    <row r="28038" spans="4:7" ht="15" x14ac:dyDescent="0.3">
      <c r="D28038" s="25"/>
      <c r="F28038" s="21"/>
      <c r="G28038" s="16"/>
    </row>
    <row r="28039" spans="4:7" ht="15" x14ac:dyDescent="0.3">
      <c r="D28039" s="25"/>
      <c r="F28039" s="21"/>
      <c r="G28039" s="16"/>
    </row>
    <row r="28040" spans="4:7" ht="15" x14ac:dyDescent="0.3">
      <c r="D28040" s="25"/>
      <c r="F28040" s="21"/>
      <c r="G28040" s="16"/>
    </row>
    <row r="28041" spans="4:7" ht="15" x14ac:dyDescent="0.3">
      <c r="D28041" s="25"/>
      <c r="F28041" s="21"/>
      <c r="G28041" s="16"/>
    </row>
    <row r="28042" spans="4:7" ht="15" x14ac:dyDescent="0.3">
      <c r="D28042" s="25"/>
      <c r="F28042" s="21"/>
      <c r="G28042" s="16"/>
    </row>
    <row r="28043" spans="4:7" ht="15" x14ac:dyDescent="0.3">
      <c r="D28043" s="25"/>
      <c r="F28043" s="21"/>
      <c r="G28043" s="16"/>
    </row>
    <row r="28044" spans="4:7" ht="15" x14ac:dyDescent="0.3">
      <c r="D28044" s="25"/>
      <c r="F28044" s="21"/>
      <c r="G28044" s="16"/>
    </row>
    <row r="28045" spans="4:7" ht="15" x14ac:dyDescent="0.3">
      <c r="D28045" s="25"/>
      <c r="F28045" s="21"/>
      <c r="G28045" s="16"/>
    </row>
    <row r="28046" spans="4:7" ht="15" x14ac:dyDescent="0.3">
      <c r="D28046" s="25"/>
      <c r="F28046" s="21"/>
      <c r="G28046" s="16"/>
    </row>
    <row r="28047" spans="4:7" ht="15" x14ac:dyDescent="0.3">
      <c r="D28047" s="25"/>
      <c r="F28047" s="21"/>
      <c r="G28047" s="16"/>
    </row>
    <row r="28048" spans="4:7" ht="15" x14ac:dyDescent="0.3">
      <c r="D28048" s="25"/>
      <c r="F28048" s="21"/>
      <c r="G28048" s="16"/>
    </row>
    <row r="28049" spans="4:7" ht="15" x14ac:dyDescent="0.3">
      <c r="D28049" s="25"/>
      <c r="F28049" s="21"/>
      <c r="G28049" s="16"/>
    </row>
    <row r="28050" spans="4:7" ht="15" x14ac:dyDescent="0.3">
      <c r="D28050" s="25"/>
      <c r="F28050" s="21"/>
      <c r="G28050" s="16"/>
    </row>
    <row r="28051" spans="4:7" ht="15" x14ac:dyDescent="0.3">
      <c r="D28051" s="25"/>
      <c r="F28051" s="21"/>
      <c r="G28051" s="16"/>
    </row>
    <row r="28052" spans="4:7" ht="15" x14ac:dyDescent="0.3">
      <c r="D28052" s="25"/>
      <c r="F28052" s="21"/>
      <c r="G28052" s="16"/>
    </row>
    <row r="28053" spans="4:7" ht="15" x14ac:dyDescent="0.3">
      <c r="D28053" s="25"/>
      <c r="F28053" s="21"/>
      <c r="G28053" s="16"/>
    </row>
    <row r="28054" spans="4:7" ht="15" x14ac:dyDescent="0.3">
      <c r="D28054" s="25"/>
      <c r="F28054" s="21"/>
      <c r="G28054" s="16"/>
    </row>
    <row r="28055" spans="4:7" ht="15" x14ac:dyDescent="0.3">
      <c r="D28055" s="25"/>
      <c r="F28055" s="21"/>
      <c r="G28055" s="16"/>
    </row>
    <row r="28056" spans="4:7" ht="15" x14ac:dyDescent="0.3">
      <c r="D28056" s="25"/>
      <c r="F28056" s="21"/>
      <c r="G28056" s="16"/>
    </row>
    <row r="28057" spans="4:7" ht="15" x14ac:dyDescent="0.3">
      <c r="D28057" s="25"/>
      <c r="F28057" s="21"/>
      <c r="G28057" s="16"/>
    </row>
    <row r="28058" spans="4:7" ht="15" x14ac:dyDescent="0.3">
      <c r="D28058" s="25"/>
      <c r="F28058" s="21"/>
      <c r="G28058" s="16"/>
    </row>
    <row r="28059" spans="4:7" ht="15" x14ac:dyDescent="0.3">
      <c r="D28059" s="25"/>
      <c r="F28059" s="21"/>
      <c r="G28059" s="16"/>
    </row>
    <row r="28060" spans="4:7" ht="15" x14ac:dyDescent="0.3">
      <c r="D28060" s="25"/>
      <c r="F28060" s="21"/>
      <c r="G28060" s="16"/>
    </row>
    <row r="28061" spans="4:7" ht="15" x14ac:dyDescent="0.3">
      <c r="D28061" s="25"/>
      <c r="F28061" s="21"/>
      <c r="G28061" s="16"/>
    </row>
    <row r="28062" spans="4:7" ht="15" x14ac:dyDescent="0.3">
      <c r="D28062" s="25"/>
      <c r="F28062" s="21"/>
      <c r="G28062" s="16"/>
    </row>
    <row r="28063" spans="4:7" ht="15" x14ac:dyDescent="0.3">
      <c r="D28063" s="25"/>
      <c r="F28063" s="21"/>
      <c r="G28063" s="16"/>
    </row>
    <row r="28064" spans="4:7" ht="15" x14ac:dyDescent="0.3">
      <c r="D28064" s="25"/>
      <c r="F28064" s="21"/>
      <c r="G28064" s="16"/>
    </row>
    <row r="28065" spans="4:7" ht="15" x14ac:dyDescent="0.3">
      <c r="D28065" s="25"/>
      <c r="F28065" s="21"/>
      <c r="G28065" s="16"/>
    </row>
    <row r="28066" spans="4:7" ht="15" x14ac:dyDescent="0.3">
      <c r="D28066" s="25"/>
      <c r="F28066" s="21"/>
      <c r="G28066" s="16"/>
    </row>
    <row r="28067" spans="4:7" ht="15" x14ac:dyDescent="0.3">
      <c r="D28067" s="25"/>
      <c r="F28067" s="21"/>
      <c r="G28067" s="16"/>
    </row>
    <row r="28068" spans="4:7" ht="15" x14ac:dyDescent="0.3">
      <c r="D28068" s="25"/>
      <c r="F28068" s="21"/>
      <c r="G28068" s="16"/>
    </row>
    <row r="28069" spans="4:7" ht="15" x14ac:dyDescent="0.3">
      <c r="D28069" s="25"/>
      <c r="F28069" s="21"/>
      <c r="G28069" s="16"/>
    </row>
    <row r="28070" spans="4:7" ht="15" x14ac:dyDescent="0.3">
      <c r="D28070" s="25"/>
      <c r="F28070" s="21"/>
      <c r="G28070" s="16"/>
    </row>
    <row r="28071" spans="4:7" ht="15" x14ac:dyDescent="0.3">
      <c r="D28071" s="25"/>
      <c r="F28071" s="21"/>
      <c r="G28071" s="16"/>
    </row>
    <row r="28072" spans="4:7" ht="15" x14ac:dyDescent="0.3">
      <c r="D28072" s="25"/>
      <c r="F28072" s="21"/>
      <c r="G28072" s="16"/>
    </row>
    <row r="28073" spans="4:7" ht="15" x14ac:dyDescent="0.3">
      <c r="D28073" s="25"/>
      <c r="F28073" s="21"/>
      <c r="G28073" s="16"/>
    </row>
    <row r="28074" spans="4:7" ht="15" x14ac:dyDescent="0.3">
      <c r="D28074" s="25"/>
      <c r="F28074" s="21"/>
      <c r="G28074" s="16"/>
    </row>
    <row r="28075" spans="4:7" ht="15" x14ac:dyDescent="0.3">
      <c r="D28075" s="25"/>
      <c r="F28075" s="21"/>
      <c r="G28075" s="16"/>
    </row>
    <row r="28076" spans="4:7" ht="15" x14ac:dyDescent="0.3">
      <c r="D28076" s="25"/>
      <c r="F28076" s="21"/>
      <c r="G28076" s="16"/>
    </row>
    <row r="28077" spans="4:7" ht="15" x14ac:dyDescent="0.3">
      <c r="D28077" s="25"/>
      <c r="F28077" s="21"/>
      <c r="G28077" s="16"/>
    </row>
    <row r="28078" spans="4:7" ht="15" x14ac:dyDescent="0.3">
      <c r="D28078" s="25"/>
      <c r="F28078" s="21"/>
      <c r="G28078" s="16"/>
    </row>
    <row r="28079" spans="4:7" ht="15" x14ac:dyDescent="0.3">
      <c r="D28079" s="25"/>
      <c r="F28079" s="21"/>
      <c r="G28079" s="16"/>
    </row>
    <row r="28080" spans="4:7" ht="15" x14ac:dyDescent="0.3">
      <c r="D28080" s="25"/>
      <c r="F28080" s="21"/>
      <c r="G28080" s="16"/>
    </row>
    <row r="28081" spans="4:7" ht="15" x14ac:dyDescent="0.3">
      <c r="D28081" s="25"/>
      <c r="F28081" s="21"/>
      <c r="G28081" s="16"/>
    </row>
    <row r="28082" spans="4:7" ht="15" x14ac:dyDescent="0.3">
      <c r="D28082" s="25"/>
      <c r="F28082" s="21"/>
      <c r="G28082" s="16"/>
    </row>
    <row r="28083" spans="4:7" ht="15" x14ac:dyDescent="0.3">
      <c r="D28083" s="25"/>
      <c r="F28083" s="21"/>
      <c r="G28083" s="16"/>
    </row>
    <row r="28084" spans="4:7" ht="15" x14ac:dyDescent="0.3">
      <c r="D28084" s="25"/>
      <c r="F28084" s="21"/>
      <c r="G28084" s="16"/>
    </row>
    <row r="28085" spans="4:7" ht="15" x14ac:dyDescent="0.3">
      <c r="D28085" s="25"/>
      <c r="F28085" s="21"/>
      <c r="G28085" s="16"/>
    </row>
    <row r="28086" spans="4:7" ht="15" x14ac:dyDescent="0.3">
      <c r="D28086" s="25"/>
      <c r="F28086" s="21"/>
      <c r="G28086" s="16"/>
    </row>
    <row r="28087" spans="4:7" ht="15" x14ac:dyDescent="0.3">
      <c r="D28087" s="25"/>
      <c r="F28087" s="21"/>
      <c r="G28087" s="16"/>
    </row>
    <row r="28088" spans="4:7" ht="15" x14ac:dyDescent="0.3">
      <c r="D28088" s="25"/>
      <c r="F28088" s="21"/>
      <c r="G28088" s="16"/>
    </row>
    <row r="28089" spans="4:7" ht="15" x14ac:dyDescent="0.3">
      <c r="D28089" s="25"/>
      <c r="F28089" s="21"/>
      <c r="G28089" s="16"/>
    </row>
    <row r="28090" spans="4:7" ht="15" x14ac:dyDescent="0.3">
      <c r="D28090" s="25"/>
      <c r="F28090" s="21"/>
      <c r="G28090" s="16"/>
    </row>
    <row r="28091" spans="4:7" ht="15" x14ac:dyDescent="0.3">
      <c r="D28091" s="25"/>
      <c r="F28091" s="21"/>
      <c r="G28091" s="16"/>
    </row>
    <row r="28092" spans="4:7" ht="15" x14ac:dyDescent="0.3">
      <c r="D28092" s="25"/>
      <c r="F28092" s="21"/>
      <c r="G28092" s="16"/>
    </row>
    <row r="28093" spans="4:7" ht="15" x14ac:dyDescent="0.3">
      <c r="D28093" s="25"/>
      <c r="F28093" s="21"/>
      <c r="G28093" s="16"/>
    </row>
    <row r="28094" spans="4:7" ht="15" x14ac:dyDescent="0.3">
      <c r="D28094" s="25"/>
      <c r="F28094" s="21"/>
      <c r="G28094" s="16"/>
    </row>
    <row r="28095" spans="4:7" ht="15" x14ac:dyDescent="0.3">
      <c r="D28095" s="25"/>
      <c r="F28095" s="21"/>
      <c r="G28095" s="16"/>
    </row>
    <row r="28096" spans="4:7" ht="15" x14ac:dyDescent="0.3">
      <c r="D28096" s="25"/>
      <c r="F28096" s="21"/>
      <c r="G28096" s="16"/>
    </row>
    <row r="28097" spans="4:7" ht="15" x14ac:dyDescent="0.3">
      <c r="D28097" s="25"/>
      <c r="F28097" s="21"/>
      <c r="G28097" s="16"/>
    </row>
    <row r="28098" spans="4:7" ht="15" x14ac:dyDescent="0.3">
      <c r="D28098" s="25"/>
      <c r="F28098" s="21"/>
      <c r="G28098" s="16"/>
    </row>
    <row r="28099" spans="4:7" ht="15" x14ac:dyDescent="0.3">
      <c r="D28099" s="25"/>
      <c r="F28099" s="21"/>
      <c r="G28099" s="16"/>
    </row>
    <row r="28100" spans="4:7" ht="15" x14ac:dyDescent="0.3">
      <c r="D28100" s="25"/>
      <c r="F28100" s="21"/>
      <c r="G28100" s="16"/>
    </row>
    <row r="28101" spans="4:7" ht="15" x14ac:dyDescent="0.3">
      <c r="D28101" s="25"/>
      <c r="F28101" s="21"/>
      <c r="G28101" s="16"/>
    </row>
    <row r="28102" spans="4:7" ht="15" x14ac:dyDescent="0.3">
      <c r="D28102" s="25"/>
      <c r="F28102" s="21"/>
      <c r="G28102" s="16"/>
    </row>
    <row r="28103" spans="4:7" ht="15" x14ac:dyDescent="0.3">
      <c r="D28103" s="25"/>
      <c r="F28103" s="21"/>
      <c r="G28103" s="16"/>
    </row>
    <row r="28104" spans="4:7" ht="15" x14ac:dyDescent="0.3">
      <c r="D28104" s="25"/>
      <c r="F28104" s="21"/>
      <c r="G28104" s="16"/>
    </row>
    <row r="28105" spans="4:7" ht="15" x14ac:dyDescent="0.3">
      <c r="D28105" s="25"/>
      <c r="F28105" s="21"/>
      <c r="G28105" s="16"/>
    </row>
    <row r="28106" spans="4:7" ht="15" x14ac:dyDescent="0.3">
      <c r="D28106" s="25"/>
      <c r="F28106" s="21"/>
      <c r="G28106" s="16"/>
    </row>
    <row r="28107" spans="4:7" ht="15" x14ac:dyDescent="0.3">
      <c r="D28107" s="25"/>
      <c r="F28107" s="21"/>
      <c r="G28107" s="16"/>
    </row>
    <row r="28108" spans="4:7" ht="15" x14ac:dyDescent="0.3">
      <c r="D28108" s="25"/>
      <c r="F28108" s="21"/>
      <c r="G28108" s="16"/>
    </row>
    <row r="28109" spans="4:7" ht="15" x14ac:dyDescent="0.3">
      <c r="D28109" s="25"/>
      <c r="F28109" s="21"/>
      <c r="G28109" s="16"/>
    </row>
    <row r="28110" spans="4:7" ht="15" x14ac:dyDescent="0.3">
      <c r="D28110" s="25"/>
      <c r="F28110" s="21"/>
      <c r="G28110" s="16"/>
    </row>
    <row r="28111" spans="4:7" ht="15" x14ac:dyDescent="0.3">
      <c r="D28111" s="25"/>
      <c r="F28111" s="21"/>
      <c r="G28111" s="16"/>
    </row>
    <row r="28112" spans="4:7" ht="15" x14ac:dyDescent="0.3">
      <c r="D28112" s="25"/>
      <c r="F28112" s="21"/>
      <c r="G28112" s="16"/>
    </row>
    <row r="28113" spans="4:7" ht="15" x14ac:dyDescent="0.3">
      <c r="D28113" s="25"/>
      <c r="F28113" s="21"/>
      <c r="G28113" s="16"/>
    </row>
    <row r="28114" spans="4:7" ht="15" x14ac:dyDescent="0.3">
      <c r="D28114" s="25"/>
      <c r="F28114" s="21"/>
      <c r="G28114" s="16"/>
    </row>
    <row r="28115" spans="4:7" ht="15" x14ac:dyDescent="0.3">
      <c r="D28115" s="25"/>
      <c r="F28115" s="21"/>
      <c r="G28115" s="16"/>
    </row>
    <row r="28116" spans="4:7" ht="15" x14ac:dyDescent="0.3">
      <c r="D28116" s="25"/>
      <c r="F28116" s="21"/>
      <c r="G28116" s="16"/>
    </row>
    <row r="28117" spans="4:7" ht="15" x14ac:dyDescent="0.3">
      <c r="D28117" s="25"/>
      <c r="F28117" s="21"/>
      <c r="G28117" s="16"/>
    </row>
    <row r="28118" spans="4:7" ht="15" x14ac:dyDescent="0.3">
      <c r="D28118" s="25"/>
      <c r="F28118" s="21"/>
      <c r="G28118" s="16"/>
    </row>
    <row r="28119" spans="4:7" ht="15" x14ac:dyDescent="0.3">
      <c r="D28119" s="25"/>
      <c r="F28119" s="21"/>
      <c r="G28119" s="16"/>
    </row>
    <row r="28120" spans="4:7" ht="15" x14ac:dyDescent="0.3">
      <c r="D28120" s="25"/>
      <c r="F28120" s="21"/>
      <c r="G28120" s="16"/>
    </row>
    <row r="28121" spans="4:7" ht="15" x14ac:dyDescent="0.3">
      <c r="D28121" s="25"/>
      <c r="F28121" s="21"/>
      <c r="G28121" s="16"/>
    </row>
    <row r="28122" spans="4:7" ht="15" x14ac:dyDescent="0.3">
      <c r="D28122" s="25"/>
      <c r="F28122" s="21"/>
      <c r="G28122" s="16"/>
    </row>
    <row r="28123" spans="4:7" ht="15" x14ac:dyDescent="0.3">
      <c r="D28123" s="25"/>
      <c r="F28123" s="21"/>
      <c r="G28123" s="16"/>
    </row>
    <row r="28124" spans="4:7" ht="15" x14ac:dyDescent="0.3">
      <c r="D28124" s="25"/>
      <c r="F28124" s="21"/>
      <c r="G28124" s="16"/>
    </row>
    <row r="28125" spans="4:7" ht="15" x14ac:dyDescent="0.3">
      <c r="D28125" s="25"/>
      <c r="F28125" s="21"/>
      <c r="G28125" s="16"/>
    </row>
    <row r="28126" spans="4:7" ht="15" x14ac:dyDescent="0.3">
      <c r="D28126" s="25"/>
      <c r="F28126" s="21"/>
      <c r="G28126" s="16"/>
    </row>
    <row r="28127" spans="4:7" ht="15" x14ac:dyDescent="0.3">
      <c r="D28127" s="25"/>
      <c r="F28127" s="21"/>
      <c r="G28127" s="16"/>
    </row>
    <row r="28128" spans="4:7" ht="15" x14ac:dyDescent="0.3">
      <c r="D28128" s="25"/>
      <c r="F28128" s="21"/>
      <c r="G28128" s="16"/>
    </row>
    <row r="28129" spans="4:7" ht="15" x14ac:dyDescent="0.3">
      <c r="D28129" s="25"/>
      <c r="F28129" s="21"/>
      <c r="G28129" s="16"/>
    </row>
    <row r="28130" spans="4:7" ht="15" x14ac:dyDescent="0.3">
      <c r="D28130" s="25"/>
      <c r="F28130" s="21"/>
      <c r="G28130" s="16"/>
    </row>
    <row r="28131" spans="4:7" ht="15" x14ac:dyDescent="0.3">
      <c r="D28131" s="25"/>
      <c r="F28131" s="21"/>
      <c r="G28131" s="16"/>
    </row>
    <row r="28132" spans="4:7" ht="15" x14ac:dyDescent="0.3">
      <c r="D28132" s="25"/>
      <c r="F28132" s="21"/>
      <c r="G28132" s="16"/>
    </row>
    <row r="28133" spans="4:7" ht="15" x14ac:dyDescent="0.3">
      <c r="D28133" s="25"/>
      <c r="F28133" s="21"/>
      <c r="G28133" s="16"/>
    </row>
    <row r="28134" spans="4:7" ht="15" x14ac:dyDescent="0.3">
      <c r="D28134" s="25"/>
      <c r="F28134" s="21"/>
      <c r="G28134" s="16"/>
    </row>
    <row r="28135" spans="4:7" ht="15" x14ac:dyDescent="0.3">
      <c r="D28135" s="25"/>
      <c r="F28135" s="21"/>
      <c r="G28135" s="16"/>
    </row>
    <row r="28136" spans="4:7" ht="15" x14ac:dyDescent="0.3">
      <c r="D28136" s="25"/>
      <c r="F28136" s="21"/>
      <c r="G28136" s="16"/>
    </row>
    <row r="28137" spans="4:7" ht="15" x14ac:dyDescent="0.3">
      <c r="D28137" s="25"/>
      <c r="F28137" s="21"/>
      <c r="G28137" s="16"/>
    </row>
    <row r="28138" spans="4:7" ht="15" x14ac:dyDescent="0.3">
      <c r="D28138" s="25"/>
      <c r="F28138" s="21"/>
      <c r="G28138" s="16"/>
    </row>
    <row r="28139" spans="4:7" ht="15" x14ac:dyDescent="0.3">
      <c r="D28139" s="25"/>
      <c r="F28139" s="21"/>
      <c r="G28139" s="16"/>
    </row>
    <row r="28140" spans="4:7" ht="15" x14ac:dyDescent="0.3">
      <c r="D28140" s="25"/>
      <c r="F28140" s="21"/>
      <c r="G28140" s="16"/>
    </row>
    <row r="28141" spans="4:7" ht="15" x14ac:dyDescent="0.3">
      <c r="D28141" s="25"/>
      <c r="F28141" s="21"/>
      <c r="G28141" s="16"/>
    </row>
    <row r="28142" spans="4:7" ht="15" x14ac:dyDescent="0.3">
      <c r="D28142" s="25"/>
      <c r="F28142" s="21"/>
      <c r="G28142" s="16"/>
    </row>
    <row r="28143" spans="4:7" ht="15" x14ac:dyDescent="0.3">
      <c r="D28143" s="25"/>
      <c r="F28143" s="21"/>
      <c r="G28143" s="16"/>
    </row>
    <row r="28144" spans="4:7" ht="15" x14ac:dyDescent="0.3">
      <c r="D28144" s="25"/>
      <c r="F28144" s="21"/>
      <c r="G28144" s="16"/>
    </row>
    <row r="28145" spans="4:7" ht="15" x14ac:dyDescent="0.3">
      <c r="D28145" s="25"/>
      <c r="F28145" s="21"/>
      <c r="G28145" s="16"/>
    </row>
    <row r="28146" spans="4:7" ht="15" x14ac:dyDescent="0.3">
      <c r="D28146" s="25"/>
      <c r="F28146" s="21"/>
      <c r="G28146" s="16"/>
    </row>
    <row r="28147" spans="4:7" ht="15" x14ac:dyDescent="0.3">
      <c r="D28147" s="25"/>
      <c r="F28147" s="21"/>
      <c r="G28147" s="16"/>
    </row>
    <row r="28148" spans="4:7" ht="15" x14ac:dyDescent="0.3">
      <c r="D28148" s="25"/>
      <c r="F28148" s="21"/>
      <c r="G28148" s="16"/>
    </row>
    <row r="28149" spans="4:7" ht="15" x14ac:dyDescent="0.3">
      <c r="D28149" s="25"/>
      <c r="F28149" s="21"/>
      <c r="G28149" s="16"/>
    </row>
    <row r="28150" spans="4:7" ht="15" x14ac:dyDescent="0.3">
      <c r="D28150" s="25"/>
      <c r="F28150" s="21"/>
      <c r="G28150" s="16"/>
    </row>
    <row r="28151" spans="4:7" ht="15" x14ac:dyDescent="0.3">
      <c r="D28151" s="25"/>
      <c r="F28151" s="21"/>
      <c r="G28151" s="16"/>
    </row>
    <row r="28152" spans="4:7" ht="15" x14ac:dyDescent="0.3">
      <c r="D28152" s="25"/>
      <c r="F28152" s="21"/>
      <c r="G28152" s="16"/>
    </row>
    <row r="28153" spans="4:7" ht="15" x14ac:dyDescent="0.3">
      <c r="D28153" s="25"/>
      <c r="F28153" s="21"/>
      <c r="G28153" s="16"/>
    </row>
    <row r="28154" spans="4:7" ht="15" x14ac:dyDescent="0.3">
      <c r="D28154" s="25"/>
      <c r="F28154" s="21"/>
      <c r="G28154" s="16"/>
    </row>
    <row r="28155" spans="4:7" ht="15" x14ac:dyDescent="0.3">
      <c r="D28155" s="25"/>
      <c r="F28155" s="21"/>
      <c r="G28155" s="16"/>
    </row>
    <row r="28156" spans="4:7" ht="15" x14ac:dyDescent="0.3">
      <c r="D28156" s="25"/>
      <c r="F28156" s="21"/>
      <c r="G28156" s="16"/>
    </row>
    <row r="28157" spans="4:7" ht="15" x14ac:dyDescent="0.3">
      <c r="D28157" s="25"/>
      <c r="F28157" s="21"/>
      <c r="G28157" s="16"/>
    </row>
    <row r="28158" spans="4:7" ht="15" x14ac:dyDescent="0.3">
      <c r="D28158" s="25"/>
      <c r="F28158" s="21"/>
      <c r="G28158" s="16"/>
    </row>
    <row r="28159" spans="4:7" ht="15" x14ac:dyDescent="0.3">
      <c r="D28159" s="25"/>
      <c r="F28159" s="21"/>
      <c r="G28159" s="16"/>
    </row>
    <row r="28160" spans="4:7" ht="15" x14ac:dyDescent="0.3">
      <c r="D28160" s="25"/>
      <c r="F28160" s="21"/>
      <c r="G28160" s="16"/>
    </row>
    <row r="28161" spans="4:7" ht="15" x14ac:dyDescent="0.3">
      <c r="D28161" s="25"/>
      <c r="F28161" s="21"/>
      <c r="G28161" s="16"/>
    </row>
    <row r="28162" spans="4:7" ht="15" x14ac:dyDescent="0.3">
      <c r="D28162" s="25"/>
      <c r="F28162" s="21"/>
      <c r="G28162" s="16"/>
    </row>
    <row r="28163" spans="4:7" ht="15" x14ac:dyDescent="0.3">
      <c r="D28163" s="25"/>
      <c r="F28163" s="21"/>
      <c r="G28163" s="16"/>
    </row>
    <row r="28164" spans="4:7" ht="15" x14ac:dyDescent="0.3">
      <c r="D28164" s="25"/>
      <c r="F28164" s="21"/>
      <c r="G28164" s="16"/>
    </row>
    <row r="28165" spans="4:7" ht="15" x14ac:dyDescent="0.3">
      <c r="D28165" s="25"/>
      <c r="F28165" s="21"/>
      <c r="G28165" s="16"/>
    </row>
    <row r="28166" spans="4:7" ht="15" x14ac:dyDescent="0.3">
      <c r="D28166" s="25"/>
      <c r="F28166" s="21"/>
      <c r="G28166" s="16"/>
    </row>
    <row r="28167" spans="4:7" ht="15" x14ac:dyDescent="0.3">
      <c r="D28167" s="25"/>
      <c r="F28167" s="21"/>
      <c r="G28167" s="16"/>
    </row>
    <row r="28168" spans="4:7" ht="15" x14ac:dyDescent="0.3">
      <c r="D28168" s="25"/>
      <c r="F28168" s="21"/>
      <c r="G28168" s="16"/>
    </row>
    <row r="28169" spans="4:7" ht="15" x14ac:dyDescent="0.3">
      <c r="D28169" s="25"/>
      <c r="F28169" s="21"/>
      <c r="G28169" s="16"/>
    </row>
    <row r="28170" spans="4:7" ht="15" x14ac:dyDescent="0.3">
      <c r="D28170" s="25"/>
      <c r="F28170" s="21"/>
      <c r="G28170" s="16"/>
    </row>
    <row r="28171" spans="4:7" ht="15" x14ac:dyDescent="0.3">
      <c r="D28171" s="25"/>
      <c r="F28171" s="21"/>
      <c r="G28171" s="16"/>
    </row>
    <row r="28172" spans="4:7" ht="15" x14ac:dyDescent="0.3">
      <c r="D28172" s="25"/>
      <c r="F28172" s="21"/>
      <c r="G28172" s="16"/>
    </row>
    <row r="28173" spans="4:7" ht="15" x14ac:dyDescent="0.3">
      <c r="D28173" s="25"/>
      <c r="F28173" s="21"/>
      <c r="G28173" s="16"/>
    </row>
    <row r="28174" spans="4:7" ht="15" x14ac:dyDescent="0.3">
      <c r="D28174" s="25"/>
      <c r="F28174" s="21"/>
      <c r="G28174" s="16"/>
    </row>
    <row r="28175" spans="4:7" ht="15" x14ac:dyDescent="0.3">
      <c r="D28175" s="25"/>
      <c r="F28175" s="21"/>
      <c r="G28175" s="16"/>
    </row>
    <row r="28176" spans="4:7" ht="15" x14ac:dyDescent="0.3">
      <c r="D28176" s="25"/>
      <c r="F28176" s="21"/>
      <c r="G28176" s="16"/>
    </row>
    <row r="28177" spans="4:7" ht="15" x14ac:dyDescent="0.3">
      <c r="D28177" s="25"/>
      <c r="F28177" s="21"/>
      <c r="G28177" s="16"/>
    </row>
    <row r="28178" spans="4:7" ht="15" x14ac:dyDescent="0.3">
      <c r="D28178" s="25"/>
      <c r="F28178" s="21"/>
      <c r="G28178" s="16"/>
    </row>
    <row r="28179" spans="4:7" ht="15" x14ac:dyDescent="0.3">
      <c r="D28179" s="25"/>
      <c r="F28179" s="21"/>
      <c r="G28179" s="16"/>
    </row>
    <row r="28180" spans="4:7" ht="15" x14ac:dyDescent="0.3">
      <c r="D28180" s="25"/>
      <c r="F28180" s="21"/>
      <c r="G28180" s="16"/>
    </row>
    <row r="28181" spans="4:7" ht="15" x14ac:dyDescent="0.3">
      <c r="D28181" s="25"/>
      <c r="F28181" s="21"/>
      <c r="G28181" s="16"/>
    </row>
    <row r="28182" spans="4:7" ht="15" x14ac:dyDescent="0.3">
      <c r="D28182" s="25"/>
      <c r="F28182" s="21"/>
      <c r="G28182" s="16"/>
    </row>
    <row r="28183" spans="4:7" ht="15" x14ac:dyDescent="0.3">
      <c r="D28183" s="25"/>
      <c r="F28183" s="21"/>
      <c r="G28183" s="16"/>
    </row>
    <row r="28184" spans="4:7" ht="15" x14ac:dyDescent="0.3">
      <c r="D28184" s="25"/>
      <c r="F28184" s="21"/>
      <c r="G28184" s="16"/>
    </row>
    <row r="28185" spans="4:7" ht="15" x14ac:dyDescent="0.3">
      <c r="D28185" s="25"/>
      <c r="F28185" s="21"/>
      <c r="G28185" s="16"/>
    </row>
    <row r="28186" spans="4:7" ht="15" x14ac:dyDescent="0.3">
      <c r="D28186" s="25"/>
      <c r="F28186" s="21"/>
      <c r="G28186" s="16"/>
    </row>
    <row r="28187" spans="4:7" ht="15" x14ac:dyDescent="0.3">
      <c r="D28187" s="25"/>
      <c r="F28187" s="21"/>
      <c r="G28187" s="16"/>
    </row>
    <row r="28188" spans="4:7" ht="15" x14ac:dyDescent="0.3">
      <c r="D28188" s="25"/>
      <c r="F28188" s="21"/>
      <c r="G28188" s="16"/>
    </row>
    <row r="28189" spans="4:7" ht="15" x14ac:dyDescent="0.3">
      <c r="D28189" s="25"/>
      <c r="F28189" s="21"/>
      <c r="G28189" s="16"/>
    </row>
    <row r="28190" spans="4:7" ht="15" x14ac:dyDescent="0.3">
      <c r="D28190" s="25"/>
      <c r="F28190" s="21"/>
      <c r="G28190" s="16"/>
    </row>
    <row r="28191" spans="4:7" ht="15" x14ac:dyDescent="0.3">
      <c r="D28191" s="25"/>
      <c r="F28191" s="21"/>
      <c r="G28191" s="16"/>
    </row>
    <row r="28192" spans="4:7" ht="15" x14ac:dyDescent="0.3">
      <c r="D28192" s="25"/>
      <c r="F28192" s="21"/>
      <c r="G28192" s="16"/>
    </row>
    <row r="28193" spans="4:7" ht="15" x14ac:dyDescent="0.3">
      <c r="D28193" s="25"/>
      <c r="F28193" s="21"/>
      <c r="G28193" s="16"/>
    </row>
    <row r="28194" spans="4:7" ht="15" x14ac:dyDescent="0.3">
      <c r="D28194" s="25"/>
      <c r="F28194" s="21"/>
      <c r="G28194" s="16"/>
    </row>
    <row r="28195" spans="4:7" ht="15" x14ac:dyDescent="0.3">
      <c r="D28195" s="25"/>
      <c r="F28195" s="21"/>
      <c r="G28195" s="16"/>
    </row>
    <row r="28196" spans="4:7" ht="15" x14ac:dyDescent="0.3">
      <c r="D28196" s="25"/>
      <c r="F28196" s="21"/>
      <c r="G28196" s="16"/>
    </row>
    <row r="28197" spans="4:7" ht="15" x14ac:dyDescent="0.3">
      <c r="D28197" s="25"/>
      <c r="F28197" s="21"/>
      <c r="G28197" s="16"/>
    </row>
    <row r="28198" spans="4:7" ht="15" x14ac:dyDescent="0.3">
      <c r="D28198" s="25"/>
      <c r="F28198" s="21"/>
      <c r="G28198" s="16"/>
    </row>
    <row r="28199" spans="4:7" ht="15" x14ac:dyDescent="0.3">
      <c r="D28199" s="25"/>
      <c r="F28199" s="21"/>
      <c r="G28199" s="16"/>
    </row>
    <row r="28200" spans="4:7" ht="15" x14ac:dyDescent="0.3">
      <c r="D28200" s="25"/>
      <c r="F28200" s="21"/>
      <c r="G28200" s="16"/>
    </row>
    <row r="28201" spans="4:7" ht="15" x14ac:dyDescent="0.3">
      <c r="D28201" s="25"/>
      <c r="F28201" s="21"/>
      <c r="G28201" s="16"/>
    </row>
    <row r="28202" spans="4:7" ht="15" x14ac:dyDescent="0.3">
      <c r="D28202" s="25"/>
      <c r="F28202" s="21"/>
      <c r="G28202" s="16"/>
    </row>
    <row r="28203" spans="4:7" ht="15" x14ac:dyDescent="0.3">
      <c r="D28203" s="25"/>
      <c r="F28203" s="21"/>
      <c r="G28203" s="16"/>
    </row>
    <row r="28204" spans="4:7" ht="15" x14ac:dyDescent="0.3">
      <c r="D28204" s="25"/>
      <c r="F28204" s="21"/>
      <c r="G28204" s="16"/>
    </row>
    <row r="28205" spans="4:7" ht="15" x14ac:dyDescent="0.3">
      <c r="D28205" s="25"/>
      <c r="F28205" s="21"/>
      <c r="G28205" s="16"/>
    </row>
    <row r="28206" spans="4:7" ht="15" x14ac:dyDescent="0.3">
      <c r="D28206" s="25"/>
      <c r="F28206" s="21"/>
      <c r="G28206" s="16"/>
    </row>
    <row r="28207" spans="4:7" ht="15" x14ac:dyDescent="0.3">
      <c r="D28207" s="25"/>
      <c r="F28207" s="21"/>
      <c r="G28207" s="16"/>
    </row>
    <row r="28208" spans="4:7" ht="15" x14ac:dyDescent="0.3">
      <c r="D28208" s="25"/>
      <c r="F28208" s="21"/>
      <c r="G28208" s="16"/>
    </row>
    <row r="28209" spans="4:7" ht="15" x14ac:dyDescent="0.3">
      <c r="D28209" s="25"/>
      <c r="F28209" s="21"/>
      <c r="G28209" s="16"/>
    </row>
    <row r="28210" spans="4:7" ht="15" x14ac:dyDescent="0.3">
      <c r="D28210" s="25"/>
      <c r="F28210" s="21"/>
      <c r="G28210" s="16"/>
    </row>
    <row r="28211" spans="4:7" ht="15" x14ac:dyDescent="0.3">
      <c r="D28211" s="25"/>
      <c r="F28211" s="21"/>
      <c r="G28211" s="16"/>
    </row>
    <row r="28212" spans="4:7" ht="15" x14ac:dyDescent="0.3">
      <c r="D28212" s="25"/>
      <c r="F28212" s="21"/>
      <c r="G28212" s="16"/>
    </row>
    <row r="28213" spans="4:7" ht="15" x14ac:dyDescent="0.3">
      <c r="D28213" s="25"/>
      <c r="F28213" s="21"/>
      <c r="G28213" s="16"/>
    </row>
    <row r="28214" spans="4:7" ht="15" x14ac:dyDescent="0.3">
      <c r="D28214" s="25"/>
      <c r="F28214" s="21"/>
      <c r="G28214" s="16"/>
    </row>
    <row r="28215" spans="4:7" ht="15" x14ac:dyDescent="0.3">
      <c r="D28215" s="25"/>
      <c r="F28215" s="21"/>
      <c r="G28215" s="16"/>
    </row>
    <row r="28216" spans="4:7" ht="15" x14ac:dyDescent="0.3">
      <c r="D28216" s="25"/>
      <c r="F28216" s="21"/>
      <c r="G28216" s="16"/>
    </row>
    <row r="28217" spans="4:7" ht="15" x14ac:dyDescent="0.3">
      <c r="D28217" s="25"/>
      <c r="F28217" s="21"/>
      <c r="G28217" s="16"/>
    </row>
    <row r="28218" spans="4:7" ht="15" x14ac:dyDescent="0.3">
      <c r="D28218" s="25"/>
      <c r="F28218" s="21"/>
      <c r="G28218" s="16"/>
    </row>
    <row r="28219" spans="4:7" ht="15" x14ac:dyDescent="0.3">
      <c r="D28219" s="25"/>
      <c r="F28219" s="21"/>
      <c r="G28219" s="16"/>
    </row>
    <row r="28220" spans="4:7" ht="15" x14ac:dyDescent="0.3">
      <c r="D28220" s="25"/>
      <c r="F28220" s="21"/>
      <c r="G28220" s="16"/>
    </row>
    <row r="28221" spans="4:7" ht="15" x14ac:dyDescent="0.3">
      <c r="D28221" s="25"/>
      <c r="F28221" s="21"/>
      <c r="G28221" s="16"/>
    </row>
    <row r="28222" spans="4:7" ht="15" x14ac:dyDescent="0.3">
      <c r="D28222" s="25"/>
      <c r="F28222" s="21"/>
      <c r="G28222" s="16"/>
    </row>
    <row r="28223" spans="4:7" ht="15" x14ac:dyDescent="0.3">
      <c r="D28223" s="25"/>
      <c r="F28223" s="21"/>
      <c r="G28223" s="16"/>
    </row>
    <row r="28224" spans="4:7" ht="15" x14ac:dyDescent="0.3">
      <c r="D28224" s="25"/>
      <c r="F28224" s="21"/>
      <c r="G28224" s="16"/>
    </row>
    <row r="28225" spans="4:7" ht="15" x14ac:dyDescent="0.3">
      <c r="D28225" s="25"/>
      <c r="F28225" s="21"/>
      <c r="G28225" s="16"/>
    </row>
    <row r="28226" spans="4:7" ht="15" x14ac:dyDescent="0.3">
      <c r="D28226" s="25"/>
      <c r="F28226" s="21"/>
      <c r="G28226" s="16"/>
    </row>
    <row r="28227" spans="4:7" ht="15" x14ac:dyDescent="0.3">
      <c r="D28227" s="25"/>
      <c r="F28227" s="21"/>
      <c r="G28227" s="16"/>
    </row>
    <row r="28228" spans="4:7" ht="15" x14ac:dyDescent="0.3">
      <c r="D28228" s="25"/>
      <c r="F28228" s="21"/>
      <c r="G28228" s="16"/>
    </row>
    <row r="28229" spans="4:7" ht="15" x14ac:dyDescent="0.3">
      <c r="D28229" s="25"/>
      <c r="F28229" s="21"/>
      <c r="G28229" s="16"/>
    </row>
    <row r="28230" spans="4:7" ht="15" x14ac:dyDescent="0.3">
      <c r="D28230" s="25"/>
      <c r="F28230" s="21"/>
      <c r="G28230" s="16"/>
    </row>
    <row r="28231" spans="4:7" ht="15" x14ac:dyDescent="0.3">
      <c r="D28231" s="25"/>
      <c r="F28231" s="21"/>
      <c r="G28231" s="16"/>
    </row>
    <row r="28232" spans="4:7" ht="15" x14ac:dyDescent="0.3">
      <c r="D28232" s="25"/>
      <c r="F28232" s="21"/>
      <c r="G28232" s="16"/>
    </row>
    <row r="28233" spans="4:7" ht="15" x14ac:dyDescent="0.3">
      <c r="D28233" s="25"/>
      <c r="F28233" s="21"/>
      <c r="G28233" s="16"/>
    </row>
    <row r="28234" spans="4:7" ht="15" x14ac:dyDescent="0.3">
      <c r="D28234" s="25"/>
      <c r="F28234" s="21"/>
      <c r="G28234" s="16"/>
    </row>
    <row r="28235" spans="4:7" ht="15" x14ac:dyDescent="0.3">
      <c r="D28235" s="25"/>
      <c r="F28235" s="21"/>
      <c r="G28235" s="16"/>
    </row>
    <row r="28236" spans="4:7" ht="15" x14ac:dyDescent="0.3">
      <c r="D28236" s="25"/>
      <c r="F28236" s="21"/>
      <c r="G28236" s="16"/>
    </row>
    <row r="28237" spans="4:7" ht="15" x14ac:dyDescent="0.3">
      <c r="D28237" s="25"/>
      <c r="F28237" s="21"/>
      <c r="G28237" s="16"/>
    </row>
    <row r="28238" spans="4:7" ht="15" x14ac:dyDescent="0.3">
      <c r="D28238" s="25"/>
      <c r="F28238" s="21"/>
      <c r="G28238" s="16"/>
    </row>
    <row r="28239" spans="4:7" ht="15" x14ac:dyDescent="0.3">
      <c r="D28239" s="25"/>
      <c r="F28239" s="21"/>
      <c r="G28239" s="16"/>
    </row>
    <row r="28240" spans="4:7" ht="15" x14ac:dyDescent="0.3">
      <c r="D28240" s="25"/>
      <c r="F28240" s="21"/>
      <c r="G28240" s="16"/>
    </row>
    <row r="28241" spans="4:7" ht="15" x14ac:dyDescent="0.3">
      <c r="D28241" s="25"/>
      <c r="F28241" s="21"/>
      <c r="G28241" s="16"/>
    </row>
    <row r="28242" spans="4:7" ht="15" x14ac:dyDescent="0.3">
      <c r="D28242" s="25"/>
      <c r="F28242" s="21"/>
      <c r="G28242" s="16"/>
    </row>
    <row r="28243" spans="4:7" ht="15" x14ac:dyDescent="0.3">
      <c r="D28243" s="25"/>
      <c r="F28243" s="21"/>
      <c r="G28243" s="16"/>
    </row>
    <row r="28244" spans="4:7" ht="15" x14ac:dyDescent="0.3">
      <c r="D28244" s="25"/>
      <c r="F28244" s="21"/>
      <c r="G28244" s="16"/>
    </row>
    <row r="28245" spans="4:7" ht="15" x14ac:dyDescent="0.3">
      <c r="D28245" s="25"/>
      <c r="F28245" s="21"/>
      <c r="G28245" s="16"/>
    </row>
    <row r="28246" spans="4:7" ht="15" x14ac:dyDescent="0.3">
      <c r="D28246" s="25"/>
      <c r="F28246" s="21"/>
      <c r="G28246" s="16"/>
    </row>
    <row r="28247" spans="4:7" ht="15" x14ac:dyDescent="0.3">
      <c r="D28247" s="25"/>
      <c r="F28247" s="21"/>
      <c r="G28247" s="16"/>
    </row>
    <row r="28248" spans="4:7" ht="15" x14ac:dyDescent="0.3">
      <c r="D28248" s="25"/>
      <c r="F28248" s="21"/>
      <c r="G28248" s="16"/>
    </row>
    <row r="28249" spans="4:7" ht="15" x14ac:dyDescent="0.3">
      <c r="D28249" s="25"/>
      <c r="F28249" s="21"/>
      <c r="G28249" s="16"/>
    </row>
    <row r="28250" spans="4:7" ht="15" x14ac:dyDescent="0.3">
      <c r="D28250" s="25"/>
      <c r="F28250" s="21"/>
      <c r="G28250" s="16"/>
    </row>
    <row r="28251" spans="4:7" ht="15" x14ac:dyDescent="0.3">
      <c r="D28251" s="25"/>
      <c r="F28251" s="21"/>
      <c r="G28251" s="16"/>
    </row>
    <row r="28252" spans="4:7" ht="15" x14ac:dyDescent="0.3">
      <c r="D28252" s="25"/>
      <c r="F28252" s="21"/>
      <c r="G28252" s="16"/>
    </row>
    <row r="28253" spans="4:7" ht="15" x14ac:dyDescent="0.3">
      <c r="D28253" s="25"/>
      <c r="F28253" s="21"/>
      <c r="G28253" s="16"/>
    </row>
    <row r="28254" spans="4:7" ht="15" x14ac:dyDescent="0.3">
      <c r="D28254" s="25"/>
      <c r="F28254" s="21"/>
      <c r="G28254" s="16"/>
    </row>
    <row r="28255" spans="4:7" ht="15" x14ac:dyDescent="0.3">
      <c r="D28255" s="25"/>
      <c r="F28255" s="21"/>
      <c r="G28255" s="16"/>
    </row>
    <row r="28256" spans="4:7" ht="15" x14ac:dyDescent="0.3">
      <c r="D28256" s="25"/>
      <c r="F28256" s="21"/>
      <c r="G28256" s="16"/>
    </row>
    <row r="28257" spans="4:7" ht="15" x14ac:dyDescent="0.3">
      <c r="D28257" s="25"/>
      <c r="F28257" s="21"/>
      <c r="G28257" s="16"/>
    </row>
    <row r="28258" spans="4:7" ht="15" x14ac:dyDescent="0.3">
      <c r="D28258" s="25"/>
      <c r="F28258" s="21"/>
      <c r="G28258" s="16"/>
    </row>
    <row r="28259" spans="4:7" ht="15" x14ac:dyDescent="0.3">
      <c r="D28259" s="25"/>
      <c r="F28259" s="21"/>
      <c r="G28259" s="16"/>
    </row>
    <row r="28260" spans="4:7" ht="15" x14ac:dyDescent="0.3">
      <c r="D28260" s="25"/>
      <c r="F28260" s="21"/>
      <c r="G28260" s="16"/>
    </row>
    <row r="28261" spans="4:7" ht="15" x14ac:dyDescent="0.3">
      <c r="D28261" s="25"/>
      <c r="F28261" s="21"/>
      <c r="G28261" s="16"/>
    </row>
    <row r="28262" spans="4:7" ht="15" x14ac:dyDescent="0.3">
      <c r="D28262" s="25"/>
      <c r="F28262" s="21"/>
      <c r="G28262" s="16"/>
    </row>
    <row r="28263" spans="4:7" ht="15" x14ac:dyDescent="0.3">
      <c r="D28263" s="25"/>
      <c r="F28263" s="21"/>
      <c r="G28263" s="16"/>
    </row>
    <row r="28264" spans="4:7" ht="15" x14ac:dyDescent="0.3">
      <c r="D28264" s="25"/>
      <c r="F28264" s="21"/>
      <c r="G28264" s="16"/>
    </row>
    <row r="28265" spans="4:7" ht="15" x14ac:dyDescent="0.3">
      <c r="D28265" s="25"/>
      <c r="F28265" s="21"/>
      <c r="G28265" s="16"/>
    </row>
    <row r="28266" spans="4:7" ht="15" x14ac:dyDescent="0.3">
      <c r="D28266" s="25"/>
      <c r="F28266" s="21"/>
      <c r="G28266" s="16"/>
    </row>
    <row r="28267" spans="4:7" ht="15" x14ac:dyDescent="0.3">
      <c r="D28267" s="25"/>
      <c r="F28267" s="21"/>
      <c r="G28267" s="16"/>
    </row>
    <row r="28268" spans="4:7" ht="15" x14ac:dyDescent="0.3">
      <c r="D28268" s="25"/>
      <c r="F28268" s="21"/>
      <c r="G28268" s="16"/>
    </row>
    <row r="28269" spans="4:7" ht="15" x14ac:dyDescent="0.3">
      <c r="D28269" s="25"/>
      <c r="F28269" s="21"/>
      <c r="G28269" s="16"/>
    </row>
    <row r="28270" spans="4:7" ht="15" x14ac:dyDescent="0.3">
      <c r="D28270" s="25"/>
      <c r="F28270" s="21"/>
      <c r="G28270" s="16"/>
    </row>
    <row r="28271" spans="4:7" ht="15" x14ac:dyDescent="0.3">
      <c r="D28271" s="25"/>
      <c r="F28271" s="21"/>
      <c r="G28271" s="16"/>
    </row>
    <row r="28272" spans="4:7" ht="15" x14ac:dyDescent="0.3">
      <c r="D28272" s="25"/>
      <c r="F28272" s="21"/>
      <c r="G28272" s="16"/>
    </row>
    <row r="28273" spans="4:7" ht="15" x14ac:dyDescent="0.3">
      <c r="D28273" s="25"/>
      <c r="F28273" s="21"/>
      <c r="G28273" s="16"/>
    </row>
    <row r="28274" spans="4:7" ht="15" x14ac:dyDescent="0.3">
      <c r="D28274" s="25"/>
      <c r="F28274" s="21"/>
      <c r="G28274" s="16"/>
    </row>
    <row r="28275" spans="4:7" ht="15" x14ac:dyDescent="0.3">
      <c r="D28275" s="25"/>
      <c r="F28275" s="21"/>
      <c r="G28275" s="16"/>
    </row>
    <row r="28276" spans="4:7" ht="15" x14ac:dyDescent="0.3">
      <c r="D28276" s="25"/>
      <c r="F28276" s="21"/>
      <c r="G28276" s="16"/>
    </row>
    <row r="28277" spans="4:7" ht="15" x14ac:dyDescent="0.3">
      <c r="D28277" s="25"/>
      <c r="F28277" s="21"/>
      <c r="G28277" s="16"/>
    </row>
    <row r="28278" spans="4:7" ht="15" x14ac:dyDescent="0.3">
      <c r="D28278" s="25"/>
      <c r="F28278" s="21"/>
      <c r="G28278" s="16"/>
    </row>
    <row r="28279" spans="4:7" ht="15" x14ac:dyDescent="0.3">
      <c r="D28279" s="25"/>
      <c r="F28279" s="21"/>
      <c r="G28279" s="16"/>
    </row>
    <row r="28280" spans="4:7" ht="15" x14ac:dyDescent="0.3">
      <c r="D28280" s="25"/>
      <c r="F28280" s="21"/>
      <c r="G28280" s="16"/>
    </row>
    <row r="28281" spans="4:7" ht="15" x14ac:dyDescent="0.3">
      <c r="D28281" s="25"/>
      <c r="F28281" s="21"/>
      <c r="G28281" s="16"/>
    </row>
    <row r="28282" spans="4:7" ht="15" x14ac:dyDescent="0.3">
      <c r="D28282" s="25"/>
      <c r="F28282" s="21"/>
      <c r="G28282" s="16"/>
    </row>
    <row r="28283" spans="4:7" ht="15" x14ac:dyDescent="0.3">
      <c r="D28283" s="25"/>
      <c r="F28283" s="21"/>
      <c r="G28283" s="16"/>
    </row>
    <row r="28284" spans="4:7" ht="15" x14ac:dyDescent="0.3">
      <c r="D28284" s="25"/>
      <c r="F28284" s="21"/>
      <c r="G28284" s="16"/>
    </row>
    <row r="28285" spans="4:7" ht="15" x14ac:dyDescent="0.3">
      <c r="D28285" s="25"/>
      <c r="F28285" s="21"/>
      <c r="G28285" s="16"/>
    </row>
    <row r="28286" spans="4:7" ht="15" x14ac:dyDescent="0.3">
      <c r="D28286" s="25"/>
      <c r="F28286" s="21"/>
      <c r="G28286" s="16"/>
    </row>
    <row r="28287" spans="4:7" ht="15" x14ac:dyDescent="0.3">
      <c r="D28287" s="25"/>
      <c r="F28287" s="21"/>
      <c r="G28287" s="16"/>
    </row>
    <row r="28288" spans="4:7" ht="15" x14ac:dyDescent="0.3">
      <c r="D28288" s="25"/>
      <c r="F28288" s="21"/>
      <c r="G28288" s="16"/>
    </row>
    <row r="28289" spans="4:7" ht="15" x14ac:dyDescent="0.3">
      <c r="D28289" s="25"/>
      <c r="F28289" s="21"/>
      <c r="G28289" s="16"/>
    </row>
    <row r="28290" spans="4:7" ht="15" x14ac:dyDescent="0.3">
      <c r="D28290" s="25"/>
      <c r="F28290" s="21"/>
      <c r="G28290" s="16"/>
    </row>
    <row r="28291" spans="4:7" ht="15" x14ac:dyDescent="0.3">
      <c r="D28291" s="25"/>
      <c r="F28291" s="21"/>
      <c r="G28291" s="16"/>
    </row>
    <row r="28292" spans="4:7" ht="15" x14ac:dyDescent="0.3">
      <c r="D28292" s="25"/>
      <c r="F28292" s="21"/>
      <c r="G28292" s="16"/>
    </row>
    <row r="28293" spans="4:7" ht="15" x14ac:dyDescent="0.3">
      <c r="D28293" s="25"/>
      <c r="F28293" s="21"/>
      <c r="G28293" s="16"/>
    </row>
    <row r="28294" spans="4:7" ht="15" x14ac:dyDescent="0.3">
      <c r="D28294" s="25"/>
      <c r="F28294" s="21"/>
      <c r="G28294" s="16"/>
    </row>
    <row r="28295" spans="4:7" ht="15" x14ac:dyDescent="0.3">
      <c r="D28295" s="25"/>
      <c r="F28295" s="21"/>
      <c r="G28295" s="16"/>
    </row>
    <row r="28296" spans="4:7" ht="15" x14ac:dyDescent="0.3">
      <c r="D28296" s="25"/>
      <c r="F28296" s="21"/>
      <c r="G28296" s="16"/>
    </row>
    <row r="28297" spans="4:7" ht="15" x14ac:dyDescent="0.3">
      <c r="D28297" s="25"/>
      <c r="F28297" s="21"/>
      <c r="G28297" s="16"/>
    </row>
    <row r="28298" spans="4:7" ht="15" x14ac:dyDescent="0.3">
      <c r="D28298" s="25"/>
      <c r="F28298" s="21"/>
      <c r="G28298" s="16"/>
    </row>
    <row r="28299" spans="4:7" ht="15" x14ac:dyDescent="0.3">
      <c r="D28299" s="25"/>
      <c r="F28299" s="21"/>
      <c r="G28299" s="16"/>
    </row>
    <row r="28300" spans="4:7" ht="15" x14ac:dyDescent="0.3">
      <c r="D28300" s="25"/>
      <c r="F28300" s="21"/>
      <c r="G28300" s="16"/>
    </row>
    <row r="28301" spans="4:7" ht="15" x14ac:dyDescent="0.3">
      <c r="D28301" s="25"/>
      <c r="F28301" s="21"/>
      <c r="G28301" s="16"/>
    </row>
    <row r="28302" spans="4:7" ht="15" x14ac:dyDescent="0.3">
      <c r="D28302" s="25"/>
      <c r="F28302" s="21"/>
      <c r="G28302" s="16"/>
    </row>
    <row r="28303" spans="4:7" ht="15" x14ac:dyDescent="0.3">
      <c r="D28303" s="25"/>
      <c r="F28303" s="21"/>
      <c r="G28303" s="16"/>
    </row>
    <row r="28304" spans="4:7" ht="15" x14ac:dyDescent="0.3">
      <c r="D28304" s="25"/>
      <c r="F28304" s="21"/>
      <c r="G28304" s="16"/>
    </row>
    <row r="28305" spans="4:7" ht="15" x14ac:dyDescent="0.3">
      <c r="D28305" s="25"/>
      <c r="F28305" s="21"/>
      <c r="G28305" s="16"/>
    </row>
    <row r="28306" spans="4:7" ht="15" x14ac:dyDescent="0.3">
      <c r="D28306" s="25"/>
      <c r="F28306" s="21"/>
      <c r="G28306" s="16"/>
    </row>
    <row r="28307" spans="4:7" ht="15" x14ac:dyDescent="0.3">
      <c r="D28307" s="25"/>
      <c r="F28307" s="21"/>
      <c r="G28307" s="16"/>
    </row>
    <row r="28308" spans="4:7" ht="15" x14ac:dyDescent="0.3">
      <c r="D28308" s="25"/>
      <c r="F28308" s="21"/>
      <c r="G28308" s="16"/>
    </row>
    <row r="28309" spans="4:7" ht="15" x14ac:dyDescent="0.3">
      <c r="D28309" s="25"/>
      <c r="F28309" s="21"/>
      <c r="G28309" s="16"/>
    </row>
    <row r="28310" spans="4:7" ht="15" x14ac:dyDescent="0.3">
      <c r="D28310" s="25"/>
      <c r="F28310" s="21"/>
      <c r="G28310" s="16"/>
    </row>
    <row r="28311" spans="4:7" ht="15" x14ac:dyDescent="0.3">
      <c r="D28311" s="25"/>
      <c r="F28311" s="21"/>
      <c r="G28311" s="16"/>
    </row>
    <row r="28312" spans="4:7" ht="15" x14ac:dyDescent="0.3">
      <c r="D28312" s="25"/>
      <c r="F28312" s="21"/>
      <c r="G28312" s="16"/>
    </row>
    <row r="28313" spans="4:7" ht="15" x14ac:dyDescent="0.3">
      <c r="D28313" s="25"/>
      <c r="F28313" s="21"/>
      <c r="G28313" s="16"/>
    </row>
    <row r="28314" spans="4:7" ht="15" x14ac:dyDescent="0.3">
      <c r="D28314" s="25"/>
      <c r="F28314" s="21"/>
      <c r="G28314" s="16"/>
    </row>
    <row r="28315" spans="4:7" ht="15" x14ac:dyDescent="0.3">
      <c r="D28315" s="25"/>
      <c r="F28315" s="21"/>
      <c r="G28315" s="16"/>
    </row>
    <row r="28316" spans="4:7" ht="15" x14ac:dyDescent="0.3">
      <c r="D28316" s="25"/>
      <c r="F28316" s="21"/>
      <c r="G28316" s="16"/>
    </row>
    <row r="28317" spans="4:7" ht="15" x14ac:dyDescent="0.3">
      <c r="D28317" s="25"/>
      <c r="F28317" s="21"/>
      <c r="G28317" s="16"/>
    </row>
    <row r="28318" spans="4:7" ht="15" x14ac:dyDescent="0.3">
      <c r="D28318" s="25"/>
      <c r="F28318" s="21"/>
      <c r="G28318" s="16"/>
    </row>
    <row r="28319" spans="4:7" ht="15" x14ac:dyDescent="0.3">
      <c r="D28319" s="25"/>
      <c r="F28319" s="21"/>
      <c r="G28319" s="16"/>
    </row>
    <row r="28320" spans="4:7" ht="15" x14ac:dyDescent="0.3">
      <c r="D28320" s="25"/>
      <c r="F28320" s="21"/>
      <c r="G28320" s="16"/>
    </row>
    <row r="28321" spans="4:7" ht="15" x14ac:dyDescent="0.3">
      <c r="D28321" s="25"/>
      <c r="F28321" s="21"/>
      <c r="G28321" s="16"/>
    </row>
    <row r="28322" spans="4:7" ht="15" x14ac:dyDescent="0.3">
      <c r="D28322" s="25"/>
      <c r="F28322" s="21"/>
      <c r="G28322" s="16"/>
    </row>
    <row r="28323" spans="4:7" ht="15" x14ac:dyDescent="0.3">
      <c r="D28323" s="25"/>
      <c r="F28323" s="21"/>
      <c r="G28323" s="16"/>
    </row>
    <row r="28324" spans="4:7" ht="15" x14ac:dyDescent="0.3">
      <c r="D28324" s="25"/>
      <c r="F28324" s="21"/>
      <c r="G28324" s="16"/>
    </row>
    <row r="28325" spans="4:7" ht="15" x14ac:dyDescent="0.3">
      <c r="D28325" s="25"/>
      <c r="F28325" s="21"/>
      <c r="G28325" s="16"/>
    </row>
    <row r="28326" spans="4:7" ht="15" x14ac:dyDescent="0.3">
      <c r="D28326" s="25"/>
      <c r="F28326" s="21"/>
      <c r="G28326" s="16"/>
    </row>
    <row r="28327" spans="4:7" ht="15" x14ac:dyDescent="0.3">
      <c r="D28327" s="25"/>
      <c r="F28327" s="21"/>
      <c r="G28327" s="16"/>
    </row>
    <row r="28328" spans="4:7" ht="15" x14ac:dyDescent="0.3">
      <c r="D28328" s="25"/>
      <c r="F28328" s="21"/>
      <c r="G28328" s="16"/>
    </row>
    <row r="28329" spans="4:7" ht="15" x14ac:dyDescent="0.3">
      <c r="D28329" s="25"/>
      <c r="F28329" s="21"/>
      <c r="G28329" s="16"/>
    </row>
    <row r="28330" spans="4:7" ht="15" x14ac:dyDescent="0.3">
      <c r="D28330" s="25"/>
      <c r="F28330" s="21"/>
      <c r="G28330" s="16"/>
    </row>
    <row r="28331" spans="4:7" ht="15" x14ac:dyDescent="0.3">
      <c r="D28331" s="25"/>
      <c r="F28331" s="21"/>
      <c r="G28331" s="16"/>
    </row>
    <row r="28332" spans="4:7" ht="15" x14ac:dyDescent="0.3">
      <c r="D28332" s="25"/>
      <c r="F28332" s="21"/>
      <c r="G28332" s="16"/>
    </row>
    <row r="28333" spans="4:7" ht="15" x14ac:dyDescent="0.3">
      <c r="D28333" s="25"/>
      <c r="F28333" s="21"/>
      <c r="G28333" s="16"/>
    </row>
    <row r="28334" spans="4:7" ht="15" x14ac:dyDescent="0.3">
      <c r="D28334" s="25"/>
      <c r="F28334" s="21"/>
      <c r="G28334" s="16"/>
    </row>
    <row r="28335" spans="4:7" ht="15" x14ac:dyDescent="0.3">
      <c r="D28335" s="25"/>
      <c r="F28335" s="21"/>
      <c r="G28335" s="16"/>
    </row>
    <row r="28336" spans="4:7" ht="15" x14ac:dyDescent="0.3">
      <c r="D28336" s="25"/>
      <c r="F28336" s="21"/>
      <c r="G28336" s="16"/>
    </row>
    <row r="28337" spans="4:7" ht="15" x14ac:dyDescent="0.3">
      <c r="D28337" s="25"/>
      <c r="F28337" s="21"/>
      <c r="G28337" s="16"/>
    </row>
    <row r="28338" spans="4:7" ht="15" x14ac:dyDescent="0.3">
      <c r="D28338" s="25"/>
      <c r="F28338" s="21"/>
      <c r="G28338" s="16"/>
    </row>
    <row r="28339" spans="4:7" ht="15" x14ac:dyDescent="0.3">
      <c r="D28339" s="25"/>
      <c r="F28339" s="21"/>
      <c r="G28339" s="16"/>
    </row>
    <row r="28340" spans="4:7" ht="15" x14ac:dyDescent="0.3">
      <c r="D28340" s="25"/>
      <c r="F28340" s="21"/>
      <c r="G28340" s="16"/>
    </row>
    <row r="28341" spans="4:7" ht="15" x14ac:dyDescent="0.3">
      <c r="D28341" s="25"/>
      <c r="F28341" s="21"/>
      <c r="G28341" s="16"/>
    </row>
    <row r="28342" spans="4:7" ht="15" x14ac:dyDescent="0.3">
      <c r="D28342" s="25"/>
      <c r="F28342" s="21"/>
      <c r="G28342" s="16"/>
    </row>
    <row r="28343" spans="4:7" ht="15" x14ac:dyDescent="0.3">
      <c r="D28343" s="25"/>
      <c r="F28343" s="21"/>
      <c r="G28343" s="16"/>
    </row>
    <row r="28344" spans="4:7" ht="15" x14ac:dyDescent="0.3">
      <c r="D28344" s="25"/>
      <c r="F28344" s="21"/>
      <c r="G28344" s="16"/>
    </row>
    <row r="28345" spans="4:7" ht="15" x14ac:dyDescent="0.3">
      <c r="D28345" s="25"/>
      <c r="F28345" s="21"/>
      <c r="G28345" s="16"/>
    </row>
    <row r="28346" spans="4:7" ht="15" x14ac:dyDescent="0.3">
      <c r="D28346" s="25"/>
      <c r="F28346" s="21"/>
      <c r="G28346" s="16"/>
    </row>
    <row r="28347" spans="4:7" ht="15" x14ac:dyDescent="0.3">
      <c r="D28347" s="25"/>
      <c r="F28347" s="21"/>
      <c r="G28347" s="16"/>
    </row>
    <row r="28348" spans="4:7" ht="15" x14ac:dyDescent="0.3">
      <c r="D28348" s="25"/>
      <c r="F28348" s="21"/>
      <c r="G28348" s="16"/>
    </row>
    <row r="28349" spans="4:7" ht="15" x14ac:dyDescent="0.3">
      <c r="D28349" s="25"/>
      <c r="F28349" s="21"/>
      <c r="G28349" s="16"/>
    </row>
    <row r="28350" spans="4:7" ht="15" x14ac:dyDescent="0.3">
      <c r="D28350" s="25"/>
      <c r="F28350" s="21"/>
      <c r="G28350" s="16"/>
    </row>
    <row r="28351" spans="4:7" ht="15" x14ac:dyDescent="0.3">
      <c r="D28351" s="25"/>
      <c r="F28351" s="21"/>
      <c r="G28351" s="16"/>
    </row>
    <row r="28352" spans="4:7" ht="15" x14ac:dyDescent="0.3">
      <c r="D28352" s="25"/>
      <c r="F28352" s="21"/>
      <c r="G28352" s="16"/>
    </row>
    <row r="28353" spans="4:7" ht="15" x14ac:dyDescent="0.3">
      <c r="D28353" s="25"/>
      <c r="F28353" s="21"/>
      <c r="G28353" s="16"/>
    </row>
    <row r="28354" spans="4:7" ht="15" x14ac:dyDescent="0.3">
      <c r="D28354" s="25"/>
      <c r="F28354" s="21"/>
      <c r="G28354" s="16"/>
    </row>
    <row r="28355" spans="4:7" ht="15" x14ac:dyDescent="0.3">
      <c r="D28355" s="25"/>
      <c r="F28355" s="21"/>
      <c r="G28355" s="16"/>
    </row>
    <row r="28356" spans="4:7" ht="15" x14ac:dyDescent="0.3">
      <c r="D28356" s="25"/>
      <c r="F28356" s="21"/>
      <c r="G28356" s="16"/>
    </row>
    <row r="28357" spans="4:7" ht="15" x14ac:dyDescent="0.3">
      <c r="D28357" s="25"/>
      <c r="F28357" s="21"/>
      <c r="G28357" s="16"/>
    </row>
    <row r="28358" spans="4:7" ht="15" x14ac:dyDescent="0.3">
      <c r="D28358" s="25"/>
      <c r="F28358" s="21"/>
      <c r="G28358" s="16"/>
    </row>
    <row r="28359" spans="4:7" ht="15" x14ac:dyDescent="0.3">
      <c r="D28359" s="25"/>
      <c r="F28359" s="21"/>
      <c r="G28359" s="16"/>
    </row>
    <row r="28360" spans="4:7" ht="15" x14ac:dyDescent="0.3">
      <c r="D28360" s="25"/>
      <c r="F28360" s="21"/>
      <c r="G28360" s="16"/>
    </row>
    <row r="28361" spans="4:7" ht="15" x14ac:dyDescent="0.3">
      <c r="D28361" s="25"/>
      <c r="F28361" s="21"/>
      <c r="G28361" s="16"/>
    </row>
    <row r="28362" spans="4:7" ht="15" x14ac:dyDescent="0.3">
      <c r="D28362" s="25"/>
      <c r="F28362" s="21"/>
      <c r="G28362" s="16"/>
    </row>
    <row r="28363" spans="4:7" ht="15" x14ac:dyDescent="0.3">
      <c r="D28363" s="25"/>
      <c r="F28363" s="21"/>
      <c r="G28363" s="16"/>
    </row>
    <row r="28364" spans="4:7" ht="15" x14ac:dyDescent="0.3">
      <c r="D28364" s="25"/>
      <c r="F28364" s="21"/>
      <c r="G28364" s="16"/>
    </row>
    <row r="28365" spans="4:7" ht="15" x14ac:dyDescent="0.3">
      <c r="D28365" s="25"/>
      <c r="F28365" s="21"/>
      <c r="G28365" s="16"/>
    </row>
    <row r="28366" spans="4:7" ht="15" x14ac:dyDescent="0.3">
      <c r="D28366" s="25"/>
      <c r="F28366" s="21"/>
      <c r="G28366" s="16"/>
    </row>
    <row r="28367" spans="4:7" ht="15" x14ac:dyDescent="0.3">
      <c r="D28367" s="25"/>
      <c r="F28367" s="21"/>
      <c r="G28367" s="16"/>
    </row>
    <row r="28368" spans="4:7" ht="15" x14ac:dyDescent="0.3">
      <c r="D28368" s="25"/>
      <c r="F28368" s="21"/>
      <c r="G28368" s="16"/>
    </row>
    <row r="28369" spans="4:7" ht="15" x14ac:dyDescent="0.3">
      <c r="D28369" s="25"/>
      <c r="F28369" s="21"/>
      <c r="G28369" s="16"/>
    </row>
    <row r="28370" spans="4:7" ht="15" x14ac:dyDescent="0.3">
      <c r="D28370" s="25"/>
      <c r="F28370" s="21"/>
      <c r="G28370" s="16"/>
    </row>
    <row r="28371" spans="4:7" ht="15" x14ac:dyDescent="0.3">
      <c r="D28371" s="25"/>
      <c r="F28371" s="21"/>
      <c r="G28371" s="16"/>
    </row>
    <row r="28372" spans="4:7" ht="15" x14ac:dyDescent="0.3">
      <c r="D28372" s="25"/>
      <c r="F28372" s="21"/>
      <c r="G28372" s="16"/>
    </row>
    <row r="28373" spans="4:7" ht="15" x14ac:dyDescent="0.3">
      <c r="D28373" s="25"/>
      <c r="F28373" s="21"/>
      <c r="G28373" s="16"/>
    </row>
    <row r="28374" spans="4:7" ht="15" x14ac:dyDescent="0.3">
      <c r="D28374" s="25"/>
      <c r="F28374" s="21"/>
      <c r="G28374" s="16"/>
    </row>
    <row r="28375" spans="4:7" ht="15" x14ac:dyDescent="0.3">
      <c r="D28375" s="25"/>
      <c r="F28375" s="21"/>
      <c r="G28375" s="16"/>
    </row>
    <row r="28376" spans="4:7" ht="15" x14ac:dyDescent="0.3">
      <c r="D28376" s="25"/>
      <c r="F28376" s="21"/>
      <c r="G28376" s="16"/>
    </row>
    <row r="28377" spans="4:7" ht="15" x14ac:dyDescent="0.3">
      <c r="D28377" s="25"/>
      <c r="F28377" s="21"/>
      <c r="G28377" s="16"/>
    </row>
    <row r="28378" spans="4:7" ht="15" x14ac:dyDescent="0.3">
      <c r="D28378" s="25"/>
      <c r="F28378" s="21"/>
      <c r="G28378" s="16"/>
    </row>
    <row r="28379" spans="4:7" ht="15" x14ac:dyDescent="0.3">
      <c r="D28379" s="25"/>
      <c r="F28379" s="21"/>
      <c r="G28379" s="16"/>
    </row>
    <row r="28380" spans="4:7" ht="15" x14ac:dyDescent="0.3">
      <c r="D28380" s="25"/>
      <c r="F28380" s="21"/>
      <c r="G28380" s="16"/>
    </row>
    <row r="28381" spans="4:7" ht="15" x14ac:dyDescent="0.3">
      <c r="D28381" s="25"/>
      <c r="F28381" s="21"/>
      <c r="G28381" s="16"/>
    </row>
    <row r="28382" spans="4:7" ht="15" x14ac:dyDescent="0.3">
      <c r="D28382" s="25"/>
      <c r="F28382" s="21"/>
      <c r="G28382" s="16"/>
    </row>
    <row r="28383" spans="4:7" ht="15" x14ac:dyDescent="0.3">
      <c r="D28383" s="25"/>
      <c r="F28383" s="21"/>
      <c r="G28383" s="16"/>
    </row>
    <row r="28384" spans="4:7" ht="15" x14ac:dyDescent="0.3">
      <c r="D28384" s="25"/>
      <c r="F28384" s="21"/>
      <c r="G28384" s="16"/>
    </row>
    <row r="28385" spans="4:7" ht="15" x14ac:dyDescent="0.3">
      <c r="D28385" s="25"/>
      <c r="F28385" s="21"/>
      <c r="G28385" s="16"/>
    </row>
    <row r="28386" spans="4:7" ht="15" x14ac:dyDescent="0.3">
      <c r="D28386" s="25"/>
      <c r="F28386" s="21"/>
      <c r="G28386" s="16"/>
    </row>
    <row r="28387" spans="4:7" ht="15" x14ac:dyDescent="0.3">
      <c r="D28387" s="25"/>
      <c r="F28387" s="21"/>
      <c r="G28387" s="16"/>
    </row>
    <row r="28388" spans="4:7" ht="15" x14ac:dyDescent="0.3">
      <c r="D28388" s="25"/>
      <c r="F28388" s="21"/>
      <c r="G28388" s="16"/>
    </row>
    <row r="28389" spans="4:7" ht="15" x14ac:dyDescent="0.3">
      <c r="D28389" s="25"/>
      <c r="F28389" s="21"/>
      <c r="G28389" s="16"/>
    </row>
    <row r="28390" spans="4:7" ht="15" x14ac:dyDescent="0.3">
      <c r="D28390" s="25"/>
      <c r="F28390" s="21"/>
      <c r="G28390" s="16"/>
    </row>
    <row r="28391" spans="4:7" ht="15" x14ac:dyDescent="0.3">
      <c r="D28391" s="25"/>
      <c r="F28391" s="21"/>
      <c r="G28391" s="16"/>
    </row>
    <row r="28392" spans="4:7" ht="15" x14ac:dyDescent="0.3">
      <c r="D28392" s="25"/>
      <c r="F28392" s="21"/>
      <c r="G28392" s="16"/>
    </row>
    <row r="28393" spans="4:7" ht="15" x14ac:dyDescent="0.3">
      <c r="D28393" s="25"/>
      <c r="F28393" s="21"/>
      <c r="G28393" s="16"/>
    </row>
    <row r="28394" spans="4:7" ht="15" x14ac:dyDescent="0.3">
      <c r="D28394" s="25"/>
      <c r="F28394" s="21"/>
      <c r="G28394" s="16"/>
    </row>
    <row r="28395" spans="4:7" ht="15" x14ac:dyDescent="0.3">
      <c r="D28395" s="25"/>
      <c r="F28395" s="21"/>
      <c r="G28395" s="16"/>
    </row>
    <row r="28396" spans="4:7" ht="15" x14ac:dyDescent="0.3">
      <c r="D28396" s="25"/>
      <c r="F28396" s="21"/>
      <c r="G28396" s="16"/>
    </row>
    <row r="28397" spans="4:7" ht="15" x14ac:dyDescent="0.3">
      <c r="D28397" s="25"/>
      <c r="F28397" s="21"/>
      <c r="G28397" s="16"/>
    </row>
    <row r="28398" spans="4:7" ht="15" x14ac:dyDescent="0.3">
      <c r="D28398" s="25"/>
      <c r="F28398" s="21"/>
      <c r="G28398" s="16"/>
    </row>
    <row r="28399" spans="4:7" ht="15" x14ac:dyDescent="0.3">
      <c r="D28399" s="25"/>
      <c r="F28399" s="21"/>
      <c r="G28399" s="16"/>
    </row>
    <row r="28400" spans="4:7" ht="15" x14ac:dyDescent="0.3">
      <c r="D28400" s="25"/>
      <c r="F28400" s="21"/>
      <c r="G28400" s="16"/>
    </row>
    <row r="28401" spans="4:7" ht="15" x14ac:dyDescent="0.3">
      <c r="D28401" s="25"/>
      <c r="F28401" s="21"/>
      <c r="G28401" s="16"/>
    </row>
    <row r="28402" spans="4:7" ht="15" x14ac:dyDescent="0.3">
      <c r="D28402" s="25"/>
      <c r="F28402" s="21"/>
      <c r="G28402" s="16"/>
    </row>
    <row r="28403" spans="4:7" ht="15" x14ac:dyDescent="0.3">
      <c r="D28403" s="25"/>
      <c r="F28403" s="21"/>
      <c r="G28403" s="16"/>
    </row>
    <row r="28404" spans="4:7" ht="15" x14ac:dyDescent="0.3">
      <c r="D28404" s="25"/>
      <c r="F28404" s="21"/>
      <c r="G28404" s="16"/>
    </row>
    <row r="28405" spans="4:7" ht="15" x14ac:dyDescent="0.3">
      <c r="D28405" s="25"/>
      <c r="F28405" s="21"/>
      <c r="G28405" s="16"/>
    </row>
    <row r="28406" spans="4:7" ht="15" x14ac:dyDescent="0.3">
      <c r="D28406" s="25"/>
      <c r="F28406" s="21"/>
      <c r="G28406" s="16"/>
    </row>
    <row r="28407" spans="4:7" ht="15" x14ac:dyDescent="0.3">
      <c r="D28407" s="25"/>
      <c r="F28407" s="21"/>
      <c r="G28407" s="16"/>
    </row>
    <row r="28408" spans="4:7" ht="15" x14ac:dyDescent="0.3">
      <c r="D28408" s="25"/>
      <c r="F28408" s="21"/>
      <c r="G28408" s="16"/>
    </row>
    <row r="28409" spans="4:7" ht="15" x14ac:dyDescent="0.3">
      <c r="D28409" s="25"/>
      <c r="F28409" s="21"/>
      <c r="G28409" s="16"/>
    </row>
    <row r="28410" spans="4:7" ht="15" x14ac:dyDescent="0.3">
      <c r="D28410" s="25"/>
      <c r="F28410" s="21"/>
      <c r="G28410" s="16"/>
    </row>
    <row r="28411" spans="4:7" ht="15" x14ac:dyDescent="0.3">
      <c r="D28411" s="25"/>
      <c r="F28411" s="21"/>
      <c r="G28411" s="16"/>
    </row>
    <row r="28412" spans="4:7" ht="15" x14ac:dyDescent="0.3">
      <c r="D28412" s="25"/>
      <c r="F28412" s="21"/>
      <c r="G28412" s="16"/>
    </row>
    <row r="28413" spans="4:7" ht="15" x14ac:dyDescent="0.3">
      <c r="D28413" s="25"/>
      <c r="F28413" s="21"/>
      <c r="G28413" s="16"/>
    </row>
    <row r="28414" spans="4:7" ht="15" x14ac:dyDescent="0.3">
      <c r="D28414" s="25"/>
      <c r="F28414" s="21"/>
      <c r="G28414" s="16"/>
    </row>
    <row r="28415" spans="4:7" ht="15" x14ac:dyDescent="0.3">
      <c r="D28415" s="25"/>
      <c r="F28415" s="21"/>
      <c r="G28415" s="16"/>
    </row>
    <row r="28416" spans="4:7" ht="15" x14ac:dyDescent="0.3">
      <c r="D28416" s="25"/>
      <c r="F28416" s="21"/>
      <c r="G28416" s="16"/>
    </row>
    <row r="28417" spans="4:7" ht="15" x14ac:dyDescent="0.3">
      <c r="D28417" s="25"/>
      <c r="F28417" s="21"/>
      <c r="G28417" s="16"/>
    </row>
    <row r="28418" spans="4:7" ht="15" x14ac:dyDescent="0.3">
      <c r="D28418" s="25"/>
      <c r="F28418" s="21"/>
      <c r="G28418" s="16"/>
    </row>
    <row r="28419" spans="4:7" ht="15" x14ac:dyDescent="0.3">
      <c r="D28419" s="25"/>
      <c r="F28419" s="21"/>
      <c r="G28419" s="16"/>
    </row>
    <row r="28420" spans="4:7" ht="15" x14ac:dyDescent="0.3">
      <c r="D28420" s="25"/>
      <c r="F28420" s="21"/>
      <c r="G28420" s="16"/>
    </row>
    <row r="28421" spans="4:7" ht="15" x14ac:dyDescent="0.3">
      <c r="D28421" s="25"/>
      <c r="F28421" s="21"/>
      <c r="G28421" s="16"/>
    </row>
    <row r="28422" spans="4:7" ht="15" x14ac:dyDescent="0.3">
      <c r="D28422" s="25"/>
      <c r="F28422" s="21"/>
      <c r="G28422" s="16"/>
    </row>
    <row r="28423" spans="4:7" ht="15" x14ac:dyDescent="0.3">
      <c r="D28423" s="25"/>
      <c r="F28423" s="21"/>
      <c r="G28423" s="16"/>
    </row>
    <row r="28424" spans="4:7" ht="15" x14ac:dyDescent="0.3">
      <c r="D28424" s="25"/>
      <c r="F28424" s="21"/>
      <c r="G28424" s="16"/>
    </row>
    <row r="28425" spans="4:7" ht="15" x14ac:dyDescent="0.3">
      <c r="D28425" s="25"/>
      <c r="F28425" s="21"/>
      <c r="G28425" s="16"/>
    </row>
    <row r="28426" spans="4:7" ht="15" x14ac:dyDescent="0.3">
      <c r="D28426" s="25"/>
      <c r="F28426" s="21"/>
      <c r="G28426" s="16"/>
    </row>
    <row r="28427" spans="4:7" ht="15" x14ac:dyDescent="0.3">
      <c r="D28427" s="25"/>
      <c r="F28427" s="21"/>
      <c r="G28427" s="16"/>
    </row>
    <row r="28428" spans="4:7" ht="15" x14ac:dyDescent="0.3">
      <c r="D28428" s="25"/>
      <c r="F28428" s="21"/>
      <c r="G28428" s="16"/>
    </row>
    <row r="28429" spans="4:7" ht="15" x14ac:dyDescent="0.3">
      <c r="D28429" s="25"/>
      <c r="F28429" s="21"/>
      <c r="G28429" s="16"/>
    </row>
    <row r="28430" spans="4:7" ht="15" x14ac:dyDescent="0.3">
      <c r="D28430" s="25"/>
      <c r="F28430" s="21"/>
      <c r="G28430" s="16"/>
    </row>
    <row r="28431" spans="4:7" ht="15" x14ac:dyDescent="0.3">
      <c r="D28431" s="25"/>
      <c r="F28431" s="21"/>
      <c r="G28431" s="16"/>
    </row>
    <row r="28432" spans="4:7" ht="15" x14ac:dyDescent="0.3">
      <c r="D28432" s="25"/>
      <c r="F28432" s="21"/>
      <c r="G28432" s="16"/>
    </row>
    <row r="28433" spans="4:7" ht="15" x14ac:dyDescent="0.3">
      <c r="D28433" s="25"/>
      <c r="F28433" s="21"/>
      <c r="G28433" s="16"/>
    </row>
    <row r="28434" spans="4:7" ht="15" x14ac:dyDescent="0.3">
      <c r="D28434" s="25"/>
      <c r="F28434" s="21"/>
      <c r="G28434" s="16"/>
    </row>
    <row r="28435" spans="4:7" ht="15" x14ac:dyDescent="0.3">
      <c r="D28435" s="25"/>
      <c r="F28435" s="21"/>
      <c r="G28435" s="16"/>
    </row>
    <row r="28436" spans="4:7" ht="15" x14ac:dyDescent="0.3">
      <c r="D28436" s="25"/>
      <c r="F28436" s="21"/>
      <c r="G28436" s="16"/>
    </row>
    <row r="28437" spans="4:7" ht="15" x14ac:dyDescent="0.3">
      <c r="D28437" s="25"/>
      <c r="F28437" s="21"/>
      <c r="G28437" s="16"/>
    </row>
    <row r="28438" spans="4:7" ht="15" x14ac:dyDescent="0.3">
      <c r="D28438" s="25"/>
      <c r="F28438" s="21"/>
      <c r="G28438" s="16"/>
    </row>
    <row r="28439" spans="4:7" ht="15" x14ac:dyDescent="0.3">
      <c r="D28439" s="25"/>
      <c r="F28439" s="21"/>
      <c r="G28439" s="16"/>
    </row>
    <row r="28440" spans="4:7" ht="15" x14ac:dyDescent="0.3">
      <c r="D28440" s="25"/>
      <c r="F28440" s="21"/>
      <c r="G28440" s="16"/>
    </row>
    <row r="28441" spans="4:7" ht="15" x14ac:dyDescent="0.3">
      <c r="D28441" s="25"/>
      <c r="F28441" s="21"/>
      <c r="G28441" s="16"/>
    </row>
    <row r="28442" spans="4:7" ht="15" x14ac:dyDescent="0.3">
      <c r="D28442" s="25"/>
      <c r="F28442" s="21"/>
      <c r="G28442" s="16"/>
    </row>
    <row r="28443" spans="4:7" ht="15" x14ac:dyDescent="0.3">
      <c r="D28443" s="25"/>
      <c r="F28443" s="21"/>
      <c r="G28443" s="16"/>
    </row>
    <row r="28444" spans="4:7" ht="15" x14ac:dyDescent="0.3">
      <c r="D28444" s="25"/>
      <c r="F28444" s="21"/>
      <c r="G28444" s="16"/>
    </row>
    <row r="28445" spans="4:7" ht="15" x14ac:dyDescent="0.3">
      <c r="D28445" s="25"/>
      <c r="F28445" s="21"/>
      <c r="G28445" s="16"/>
    </row>
    <row r="28446" spans="4:7" ht="15" x14ac:dyDescent="0.3">
      <c r="D28446" s="25"/>
      <c r="F28446" s="21"/>
      <c r="G28446" s="16"/>
    </row>
    <row r="28447" spans="4:7" ht="15" x14ac:dyDescent="0.3">
      <c r="D28447" s="25"/>
      <c r="F28447" s="21"/>
      <c r="G28447" s="16"/>
    </row>
    <row r="28448" spans="4:7" ht="15" x14ac:dyDescent="0.3">
      <c r="D28448" s="25"/>
      <c r="F28448" s="21"/>
      <c r="G28448" s="16"/>
    </row>
    <row r="28449" spans="4:7" ht="15" x14ac:dyDescent="0.3">
      <c r="D28449" s="25"/>
      <c r="F28449" s="21"/>
      <c r="G28449" s="16"/>
    </row>
    <row r="28450" spans="4:7" ht="15" x14ac:dyDescent="0.3">
      <c r="D28450" s="25"/>
      <c r="F28450" s="21"/>
      <c r="G28450" s="16"/>
    </row>
    <row r="28451" spans="4:7" ht="15" x14ac:dyDescent="0.3">
      <c r="D28451" s="25"/>
      <c r="F28451" s="21"/>
      <c r="G28451" s="16"/>
    </row>
    <row r="28452" spans="4:7" ht="15" x14ac:dyDescent="0.3">
      <c r="D28452" s="25"/>
      <c r="F28452" s="21"/>
      <c r="G28452" s="16"/>
    </row>
    <row r="28453" spans="4:7" ht="15" x14ac:dyDescent="0.3">
      <c r="D28453" s="25"/>
      <c r="F28453" s="21"/>
      <c r="G28453" s="16"/>
    </row>
    <row r="28454" spans="4:7" ht="15" x14ac:dyDescent="0.3">
      <c r="D28454" s="25"/>
      <c r="F28454" s="21"/>
      <c r="G28454" s="16"/>
    </row>
    <row r="28455" spans="4:7" ht="15" x14ac:dyDescent="0.3">
      <c r="D28455" s="25"/>
      <c r="F28455" s="21"/>
      <c r="G28455" s="16"/>
    </row>
    <row r="28456" spans="4:7" ht="15" x14ac:dyDescent="0.3">
      <c r="D28456" s="25"/>
      <c r="F28456" s="21"/>
      <c r="G28456" s="16"/>
    </row>
    <row r="28457" spans="4:7" ht="15" x14ac:dyDescent="0.3">
      <c r="D28457" s="25"/>
      <c r="F28457" s="21"/>
      <c r="G28457" s="16"/>
    </row>
    <row r="28458" spans="4:7" ht="15" x14ac:dyDescent="0.3">
      <c r="D28458" s="25"/>
      <c r="F28458" s="21"/>
      <c r="G28458" s="16"/>
    </row>
    <row r="28459" spans="4:7" ht="15" x14ac:dyDescent="0.3">
      <c r="D28459" s="25"/>
      <c r="F28459" s="21"/>
      <c r="G28459" s="16"/>
    </row>
    <row r="28460" spans="4:7" ht="15" x14ac:dyDescent="0.3">
      <c r="D28460" s="25"/>
      <c r="F28460" s="21"/>
      <c r="G28460" s="16"/>
    </row>
    <row r="28461" spans="4:7" ht="15" x14ac:dyDescent="0.3">
      <c r="D28461" s="25"/>
      <c r="F28461" s="21"/>
      <c r="G28461" s="16"/>
    </row>
    <row r="28462" spans="4:7" ht="15" x14ac:dyDescent="0.3">
      <c r="D28462" s="25"/>
      <c r="F28462" s="21"/>
      <c r="G28462" s="16"/>
    </row>
    <row r="28463" spans="4:7" ht="15" x14ac:dyDescent="0.3">
      <c r="D28463" s="25"/>
      <c r="F28463" s="21"/>
      <c r="G28463" s="16"/>
    </row>
    <row r="28464" spans="4:7" ht="15" x14ac:dyDescent="0.3">
      <c r="D28464" s="25"/>
      <c r="F28464" s="21"/>
      <c r="G28464" s="16"/>
    </row>
    <row r="28465" spans="4:7" ht="15" x14ac:dyDescent="0.3">
      <c r="D28465" s="25"/>
      <c r="F28465" s="21"/>
      <c r="G28465" s="16"/>
    </row>
    <row r="28466" spans="4:7" ht="15" x14ac:dyDescent="0.3">
      <c r="D28466" s="25"/>
      <c r="F28466" s="21"/>
      <c r="G28466" s="16"/>
    </row>
    <row r="28467" spans="4:7" ht="15" x14ac:dyDescent="0.3">
      <c r="D28467" s="25"/>
      <c r="F28467" s="21"/>
      <c r="G28467" s="16"/>
    </row>
    <row r="28468" spans="4:7" ht="15" x14ac:dyDescent="0.3">
      <c r="D28468" s="25"/>
      <c r="F28468" s="21"/>
      <c r="G28468" s="16"/>
    </row>
    <row r="28469" spans="4:7" ht="15" x14ac:dyDescent="0.3">
      <c r="D28469" s="25"/>
      <c r="F28469" s="21"/>
      <c r="G28469" s="16"/>
    </row>
    <row r="28470" spans="4:7" ht="15" x14ac:dyDescent="0.3">
      <c r="D28470" s="25"/>
      <c r="F28470" s="21"/>
      <c r="G28470" s="16"/>
    </row>
    <row r="28471" spans="4:7" ht="15" x14ac:dyDescent="0.3">
      <c r="D28471" s="25"/>
      <c r="F28471" s="21"/>
      <c r="G28471" s="16"/>
    </row>
    <row r="28472" spans="4:7" ht="15" x14ac:dyDescent="0.3">
      <c r="D28472" s="25"/>
      <c r="F28472" s="21"/>
      <c r="G28472" s="16"/>
    </row>
    <row r="28473" spans="4:7" ht="15" x14ac:dyDescent="0.3">
      <c r="D28473" s="25"/>
      <c r="F28473" s="21"/>
      <c r="G28473" s="16"/>
    </row>
    <row r="28474" spans="4:7" ht="15" x14ac:dyDescent="0.3">
      <c r="D28474" s="25"/>
      <c r="F28474" s="21"/>
      <c r="G28474" s="16"/>
    </row>
    <row r="28475" spans="4:7" ht="15" x14ac:dyDescent="0.3">
      <c r="D28475" s="25"/>
      <c r="F28475" s="21"/>
      <c r="G28475" s="16"/>
    </row>
    <row r="28476" spans="4:7" ht="15" x14ac:dyDescent="0.3">
      <c r="D28476" s="25"/>
      <c r="F28476" s="21"/>
      <c r="G28476" s="16"/>
    </row>
    <row r="28477" spans="4:7" ht="15" x14ac:dyDescent="0.3">
      <c r="D28477" s="25"/>
      <c r="F28477" s="21"/>
      <c r="G28477" s="16"/>
    </row>
    <row r="28478" spans="4:7" ht="15" x14ac:dyDescent="0.3">
      <c r="D28478" s="25"/>
      <c r="F28478" s="21"/>
      <c r="G28478" s="16"/>
    </row>
    <row r="28479" spans="4:7" ht="15" x14ac:dyDescent="0.3">
      <c r="D28479" s="25"/>
      <c r="F28479" s="21"/>
      <c r="G28479" s="16"/>
    </row>
    <row r="28480" spans="4:7" ht="15" x14ac:dyDescent="0.3">
      <c r="D28480" s="25"/>
      <c r="F28480" s="21"/>
      <c r="G28480" s="16"/>
    </row>
    <row r="28481" spans="4:7" ht="15" x14ac:dyDescent="0.3">
      <c r="D28481" s="25"/>
      <c r="F28481" s="21"/>
      <c r="G28481" s="16"/>
    </row>
    <row r="28482" spans="4:7" ht="15" x14ac:dyDescent="0.3">
      <c r="D28482" s="25"/>
      <c r="F28482" s="21"/>
      <c r="G28482" s="16"/>
    </row>
    <row r="28483" spans="4:7" ht="15" x14ac:dyDescent="0.3">
      <c r="D28483" s="25"/>
      <c r="F28483" s="21"/>
      <c r="G28483" s="16"/>
    </row>
    <row r="28484" spans="4:7" ht="15" x14ac:dyDescent="0.3">
      <c r="D28484" s="25"/>
      <c r="F28484" s="21"/>
      <c r="G28484" s="16"/>
    </row>
    <row r="28485" spans="4:7" ht="15" x14ac:dyDescent="0.3">
      <c r="D28485" s="25"/>
      <c r="F28485" s="21"/>
      <c r="G28485" s="16"/>
    </row>
    <row r="28486" spans="4:7" ht="15" x14ac:dyDescent="0.3">
      <c r="D28486" s="25"/>
      <c r="F28486" s="21"/>
      <c r="G28486" s="16"/>
    </row>
    <row r="28487" spans="4:7" ht="15" x14ac:dyDescent="0.3">
      <c r="D28487" s="25"/>
      <c r="F28487" s="21"/>
      <c r="G28487" s="16"/>
    </row>
    <row r="28488" spans="4:7" ht="15" x14ac:dyDescent="0.3">
      <c r="D28488" s="25"/>
      <c r="F28488" s="21"/>
      <c r="G28488" s="16"/>
    </row>
    <row r="28489" spans="4:7" ht="15" x14ac:dyDescent="0.3">
      <c r="D28489" s="25"/>
      <c r="F28489" s="21"/>
      <c r="G28489" s="16"/>
    </row>
    <row r="28490" spans="4:7" ht="15" x14ac:dyDescent="0.3">
      <c r="D28490" s="25"/>
      <c r="F28490" s="21"/>
      <c r="G28490" s="16"/>
    </row>
    <row r="28491" spans="4:7" ht="15" x14ac:dyDescent="0.3">
      <c r="D28491" s="25"/>
      <c r="F28491" s="21"/>
      <c r="G28491" s="16"/>
    </row>
    <row r="28492" spans="4:7" ht="15" x14ac:dyDescent="0.3">
      <c r="D28492" s="25"/>
      <c r="F28492" s="21"/>
      <c r="G28492" s="16"/>
    </row>
    <row r="28493" spans="4:7" ht="15" x14ac:dyDescent="0.3">
      <c r="D28493" s="25"/>
      <c r="F28493" s="21"/>
      <c r="G28493" s="16"/>
    </row>
    <row r="28494" spans="4:7" ht="15" x14ac:dyDescent="0.3">
      <c r="D28494" s="25"/>
      <c r="F28494" s="21"/>
      <c r="G28494" s="16"/>
    </row>
    <row r="28495" spans="4:7" ht="15" x14ac:dyDescent="0.3">
      <c r="D28495" s="25"/>
      <c r="F28495" s="21"/>
      <c r="G28495" s="16"/>
    </row>
    <row r="28496" spans="4:7" ht="15" x14ac:dyDescent="0.3">
      <c r="D28496" s="25"/>
      <c r="F28496" s="21"/>
      <c r="G28496" s="16"/>
    </row>
    <row r="28497" spans="4:7" ht="15" x14ac:dyDescent="0.3">
      <c r="D28497" s="25"/>
      <c r="F28497" s="21"/>
      <c r="G28497" s="16"/>
    </row>
    <row r="28498" spans="4:7" ht="15" x14ac:dyDescent="0.3">
      <c r="D28498" s="25"/>
      <c r="F28498" s="21"/>
      <c r="G28498" s="16"/>
    </row>
    <row r="28499" spans="4:7" ht="15" x14ac:dyDescent="0.3">
      <c r="D28499" s="25"/>
      <c r="F28499" s="21"/>
      <c r="G28499" s="16"/>
    </row>
    <row r="28500" spans="4:7" ht="15" x14ac:dyDescent="0.3">
      <c r="D28500" s="25"/>
      <c r="F28500" s="21"/>
      <c r="G28500" s="16"/>
    </row>
    <row r="28501" spans="4:7" ht="15" x14ac:dyDescent="0.3">
      <c r="D28501" s="25"/>
      <c r="F28501" s="21"/>
      <c r="G28501" s="16"/>
    </row>
    <row r="28502" spans="4:7" ht="15" x14ac:dyDescent="0.3">
      <c r="D28502" s="25"/>
      <c r="F28502" s="21"/>
      <c r="G28502" s="16"/>
    </row>
    <row r="28503" spans="4:7" ht="15" x14ac:dyDescent="0.3">
      <c r="D28503" s="25"/>
      <c r="F28503" s="21"/>
      <c r="G28503" s="16"/>
    </row>
    <row r="28504" spans="4:7" ht="15" x14ac:dyDescent="0.3">
      <c r="D28504" s="25"/>
      <c r="F28504" s="21"/>
      <c r="G28504" s="16"/>
    </row>
    <row r="28505" spans="4:7" ht="15" x14ac:dyDescent="0.3">
      <c r="D28505" s="25"/>
      <c r="F28505" s="21"/>
      <c r="G28505" s="16"/>
    </row>
    <row r="28506" spans="4:7" ht="15" x14ac:dyDescent="0.3">
      <c r="D28506" s="25"/>
      <c r="F28506" s="21"/>
      <c r="G28506" s="16"/>
    </row>
    <row r="28507" spans="4:7" ht="15" x14ac:dyDescent="0.3">
      <c r="D28507" s="25"/>
      <c r="F28507" s="21"/>
      <c r="G28507" s="16"/>
    </row>
    <row r="28508" spans="4:7" ht="15" x14ac:dyDescent="0.3">
      <c r="D28508" s="25"/>
      <c r="F28508" s="21"/>
      <c r="G28508" s="16"/>
    </row>
    <row r="28509" spans="4:7" ht="15" x14ac:dyDescent="0.3">
      <c r="D28509" s="25"/>
      <c r="F28509" s="21"/>
      <c r="G28509" s="16"/>
    </row>
    <row r="28510" spans="4:7" ht="15" x14ac:dyDescent="0.3">
      <c r="D28510" s="25"/>
      <c r="F28510" s="21"/>
      <c r="G28510" s="16"/>
    </row>
    <row r="28511" spans="4:7" ht="15" x14ac:dyDescent="0.3">
      <c r="D28511" s="25"/>
      <c r="F28511" s="21"/>
      <c r="G28511" s="16"/>
    </row>
    <row r="28512" spans="4:7" ht="15" x14ac:dyDescent="0.3">
      <c r="D28512" s="25"/>
      <c r="F28512" s="21"/>
      <c r="G28512" s="16"/>
    </row>
    <row r="28513" spans="4:7" ht="15" x14ac:dyDescent="0.3">
      <c r="D28513" s="25"/>
      <c r="F28513" s="21"/>
      <c r="G28513" s="16"/>
    </row>
    <row r="28514" spans="4:7" ht="15" x14ac:dyDescent="0.3">
      <c r="D28514" s="25"/>
      <c r="F28514" s="21"/>
      <c r="G28514" s="16"/>
    </row>
    <row r="28515" spans="4:7" ht="15" x14ac:dyDescent="0.3">
      <c r="D28515" s="25"/>
      <c r="F28515" s="21"/>
      <c r="G28515" s="16"/>
    </row>
    <row r="28516" spans="4:7" ht="15" x14ac:dyDescent="0.3">
      <c r="D28516" s="25"/>
      <c r="F28516" s="21"/>
      <c r="G28516" s="16"/>
    </row>
    <row r="28517" spans="4:7" ht="15" x14ac:dyDescent="0.3">
      <c r="D28517" s="25"/>
      <c r="F28517" s="21"/>
      <c r="G28517" s="16"/>
    </row>
    <row r="28518" spans="4:7" ht="15" x14ac:dyDescent="0.3">
      <c r="D28518" s="25"/>
      <c r="F28518" s="21"/>
      <c r="G28518" s="16"/>
    </row>
    <row r="28519" spans="4:7" ht="15" x14ac:dyDescent="0.3">
      <c r="D28519" s="25"/>
      <c r="F28519" s="21"/>
      <c r="G28519" s="16"/>
    </row>
    <row r="28520" spans="4:7" ht="15" x14ac:dyDescent="0.3">
      <c r="D28520" s="25"/>
      <c r="F28520" s="21"/>
      <c r="G28520" s="16"/>
    </row>
    <row r="28521" spans="4:7" ht="15" x14ac:dyDescent="0.3">
      <c r="D28521" s="25"/>
      <c r="F28521" s="21"/>
      <c r="G28521" s="16"/>
    </row>
    <row r="28522" spans="4:7" ht="15" x14ac:dyDescent="0.3">
      <c r="D28522" s="25"/>
      <c r="F28522" s="21"/>
      <c r="G28522" s="16"/>
    </row>
    <row r="28523" spans="4:7" ht="15" x14ac:dyDescent="0.3">
      <c r="D28523" s="25"/>
      <c r="F28523" s="21"/>
      <c r="G28523" s="16"/>
    </row>
    <row r="28524" spans="4:7" ht="15" x14ac:dyDescent="0.3">
      <c r="D28524" s="25"/>
      <c r="F28524" s="21"/>
      <c r="G28524" s="16"/>
    </row>
    <row r="28525" spans="4:7" ht="15" x14ac:dyDescent="0.3">
      <c r="D28525" s="25"/>
      <c r="F28525" s="21"/>
      <c r="G28525" s="16"/>
    </row>
    <row r="28526" spans="4:7" ht="15" x14ac:dyDescent="0.3">
      <c r="D28526" s="25"/>
      <c r="F28526" s="21"/>
      <c r="G28526" s="16"/>
    </row>
    <row r="28527" spans="4:7" ht="15" x14ac:dyDescent="0.3">
      <c r="D28527" s="25"/>
      <c r="F28527" s="21"/>
      <c r="G28527" s="16"/>
    </row>
    <row r="28528" spans="4:7" ht="15" x14ac:dyDescent="0.3">
      <c r="D28528" s="25"/>
      <c r="F28528" s="21"/>
      <c r="G28528" s="16"/>
    </row>
    <row r="28529" spans="4:7" ht="15" x14ac:dyDescent="0.3">
      <c r="D28529" s="25"/>
      <c r="F28529" s="21"/>
      <c r="G28529" s="16"/>
    </row>
    <row r="28530" spans="4:7" ht="15" x14ac:dyDescent="0.3">
      <c r="D28530" s="25"/>
      <c r="F28530" s="21"/>
      <c r="G28530" s="16"/>
    </row>
    <row r="28531" spans="4:7" ht="15" x14ac:dyDescent="0.3">
      <c r="D28531" s="25"/>
      <c r="F28531" s="21"/>
      <c r="G28531" s="16"/>
    </row>
    <row r="28532" spans="4:7" ht="15" x14ac:dyDescent="0.3">
      <c r="D28532" s="25"/>
      <c r="F28532" s="21"/>
      <c r="G28532" s="16"/>
    </row>
    <row r="28533" spans="4:7" ht="15" x14ac:dyDescent="0.3">
      <c r="D28533" s="25"/>
      <c r="F28533" s="21"/>
      <c r="G28533" s="16"/>
    </row>
    <row r="28534" spans="4:7" ht="15" x14ac:dyDescent="0.3">
      <c r="D28534" s="25"/>
      <c r="F28534" s="21"/>
      <c r="G28534" s="16"/>
    </row>
    <row r="28535" spans="4:7" ht="15" x14ac:dyDescent="0.3">
      <c r="D28535" s="25"/>
      <c r="F28535" s="21"/>
      <c r="G28535" s="16"/>
    </row>
    <row r="28536" spans="4:7" ht="15" x14ac:dyDescent="0.3">
      <c r="D28536" s="25"/>
      <c r="F28536" s="21"/>
      <c r="G28536" s="16"/>
    </row>
    <row r="28537" spans="4:7" ht="15" x14ac:dyDescent="0.3">
      <c r="D28537" s="25"/>
      <c r="F28537" s="21"/>
      <c r="G28537" s="16"/>
    </row>
    <row r="28538" spans="4:7" ht="15" x14ac:dyDescent="0.3">
      <c r="D28538" s="25"/>
      <c r="F28538" s="21"/>
      <c r="G28538" s="16"/>
    </row>
    <row r="28539" spans="4:7" ht="15" x14ac:dyDescent="0.3">
      <c r="D28539" s="25"/>
      <c r="F28539" s="21"/>
      <c r="G28539" s="16"/>
    </row>
    <row r="28540" spans="4:7" ht="15" x14ac:dyDescent="0.3">
      <c r="D28540" s="25"/>
      <c r="F28540" s="21"/>
      <c r="G28540" s="16"/>
    </row>
    <row r="28541" spans="4:7" ht="15" x14ac:dyDescent="0.3">
      <c r="D28541" s="25"/>
      <c r="F28541" s="21"/>
      <c r="G28541" s="16"/>
    </row>
    <row r="28542" spans="4:7" ht="15" x14ac:dyDescent="0.3">
      <c r="D28542" s="25"/>
      <c r="F28542" s="21"/>
      <c r="G28542" s="16"/>
    </row>
    <row r="28543" spans="4:7" ht="15" x14ac:dyDescent="0.3">
      <c r="D28543" s="25"/>
      <c r="F28543" s="21"/>
      <c r="G28543" s="16"/>
    </row>
    <row r="28544" spans="4:7" ht="15" x14ac:dyDescent="0.3">
      <c r="D28544" s="25"/>
      <c r="F28544" s="21"/>
      <c r="G28544" s="16"/>
    </row>
    <row r="28545" spans="4:7" ht="15" x14ac:dyDescent="0.3">
      <c r="D28545" s="25"/>
      <c r="F28545" s="21"/>
      <c r="G28545" s="16"/>
    </row>
    <row r="28546" spans="4:7" ht="15" x14ac:dyDescent="0.3">
      <c r="D28546" s="25"/>
      <c r="F28546" s="21"/>
      <c r="G28546" s="16"/>
    </row>
    <row r="28547" spans="4:7" ht="15" x14ac:dyDescent="0.3">
      <c r="D28547" s="25"/>
      <c r="F28547" s="21"/>
      <c r="G28547" s="16"/>
    </row>
    <row r="28548" spans="4:7" ht="15" x14ac:dyDescent="0.3">
      <c r="D28548" s="25"/>
      <c r="F28548" s="21"/>
      <c r="G28548" s="16"/>
    </row>
    <row r="28549" spans="4:7" ht="15" x14ac:dyDescent="0.3">
      <c r="D28549" s="25"/>
      <c r="F28549" s="21"/>
      <c r="G28549" s="16"/>
    </row>
    <row r="28550" spans="4:7" ht="15" x14ac:dyDescent="0.3">
      <c r="D28550" s="25"/>
      <c r="F28550" s="21"/>
      <c r="G28550" s="16"/>
    </row>
    <row r="28551" spans="4:7" ht="15" x14ac:dyDescent="0.3">
      <c r="D28551" s="25"/>
      <c r="F28551" s="21"/>
      <c r="G28551" s="16"/>
    </row>
    <row r="28552" spans="4:7" ht="15" x14ac:dyDescent="0.3">
      <c r="D28552" s="25"/>
      <c r="F28552" s="21"/>
      <c r="G28552" s="16"/>
    </row>
    <row r="28553" spans="4:7" ht="15" x14ac:dyDescent="0.3">
      <c r="D28553" s="25"/>
      <c r="F28553" s="21"/>
      <c r="G28553" s="16"/>
    </row>
    <row r="28554" spans="4:7" ht="15" x14ac:dyDescent="0.3">
      <c r="D28554" s="25"/>
      <c r="F28554" s="21"/>
      <c r="G28554" s="16"/>
    </row>
    <row r="28555" spans="4:7" ht="15" x14ac:dyDescent="0.3">
      <c r="D28555" s="25"/>
      <c r="F28555" s="21"/>
      <c r="G28555" s="16"/>
    </row>
    <row r="28556" spans="4:7" ht="15" x14ac:dyDescent="0.3">
      <c r="D28556" s="25"/>
      <c r="F28556" s="21"/>
      <c r="G28556" s="16"/>
    </row>
    <row r="28557" spans="4:7" ht="15" x14ac:dyDescent="0.3">
      <c r="D28557" s="25"/>
      <c r="F28557" s="21"/>
      <c r="G28557" s="16"/>
    </row>
    <row r="28558" spans="4:7" ht="15" x14ac:dyDescent="0.3">
      <c r="D28558" s="25"/>
      <c r="F28558" s="21"/>
      <c r="G28558" s="16"/>
    </row>
    <row r="28559" spans="4:7" ht="15" x14ac:dyDescent="0.3">
      <c r="D28559" s="25"/>
      <c r="F28559" s="21"/>
      <c r="G28559" s="16"/>
    </row>
    <row r="28560" spans="4:7" ht="15" x14ac:dyDescent="0.3">
      <c r="D28560" s="25"/>
      <c r="F28560" s="21"/>
      <c r="G28560" s="16"/>
    </row>
    <row r="28561" spans="4:7" ht="15" x14ac:dyDescent="0.3">
      <c r="D28561" s="25"/>
      <c r="F28561" s="21"/>
      <c r="G28561" s="16"/>
    </row>
    <row r="28562" spans="4:7" ht="15" x14ac:dyDescent="0.3">
      <c r="D28562" s="25"/>
      <c r="F28562" s="21"/>
      <c r="G28562" s="16"/>
    </row>
    <row r="28563" spans="4:7" ht="15" x14ac:dyDescent="0.3">
      <c r="D28563" s="25"/>
      <c r="F28563" s="21"/>
      <c r="G28563" s="16"/>
    </row>
    <row r="28564" spans="4:7" ht="15" x14ac:dyDescent="0.3">
      <c r="D28564" s="25"/>
      <c r="F28564" s="21"/>
      <c r="G28564" s="16"/>
    </row>
    <row r="28565" spans="4:7" ht="15" x14ac:dyDescent="0.3">
      <c r="D28565" s="25"/>
      <c r="F28565" s="21"/>
      <c r="G28565" s="16"/>
    </row>
    <row r="28566" spans="4:7" ht="15" x14ac:dyDescent="0.3">
      <c r="D28566" s="25"/>
      <c r="F28566" s="21"/>
      <c r="G28566" s="16"/>
    </row>
    <row r="28567" spans="4:7" ht="15" x14ac:dyDescent="0.3">
      <c r="D28567" s="25"/>
      <c r="F28567" s="21"/>
      <c r="G28567" s="16"/>
    </row>
    <row r="28568" spans="4:7" ht="15" x14ac:dyDescent="0.3">
      <c r="D28568" s="25"/>
      <c r="F28568" s="21"/>
      <c r="G28568" s="16"/>
    </row>
    <row r="28569" spans="4:7" ht="15" x14ac:dyDescent="0.3">
      <c r="D28569" s="25"/>
      <c r="F28569" s="21"/>
      <c r="G28569" s="16"/>
    </row>
    <row r="28570" spans="4:7" ht="15" x14ac:dyDescent="0.3">
      <c r="D28570" s="25"/>
      <c r="F28570" s="21"/>
      <c r="G28570" s="16"/>
    </row>
    <row r="28571" spans="4:7" ht="15" x14ac:dyDescent="0.3">
      <c r="D28571" s="25"/>
      <c r="F28571" s="21"/>
      <c r="G28571" s="16"/>
    </row>
    <row r="28572" spans="4:7" ht="15" x14ac:dyDescent="0.3">
      <c r="D28572" s="25"/>
      <c r="F28572" s="21"/>
      <c r="G28572" s="16"/>
    </row>
    <row r="28573" spans="4:7" ht="15" x14ac:dyDescent="0.3">
      <c r="D28573" s="25"/>
      <c r="F28573" s="21"/>
      <c r="G28573" s="16"/>
    </row>
    <row r="28574" spans="4:7" ht="15" x14ac:dyDescent="0.3">
      <c r="D28574" s="25"/>
      <c r="F28574" s="21"/>
      <c r="G28574" s="16"/>
    </row>
    <row r="28575" spans="4:7" ht="15" x14ac:dyDescent="0.3">
      <c r="D28575" s="25"/>
      <c r="F28575" s="21"/>
      <c r="G28575" s="16"/>
    </row>
    <row r="28576" spans="4:7" ht="15" x14ac:dyDescent="0.3">
      <c r="D28576" s="25"/>
      <c r="F28576" s="21"/>
      <c r="G28576" s="16"/>
    </row>
    <row r="28577" spans="4:7" ht="15" x14ac:dyDescent="0.3">
      <c r="D28577" s="25"/>
      <c r="F28577" s="21"/>
      <c r="G28577" s="16"/>
    </row>
    <row r="28578" spans="4:7" ht="15" x14ac:dyDescent="0.3">
      <c r="D28578" s="25"/>
      <c r="F28578" s="21"/>
      <c r="G28578" s="16"/>
    </row>
    <row r="28579" spans="4:7" ht="15" x14ac:dyDescent="0.3">
      <c r="D28579" s="25"/>
      <c r="F28579" s="21"/>
      <c r="G28579" s="16"/>
    </row>
    <row r="28580" spans="4:7" ht="15" x14ac:dyDescent="0.3">
      <c r="D28580" s="25"/>
      <c r="F28580" s="21"/>
      <c r="G28580" s="16"/>
    </row>
    <row r="28581" spans="4:7" ht="15" x14ac:dyDescent="0.3">
      <c r="D28581" s="25"/>
      <c r="F28581" s="21"/>
      <c r="G28581" s="16"/>
    </row>
    <row r="28582" spans="4:7" ht="15" x14ac:dyDescent="0.3">
      <c r="D28582" s="25"/>
      <c r="F28582" s="21"/>
      <c r="G28582" s="16"/>
    </row>
    <row r="28583" spans="4:7" ht="15" x14ac:dyDescent="0.3">
      <c r="D28583" s="25"/>
      <c r="F28583" s="21"/>
      <c r="G28583" s="16"/>
    </row>
    <row r="28584" spans="4:7" ht="15" x14ac:dyDescent="0.3">
      <c r="D28584" s="25"/>
      <c r="F28584" s="21"/>
      <c r="G28584" s="16"/>
    </row>
    <row r="28585" spans="4:7" ht="15" x14ac:dyDescent="0.3">
      <c r="D28585" s="25"/>
      <c r="F28585" s="21"/>
      <c r="G28585" s="16"/>
    </row>
    <row r="28586" spans="4:7" ht="15" x14ac:dyDescent="0.3">
      <c r="D28586" s="25"/>
      <c r="F28586" s="21"/>
      <c r="G28586" s="16"/>
    </row>
    <row r="28587" spans="4:7" ht="15" x14ac:dyDescent="0.3">
      <c r="D28587" s="25"/>
      <c r="F28587" s="21"/>
      <c r="G28587" s="16"/>
    </row>
    <row r="28588" spans="4:7" ht="15" x14ac:dyDescent="0.3">
      <c r="D28588" s="25"/>
      <c r="F28588" s="21"/>
      <c r="G28588" s="16"/>
    </row>
    <row r="28589" spans="4:7" ht="15" x14ac:dyDescent="0.3">
      <c r="D28589" s="25"/>
      <c r="F28589" s="21"/>
      <c r="G28589" s="16"/>
    </row>
    <row r="28590" spans="4:7" ht="15" x14ac:dyDescent="0.3">
      <c r="D28590" s="25"/>
      <c r="F28590" s="21"/>
      <c r="G28590" s="16"/>
    </row>
    <row r="28591" spans="4:7" ht="15" x14ac:dyDescent="0.3">
      <c r="D28591" s="25"/>
      <c r="F28591" s="21"/>
      <c r="G28591" s="16"/>
    </row>
    <row r="28592" spans="4:7" ht="15" x14ac:dyDescent="0.3">
      <c r="D28592" s="25"/>
      <c r="F28592" s="21"/>
      <c r="G28592" s="16"/>
    </row>
    <row r="28593" spans="4:7" ht="15" x14ac:dyDescent="0.3">
      <c r="D28593" s="25"/>
      <c r="F28593" s="21"/>
      <c r="G28593" s="16"/>
    </row>
    <row r="28594" spans="4:7" ht="15" x14ac:dyDescent="0.3">
      <c r="D28594" s="25"/>
      <c r="F28594" s="21"/>
      <c r="G28594" s="16"/>
    </row>
    <row r="28595" spans="4:7" ht="15" x14ac:dyDescent="0.3">
      <c r="D28595" s="25"/>
      <c r="F28595" s="21"/>
      <c r="G28595" s="16"/>
    </row>
    <row r="28596" spans="4:7" ht="15" x14ac:dyDescent="0.3">
      <c r="D28596" s="25"/>
      <c r="F28596" s="21"/>
      <c r="G28596" s="16"/>
    </row>
    <row r="28597" spans="4:7" ht="15" x14ac:dyDescent="0.3">
      <c r="D28597" s="25"/>
      <c r="F28597" s="21"/>
      <c r="G28597" s="16"/>
    </row>
    <row r="28598" spans="4:7" ht="15" x14ac:dyDescent="0.3">
      <c r="D28598" s="25"/>
      <c r="F28598" s="21"/>
      <c r="G28598" s="16"/>
    </row>
    <row r="28599" spans="4:7" ht="15" x14ac:dyDescent="0.3">
      <c r="D28599" s="25"/>
      <c r="F28599" s="21"/>
      <c r="G28599" s="16"/>
    </row>
    <row r="28600" spans="4:7" ht="15" x14ac:dyDescent="0.3">
      <c r="D28600" s="25"/>
      <c r="F28600" s="21"/>
      <c r="G28600" s="16"/>
    </row>
    <row r="28601" spans="4:7" ht="15" x14ac:dyDescent="0.3">
      <c r="D28601" s="25"/>
      <c r="F28601" s="21"/>
      <c r="G28601" s="16"/>
    </row>
    <row r="28602" spans="4:7" ht="15" x14ac:dyDescent="0.3">
      <c r="D28602" s="25"/>
      <c r="F28602" s="21"/>
      <c r="G28602" s="16"/>
    </row>
    <row r="28603" spans="4:7" ht="15" x14ac:dyDescent="0.3">
      <c r="D28603" s="25"/>
      <c r="F28603" s="21"/>
      <c r="G28603" s="16"/>
    </row>
    <row r="28604" spans="4:7" ht="15" x14ac:dyDescent="0.3">
      <c r="D28604" s="25"/>
      <c r="F28604" s="21"/>
      <c r="G28604" s="16"/>
    </row>
    <row r="28605" spans="4:7" ht="15" x14ac:dyDescent="0.3">
      <c r="D28605" s="25"/>
      <c r="F28605" s="21"/>
      <c r="G28605" s="16"/>
    </row>
    <row r="28606" spans="4:7" ht="15" x14ac:dyDescent="0.3">
      <c r="D28606" s="25"/>
      <c r="F28606" s="21"/>
      <c r="G28606" s="16"/>
    </row>
    <row r="28607" spans="4:7" ht="15" x14ac:dyDescent="0.3">
      <c r="D28607" s="25"/>
      <c r="F28607" s="21"/>
      <c r="G28607" s="16"/>
    </row>
    <row r="28608" spans="4:7" ht="15" x14ac:dyDescent="0.3">
      <c r="D28608" s="25"/>
      <c r="F28608" s="21"/>
      <c r="G28608" s="16"/>
    </row>
    <row r="28609" spans="4:7" ht="15" x14ac:dyDescent="0.3">
      <c r="D28609" s="25"/>
      <c r="F28609" s="21"/>
      <c r="G28609" s="16"/>
    </row>
    <row r="28610" spans="4:7" ht="15" x14ac:dyDescent="0.3">
      <c r="D28610" s="25"/>
      <c r="F28610" s="21"/>
      <c r="G28610" s="16"/>
    </row>
    <row r="28611" spans="4:7" ht="15" x14ac:dyDescent="0.3">
      <c r="D28611" s="25"/>
      <c r="F28611" s="21"/>
      <c r="G28611" s="16"/>
    </row>
    <row r="28612" spans="4:7" ht="15" x14ac:dyDescent="0.3">
      <c r="D28612" s="25"/>
      <c r="F28612" s="21"/>
      <c r="G28612" s="16"/>
    </row>
    <row r="28613" spans="4:7" ht="15" x14ac:dyDescent="0.3">
      <c r="D28613" s="25"/>
      <c r="F28613" s="21"/>
      <c r="G28613" s="16"/>
    </row>
    <row r="28614" spans="4:7" ht="15" x14ac:dyDescent="0.3">
      <c r="D28614" s="25"/>
      <c r="F28614" s="21"/>
      <c r="G28614" s="16"/>
    </row>
    <row r="28615" spans="4:7" ht="15" x14ac:dyDescent="0.3">
      <c r="D28615" s="25"/>
      <c r="F28615" s="21"/>
      <c r="G28615" s="16"/>
    </row>
    <row r="28616" spans="4:7" ht="15" x14ac:dyDescent="0.3">
      <c r="D28616" s="25"/>
      <c r="F28616" s="21"/>
      <c r="G28616" s="16"/>
    </row>
    <row r="28617" spans="4:7" ht="15" x14ac:dyDescent="0.3">
      <c r="D28617" s="25"/>
      <c r="F28617" s="21"/>
      <c r="G28617" s="16"/>
    </row>
    <row r="28618" spans="4:7" ht="15" x14ac:dyDescent="0.3">
      <c r="D28618" s="25"/>
      <c r="F28618" s="21"/>
      <c r="G28618" s="16"/>
    </row>
    <row r="28619" spans="4:7" ht="15" x14ac:dyDescent="0.3">
      <c r="D28619" s="25"/>
      <c r="F28619" s="21"/>
      <c r="G28619" s="16"/>
    </row>
    <row r="28620" spans="4:7" ht="15" x14ac:dyDescent="0.3">
      <c r="D28620" s="25"/>
      <c r="F28620" s="21"/>
      <c r="G28620" s="16"/>
    </row>
    <row r="28621" spans="4:7" ht="15" x14ac:dyDescent="0.3">
      <c r="D28621" s="25"/>
      <c r="F28621" s="21"/>
      <c r="G28621" s="16"/>
    </row>
    <row r="28622" spans="4:7" ht="15" x14ac:dyDescent="0.3">
      <c r="D28622" s="25"/>
      <c r="F28622" s="21"/>
      <c r="G28622" s="16"/>
    </row>
    <row r="28623" spans="4:7" ht="15" x14ac:dyDescent="0.3">
      <c r="D28623" s="25"/>
      <c r="F28623" s="21"/>
      <c r="G28623" s="16"/>
    </row>
    <row r="28624" spans="4:7" ht="15" x14ac:dyDescent="0.3">
      <c r="D28624" s="25"/>
      <c r="F28624" s="21"/>
      <c r="G28624" s="16"/>
    </row>
    <row r="28625" spans="4:7" ht="15" x14ac:dyDescent="0.3">
      <c r="D28625" s="25"/>
      <c r="F28625" s="21"/>
      <c r="G28625" s="16"/>
    </row>
    <row r="28626" spans="4:7" ht="15" x14ac:dyDescent="0.3">
      <c r="D28626" s="25"/>
      <c r="F28626" s="21"/>
      <c r="G28626" s="16"/>
    </row>
    <row r="28627" spans="4:7" ht="15" x14ac:dyDescent="0.3">
      <c r="D28627" s="25"/>
      <c r="F28627" s="21"/>
      <c r="G28627" s="16"/>
    </row>
    <row r="28628" spans="4:7" ht="15" x14ac:dyDescent="0.3">
      <c r="D28628" s="25"/>
      <c r="F28628" s="21"/>
      <c r="G28628" s="16"/>
    </row>
    <row r="28629" spans="4:7" ht="15" x14ac:dyDescent="0.3">
      <c r="D28629" s="25"/>
      <c r="F28629" s="21"/>
      <c r="G28629" s="16"/>
    </row>
    <row r="28630" spans="4:7" ht="15" x14ac:dyDescent="0.3">
      <c r="D28630" s="25"/>
      <c r="F28630" s="21"/>
      <c r="G28630" s="16"/>
    </row>
    <row r="28631" spans="4:7" ht="15" x14ac:dyDescent="0.3">
      <c r="D28631" s="25"/>
      <c r="F28631" s="21"/>
      <c r="G28631" s="16"/>
    </row>
    <row r="28632" spans="4:7" ht="15" x14ac:dyDescent="0.3">
      <c r="D28632" s="25"/>
      <c r="F28632" s="21"/>
      <c r="G28632" s="16"/>
    </row>
    <row r="28633" spans="4:7" ht="15" x14ac:dyDescent="0.3">
      <c r="D28633" s="25"/>
      <c r="F28633" s="21"/>
      <c r="G28633" s="16"/>
    </row>
    <row r="28634" spans="4:7" ht="15" x14ac:dyDescent="0.3">
      <c r="D28634" s="25"/>
      <c r="F28634" s="21"/>
      <c r="G28634" s="16"/>
    </row>
    <row r="28635" spans="4:7" ht="15" x14ac:dyDescent="0.3">
      <c r="D28635" s="25"/>
      <c r="F28635" s="21"/>
      <c r="G28635" s="16"/>
    </row>
    <row r="28636" spans="4:7" ht="15" x14ac:dyDescent="0.3">
      <c r="D28636" s="25"/>
      <c r="F28636" s="21"/>
      <c r="G28636" s="16"/>
    </row>
    <row r="28637" spans="4:7" ht="15" x14ac:dyDescent="0.3">
      <c r="D28637" s="25"/>
      <c r="F28637" s="21"/>
      <c r="G28637" s="16"/>
    </row>
    <row r="28638" spans="4:7" ht="15" x14ac:dyDescent="0.3">
      <c r="D28638" s="25"/>
      <c r="F28638" s="21"/>
      <c r="G28638" s="16"/>
    </row>
    <row r="28639" spans="4:7" ht="15" x14ac:dyDescent="0.3">
      <c r="D28639" s="25"/>
      <c r="F28639" s="21"/>
      <c r="G28639" s="16"/>
    </row>
    <row r="28640" spans="4:7" ht="15" x14ac:dyDescent="0.3">
      <c r="D28640" s="25"/>
      <c r="F28640" s="21"/>
      <c r="G28640" s="16"/>
    </row>
    <row r="28641" spans="4:7" ht="15" x14ac:dyDescent="0.3">
      <c r="D28641" s="25"/>
      <c r="F28641" s="21"/>
      <c r="G28641" s="16"/>
    </row>
    <row r="28642" spans="4:7" ht="15" x14ac:dyDescent="0.3">
      <c r="D28642" s="25"/>
      <c r="F28642" s="21"/>
      <c r="G28642" s="16"/>
    </row>
    <row r="28643" spans="4:7" ht="15" x14ac:dyDescent="0.3">
      <c r="D28643" s="25"/>
      <c r="F28643" s="21"/>
      <c r="G28643" s="16"/>
    </row>
    <row r="28644" spans="4:7" ht="15" x14ac:dyDescent="0.3">
      <c r="D28644" s="25"/>
      <c r="F28644" s="21"/>
      <c r="G28644" s="16"/>
    </row>
    <row r="28645" spans="4:7" ht="15" x14ac:dyDescent="0.3">
      <c r="D28645" s="25"/>
      <c r="F28645" s="21"/>
      <c r="G28645" s="16"/>
    </row>
    <row r="28646" spans="4:7" ht="15" x14ac:dyDescent="0.3">
      <c r="D28646" s="25"/>
      <c r="F28646" s="21"/>
      <c r="G28646" s="16"/>
    </row>
    <row r="28647" spans="4:7" ht="15" x14ac:dyDescent="0.3">
      <c r="D28647" s="25"/>
      <c r="F28647" s="21"/>
      <c r="G28647" s="16"/>
    </row>
    <row r="28648" spans="4:7" ht="15" x14ac:dyDescent="0.3">
      <c r="D28648" s="25"/>
      <c r="F28648" s="21"/>
      <c r="G28648" s="16"/>
    </row>
    <row r="28649" spans="4:7" ht="15" x14ac:dyDescent="0.3">
      <c r="D28649" s="25"/>
      <c r="F28649" s="21"/>
      <c r="G28649" s="16"/>
    </row>
    <row r="28650" spans="4:7" ht="15" x14ac:dyDescent="0.3">
      <c r="D28650" s="25"/>
      <c r="F28650" s="21"/>
      <c r="G28650" s="16"/>
    </row>
    <row r="28651" spans="4:7" ht="15" x14ac:dyDescent="0.3">
      <c r="D28651" s="25"/>
      <c r="F28651" s="21"/>
      <c r="G28651" s="16"/>
    </row>
    <row r="28652" spans="4:7" ht="15" x14ac:dyDescent="0.3">
      <c r="D28652" s="25"/>
      <c r="F28652" s="21"/>
      <c r="G28652" s="16"/>
    </row>
    <row r="28653" spans="4:7" ht="15" x14ac:dyDescent="0.3">
      <c r="D28653" s="25"/>
      <c r="F28653" s="21"/>
      <c r="G28653" s="16"/>
    </row>
    <row r="28654" spans="4:7" ht="15" x14ac:dyDescent="0.3">
      <c r="D28654" s="25"/>
      <c r="F28654" s="21"/>
      <c r="G28654" s="16"/>
    </row>
    <row r="28655" spans="4:7" ht="15" x14ac:dyDescent="0.3">
      <c r="D28655" s="25"/>
      <c r="F28655" s="21"/>
      <c r="G28655" s="16"/>
    </row>
    <row r="28656" spans="4:7" ht="15" x14ac:dyDescent="0.3">
      <c r="D28656" s="25"/>
      <c r="F28656" s="21"/>
      <c r="G28656" s="16"/>
    </row>
    <row r="28657" spans="4:7" ht="15" x14ac:dyDescent="0.3">
      <c r="D28657" s="25"/>
      <c r="F28657" s="21"/>
      <c r="G28657" s="16"/>
    </row>
    <row r="28658" spans="4:7" ht="15" x14ac:dyDescent="0.3">
      <c r="D28658" s="25"/>
      <c r="F28658" s="21"/>
      <c r="G28658" s="16"/>
    </row>
    <row r="28659" spans="4:7" ht="15" x14ac:dyDescent="0.3">
      <c r="D28659" s="25"/>
      <c r="F28659" s="21"/>
      <c r="G28659" s="16"/>
    </row>
    <row r="28660" spans="4:7" ht="15" x14ac:dyDescent="0.3">
      <c r="D28660" s="25"/>
      <c r="F28660" s="21"/>
      <c r="G28660" s="16"/>
    </row>
    <row r="28661" spans="4:7" ht="15" x14ac:dyDescent="0.3">
      <c r="D28661" s="25"/>
      <c r="F28661" s="21"/>
      <c r="G28661" s="16"/>
    </row>
    <row r="28662" spans="4:7" ht="15" x14ac:dyDescent="0.3">
      <c r="D28662" s="25"/>
      <c r="F28662" s="21"/>
      <c r="G28662" s="16"/>
    </row>
    <row r="28663" spans="4:7" ht="15" x14ac:dyDescent="0.3">
      <c r="D28663" s="25"/>
      <c r="F28663" s="21"/>
      <c r="G28663" s="16"/>
    </row>
    <row r="28664" spans="4:7" ht="15" x14ac:dyDescent="0.3">
      <c r="D28664" s="25"/>
      <c r="F28664" s="21"/>
      <c r="G28664" s="16"/>
    </row>
    <row r="28665" spans="4:7" ht="15" x14ac:dyDescent="0.3">
      <c r="D28665" s="25"/>
      <c r="F28665" s="21"/>
      <c r="G28665" s="16"/>
    </row>
    <row r="28666" spans="4:7" ht="15" x14ac:dyDescent="0.3">
      <c r="D28666" s="25"/>
      <c r="F28666" s="21"/>
      <c r="G28666" s="16"/>
    </row>
    <row r="28667" spans="4:7" ht="15" x14ac:dyDescent="0.3">
      <c r="D28667" s="25"/>
      <c r="F28667" s="21"/>
      <c r="G28667" s="16"/>
    </row>
    <row r="28668" spans="4:7" ht="15" x14ac:dyDescent="0.3">
      <c r="D28668" s="25"/>
      <c r="F28668" s="21"/>
      <c r="G28668" s="16"/>
    </row>
    <row r="28669" spans="4:7" ht="15" x14ac:dyDescent="0.3">
      <c r="D28669" s="25"/>
      <c r="F28669" s="21"/>
      <c r="G28669" s="16"/>
    </row>
    <row r="28670" spans="4:7" ht="15" x14ac:dyDescent="0.3">
      <c r="D28670" s="25"/>
      <c r="F28670" s="21"/>
      <c r="G28670" s="16"/>
    </row>
    <row r="28671" spans="4:7" ht="15" x14ac:dyDescent="0.3">
      <c r="D28671" s="25"/>
      <c r="F28671" s="21"/>
      <c r="G28671" s="16"/>
    </row>
    <row r="28672" spans="4:7" ht="15" x14ac:dyDescent="0.3">
      <c r="D28672" s="25"/>
      <c r="F28672" s="21"/>
      <c r="G28672" s="16"/>
    </row>
    <row r="28673" spans="4:7" ht="15" x14ac:dyDescent="0.3">
      <c r="D28673" s="25"/>
      <c r="F28673" s="21"/>
      <c r="G28673" s="16"/>
    </row>
    <row r="28674" spans="4:7" ht="15" x14ac:dyDescent="0.3">
      <c r="D28674" s="25"/>
      <c r="F28674" s="21"/>
      <c r="G28674" s="16"/>
    </row>
    <row r="28675" spans="4:7" ht="15" x14ac:dyDescent="0.3">
      <c r="D28675" s="25"/>
      <c r="F28675" s="21"/>
      <c r="G28675" s="16"/>
    </row>
    <row r="28676" spans="4:7" ht="15" x14ac:dyDescent="0.3">
      <c r="D28676" s="25"/>
      <c r="F28676" s="21"/>
      <c r="G28676" s="16"/>
    </row>
    <row r="28677" spans="4:7" ht="15" x14ac:dyDescent="0.3">
      <c r="D28677" s="25"/>
      <c r="F28677" s="21"/>
      <c r="G28677" s="16"/>
    </row>
    <row r="28678" spans="4:7" ht="15" x14ac:dyDescent="0.3">
      <c r="D28678" s="25"/>
      <c r="F28678" s="21"/>
      <c r="G28678" s="16"/>
    </row>
    <row r="28679" spans="4:7" ht="15" x14ac:dyDescent="0.3">
      <c r="D28679" s="25"/>
      <c r="F28679" s="21"/>
      <c r="G28679" s="16"/>
    </row>
    <row r="28680" spans="4:7" ht="15" x14ac:dyDescent="0.3">
      <c r="D28680" s="25"/>
      <c r="F28680" s="21"/>
      <c r="G28680" s="16"/>
    </row>
    <row r="28681" spans="4:7" ht="15" x14ac:dyDescent="0.3">
      <c r="D28681" s="25"/>
      <c r="F28681" s="21"/>
      <c r="G28681" s="16"/>
    </row>
    <row r="28682" spans="4:7" ht="15" x14ac:dyDescent="0.3">
      <c r="D28682" s="25"/>
      <c r="F28682" s="21"/>
      <c r="G28682" s="16"/>
    </row>
    <row r="28683" spans="4:7" ht="15" x14ac:dyDescent="0.3">
      <c r="D28683" s="25"/>
      <c r="F28683" s="21"/>
      <c r="G28683" s="16"/>
    </row>
    <row r="28684" spans="4:7" ht="15" x14ac:dyDescent="0.3">
      <c r="D28684" s="25"/>
      <c r="F28684" s="21"/>
      <c r="G28684" s="16"/>
    </row>
    <row r="28685" spans="4:7" ht="15" x14ac:dyDescent="0.3">
      <c r="D28685" s="25"/>
      <c r="F28685" s="21"/>
      <c r="G28685" s="16"/>
    </row>
    <row r="28686" spans="4:7" ht="15" x14ac:dyDescent="0.3">
      <c r="D28686" s="25"/>
      <c r="F28686" s="21"/>
      <c r="G28686" s="16"/>
    </row>
    <row r="28687" spans="4:7" ht="15" x14ac:dyDescent="0.3">
      <c r="D28687" s="25"/>
      <c r="F28687" s="21"/>
      <c r="G28687" s="16"/>
    </row>
    <row r="28688" spans="4:7" ht="15" x14ac:dyDescent="0.3">
      <c r="D28688" s="25"/>
      <c r="F28688" s="21"/>
      <c r="G28688" s="16"/>
    </row>
    <row r="28689" spans="4:7" ht="15" x14ac:dyDescent="0.3">
      <c r="D28689" s="25"/>
      <c r="F28689" s="21"/>
      <c r="G28689" s="16"/>
    </row>
    <row r="28690" spans="4:7" ht="15" x14ac:dyDescent="0.3">
      <c r="D28690" s="25"/>
      <c r="F28690" s="21"/>
      <c r="G28690" s="16"/>
    </row>
    <row r="28691" spans="4:7" ht="15" x14ac:dyDescent="0.3">
      <c r="D28691" s="25"/>
      <c r="F28691" s="21"/>
      <c r="G28691" s="16"/>
    </row>
    <row r="28692" spans="4:7" ht="15" x14ac:dyDescent="0.3">
      <c r="D28692" s="25"/>
      <c r="F28692" s="21"/>
      <c r="G28692" s="16"/>
    </row>
    <row r="28693" spans="4:7" ht="15" x14ac:dyDescent="0.3">
      <c r="D28693" s="25"/>
      <c r="F28693" s="21"/>
      <c r="G28693" s="16"/>
    </row>
    <row r="28694" spans="4:7" ht="15" x14ac:dyDescent="0.3">
      <c r="D28694" s="25"/>
      <c r="F28694" s="21"/>
      <c r="G28694" s="16"/>
    </row>
    <row r="28695" spans="4:7" ht="15" x14ac:dyDescent="0.3">
      <c r="D28695" s="25"/>
      <c r="F28695" s="21"/>
      <c r="G28695" s="16"/>
    </row>
    <row r="28696" spans="4:7" ht="15" x14ac:dyDescent="0.3">
      <c r="D28696" s="25"/>
      <c r="F28696" s="21"/>
      <c r="G28696" s="16"/>
    </row>
    <row r="28697" spans="4:7" ht="15" x14ac:dyDescent="0.3">
      <c r="D28697" s="25"/>
      <c r="F28697" s="21"/>
      <c r="G28697" s="16"/>
    </row>
    <row r="28698" spans="4:7" ht="15" x14ac:dyDescent="0.3">
      <c r="D28698" s="25"/>
      <c r="F28698" s="21"/>
      <c r="G28698" s="16"/>
    </row>
    <row r="28699" spans="4:7" ht="15" x14ac:dyDescent="0.3">
      <c r="D28699" s="25"/>
      <c r="F28699" s="21"/>
      <c r="G28699" s="16"/>
    </row>
    <row r="28700" spans="4:7" ht="15" x14ac:dyDescent="0.3">
      <c r="D28700" s="25"/>
      <c r="F28700" s="21"/>
      <c r="G28700" s="16"/>
    </row>
    <row r="28701" spans="4:7" ht="15" x14ac:dyDescent="0.3">
      <c r="D28701" s="25"/>
      <c r="F28701" s="21"/>
      <c r="G28701" s="16"/>
    </row>
    <row r="28702" spans="4:7" ht="15" x14ac:dyDescent="0.3">
      <c r="D28702" s="25"/>
      <c r="F28702" s="21"/>
      <c r="G28702" s="16"/>
    </row>
    <row r="28703" spans="4:7" ht="15" x14ac:dyDescent="0.3">
      <c r="D28703" s="25"/>
      <c r="F28703" s="21"/>
      <c r="G28703" s="16"/>
    </row>
    <row r="28704" spans="4:7" ht="15" x14ac:dyDescent="0.3">
      <c r="D28704" s="25"/>
      <c r="F28704" s="21"/>
      <c r="G28704" s="16"/>
    </row>
    <row r="28705" spans="4:7" ht="15" x14ac:dyDescent="0.3">
      <c r="D28705" s="25"/>
      <c r="F28705" s="21"/>
      <c r="G28705" s="16"/>
    </row>
    <row r="28706" spans="4:7" ht="15" x14ac:dyDescent="0.3">
      <c r="D28706" s="25"/>
      <c r="F28706" s="21"/>
      <c r="G28706" s="16"/>
    </row>
    <row r="28707" spans="4:7" ht="15" x14ac:dyDescent="0.3">
      <c r="D28707" s="25"/>
      <c r="F28707" s="21"/>
      <c r="G28707" s="16"/>
    </row>
    <row r="28708" spans="4:7" ht="15" x14ac:dyDescent="0.3">
      <c r="D28708" s="25"/>
      <c r="F28708" s="21"/>
      <c r="G28708" s="16"/>
    </row>
    <row r="28709" spans="4:7" ht="15" x14ac:dyDescent="0.3">
      <c r="D28709" s="25"/>
      <c r="F28709" s="21"/>
      <c r="G28709" s="16"/>
    </row>
    <row r="28710" spans="4:7" ht="15" x14ac:dyDescent="0.3">
      <c r="D28710" s="25"/>
      <c r="F28710" s="21"/>
      <c r="G28710" s="16"/>
    </row>
    <row r="28711" spans="4:7" ht="15" x14ac:dyDescent="0.3">
      <c r="D28711" s="25"/>
      <c r="F28711" s="21"/>
      <c r="G28711" s="16"/>
    </row>
    <row r="28712" spans="4:7" ht="15" x14ac:dyDescent="0.3">
      <c r="D28712" s="25"/>
      <c r="F28712" s="21"/>
      <c r="G28712" s="16"/>
    </row>
    <row r="28713" spans="4:7" ht="15" x14ac:dyDescent="0.3">
      <c r="D28713" s="25"/>
      <c r="F28713" s="21"/>
      <c r="G28713" s="16"/>
    </row>
    <row r="28714" spans="4:7" ht="15" x14ac:dyDescent="0.3">
      <c r="D28714" s="25"/>
      <c r="F28714" s="21"/>
      <c r="G28714" s="16"/>
    </row>
    <row r="28715" spans="4:7" ht="15" x14ac:dyDescent="0.3">
      <c r="D28715" s="25"/>
      <c r="F28715" s="21"/>
      <c r="G28715" s="16"/>
    </row>
    <row r="28716" spans="4:7" ht="15" x14ac:dyDescent="0.3">
      <c r="D28716" s="25"/>
      <c r="F28716" s="21"/>
      <c r="G28716" s="16"/>
    </row>
    <row r="28717" spans="4:7" ht="15" x14ac:dyDescent="0.3">
      <c r="D28717" s="25"/>
      <c r="F28717" s="21"/>
      <c r="G28717" s="16"/>
    </row>
    <row r="28718" spans="4:7" ht="15" x14ac:dyDescent="0.3">
      <c r="D28718" s="25"/>
      <c r="F28718" s="21"/>
      <c r="G28718" s="16"/>
    </row>
    <row r="28719" spans="4:7" ht="15" x14ac:dyDescent="0.3">
      <c r="D28719" s="25"/>
      <c r="F28719" s="21"/>
      <c r="G28719" s="16"/>
    </row>
    <row r="28720" spans="4:7" ht="15" x14ac:dyDescent="0.3">
      <c r="D28720" s="25"/>
      <c r="F28720" s="21"/>
      <c r="G28720" s="16"/>
    </row>
    <row r="28721" spans="4:7" ht="15" x14ac:dyDescent="0.3">
      <c r="D28721" s="25"/>
      <c r="F28721" s="21"/>
      <c r="G28721" s="16"/>
    </row>
    <row r="28722" spans="4:7" ht="15" x14ac:dyDescent="0.3">
      <c r="D28722" s="25"/>
      <c r="F28722" s="21"/>
      <c r="G28722" s="16"/>
    </row>
    <row r="28723" spans="4:7" ht="15" x14ac:dyDescent="0.3">
      <c r="D28723" s="25"/>
      <c r="F28723" s="21"/>
      <c r="G28723" s="16"/>
    </row>
    <row r="28724" spans="4:7" ht="15" x14ac:dyDescent="0.3">
      <c r="D28724" s="25"/>
      <c r="F28724" s="21"/>
      <c r="G28724" s="16"/>
    </row>
    <row r="28725" spans="4:7" ht="15" x14ac:dyDescent="0.3">
      <c r="D28725" s="25"/>
      <c r="F28725" s="21"/>
      <c r="G28725" s="16"/>
    </row>
    <row r="28726" spans="4:7" ht="15" x14ac:dyDescent="0.3">
      <c r="D28726" s="25"/>
      <c r="F28726" s="21"/>
      <c r="G28726" s="16"/>
    </row>
    <row r="28727" spans="4:7" ht="15" x14ac:dyDescent="0.3">
      <c r="D28727" s="25"/>
      <c r="F28727" s="21"/>
      <c r="G28727" s="16"/>
    </row>
    <row r="28728" spans="4:7" ht="15" x14ac:dyDescent="0.3">
      <c r="D28728" s="25"/>
      <c r="F28728" s="21"/>
      <c r="G28728" s="16"/>
    </row>
    <row r="28729" spans="4:7" ht="15" x14ac:dyDescent="0.3">
      <c r="D28729" s="25"/>
      <c r="F28729" s="21"/>
      <c r="G28729" s="16"/>
    </row>
    <row r="28730" spans="4:7" ht="15" x14ac:dyDescent="0.3">
      <c r="D28730" s="25"/>
      <c r="F28730" s="21"/>
      <c r="G28730" s="16"/>
    </row>
    <row r="28731" spans="4:7" ht="15" x14ac:dyDescent="0.3">
      <c r="D28731" s="25"/>
      <c r="F28731" s="21"/>
      <c r="G28731" s="16"/>
    </row>
    <row r="28732" spans="4:7" ht="15" x14ac:dyDescent="0.3">
      <c r="D28732" s="25"/>
      <c r="F28732" s="21"/>
      <c r="G28732" s="16"/>
    </row>
    <row r="28733" spans="4:7" ht="15" x14ac:dyDescent="0.3">
      <c r="D28733" s="25"/>
      <c r="F28733" s="21"/>
      <c r="G28733" s="16"/>
    </row>
    <row r="28734" spans="4:7" ht="15" x14ac:dyDescent="0.3">
      <c r="D28734" s="25"/>
      <c r="F28734" s="21"/>
      <c r="G28734" s="16"/>
    </row>
    <row r="28735" spans="4:7" ht="15" x14ac:dyDescent="0.3">
      <c r="D28735" s="25"/>
      <c r="F28735" s="21"/>
      <c r="G28735" s="16"/>
    </row>
    <row r="28736" spans="4:7" ht="15" x14ac:dyDescent="0.3">
      <c r="D28736" s="25"/>
      <c r="F28736" s="21"/>
      <c r="G28736" s="16"/>
    </row>
    <row r="28737" spans="4:7" ht="15" x14ac:dyDescent="0.3">
      <c r="D28737" s="25"/>
      <c r="F28737" s="21"/>
      <c r="G28737" s="16"/>
    </row>
    <row r="28738" spans="4:7" ht="15" x14ac:dyDescent="0.3">
      <c r="D28738" s="25"/>
      <c r="F28738" s="21"/>
      <c r="G28738" s="16"/>
    </row>
    <row r="28739" spans="4:7" ht="15" x14ac:dyDescent="0.3">
      <c r="D28739" s="25"/>
      <c r="F28739" s="21"/>
      <c r="G28739" s="16"/>
    </row>
    <row r="28740" spans="4:7" ht="15" x14ac:dyDescent="0.3">
      <c r="D28740" s="25"/>
      <c r="F28740" s="21"/>
      <c r="G28740" s="16"/>
    </row>
    <row r="28741" spans="4:7" ht="15" x14ac:dyDescent="0.3">
      <c r="D28741" s="25"/>
      <c r="F28741" s="21"/>
      <c r="G28741" s="16"/>
    </row>
    <row r="28742" spans="4:7" ht="15" x14ac:dyDescent="0.3">
      <c r="D28742" s="25"/>
      <c r="F28742" s="21"/>
      <c r="G28742" s="16"/>
    </row>
    <row r="28743" spans="4:7" ht="15" x14ac:dyDescent="0.3">
      <c r="D28743" s="25"/>
      <c r="F28743" s="21"/>
      <c r="G28743" s="16"/>
    </row>
    <row r="28744" spans="4:7" ht="15" x14ac:dyDescent="0.3">
      <c r="D28744" s="25"/>
      <c r="F28744" s="21"/>
      <c r="G28744" s="16"/>
    </row>
    <row r="28745" spans="4:7" ht="15" x14ac:dyDescent="0.3">
      <c r="D28745" s="25"/>
      <c r="F28745" s="21"/>
      <c r="G28745" s="16"/>
    </row>
    <row r="28746" spans="4:7" ht="15" x14ac:dyDescent="0.3">
      <c r="D28746" s="25"/>
      <c r="F28746" s="21"/>
      <c r="G28746" s="16"/>
    </row>
    <row r="28747" spans="4:7" ht="15" x14ac:dyDescent="0.3">
      <c r="D28747" s="25"/>
      <c r="F28747" s="21"/>
      <c r="G28747" s="16"/>
    </row>
    <row r="28748" spans="4:7" ht="15" x14ac:dyDescent="0.3">
      <c r="D28748" s="25"/>
      <c r="F28748" s="21"/>
      <c r="G28748" s="16"/>
    </row>
    <row r="28749" spans="4:7" ht="15" x14ac:dyDescent="0.3">
      <c r="D28749" s="25"/>
      <c r="F28749" s="21"/>
      <c r="G28749" s="16"/>
    </row>
    <row r="28750" spans="4:7" ht="15" x14ac:dyDescent="0.3">
      <c r="D28750" s="25"/>
      <c r="F28750" s="21"/>
      <c r="G28750" s="16"/>
    </row>
    <row r="28751" spans="4:7" ht="15" x14ac:dyDescent="0.3">
      <c r="D28751" s="25"/>
      <c r="F28751" s="21"/>
      <c r="G28751" s="16"/>
    </row>
    <row r="28752" spans="4:7" ht="15" x14ac:dyDescent="0.3">
      <c r="D28752" s="25"/>
      <c r="F28752" s="21"/>
      <c r="G28752" s="16"/>
    </row>
    <row r="28753" spans="4:7" ht="15" x14ac:dyDescent="0.3">
      <c r="D28753" s="25"/>
      <c r="F28753" s="21"/>
      <c r="G28753" s="16"/>
    </row>
    <row r="28754" spans="4:7" ht="15" x14ac:dyDescent="0.3">
      <c r="D28754" s="25"/>
      <c r="F28754" s="21"/>
      <c r="G28754" s="16"/>
    </row>
    <row r="28755" spans="4:7" ht="15" x14ac:dyDescent="0.3">
      <c r="D28755" s="25"/>
      <c r="F28755" s="21"/>
      <c r="G28755" s="16"/>
    </row>
    <row r="28756" spans="4:7" ht="15" x14ac:dyDescent="0.3">
      <c r="D28756" s="25"/>
      <c r="F28756" s="21"/>
      <c r="G28756" s="16"/>
    </row>
    <row r="28757" spans="4:7" ht="15" x14ac:dyDescent="0.3">
      <c r="D28757" s="25"/>
      <c r="F28757" s="21"/>
      <c r="G28757" s="16"/>
    </row>
    <row r="28758" spans="4:7" ht="15" x14ac:dyDescent="0.3">
      <c r="D28758" s="25"/>
      <c r="F28758" s="21"/>
      <c r="G28758" s="16"/>
    </row>
    <row r="28759" spans="4:7" ht="15" x14ac:dyDescent="0.3">
      <c r="D28759" s="25"/>
      <c r="F28759" s="21"/>
      <c r="G28759" s="16"/>
    </row>
    <row r="28760" spans="4:7" ht="15" x14ac:dyDescent="0.3">
      <c r="D28760" s="25"/>
      <c r="F28760" s="21"/>
      <c r="G28760" s="16"/>
    </row>
    <row r="28761" spans="4:7" ht="15" x14ac:dyDescent="0.3">
      <c r="D28761" s="25"/>
      <c r="F28761" s="21"/>
      <c r="G28761" s="16"/>
    </row>
    <row r="28762" spans="4:7" ht="15" x14ac:dyDescent="0.3">
      <c r="D28762" s="25"/>
      <c r="F28762" s="21"/>
      <c r="G28762" s="16"/>
    </row>
    <row r="28763" spans="4:7" ht="15" x14ac:dyDescent="0.3">
      <c r="D28763" s="25"/>
      <c r="F28763" s="21"/>
      <c r="G28763" s="16"/>
    </row>
    <row r="28764" spans="4:7" ht="15" x14ac:dyDescent="0.3">
      <c r="D28764" s="25"/>
      <c r="F28764" s="21"/>
      <c r="G28764" s="16"/>
    </row>
    <row r="28765" spans="4:7" ht="15" x14ac:dyDescent="0.3">
      <c r="D28765" s="25"/>
      <c r="F28765" s="21"/>
      <c r="G28765" s="16"/>
    </row>
    <row r="28766" spans="4:7" ht="15" x14ac:dyDescent="0.3">
      <c r="D28766" s="25"/>
      <c r="F28766" s="21"/>
      <c r="G28766" s="16"/>
    </row>
    <row r="28767" spans="4:7" ht="15" x14ac:dyDescent="0.3">
      <c r="D28767" s="25"/>
      <c r="F28767" s="21"/>
      <c r="G28767" s="16"/>
    </row>
    <row r="28768" spans="4:7" ht="15" x14ac:dyDescent="0.3">
      <c r="D28768" s="25"/>
      <c r="F28768" s="21"/>
      <c r="G28768" s="16"/>
    </row>
    <row r="28769" spans="4:7" ht="15" x14ac:dyDescent="0.3">
      <c r="D28769" s="25"/>
      <c r="F28769" s="21"/>
      <c r="G28769" s="16"/>
    </row>
    <row r="28770" spans="4:7" ht="15" x14ac:dyDescent="0.3">
      <c r="D28770" s="25"/>
      <c r="F28770" s="21"/>
      <c r="G28770" s="16"/>
    </row>
    <row r="28771" spans="4:7" ht="15" x14ac:dyDescent="0.3">
      <c r="D28771" s="25"/>
      <c r="F28771" s="21"/>
      <c r="G28771" s="16"/>
    </row>
    <row r="28772" spans="4:7" ht="15" x14ac:dyDescent="0.3">
      <c r="D28772" s="25"/>
      <c r="F28772" s="21"/>
      <c r="G28772" s="16"/>
    </row>
    <row r="28773" spans="4:7" ht="15" x14ac:dyDescent="0.3">
      <c r="D28773" s="25"/>
      <c r="F28773" s="21"/>
      <c r="G28773" s="16"/>
    </row>
    <row r="28774" spans="4:7" ht="15" x14ac:dyDescent="0.3">
      <c r="D28774" s="25"/>
      <c r="F28774" s="21"/>
      <c r="G28774" s="16"/>
    </row>
    <row r="28775" spans="4:7" ht="15" x14ac:dyDescent="0.3">
      <c r="D28775" s="25"/>
      <c r="F28775" s="21"/>
      <c r="G28775" s="16"/>
    </row>
    <row r="28776" spans="4:7" ht="15" x14ac:dyDescent="0.3">
      <c r="D28776" s="25"/>
      <c r="F28776" s="21"/>
      <c r="G28776" s="16"/>
    </row>
    <row r="28777" spans="4:7" ht="15" x14ac:dyDescent="0.3">
      <c r="D28777" s="25"/>
      <c r="F28777" s="21"/>
      <c r="G28777" s="16"/>
    </row>
    <row r="28778" spans="4:7" ht="15" x14ac:dyDescent="0.3">
      <c r="D28778" s="25"/>
      <c r="F28778" s="21"/>
      <c r="G28778" s="16"/>
    </row>
    <row r="28779" spans="4:7" ht="15" x14ac:dyDescent="0.3">
      <c r="D28779" s="25"/>
      <c r="F28779" s="21"/>
      <c r="G28779" s="16"/>
    </row>
    <row r="28780" spans="4:7" ht="15" x14ac:dyDescent="0.3">
      <c r="D28780" s="25"/>
      <c r="F28780" s="21"/>
      <c r="G28780" s="16"/>
    </row>
    <row r="28781" spans="4:7" ht="15" x14ac:dyDescent="0.3">
      <c r="D28781" s="25"/>
      <c r="F28781" s="21"/>
      <c r="G28781" s="16"/>
    </row>
    <row r="28782" spans="4:7" ht="15" x14ac:dyDescent="0.3">
      <c r="D28782" s="25"/>
      <c r="F28782" s="21"/>
      <c r="G28782" s="16"/>
    </row>
    <row r="28783" spans="4:7" ht="15" x14ac:dyDescent="0.3">
      <c r="D28783" s="25"/>
      <c r="F28783" s="21"/>
      <c r="G28783" s="16"/>
    </row>
    <row r="28784" spans="4:7" ht="15" x14ac:dyDescent="0.3">
      <c r="D28784" s="25"/>
      <c r="F28784" s="21"/>
      <c r="G28784" s="16"/>
    </row>
    <row r="28785" spans="4:7" ht="15" x14ac:dyDescent="0.3">
      <c r="D28785" s="25"/>
      <c r="F28785" s="21"/>
      <c r="G28785" s="16"/>
    </row>
    <row r="28786" spans="4:7" ht="15" x14ac:dyDescent="0.3">
      <c r="D28786" s="25"/>
      <c r="F28786" s="21"/>
      <c r="G28786" s="16"/>
    </row>
    <row r="28787" spans="4:7" ht="15" x14ac:dyDescent="0.3">
      <c r="D28787" s="25"/>
      <c r="F28787" s="21"/>
      <c r="G28787" s="16"/>
    </row>
    <row r="28788" spans="4:7" ht="15" x14ac:dyDescent="0.3">
      <c r="D28788" s="25"/>
      <c r="F28788" s="21"/>
      <c r="G28788" s="16"/>
    </row>
    <row r="28789" spans="4:7" ht="15" x14ac:dyDescent="0.3">
      <c r="D28789" s="25"/>
      <c r="F28789" s="21"/>
      <c r="G28789" s="16"/>
    </row>
    <row r="28790" spans="4:7" ht="15" x14ac:dyDescent="0.3">
      <c r="D28790" s="25"/>
      <c r="F28790" s="21"/>
      <c r="G28790" s="16"/>
    </row>
    <row r="28791" spans="4:7" ht="15" x14ac:dyDescent="0.3">
      <c r="D28791" s="25"/>
      <c r="F28791" s="21"/>
      <c r="G28791" s="16"/>
    </row>
    <row r="28792" spans="4:7" ht="15" x14ac:dyDescent="0.3">
      <c r="D28792" s="25"/>
      <c r="F28792" s="21"/>
      <c r="G28792" s="16"/>
    </row>
    <row r="28793" spans="4:7" ht="15" x14ac:dyDescent="0.3">
      <c r="D28793" s="25"/>
      <c r="F28793" s="21"/>
      <c r="G28793" s="16"/>
    </row>
    <row r="28794" spans="4:7" ht="15" x14ac:dyDescent="0.3">
      <c r="D28794" s="25"/>
      <c r="F28794" s="21"/>
      <c r="G28794" s="16"/>
    </row>
    <row r="28795" spans="4:7" ht="15" x14ac:dyDescent="0.3">
      <c r="D28795" s="25"/>
      <c r="F28795" s="21"/>
      <c r="G28795" s="16"/>
    </row>
    <row r="28796" spans="4:7" ht="15" x14ac:dyDescent="0.3">
      <c r="D28796" s="25"/>
      <c r="F28796" s="21"/>
      <c r="G28796" s="16"/>
    </row>
    <row r="28797" spans="4:7" ht="15" x14ac:dyDescent="0.3">
      <c r="D28797" s="25"/>
      <c r="F28797" s="21"/>
      <c r="G28797" s="16"/>
    </row>
    <row r="28798" spans="4:7" ht="15" x14ac:dyDescent="0.3">
      <c r="D28798" s="25"/>
      <c r="F28798" s="21"/>
      <c r="G28798" s="16"/>
    </row>
    <row r="28799" spans="4:7" ht="15" x14ac:dyDescent="0.3">
      <c r="D28799" s="25"/>
      <c r="F28799" s="21"/>
      <c r="G28799" s="16"/>
    </row>
    <row r="28800" spans="4:7" ht="15" x14ac:dyDescent="0.3">
      <c r="D28800" s="25"/>
      <c r="F28800" s="21"/>
      <c r="G28800" s="16"/>
    </row>
    <row r="28801" spans="4:7" ht="15" x14ac:dyDescent="0.3">
      <c r="D28801" s="25"/>
      <c r="F28801" s="21"/>
      <c r="G28801" s="16"/>
    </row>
    <row r="28802" spans="4:7" ht="15" x14ac:dyDescent="0.3">
      <c r="D28802" s="25"/>
      <c r="F28802" s="21"/>
      <c r="G28802" s="16"/>
    </row>
    <row r="28803" spans="4:7" ht="15" x14ac:dyDescent="0.3">
      <c r="D28803" s="25"/>
      <c r="F28803" s="21"/>
      <c r="G28803" s="16"/>
    </row>
    <row r="28804" spans="4:7" ht="15" x14ac:dyDescent="0.3">
      <c r="D28804" s="25"/>
      <c r="F28804" s="21"/>
      <c r="G28804" s="16"/>
    </row>
    <row r="28805" spans="4:7" ht="15" x14ac:dyDescent="0.3">
      <c r="D28805" s="25"/>
      <c r="F28805" s="21"/>
      <c r="G28805" s="16"/>
    </row>
    <row r="28806" spans="4:7" ht="15" x14ac:dyDescent="0.3">
      <c r="D28806" s="25"/>
      <c r="F28806" s="21"/>
      <c r="G28806" s="16"/>
    </row>
    <row r="28807" spans="4:7" ht="15" x14ac:dyDescent="0.3">
      <c r="D28807" s="25"/>
      <c r="F28807" s="21"/>
      <c r="G28807" s="16"/>
    </row>
    <row r="28808" spans="4:7" ht="15" x14ac:dyDescent="0.3">
      <c r="D28808" s="25"/>
      <c r="F28808" s="21"/>
      <c r="G28808" s="16"/>
    </row>
    <row r="28809" spans="4:7" ht="15" x14ac:dyDescent="0.3">
      <c r="D28809" s="25"/>
      <c r="F28809" s="21"/>
      <c r="G28809" s="16"/>
    </row>
    <row r="28810" spans="4:7" ht="15" x14ac:dyDescent="0.3">
      <c r="D28810" s="25"/>
      <c r="F28810" s="21"/>
      <c r="G28810" s="16"/>
    </row>
    <row r="28811" spans="4:7" ht="15" x14ac:dyDescent="0.3">
      <c r="D28811" s="25"/>
      <c r="F28811" s="21"/>
      <c r="G28811" s="16"/>
    </row>
    <row r="28812" spans="4:7" ht="15" x14ac:dyDescent="0.3">
      <c r="D28812" s="25"/>
      <c r="F28812" s="21"/>
      <c r="G28812" s="16"/>
    </row>
    <row r="28813" spans="4:7" ht="15" x14ac:dyDescent="0.3">
      <c r="D28813" s="25"/>
      <c r="F28813" s="21"/>
      <c r="G28813" s="16"/>
    </row>
    <row r="28814" spans="4:7" ht="15" x14ac:dyDescent="0.3">
      <c r="D28814" s="25"/>
      <c r="F28814" s="21"/>
      <c r="G28814" s="16"/>
    </row>
    <row r="28815" spans="4:7" ht="15" x14ac:dyDescent="0.3">
      <c r="D28815" s="25"/>
      <c r="F28815" s="21"/>
      <c r="G28815" s="16"/>
    </row>
    <row r="28816" spans="4:7" ht="15" x14ac:dyDescent="0.3">
      <c r="D28816" s="25"/>
      <c r="F28816" s="21"/>
      <c r="G28816" s="16"/>
    </row>
    <row r="28817" spans="4:7" ht="15" x14ac:dyDescent="0.3">
      <c r="D28817" s="25"/>
      <c r="F28817" s="21"/>
      <c r="G28817" s="16"/>
    </row>
    <row r="28818" spans="4:7" ht="15" x14ac:dyDescent="0.3">
      <c r="D28818" s="25"/>
      <c r="F28818" s="21"/>
      <c r="G28818" s="16"/>
    </row>
    <row r="28819" spans="4:7" ht="15" x14ac:dyDescent="0.3">
      <c r="D28819" s="25"/>
      <c r="F28819" s="21"/>
      <c r="G28819" s="16"/>
    </row>
    <row r="28820" spans="4:7" ht="15" x14ac:dyDescent="0.3">
      <c r="D28820" s="25"/>
      <c r="F28820" s="21"/>
      <c r="G28820" s="16"/>
    </row>
    <row r="28821" spans="4:7" ht="15" x14ac:dyDescent="0.3">
      <c r="D28821" s="25"/>
      <c r="F28821" s="21"/>
      <c r="G28821" s="16"/>
    </row>
    <row r="28822" spans="4:7" ht="15" x14ac:dyDescent="0.3">
      <c r="D28822" s="25"/>
      <c r="F28822" s="21"/>
      <c r="G28822" s="16"/>
    </row>
    <row r="28823" spans="4:7" ht="15" x14ac:dyDescent="0.3">
      <c r="D28823" s="25"/>
      <c r="F28823" s="21"/>
      <c r="G28823" s="16"/>
    </row>
    <row r="28824" spans="4:7" ht="15" x14ac:dyDescent="0.3">
      <c r="D28824" s="25"/>
      <c r="F28824" s="21"/>
      <c r="G28824" s="16"/>
    </row>
    <row r="28825" spans="4:7" ht="15" x14ac:dyDescent="0.3">
      <c r="D28825" s="25"/>
      <c r="F28825" s="21"/>
      <c r="G28825" s="16"/>
    </row>
    <row r="28826" spans="4:7" ht="15" x14ac:dyDescent="0.3">
      <c r="D28826" s="25"/>
      <c r="F28826" s="21"/>
      <c r="G28826" s="16"/>
    </row>
    <row r="28827" spans="4:7" ht="15" x14ac:dyDescent="0.3">
      <c r="D28827" s="25"/>
      <c r="F28827" s="21"/>
      <c r="G28827" s="16"/>
    </row>
    <row r="28828" spans="4:7" ht="15" x14ac:dyDescent="0.3">
      <c r="D28828" s="25"/>
      <c r="F28828" s="21"/>
      <c r="G28828" s="16"/>
    </row>
    <row r="28829" spans="4:7" ht="15" x14ac:dyDescent="0.3">
      <c r="D28829" s="25"/>
      <c r="F28829" s="21"/>
      <c r="G28829" s="16"/>
    </row>
    <row r="28830" spans="4:7" ht="15" x14ac:dyDescent="0.3">
      <c r="D28830" s="25"/>
      <c r="F28830" s="21"/>
      <c r="G28830" s="16"/>
    </row>
    <row r="28831" spans="4:7" ht="15" x14ac:dyDescent="0.3">
      <c r="D28831" s="25"/>
      <c r="F28831" s="21"/>
      <c r="G28831" s="16"/>
    </row>
    <row r="28832" spans="4:7" ht="15" x14ac:dyDescent="0.3">
      <c r="D28832" s="25"/>
      <c r="F28832" s="21"/>
      <c r="G28832" s="16"/>
    </row>
    <row r="28833" spans="4:7" ht="15" x14ac:dyDescent="0.3">
      <c r="D28833" s="25"/>
      <c r="F28833" s="21"/>
      <c r="G28833" s="16"/>
    </row>
    <row r="28834" spans="4:7" ht="15" x14ac:dyDescent="0.3">
      <c r="D28834" s="25"/>
      <c r="F28834" s="21"/>
      <c r="G28834" s="16"/>
    </row>
    <row r="28835" spans="4:7" ht="15" x14ac:dyDescent="0.3">
      <c r="D28835" s="25"/>
      <c r="F28835" s="21"/>
      <c r="G28835" s="16"/>
    </row>
    <row r="28836" spans="4:7" ht="15" x14ac:dyDescent="0.3">
      <c r="D28836" s="25"/>
      <c r="F28836" s="21"/>
      <c r="G28836" s="16"/>
    </row>
    <row r="28837" spans="4:7" ht="15" x14ac:dyDescent="0.3">
      <c r="D28837" s="25"/>
      <c r="F28837" s="21"/>
      <c r="G28837" s="16"/>
    </row>
    <row r="28838" spans="4:7" ht="15" x14ac:dyDescent="0.3">
      <c r="D28838" s="25"/>
      <c r="F28838" s="21"/>
      <c r="G28838" s="16"/>
    </row>
    <row r="28839" spans="4:7" ht="15" x14ac:dyDescent="0.3">
      <c r="D28839" s="25"/>
      <c r="F28839" s="21"/>
      <c r="G28839" s="16"/>
    </row>
    <row r="28840" spans="4:7" ht="15" x14ac:dyDescent="0.3">
      <c r="D28840" s="25"/>
      <c r="F28840" s="21"/>
      <c r="G28840" s="16"/>
    </row>
    <row r="28841" spans="4:7" ht="15" x14ac:dyDescent="0.3">
      <c r="D28841" s="25"/>
      <c r="F28841" s="21"/>
      <c r="G28841" s="16"/>
    </row>
    <row r="28842" spans="4:7" ht="15" x14ac:dyDescent="0.3">
      <c r="D28842" s="25"/>
      <c r="F28842" s="21"/>
      <c r="G28842" s="16"/>
    </row>
    <row r="28843" spans="4:7" ht="15" x14ac:dyDescent="0.3">
      <c r="D28843" s="25"/>
      <c r="F28843" s="21"/>
      <c r="G28843" s="16"/>
    </row>
    <row r="28844" spans="4:7" ht="15" x14ac:dyDescent="0.3">
      <c r="D28844" s="25"/>
      <c r="F28844" s="21"/>
      <c r="G28844" s="16"/>
    </row>
    <row r="28845" spans="4:7" ht="15" x14ac:dyDescent="0.3">
      <c r="D28845" s="25"/>
      <c r="F28845" s="21"/>
      <c r="G28845" s="16"/>
    </row>
    <row r="28846" spans="4:7" ht="15" x14ac:dyDescent="0.3">
      <c r="D28846" s="25"/>
      <c r="F28846" s="21"/>
      <c r="G28846" s="16"/>
    </row>
    <row r="28847" spans="4:7" ht="15" x14ac:dyDescent="0.3">
      <c r="D28847" s="25"/>
      <c r="F28847" s="21"/>
      <c r="G28847" s="16"/>
    </row>
    <row r="28848" spans="4:7" ht="15" x14ac:dyDescent="0.3">
      <c r="D28848" s="25"/>
      <c r="F28848" s="21"/>
      <c r="G28848" s="16"/>
    </row>
    <row r="28849" spans="4:7" ht="15" x14ac:dyDescent="0.3">
      <c r="D28849" s="25"/>
      <c r="F28849" s="21"/>
      <c r="G28849" s="16"/>
    </row>
    <row r="28850" spans="4:7" ht="15" x14ac:dyDescent="0.3">
      <c r="D28850" s="25"/>
      <c r="F28850" s="21"/>
      <c r="G28850" s="16"/>
    </row>
    <row r="28851" spans="4:7" ht="15" x14ac:dyDescent="0.3">
      <c r="D28851" s="25"/>
      <c r="F28851" s="21"/>
      <c r="G28851" s="16"/>
    </row>
    <row r="28852" spans="4:7" ht="15" x14ac:dyDescent="0.3">
      <c r="D28852" s="25"/>
      <c r="F28852" s="21"/>
      <c r="G28852" s="16"/>
    </row>
    <row r="28853" spans="4:7" ht="15" x14ac:dyDescent="0.3">
      <c r="D28853" s="25"/>
      <c r="F28853" s="21"/>
      <c r="G28853" s="16"/>
    </row>
    <row r="28854" spans="4:7" ht="15" x14ac:dyDescent="0.3">
      <c r="D28854" s="25"/>
      <c r="F28854" s="21"/>
      <c r="G28854" s="16"/>
    </row>
    <row r="28855" spans="4:7" ht="15" x14ac:dyDescent="0.3">
      <c r="D28855" s="25"/>
      <c r="F28855" s="21"/>
      <c r="G28855" s="16"/>
    </row>
    <row r="28856" spans="4:7" ht="15" x14ac:dyDescent="0.3">
      <c r="D28856" s="25"/>
      <c r="F28856" s="21"/>
      <c r="G28856" s="16"/>
    </row>
    <row r="28857" spans="4:7" ht="15" x14ac:dyDescent="0.3">
      <c r="D28857" s="25"/>
      <c r="F28857" s="21"/>
      <c r="G28857" s="16"/>
    </row>
    <row r="28858" spans="4:7" ht="15" x14ac:dyDescent="0.3">
      <c r="D28858" s="25"/>
      <c r="F28858" s="21"/>
      <c r="G28858" s="16"/>
    </row>
    <row r="28859" spans="4:7" ht="15" x14ac:dyDescent="0.3">
      <c r="D28859" s="25"/>
      <c r="F28859" s="21"/>
      <c r="G28859" s="16"/>
    </row>
    <row r="28860" spans="4:7" ht="15" x14ac:dyDescent="0.3">
      <c r="D28860" s="25"/>
      <c r="F28860" s="21"/>
      <c r="G28860" s="16"/>
    </row>
    <row r="28861" spans="4:7" ht="15" x14ac:dyDescent="0.3">
      <c r="D28861" s="25"/>
      <c r="F28861" s="21"/>
      <c r="G28861" s="16"/>
    </row>
    <row r="28862" spans="4:7" ht="15" x14ac:dyDescent="0.3">
      <c r="D28862" s="25"/>
      <c r="F28862" s="21"/>
      <c r="G28862" s="16"/>
    </row>
    <row r="28863" spans="4:7" ht="15" x14ac:dyDescent="0.3">
      <c r="D28863" s="25"/>
      <c r="F28863" s="21"/>
      <c r="G28863" s="16"/>
    </row>
    <row r="28864" spans="4:7" ht="15" x14ac:dyDescent="0.3">
      <c r="D28864" s="25"/>
      <c r="F28864" s="21"/>
      <c r="G28864" s="16"/>
    </row>
    <row r="28865" spans="4:7" ht="15" x14ac:dyDescent="0.3">
      <c r="D28865" s="25"/>
      <c r="F28865" s="21"/>
      <c r="G28865" s="16"/>
    </row>
    <row r="28866" spans="4:7" ht="15" x14ac:dyDescent="0.3">
      <c r="D28866" s="25"/>
      <c r="F28866" s="21"/>
      <c r="G28866" s="16"/>
    </row>
    <row r="28867" spans="4:7" ht="15" x14ac:dyDescent="0.3">
      <c r="D28867" s="25"/>
      <c r="F28867" s="21"/>
      <c r="G28867" s="16"/>
    </row>
    <row r="28868" spans="4:7" ht="15" x14ac:dyDescent="0.3">
      <c r="D28868" s="25"/>
      <c r="F28868" s="21"/>
      <c r="G28868" s="16"/>
    </row>
    <row r="28869" spans="4:7" ht="15" x14ac:dyDescent="0.3">
      <c r="D28869" s="25"/>
      <c r="F28869" s="21"/>
      <c r="G28869" s="16"/>
    </row>
    <row r="28870" spans="4:7" ht="15" x14ac:dyDescent="0.3">
      <c r="D28870" s="25"/>
      <c r="F28870" s="21"/>
      <c r="G28870" s="16"/>
    </row>
    <row r="28871" spans="4:7" ht="15" x14ac:dyDescent="0.3">
      <c r="D28871" s="25"/>
      <c r="F28871" s="21"/>
      <c r="G28871" s="16"/>
    </row>
    <row r="28872" spans="4:7" ht="15" x14ac:dyDescent="0.3">
      <c r="D28872" s="25"/>
      <c r="F28872" s="21"/>
      <c r="G28872" s="16"/>
    </row>
    <row r="28873" spans="4:7" ht="15" x14ac:dyDescent="0.3">
      <c r="D28873" s="25"/>
      <c r="F28873" s="21"/>
      <c r="G28873" s="16"/>
    </row>
    <row r="28874" spans="4:7" ht="15" x14ac:dyDescent="0.3">
      <c r="D28874" s="25"/>
      <c r="F28874" s="21"/>
      <c r="G28874" s="16"/>
    </row>
    <row r="28875" spans="4:7" ht="15" x14ac:dyDescent="0.3">
      <c r="D28875" s="25"/>
      <c r="F28875" s="21"/>
      <c r="G28875" s="16"/>
    </row>
    <row r="28876" spans="4:7" ht="15" x14ac:dyDescent="0.3">
      <c r="D28876" s="25"/>
      <c r="F28876" s="21"/>
      <c r="G28876" s="16"/>
    </row>
    <row r="28877" spans="4:7" ht="15" x14ac:dyDescent="0.3">
      <c r="D28877" s="25"/>
      <c r="F28877" s="21"/>
      <c r="G28877" s="16"/>
    </row>
    <row r="28878" spans="4:7" ht="15" x14ac:dyDescent="0.3">
      <c r="D28878" s="25"/>
      <c r="F28878" s="21"/>
      <c r="G28878" s="16"/>
    </row>
    <row r="28879" spans="4:7" ht="15" x14ac:dyDescent="0.3">
      <c r="D28879" s="25"/>
      <c r="F28879" s="21"/>
      <c r="G28879" s="16"/>
    </row>
    <row r="28880" spans="4:7" ht="15" x14ac:dyDescent="0.3">
      <c r="D28880" s="25"/>
      <c r="F28880" s="21"/>
      <c r="G28880" s="16"/>
    </row>
    <row r="28881" spans="4:7" ht="15" x14ac:dyDescent="0.3">
      <c r="D28881" s="25"/>
      <c r="F28881" s="21"/>
      <c r="G28881" s="16"/>
    </row>
    <row r="28882" spans="4:7" ht="15" x14ac:dyDescent="0.3">
      <c r="D28882" s="25"/>
      <c r="F28882" s="21"/>
      <c r="G28882" s="16"/>
    </row>
    <row r="28883" spans="4:7" ht="15" x14ac:dyDescent="0.3">
      <c r="D28883" s="25"/>
      <c r="F28883" s="21"/>
      <c r="G28883" s="16"/>
    </row>
    <row r="28884" spans="4:7" ht="15" x14ac:dyDescent="0.3">
      <c r="D28884" s="25"/>
      <c r="F28884" s="21"/>
      <c r="G28884" s="16"/>
    </row>
    <row r="28885" spans="4:7" ht="15" x14ac:dyDescent="0.3">
      <c r="D28885" s="25"/>
      <c r="F28885" s="21"/>
      <c r="G28885" s="16"/>
    </row>
    <row r="28886" spans="4:7" ht="15" x14ac:dyDescent="0.3">
      <c r="D28886" s="25"/>
      <c r="F28886" s="21"/>
      <c r="G28886" s="16"/>
    </row>
    <row r="28887" spans="4:7" ht="15" x14ac:dyDescent="0.3">
      <c r="D28887" s="25"/>
      <c r="F28887" s="21"/>
      <c r="G28887" s="16"/>
    </row>
    <row r="28888" spans="4:7" ht="15" x14ac:dyDescent="0.3">
      <c r="D28888" s="25"/>
      <c r="F28888" s="21"/>
      <c r="G28888" s="16"/>
    </row>
    <row r="28889" spans="4:7" ht="15" x14ac:dyDescent="0.3">
      <c r="D28889" s="25"/>
      <c r="F28889" s="21"/>
      <c r="G28889" s="16"/>
    </row>
    <row r="28890" spans="4:7" ht="15" x14ac:dyDescent="0.3">
      <c r="D28890" s="25"/>
      <c r="F28890" s="21"/>
      <c r="G28890" s="16"/>
    </row>
    <row r="28891" spans="4:7" ht="15" x14ac:dyDescent="0.3">
      <c r="D28891" s="25"/>
      <c r="F28891" s="21"/>
      <c r="G28891" s="16"/>
    </row>
    <row r="28892" spans="4:7" ht="15" x14ac:dyDescent="0.3">
      <c r="D28892" s="25"/>
      <c r="F28892" s="21"/>
      <c r="G28892" s="16"/>
    </row>
    <row r="28893" spans="4:7" ht="15" x14ac:dyDescent="0.3">
      <c r="D28893" s="25"/>
      <c r="F28893" s="21"/>
      <c r="G28893" s="16"/>
    </row>
    <row r="28894" spans="4:7" ht="15" x14ac:dyDescent="0.3">
      <c r="D28894" s="25"/>
      <c r="F28894" s="21"/>
      <c r="G28894" s="16"/>
    </row>
    <row r="28895" spans="4:7" ht="15" x14ac:dyDescent="0.3">
      <c r="D28895" s="25"/>
      <c r="F28895" s="21"/>
      <c r="G28895" s="16"/>
    </row>
    <row r="28896" spans="4:7" ht="15" x14ac:dyDescent="0.3">
      <c r="D28896" s="25"/>
      <c r="F28896" s="21"/>
      <c r="G28896" s="16"/>
    </row>
    <row r="28897" spans="4:7" ht="15" x14ac:dyDescent="0.3">
      <c r="D28897" s="25"/>
      <c r="F28897" s="21"/>
      <c r="G28897" s="16"/>
    </row>
    <row r="28898" spans="4:7" ht="15" x14ac:dyDescent="0.3">
      <c r="D28898" s="25"/>
      <c r="F28898" s="21"/>
      <c r="G28898" s="16"/>
    </row>
    <row r="28899" spans="4:7" ht="15" x14ac:dyDescent="0.3">
      <c r="D28899" s="25"/>
      <c r="F28899" s="21"/>
      <c r="G28899" s="16"/>
    </row>
    <row r="28900" spans="4:7" ht="15" x14ac:dyDescent="0.3">
      <c r="D28900" s="25"/>
      <c r="F28900" s="21"/>
      <c r="G28900" s="16"/>
    </row>
    <row r="28901" spans="4:7" ht="15" x14ac:dyDescent="0.3">
      <c r="D28901" s="25"/>
      <c r="F28901" s="21"/>
      <c r="G28901" s="16"/>
    </row>
    <row r="28902" spans="4:7" ht="15" x14ac:dyDescent="0.3">
      <c r="D28902" s="25"/>
      <c r="F28902" s="21"/>
      <c r="G28902" s="16"/>
    </row>
    <row r="28903" spans="4:7" ht="15" x14ac:dyDescent="0.3">
      <c r="D28903" s="25"/>
      <c r="F28903" s="21"/>
      <c r="G28903" s="16"/>
    </row>
    <row r="28904" spans="4:7" ht="15" x14ac:dyDescent="0.3">
      <c r="D28904" s="25"/>
      <c r="F28904" s="21"/>
      <c r="G28904" s="16"/>
    </row>
    <row r="28905" spans="4:7" ht="15" x14ac:dyDescent="0.3">
      <c r="D28905" s="25"/>
      <c r="F28905" s="21"/>
      <c r="G28905" s="16"/>
    </row>
    <row r="28906" spans="4:7" ht="15" x14ac:dyDescent="0.3">
      <c r="D28906" s="25"/>
      <c r="F28906" s="21"/>
      <c r="G28906" s="16"/>
    </row>
    <row r="28907" spans="4:7" ht="15" x14ac:dyDescent="0.3">
      <c r="D28907" s="25"/>
      <c r="F28907" s="21"/>
      <c r="G28907" s="16"/>
    </row>
    <row r="28908" spans="4:7" ht="15" x14ac:dyDescent="0.3">
      <c r="D28908" s="25"/>
      <c r="F28908" s="21"/>
      <c r="G28908" s="16"/>
    </row>
    <row r="28909" spans="4:7" ht="15" x14ac:dyDescent="0.3">
      <c r="D28909" s="25"/>
      <c r="F28909" s="21"/>
      <c r="G28909" s="16"/>
    </row>
    <row r="28910" spans="4:7" ht="15" x14ac:dyDescent="0.3">
      <c r="D28910" s="25"/>
      <c r="F28910" s="21"/>
      <c r="G28910" s="16"/>
    </row>
    <row r="28911" spans="4:7" ht="15" x14ac:dyDescent="0.3">
      <c r="D28911" s="25"/>
      <c r="F28911" s="21"/>
      <c r="G28911" s="16"/>
    </row>
    <row r="28912" spans="4:7" ht="15" x14ac:dyDescent="0.3">
      <c r="D28912" s="25"/>
      <c r="F28912" s="21"/>
      <c r="G28912" s="16"/>
    </row>
    <row r="28913" spans="4:7" ht="15" x14ac:dyDescent="0.3">
      <c r="D28913" s="25"/>
      <c r="F28913" s="21"/>
      <c r="G28913" s="16"/>
    </row>
    <row r="28914" spans="4:7" ht="15" x14ac:dyDescent="0.3">
      <c r="D28914" s="25"/>
      <c r="F28914" s="21"/>
      <c r="G28914" s="16"/>
    </row>
    <row r="28915" spans="4:7" ht="15" x14ac:dyDescent="0.3">
      <c r="D28915" s="25"/>
      <c r="F28915" s="21"/>
      <c r="G28915" s="16"/>
    </row>
    <row r="28916" spans="4:7" ht="15" x14ac:dyDescent="0.3">
      <c r="D28916" s="25"/>
      <c r="F28916" s="21"/>
      <c r="G28916" s="16"/>
    </row>
    <row r="28917" spans="4:7" ht="15" x14ac:dyDescent="0.3">
      <c r="D28917" s="25"/>
      <c r="F28917" s="21"/>
      <c r="G28917" s="16"/>
    </row>
    <row r="28918" spans="4:7" ht="15" x14ac:dyDescent="0.3">
      <c r="D28918" s="25"/>
      <c r="F28918" s="21"/>
      <c r="G28918" s="16"/>
    </row>
    <row r="28919" spans="4:7" ht="15" x14ac:dyDescent="0.3">
      <c r="D28919" s="25"/>
      <c r="F28919" s="21"/>
      <c r="G28919" s="16"/>
    </row>
    <row r="28920" spans="4:7" ht="15" x14ac:dyDescent="0.3">
      <c r="D28920" s="25"/>
      <c r="F28920" s="21"/>
      <c r="G28920" s="16"/>
    </row>
    <row r="28921" spans="4:7" ht="15" x14ac:dyDescent="0.3">
      <c r="D28921" s="25"/>
      <c r="F28921" s="21"/>
      <c r="G28921" s="16"/>
    </row>
    <row r="28922" spans="4:7" ht="15" x14ac:dyDescent="0.3">
      <c r="D28922" s="25"/>
      <c r="F28922" s="21"/>
      <c r="G28922" s="16"/>
    </row>
    <row r="28923" spans="4:7" ht="15" x14ac:dyDescent="0.3">
      <c r="D28923" s="25"/>
      <c r="F28923" s="21"/>
      <c r="G28923" s="16"/>
    </row>
    <row r="28924" spans="4:7" ht="15" x14ac:dyDescent="0.3">
      <c r="D28924" s="25"/>
      <c r="F28924" s="21"/>
      <c r="G28924" s="16"/>
    </row>
    <row r="28925" spans="4:7" ht="15" x14ac:dyDescent="0.3">
      <c r="D28925" s="25"/>
      <c r="F28925" s="21"/>
      <c r="G28925" s="16"/>
    </row>
    <row r="28926" spans="4:7" ht="15" x14ac:dyDescent="0.3">
      <c r="D28926" s="25"/>
      <c r="F28926" s="21"/>
      <c r="G28926" s="16"/>
    </row>
    <row r="28927" spans="4:7" ht="15" x14ac:dyDescent="0.3">
      <c r="D28927" s="25"/>
      <c r="F28927" s="21"/>
      <c r="G28927" s="16"/>
    </row>
    <row r="28928" spans="4:7" ht="15" x14ac:dyDescent="0.3">
      <c r="D28928" s="25"/>
      <c r="F28928" s="21"/>
      <c r="G28928" s="16"/>
    </row>
    <row r="28929" spans="4:7" ht="15" x14ac:dyDescent="0.3">
      <c r="D28929" s="25"/>
      <c r="F28929" s="21"/>
      <c r="G28929" s="16"/>
    </row>
    <row r="28930" spans="4:7" ht="15" x14ac:dyDescent="0.3">
      <c r="D28930" s="25"/>
      <c r="F28930" s="21"/>
      <c r="G28930" s="16"/>
    </row>
    <row r="28931" spans="4:7" ht="15" x14ac:dyDescent="0.3">
      <c r="D28931" s="25"/>
      <c r="F28931" s="21"/>
      <c r="G28931" s="16"/>
    </row>
    <row r="28932" spans="4:7" ht="15" x14ac:dyDescent="0.3">
      <c r="D28932" s="25"/>
      <c r="F28932" s="21"/>
      <c r="G28932" s="16"/>
    </row>
    <row r="28933" spans="4:7" ht="15" x14ac:dyDescent="0.3">
      <c r="D28933" s="25"/>
      <c r="F28933" s="21"/>
      <c r="G28933" s="16"/>
    </row>
    <row r="28934" spans="4:7" ht="15" x14ac:dyDescent="0.3">
      <c r="D28934" s="25"/>
      <c r="F28934" s="21"/>
      <c r="G28934" s="16"/>
    </row>
    <row r="28935" spans="4:7" ht="15" x14ac:dyDescent="0.3">
      <c r="D28935" s="25"/>
      <c r="F28935" s="21"/>
      <c r="G28935" s="16"/>
    </row>
    <row r="28936" spans="4:7" ht="15" x14ac:dyDescent="0.3">
      <c r="D28936" s="25"/>
      <c r="F28936" s="21"/>
      <c r="G28936" s="16"/>
    </row>
    <row r="28937" spans="4:7" ht="15" x14ac:dyDescent="0.3">
      <c r="D28937" s="25"/>
      <c r="F28937" s="21"/>
      <c r="G28937" s="16"/>
    </row>
    <row r="28938" spans="4:7" ht="15" x14ac:dyDescent="0.3">
      <c r="D28938" s="25"/>
      <c r="F28938" s="21"/>
      <c r="G28938" s="16"/>
    </row>
    <row r="28939" spans="4:7" ht="15" x14ac:dyDescent="0.3">
      <c r="D28939" s="25"/>
      <c r="F28939" s="21"/>
      <c r="G28939" s="16"/>
    </row>
    <row r="28940" spans="4:7" ht="15" x14ac:dyDescent="0.3">
      <c r="D28940" s="25"/>
      <c r="F28940" s="21"/>
      <c r="G28940" s="16"/>
    </row>
    <row r="28941" spans="4:7" ht="15" x14ac:dyDescent="0.3">
      <c r="D28941" s="25"/>
      <c r="F28941" s="21"/>
      <c r="G28941" s="16"/>
    </row>
    <row r="28942" spans="4:7" ht="15" x14ac:dyDescent="0.3">
      <c r="D28942" s="25"/>
      <c r="F28942" s="21"/>
      <c r="G28942" s="16"/>
    </row>
    <row r="28943" spans="4:7" ht="15" x14ac:dyDescent="0.3">
      <c r="D28943" s="25"/>
      <c r="F28943" s="21"/>
      <c r="G28943" s="16"/>
    </row>
    <row r="28944" spans="4:7" ht="15" x14ac:dyDescent="0.3">
      <c r="D28944" s="25"/>
      <c r="F28944" s="21"/>
      <c r="G28944" s="16"/>
    </row>
    <row r="28945" spans="4:7" ht="15" x14ac:dyDescent="0.3">
      <c r="D28945" s="25"/>
      <c r="F28945" s="21"/>
      <c r="G28945" s="16"/>
    </row>
    <row r="28946" spans="4:7" ht="15" x14ac:dyDescent="0.3">
      <c r="D28946" s="25"/>
      <c r="F28946" s="21"/>
      <c r="G28946" s="16"/>
    </row>
    <row r="28947" spans="4:7" ht="15" x14ac:dyDescent="0.3">
      <c r="D28947" s="25"/>
      <c r="F28947" s="21"/>
      <c r="G28947" s="16"/>
    </row>
    <row r="28948" spans="4:7" ht="15" x14ac:dyDescent="0.3">
      <c r="D28948" s="25"/>
      <c r="F28948" s="21"/>
      <c r="G28948" s="16"/>
    </row>
    <row r="28949" spans="4:7" ht="15" x14ac:dyDescent="0.3">
      <c r="D28949" s="25"/>
      <c r="F28949" s="21"/>
      <c r="G28949" s="16"/>
    </row>
    <row r="28950" spans="4:7" ht="15" x14ac:dyDescent="0.3">
      <c r="D28950" s="25"/>
      <c r="F28950" s="21"/>
      <c r="G28950" s="16"/>
    </row>
    <row r="28951" spans="4:7" ht="15" x14ac:dyDescent="0.3">
      <c r="D28951" s="25"/>
      <c r="F28951" s="21"/>
      <c r="G28951" s="16"/>
    </row>
    <row r="28952" spans="4:7" ht="15" x14ac:dyDescent="0.3">
      <c r="D28952" s="25"/>
      <c r="F28952" s="21"/>
      <c r="G28952" s="16"/>
    </row>
    <row r="28953" spans="4:7" ht="15" x14ac:dyDescent="0.3">
      <c r="D28953" s="25"/>
      <c r="F28953" s="21"/>
      <c r="G28953" s="16"/>
    </row>
    <row r="28954" spans="4:7" ht="15" x14ac:dyDescent="0.3">
      <c r="D28954" s="25"/>
      <c r="F28954" s="21"/>
      <c r="G28954" s="16"/>
    </row>
    <row r="28955" spans="4:7" ht="15" x14ac:dyDescent="0.3">
      <c r="D28955" s="25"/>
      <c r="F28955" s="21"/>
      <c r="G28955" s="16"/>
    </row>
    <row r="28956" spans="4:7" ht="15" x14ac:dyDescent="0.3">
      <c r="D28956" s="25"/>
      <c r="F28956" s="21"/>
      <c r="G28956" s="16"/>
    </row>
    <row r="28957" spans="4:7" ht="15" x14ac:dyDescent="0.3">
      <c r="D28957" s="25"/>
      <c r="F28957" s="21"/>
      <c r="G28957" s="16"/>
    </row>
    <row r="28958" spans="4:7" ht="15" x14ac:dyDescent="0.3">
      <c r="D28958" s="25"/>
      <c r="F28958" s="21"/>
      <c r="G28958" s="16"/>
    </row>
    <row r="28959" spans="4:7" ht="15" x14ac:dyDescent="0.3">
      <c r="D28959" s="25"/>
      <c r="F28959" s="21"/>
      <c r="G28959" s="16"/>
    </row>
    <row r="28960" spans="4:7" ht="15" x14ac:dyDescent="0.3">
      <c r="D28960" s="25"/>
      <c r="F28960" s="21"/>
      <c r="G28960" s="16"/>
    </row>
    <row r="28961" spans="4:7" ht="15" x14ac:dyDescent="0.3">
      <c r="D28961" s="25"/>
      <c r="F28961" s="21"/>
      <c r="G28961" s="16"/>
    </row>
    <row r="28962" spans="4:7" ht="15" x14ac:dyDescent="0.3">
      <c r="D28962" s="25"/>
      <c r="F28962" s="21"/>
      <c r="G28962" s="16"/>
    </row>
    <row r="28963" spans="4:7" ht="15" x14ac:dyDescent="0.3">
      <c r="D28963" s="25"/>
      <c r="F28963" s="21"/>
      <c r="G28963" s="16"/>
    </row>
    <row r="28964" spans="4:7" ht="15" x14ac:dyDescent="0.3">
      <c r="D28964" s="25"/>
      <c r="F28964" s="21"/>
      <c r="G28964" s="16"/>
    </row>
    <row r="28965" spans="4:7" ht="15" x14ac:dyDescent="0.3">
      <c r="D28965" s="25"/>
      <c r="F28965" s="21"/>
      <c r="G28965" s="16"/>
    </row>
    <row r="28966" spans="4:7" ht="15" x14ac:dyDescent="0.3">
      <c r="D28966" s="25"/>
      <c r="F28966" s="21"/>
      <c r="G28966" s="16"/>
    </row>
    <row r="28967" spans="4:7" ht="15" x14ac:dyDescent="0.3">
      <c r="D28967" s="25"/>
      <c r="F28967" s="21"/>
      <c r="G28967" s="16"/>
    </row>
    <row r="28968" spans="4:7" ht="15" x14ac:dyDescent="0.3">
      <c r="D28968" s="25"/>
      <c r="F28968" s="21"/>
      <c r="G28968" s="16"/>
    </row>
    <row r="28969" spans="4:7" ht="15" x14ac:dyDescent="0.3">
      <c r="D28969" s="25"/>
      <c r="F28969" s="21"/>
      <c r="G28969" s="16"/>
    </row>
    <row r="28970" spans="4:7" ht="15" x14ac:dyDescent="0.3">
      <c r="D28970" s="25"/>
      <c r="F28970" s="21"/>
      <c r="G28970" s="16"/>
    </row>
    <row r="28971" spans="4:7" ht="15" x14ac:dyDescent="0.3">
      <c r="D28971" s="25"/>
      <c r="F28971" s="21"/>
      <c r="G28971" s="16"/>
    </row>
    <row r="28972" spans="4:7" ht="15" x14ac:dyDescent="0.3">
      <c r="D28972" s="25"/>
      <c r="F28972" s="21"/>
      <c r="G28972" s="16"/>
    </row>
    <row r="28973" spans="4:7" ht="15" x14ac:dyDescent="0.3">
      <c r="D28973" s="25"/>
      <c r="F28973" s="21"/>
      <c r="G28973" s="16"/>
    </row>
    <row r="28974" spans="4:7" ht="15" x14ac:dyDescent="0.3">
      <c r="D28974" s="25"/>
      <c r="F28974" s="21"/>
      <c r="G28974" s="16"/>
    </row>
    <row r="28975" spans="4:7" ht="15" x14ac:dyDescent="0.3">
      <c r="D28975" s="25"/>
      <c r="F28975" s="21"/>
      <c r="G28975" s="16"/>
    </row>
    <row r="28976" spans="4:7" ht="15" x14ac:dyDescent="0.3">
      <c r="D28976" s="25"/>
      <c r="F28976" s="21"/>
      <c r="G28976" s="16"/>
    </row>
    <row r="28977" spans="4:7" ht="15" x14ac:dyDescent="0.3">
      <c r="D28977" s="25"/>
      <c r="F28977" s="21"/>
      <c r="G28977" s="16"/>
    </row>
    <row r="28978" spans="4:7" ht="15" x14ac:dyDescent="0.3">
      <c r="D28978" s="25"/>
      <c r="F28978" s="21"/>
      <c r="G28978" s="16"/>
    </row>
    <row r="28979" spans="4:7" ht="15" x14ac:dyDescent="0.3">
      <c r="D28979" s="25"/>
      <c r="F28979" s="21"/>
      <c r="G28979" s="16"/>
    </row>
    <row r="28980" spans="4:7" ht="15" x14ac:dyDescent="0.3">
      <c r="D28980" s="25"/>
      <c r="F28980" s="21"/>
      <c r="G28980" s="16"/>
    </row>
    <row r="28981" spans="4:7" ht="15" x14ac:dyDescent="0.3">
      <c r="D28981" s="25"/>
      <c r="F28981" s="21"/>
      <c r="G28981" s="16"/>
    </row>
    <row r="28982" spans="4:7" ht="15" x14ac:dyDescent="0.3">
      <c r="D28982" s="25"/>
      <c r="F28982" s="21"/>
      <c r="G28982" s="16"/>
    </row>
    <row r="28983" spans="4:7" ht="15" x14ac:dyDescent="0.3">
      <c r="D28983" s="25"/>
      <c r="F28983" s="21"/>
      <c r="G28983" s="16"/>
    </row>
    <row r="28984" spans="4:7" ht="15" x14ac:dyDescent="0.3">
      <c r="D28984" s="25"/>
      <c r="F28984" s="21"/>
      <c r="G28984" s="16"/>
    </row>
    <row r="28985" spans="4:7" ht="15" x14ac:dyDescent="0.3">
      <c r="D28985" s="25"/>
      <c r="F28985" s="21"/>
      <c r="G28985" s="16"/>
    </row>
    <row r="28986" spans="4:7" ht="15" x14ac:dyDescent="0.3">
      <c r="D28986" s="25"/>
      <c r="F28986" s="21"/>
      <c r="G28986" s="16"/>
    </row>
    <row r="28987" spans="4:7" ht="15" x14ac:dyDescent="0.3">
      <c r="D28987" s="25"/>
      <c r="F28987" s="21"/>
      <c r="G28987" s="16"/>
    </row>
    <row r="28988" spans="4:7" ht="15" x14ac:dyDescent="0.3">
      <c r="D28988" s="25"/>
      <c r="F28988" s="21"/>
      <c r="G28988" s="16"/>
    </row>
    <row r="28989" spans="4:7" ht="15" x14ac:dyDescent="0.3">
      <c r="D28989" s="25"/>
      <c r="F28989" s="21"/>
      <c r="G28989" s="16"/>
    </row>
    <row r="28990" spans="4:7" ht="15" x14ac:dyDescent="0.3">
      <c r="D28990" s="25"/>
      <c r="F28990" s="21"/>
      <c r="G28990" s="16"/>
    </row>
    <row r="28991" spans="4:7" ht="15" x14ac:dyDescent="0.3">
      <c r="D28991" s="25"/>
      <c r="F28991" s="21"/>
      <c r="G28991" s="16"/>
    </row>
    <row r="28992" spans="4:7" ht="15" x14ac:dyDescent="0.3">
      <c r="D28992" s="25"/>
      <c r="F28992" s="21"/>
      <c r="G28992" s="16"/>
    </row>
    <row r="28993" spans="4:7" ht="15" x14ac:dyDescent="0.3">
      <c r="D28993" s="25"/>
      <c r="F28993" s="21"/>
      <c r="G28993" s="16"/>
    </row>
    <row r="28994" spans="4:7" ht="15" x14ac:dyDescent="0.3">
      <c r="D28994" s="25"/>
      <c r="F28994" s="21"/>
      <c r="G28994" s="16"/>
    </row>
    <row r="28995" spans="4:7" ht="15" x14ac:dyDescent="0.3">
      <c r="D28995" s="25"/>
      <c r="F28995" s="21"/>
      <c r="G28995" s="16"/>
    </row>
    <row r="28996" spans="4:7" ht="15" x14ac:dyDescent="0.3">
      <c r="D28996" s="25"/>
      <c r="F28996" s="21"/>
      <c r="G28996" s="16"/>
    </row>
    <row r="28997" spans="4:7" ht="15" x14ac:dyDescent="0.3">
      <c r="D28997" s="25"/>
      <c r="F28997" s="21"/>
      <c r="G28997" s="16"/>
    </row>
    <row r="28998" spans="4:7" ht="15" x14ac:dyDescent="0.3">
      <c r="D28998" s="25"/>
      <c r="F28998" s="21"/>
      <c r="G28998" s="16"/>
    </row>
    <row r="28999" spans="4:7" ht="15" x14ac:dyDescent="0.3">
      <c r="D28999" s="25"/>
      <c r="F28999" s="21"/>
      <c r="G28999" s="16"/>
    </row>
    <row r="29000" spans="4:7" ht="15" x14ac:dyDescent="0.3">
      <c r="D29000" s="25"/>
      <c r="F29000" s="21"/>
      <c r="G29000" s="16"/>
    </row>
    <row r="29001" spans="4:7" ht="15" x14ac:dyDescent="0.3">
      <c r="D29001" s="25"/>
      <c r="F29001" s="21"/>
      <c r="G29001" s="16"/>
    </row>
    <row r="29002" spans="4:7" ht="15" x14ac:dyDescent="0.3">
      <c r="D29002" s="25"/>
      <c r="F29002" s="21"/>
      <c r="G29002" s="16"/>
    </row>
    <row r="29003" spans="4:7" ht="15" x14ac:dyDescent="0.3">
      <c r="D29003" s="25"/>
      <c r="F29003" s="21"/>
      <c r="G29003" s="16"/>
    </row>
    <row r="29004" spans="4:7" ht="15" x14ac:dyDescent="0.3">
      <c r="D29004" s="25"/>
      <c r="F29004" s="21"/>
      <c r="G29004" s="16"/>
    </row>
    <row r="29005" spans="4:7" ht="15" x14ac:dyDescent="0.3">
      <c r="D29005" s="25"/>
      <c r="F29005" s="21"/>
      <c r="G29005" s="16"/>
    </row>
    <row r="29006" spans="4:7" ht="15" x14ac:dyDescent="0.3">
      <c r="D29006" s="25"/>
      <c r="F29006" s="21"/>
      <c r="G29006" s="16"/>
    </row>
    <row r="29007" spans="4:7" ht="15" x14ac:dyDescent="0.3">
      <c r="D29007" s="25"/>
      <c r="F29007" s="21"/>
      <c r="G29007" s="16"/>
    </row>
    <row r="29008" spans="4:7" ht="15" x14ac:dyDescent="0.3">
      <c r="D29008" s="25"/>
      <c r="F29008" s="21"/>
      <c r="G29008" s="16"/>
    </row>
    <row r="29009" spans="4:7" ht="15" x14ac:dyDescent="0.3">
      <c r="D29009" s="25"/>
      <c r="F29009" s="21"/>
      <c r="G29009" s="16"/>
    </row>
    <row r="29010" spans="4:7" ht="15" x14ac:dyDescent="0.3">
      <c r="D29010" s="25"/>
      <c r="F29010" s="21"/>
      <c r="G29010" s="16"/>
    </row>
    <row r="29011" spans="4:7" ht="15" x14ac:dyDescent="0.3">
      <c r="D29011" s="25"/>
      <c r="F29011" s="21"/>
      <c r="G29011" s="16"/>
    </row>
    <row r="29012" spans="4:7" ht="15" x14ac:dyDescent="0.3">
      <c r="D29012" s="25"/>
      <c r="F29012" s="21"/>
      <c r="G29012" s="16"/>
    </row>
    <row r="29013" spans="4:7" ht="15" x14ac:dyDescent="0.3">
      <c r="D29013" s="25"/>
      <c r="F29013" s="21"/>
      <c r="G29013" s="16"/>
    </row>
    <row r="29014" spans="4:7" ht="15" x14ac:dyDescent="0.3">
      <c r="D29014" s="25"/>
      <c r="F29014" s="21"/>
      <c r="G29014" s="16"/>
    </row>
    <row r="29015" spans="4:7" ht="15" x14ac:dyDescent="0.3">
      <c r="D29015" s="25"/>
      <c r="F29015" s="21"/>
      <c r="G29015" s="16"/>
    </row>
    <row r="29016" spans="4:7" ht="15" x14ac:dyDescent="0.3">
      <c r="D29016" s="25"/>
      <c r="F29016" s="21"/>
      <c r="G29016" s="16"/>
    </row>
    <row r="29017" spans="4:7" ht="15" x14ac:dyDescent="0.3">
      <c r="D29017" s="25"/>
      <c r="F29017" s="21"/>
      <c r="G29017" s="16"/>
    </row>
    <row r="29018" spans="4:7" ht="15" x14ac:dyDescent="0.3">
      <c r="D29018" s="25"/>
      <c r="F29018" s="21"/>
      <c r="G29018" s="16"/>
    </row>
    <row r="29019" spans="4:7" ht="15" x14ac:dyDescent="0.3">
      <c r="D29019" s="25"/>
      <c r="F29019" s="21"/>
      <c r="G29019" s="16"/>
    </row>
    <row r="29020" spans="4:7" ht="15" x14ac:dyDescent="0.3">
      <c r="D29020" s="25"/>
      <c r="F29020" s="21"/>
      <c r="G29020" s="16"/>
    </row>
    <row r="29021" spans="4:7" ht="15" x14ac:dyDescent="0.3">
      <c r="D29021" s="25"/>
      <c r="F29021" s="21"/>
      <c r="G29021" s="16"/>
    </row>
    <row r="29022" spans="4:7" ht="15" x14ac:dyDescent="0.3">
      <c r="D29022" s="25"/>
      <c r="F29022" s="21"/>
      <c r="G29022" s="16"/>
    </row>
    <row r="29023" spans="4:7" ht="15" x14ac:dyDescent="0.3">
      <c r="D29023" s="25"/>
      <c r="F29023" s="21"/>
      <c r="G29023" s="16"/>
    </row>
    <row r="29024" spans="4:7" ht="15" x14ac:dyDescent="0.3">
      <c r="D29024" s="25"/>
      <c r="F29024" s="21"/>
      <c r="G29024" s="16"/>
    </row>
    <row r="29025" spans="4:7" ht="15" x14ac:dyDescent="0.3">
      <c r="D29025" s="25"/>
      <c r="F29025" s="21"/>
      <c r="G29025" s="16"/>
    </row>
    <row r="29026" spans="4:7" ht="15" x14ac:dyDescent="0.3">
      <c r="D29026" s="25"/>
      <c r="F29026" s="21"/>
      <c r="G29026" s="16"/>
    </row>
    <row r="29027" spans="4:7" ht="15" x14ac:dyDescent="0.3">
      <c r="D29027" s="25"/>
      <c r="F29027" s="21"/>
      <c r="G29027" s="16"/>
    </row>
    <row r="29028" spans="4:7" ht="15" x14ac:dyDescent="0.3">
      <c r="D29028" s="25"/>
      <c r="F29028" s="21"/>
      <c r="G29028" s="16"/>
    </row>
    <row r="29029" spans="4:7" ht="15" x14ac:dyDescent="0.3">
      <c r="D29029" s="25"/>
      <c r="F29029" s="21"/>
      <c r="G29029" s="16"/>
    </row>
    <row r="29030" spans="4:7" ht="15" x14ac:dyDescent="0.3">
      <c r="D29030" s="25"/>
      <c r="F29030" s="21"/>
      <c r="G29030" s="16"/>
    </row>
    <row r="29031" spans="4:7" ht="15" x14ac:dyDescent="0.3">
      <c r="D29031" s="25"/>
      <c r="F29031" s="21"/>
      <c r="G29031" s="16"/>
    </row>
    <row r="29032" spans="4:7" ht="15" x14ac:dyDescent="0.3">
      <c r="D29032" s="25"/>
      <c r="F29032" s="21"/>
      <c r="G29032" s="16"/>
    </row>
    <row r="29033" spans="4:7" ht="15" x14ac:dyDescent="0.3">
      <c r="D29033" s="25"/>
      <c r="F29033" s="21"/>
      <c r="G29033" s="16"/>
    </row>
    <row r="29034" spans="4:7" ht="15" x14ac:dyDescent="0.3">
      <c r="D29034" s="25"/>
      <c r="F29034" s="21"/>
      <c r="G29034" s="16"/>
    </row>
    <row r="29035" spans="4:7" ht="15" x14ac:dyDescent="0.3">
      <c r="D29035" s="25"/>
      <c r="F29035" s="21"/>
      <c r="G29035" s="16"/>
    </row>
    <row r="29036" spans="4:7" ht="15" x14ac:dyDescent="0.3">
      <c r="D29036" s="25"/>
      <c r="F29036" s="21"/>
      <c r="G29036" s="16"/>
    </row>
    <row r="29037" spans="4:7" ht="15" x14ac:dyDescent="0.3">
      <c r="D29037" s="25"/>
      <c r="F29037" s="21"/>
      <c r="G29037" s="16"/>
    </row>
    <row r="29038" spans="4:7" ht="15" x14ac:dyDescent="0.3">
      <c r="D29038" s="25"/>
      <c r="F29038" s="21"/>
      <c r="G29038" s="16"/>
    </row>
    <row r="29039" spans="4:7" ht="15" x14ac:dyDescent="0.3">
      <c r="D29039" s="25"/>
      <c r="F29039" s="21"/>
      <c r="G29039" s="16"/>
    </row>
    <row r="29040" spans="4:7" ht="15" x14ac:dyDescent="0.3">
      <c r="D29040" s="25"/>
      <c r="F29040" s="21"/>
      <c r="G29040" s="16"/>
    </row>
    <row r="29041" spans="4:7" ht="15" x14ac:dyDescent="0.3">
      <c r="D29041" s="25"/>
      <c r="F29041" s="21"/>
      <c r="G29041" s="16"/>
    </row>
    <row r="29042" spans="4:7" ht="15" x14ac:dyDescent="0.3">
      <c r="D29042" s="25"/>
      <c r="F29042" s="21"/>
      <c r="G29042" s="16"/>
    </row>
    <row r="29043" spans="4:7" ht="15" x14ac:dyDescent="0.3">
      <c r="D29043" s="25"/>
      <c r="F29043" s="21"/>
      <c r="G29043" s="16"/>
    </row>
    <row r="29044" spans="4:7" ht="15" x14ac:dyDescent="0.3">
      <c r="D29044" s="25"/>
      <c r="F29044" s="21"/>
      <c r="G29044" s="16"/>
    </row>
    <row r="29045" spans="4:7" ht="15" x14ac:dyDescent="0.3">
      <c r="D29045" s="25"/>
      <c r="F29045" s="21"/>
      <c r="G29045" s="16"/>
    </row>
    <row r="29046" spans="4:7" ht="15" x14ac:dyDescent="0.3">
      <c r="D29046" s="25"/>
      <c r="F29046" s="21"/>
      <c r="G29046" s="16"/>
    </row>
    <row r="29047" spans="4:7" ht="15" x14ac:dyDescent="0.3">
      <c r="D29047" s="25"/>
      <c r="F29047" s="21"/>
      <c r="G29047" s="16"/>
    </row>
    <row r="29048" spans="4:7" ht="15" x14ac:dyDescent="0.3">
      <c r="D29048" s="25"/>
      <c r="F29048" s="21"/>
      <c r="G29048" s="16"/>
    </row>
    <row r="29049" spans="4:7" ht="15" x14ac:dyDescent="0.3">
      <c r="D29049" s="25"/>
      <c r="F29049" s="21"/>
      <c r="G29049" s="16"/>
    </row>
    <row r="29050" spans="4:7" ht="15" x14ac:dyDescent="0.3">
      <c r="D29050" s="25"/>
      <c r="F29050" s="21"/>
      <c r="G29050" s="16"/>
    </row>
    <row r="29051" spans="4:7" ht="15" x14ac:dyDescent="0.3">
      <c r="D29051" s="25"/>
      <c r="F29051" s="21"/>
      <c r="G29051" s="16"/>
    </row>
    <row r="29052" spans="4:7" ht="15" x14ac:dyDescent="0.3">
      <c r="D29052" s="25"/>
      <c r="F29052" s="21"/>
      <c r="G29052" s="16"/>
    </row>
    <row r="29053" spans="4:7" ht="15" x14ac:dyDescent="0.3">
      <c r="D29053" s="25"/>
      <c r="F29053" s="21"/>
      <c r="G29053" s="16"/>
    </row>
    <row r="29054" spans="4:7" ht="15" x14ac:dyDescent="0.3">
      <c r="D29054" s="25"/>
      <c r="F29054" s="21"/>
      <c r="G29054" s="16"/>
    </row>
    <row r="29055" spans="4:7" ht="15" x14ac:dyDescent="0.3">
      <c r="D29055" s="25"/>
      <c r="F29055" s="21"/>
      <c r="G29055" s="16"/>
    </row>
    <row r="29056" spans="4:7" ht="15" x14ac:dyDescent="0.3">
      <c r="D29056" s="25"/>
      <c r="F29056" s="21"/>
      <c r="G29056" s="16"/>
    </row>
    <row r="29057" spans="4:7" ht="15" x14ac:dyDescent="0.3">
      <c r="D29057" s="25"/>
      <c r="F29057" s="21"/>
      <c r="G29057" s="16"/>
    </row>
    <row r="29058" spans="4:7" ht="15" x14ac:dyDescent="0.3">
      <c r="D29058" s="25"/>
      <c r="F29058" s="21"/>
      <c r="G29058" s="16"/>
    </row>
    <row r="29059" spans="4:7" ht="15" x14ac:dyDescent="0.3">
      <c r="D29059" s="25"/>
      <c r="F29059" s="21"/>
      <c r="G29059" s="16"/>
    </row>
    <row r="29060" spans="4:7" ht="15" x14ac:dyDescent="0.3">
      <c r="D29060" s="25"/>
      <c r="F29060" s="21"/>
      <c r="G29060" s="16"/>
    </row>
    <row r="29061" spans="4:7" ht="15" x14ac:dyDescent="0.3">
      <c r="D29061" s="25"/>
      <c r="F29061" s="21"/>
      <c r="G29061" s="16"/>
    </row>
    <row r="29062" spans="4:7" ht="15" x14ac:dyDescent="0.3">
      <c r="D29062" s="25"/>
      <c r="F29062" s="21"/>
      <c r="G29062" s="16"/>
    </row>
    <row r="29063" spans="4:7" ht="15" x14ac:dyDescent="0.3">
      <c r="D29063" s="25"/>
      <c r="F29063" s="21"/>
      <c r="G29063" s="16"/>
    </row>
    <row r="29064" spans="4:7" ht="15" x14ac:dyDescent="0.3">
      <c r="D29064" s="25"/>
      <c r="F29064" s="21"/>
      <c r="G29064" s="16"/>
    </row>
    <row r="29065" spans="4:7" ht="15" x14ac:dyDescent="0.3">
      <c r="D29065" s="25"/>
      <c r="F29065" s="21"/>
      <c r="G29065" s="16"/>
    </row>
    <row r="29066" spans="4:7" ht="15" x14ac:dyDescent="0.3">
      <c r="D29066" s="25"/>
      <c r="F29066" s="21"/>
      <c r="G29066" s="16"/>
    </row>
    <row r="29067" spans="4:7" ht="15" x14ac:dyDescent="0.3">
      <c r="D29067" s="25"/>
      <c r="F29067" s="21"/>
      <c r="G29067" s="16"/>
    </row>
    <row r="29068" spans="4:7" ht="15" x14ac:dyDescent="0.3">
      <c r="D29068" s="25"/>
      <c r="F29068" s="21"/>
      <c r="G29068" s="16"/>
    </row>
    <row r="29069" spans="4:7" ht="15" x14ac:dyDescent="0.3">
      <c r="D29069" s="25"/>
      <c r="F29069" s="21"/>
      <c r="G29069" s="16"/>
    </row>
    <row r="29070" spans="4:7" ht="15" x14ac:dyDescent="0.3">
      <c r="D29070" s="25"/>
      <c r="F29070" s="21"/>
      <c r="G29070" s="16"/>
    </row>
    <row r="29071" spans="4:7" ht="15" x14ac:dyDescent="0.3">
      <c r="D29071" s="25"/>
      <c r="F29071" s="21"/>
      <c r="G29071" s="16"/>
    </row>
    <row r="29072" spans="4:7" ht="15" x14ac:dyDescent="0.3">
      <c r="D29072" s="25"/>
      <c r="F29072" s="21"/>
      <c r="G29072" s="16"/>
    </row>
    <row r="29073" spans="4:7" ht="15" x14ac:dyDescent="0.3">
      <c r="D29073" s="25"/>
      <c r="F29073" s="21"/>
      <c r="G29073" s="16"/>
    </row>
    <row r="29074" spans="4:7" ht="15" x14ac:dyDescent="0.3">
      <c r="D29074" s="25"/>
      <c r="F29074" s="21"/>
      <c r="G29074" s="16"/>
    </row>
    <row r="29075" spans="4:7" ht="15" x14ac:dyDescent="0.3">
      <c r="D29075" s="25"/>
      <c r="F29075" s="21"/>
      <c r="G29075" s="16"/>
    </row>
    <row r="29076" spans="4:7" ht="15" x14ac:dyDescent="0.3">
      <c r="D29076" s="25"/>
      <c r="F29076" s="21"/>
      <c r="G29076" s="16"/>
    </row>
    <row r="29077" spans="4:7" ht="15" x14ac:dyDescent="0.3">
      <c r="D29077" s="25"/>
      <c r="F29077" s="21"/>
      <c r="G29077" s="16"/>
    </row>
    <row r="29078" spans="4:7" ht="15" x14ac:dyDescent="0.3">
      <c r="D29078" s="25"/>
      <c r="F29078" s="21"/>
      <c r="G29078" s="16"/>
    </row>
    <row r="29079" spans="4:7" ht="15" x14ac:dyDescent="0.3">
      <c r="D29079" s="25"/>
      <c r="F29079" s="21"/>
      <c r="G29079" s="16"/>
    </row>
    <row r="29080" spans="4:7" ht="15" x14ac:dyDescent="0.3">
      <c r="D29080" s="25"/>
      <c r="F29080" s="21"/>
      <c r="G29080" s="16"/>
    </row>
    <row r="29081" spans="4:7" ht="15" x14ac:dyDescent="0.3">
      <c r="D29081" s="25"/>
      <c r="F29081" s="21"/>
      <c r="G29081" s="16"/>
    </row>
    <row r="29082" spans="4:7" ht="15" x14ac:dyDescent="0.3">
      <c r="D29082" s="25"/>
      <c r="F29082" s="21"/>
      <c r="G29082" s="16"/>
    </row>
    <row r="29083" spans="4:7" ht="15" x14ac:dyDescent="0.3">
      <c r="D29083" s="25"/>
      <c r="F29083" s="21"/>
      <c r="G29083" s="16"/>
    </row>
    <row r="29084" spans="4:7" ht="15" x14ac:dyDescent="0.3">
      <c r="D29084" s="25"/>
      <c r="F29084" s="21"/>
      <c r="G29084" s="16"/>
    </row>
    <row r="29085" spans="4:7" ht="15" x14ac:dyDescent="0.3">
      <c r="D29085" s="25"/>
      <c r="F29085" s="21"/>
      <c r="G29085" s="16"/>
    </row>
    <row r="29086" spans="4:7" ht="15" x14ac:dyDescent="0.3">
      <c r="D29086" s="25"/>
      <c r="F29086" s="21"/>
      <c r="G29086" s="16"/>
    </row>
    <row r="29087" spans="4:7" ht="15" x14ac:dyDescent="0.3">
      <c r="D29087" s="25"/>
      <c r="F29087" s="21"/>
      <c r="G29087" s="16"/>
    </row>
    <row r="29088" spans="4:7" ht="15" x14ac:dyDescent="0.3">
      <c r="D29088" s="25"/>
      <c r="F29088" s="21"/>
      <c r="G29088" s="16"/>
    </row>
    <row r="29089" spans="4:7" ht="15" x14ac:dyDescent="0.3">
      <c r="D29089" s="25"/>
      <c r="F29089" s="21"/>
      <c r="G29089" s="16"/>
    </row>
    <row r="29090" spans="4:7" ht="15" x14ac:dyDescent="0.3">
      <c r="D29090" s="25"/>
      <c r="F29090" s="21"/>
      <c r="G29090" s="16"/>
    </row>
    <row r="29091" spans="4:7" ht="15" x14ac:dyDescent="0.3">
      <c r="D29091" s="25"/>
      <c r="F29091" s="21"/>
      <c r="G29091" s="16"/>
    </row>
    <row r="29092" spans="4:7" ht="15" x14ac:dyDescent="0.3">
      <c r="D29092" s="25"/>
      <c r="F29092" s="21"/>
      <c r="G29092" s="16"/>
    </row>
    <row r="29093" spans="4:7" ht="15" x14ac:dyDescent="0.3">
      <c r="D29093" s="25"/>
      <c r="F29093" s="21"/>
      <c r="G29093" s="16"/>
    </row>
    <row r="29094" spans="4:7" ht="15" x14ac:dyDescent="0.3">
      <c r="D29094" s="25"/>
      <c r="F29094" s="21"/>
      <c r="G29094" s="16"/>
    </row>
    <row r="29095" spans="4:7" ht="15" x14ac:dyDescent="0.3">
      <c r="D29095" s="25"/>
      <c r="F29095" s="21"/>
      <c r="G29095" s="16"/>
    </row>
    <row r="29096" spans="4:7" ht="15" x14ac:dyDescent="0.3">
      <c r="D29096" s="25"/>
      <c r="F29096" s="21"/>
      <c r="G29096" s="16"/>
    </row>
    <row r="29097" spans="4:7" ht="15" x14ac:dyDescent="0.3">
      <c r="D29097" s="25"/>
      <c r="F29097" s="21"/>
      <c r="G29097" s="16"/>
    </row>
    <row r="29098" spans="4:7" ht="15" x14ac:dyDescent="0.3">
      <c r="D29098" s="25"/>
      <c r="F29098" s="21"/>
      <c r="G29098" s="16"/>
    </row>
    <row r="29099" spans="4:7" ht="15" x14ac:dyDescent="0.3">
      <c r="D29099" s="25"/>
      <c r="F29099" s="21"/>
      <c r="G29099" s="16"/>
    </row>
    <row r="29100" spans="4:7" ht="15" x14ac:dyDescent="0.3">
      <c r="D29100" s="25"/>
      <c r="F29100" s="21"/>
      <c r="G29100" s="16"/>
    </row>
    <row r="29101" spans="4:7" ht="15" x14ac:dyDescent="0.3">
      <c r="D29101" s="25"/>
      <c r="F29101" s="21"/>
      <c r="G29101" s="16"/>
    </row>
    <row r="29102" spans="4:7" ht="15" x14ac:dyDescent="0.3">
      <c r="D29102" s="25"/>
      <c r="F29102" s="21"/>
      <c r="G29102" s="16"/>
    </row>
    <row r="29103" spans="4:7" ht="15" x14ac:dyDescent="0.3">
      <c r="D29103" s="25"/>
      <c r="F29103" s="21"/>
      <c r="G29103" s="16"/>
    </row>
    <row r="29104" spans="4:7" ht="15" x14ac:dyDescent="0.3">
      <c r="D29104" s="25"/>
      <c r="F29104" s="21"/>
      <c r="G29104" s="16"/>
    </row>
    <row r="29105" spans="4:7" ht="15" x14ac:dyDescent="0.3">
      <c r="D29105" s="25"/>
      <c r="F29105" s="21"/>
      <c r="G29105" s="16"/>
    </row>
    <row r="29106" spans="4:7" ht="15" x14ac:dyDescent="0.3">
      <c r="D29106" s="25"/>
      <c r="F29106" s="21"/>
      <c r="G29106" s="16"/>
    </row>
    <row r="29107" spans="4:7" ht="15" x14ac:dyDescent="0.3">
      <c r="D29107" s="25"/>
      <c r="F29107" s="21"/>
      <c r="G29107" s="16"/>
    </row>
    <row r="29108" spans="4:7" ht="15" x14ac:dyDescent="0.3">
      <c r="D29108" s="25"/>
      <c r="F29108" s="21"/>
      <c r="G29108" s="16"/>
    </row>
    <row r="29109" spans="4:7" ht="15" x14ac:dyDescent="0.3">
      <c r="D29109" s="25"/>
      <c r="F29109" s="21"/>
      <c r="G29109" s="16"/>
    </row>
    <row r="29110" spans="4:7" ht="15" x14ac:dyDescent="0.3">
      <c r="D29110" s="25"/>
      <c r="F29110" s="21"/>
      <c r="G29110" s="16"/>
    </row>
    <row r="29111" spans="4:7" ht="15" x14ac:dyDescent="0.3">
      <c r="D29111" s="25"/>
      <c r="F29111" s="21"/>
      <c r="G29111" s="16"/>
    </row>
    <row r="29112" spans="4:7" ht="15" x14ac:dyDescent="0.3">
      <c r="D29112" s="25"/>
      <c r="F29112" s="21"/>
      <c r="G29112" s="16"/>
    </row>
    <row r="29113" spans="4:7" ht="15" x14ac:dyDescent="0.3">
      <c r="D29113" s="25"/>
      <c r="F29113" s="21"/>
      <c r="G29113" s="16"/>
    </row>
    <row r="29114" spans="4:7" ht="15" x14ac:dyDescent="0.3">
      <c r="D29114" s="25"/>
      <c r="F29114" s="21"/>
      <c r="G29114" s="16"/>
    </row>
    <row r="29115" spans="4:7" ht="15" x14ac:dyDescent="0.3">
      <c r="D29115" s="25"/>
      <c r="F29115" s="21"/>
      <c r="G29115" s="16"/>
    </row>
    <row r="29116" spans="4:7" ht="15" x14ac:dyDescent="0.3">
      <c r="D29116" s="25"/>
      <c r="F29116" s="21"/>
      <c r="G29116" s="16"/>
    </row>
    <row r="29117" spans="4:7" ht="15" x14ac:dyDescent="0.3">
      <c r="D29117" s="25"/>
      <c r="F29117" s="21"/>
      <c r="G29117" s="16"/>
    </row>
    <row r="29118" spans="4:7" ht="15" x14ac:dyDescent="0.3">
      <c r="D29118" s="25"/>
      <c r="F29118" s="21"/>
      <c r="G29118" s="16"/>
    </row>
    <row r="29119" spans="4:7" ht="15" x14ac:dyDescent="0.3">
      <c r="D29119" s="25"/>
      <c r="F29119" s="21"/>
      <c r="G29119" s="16"/>
    </row>
    <row r="29120" spans="4:7" ht="15" x14ac:dyDescent="0.3">
      <c r="D29120" s="25"/>
      <c r="F29120" s="21"/>
      <c r="G29120" s="16"/>
    </row>
    <row r="29121" spans="4:7" ht="15" x14ac:dyDescent="0.3">
      <c r="D29121" s="25"/>
      <c r="F29121" s="21"/>
      <c r="G29121" s="16"/>
    </row>
    <row r="29122" spans="4:7" ht="15" x14ac:dyDescent="0.3">
      <c r="D29122" s="25"/>
      <c r="F29122" s="21"/>
      <c r="G29122" s="16"/>
    </row>
    <row r="29123" spans="4:7" ht="15" x14ac:dyDescent="0.3">
      <c r="D29123" s="25"/>
      <c r="F29123" s="21"/>
      <c r="G29123" s="16"/>
    </row>
    <row r="29124" spans="4:7" ht="15" x14ac:dyDescent="0.3">
      <c r="D29124" s="25"/>
      <c r="F29124" s="21"/>
      <c r="G29124" s="16"/>
    </row>
    <row r="29125" spans="4:7" ht="15" x14ac:dyDescent="0.3">
      <c r="D29125" s="25"/>
      <c r="F29125" s="21"/>
      <c r="G29125" s="16"/>
    </row>
    <row r="29126" spans="4:7" ht="15" x14ac:dyDescent="0.3">
      <c r="D29126" s="25"/>
      <c r="F29126" s="21"/>
      <c r="G29126" s="16"/>
    </row>
    <row r="29127" spans="4:7" ht="15" x14ac:dyDescent="0.3">
      <c r="D29127" s="25"/>
      <c r="F29127" s="21"/>
      <c r="G29127" s="16"/>
    </row>
    <row r="29128" spans="4:7" ht="15" x14ac:dyDescent="0.3">
      <c r="D29128" s="25"/>
      <c r="F29128" s="21"/>
      <c r="G29128" s="16"/>
    </row>
    <row r="29129" spans="4:7" ht="15" x14ac:dyDescent="0.3">
      <c r="D29129" s="25"/>
      <c r="F29129" s="21"/>
      <c r="G29129" s="16"/>
    </row>
    <row r="29130" spans="4:7" ht="15" x14ac:dyDescent="0.3">
      <c r="D29130" s="25"/>
      <c r="F29130" s="21"/>
      <c r="G29130" s="16"/>
    </row>
    <row r="29131" spans="4:7" ht="15" x14ac:dyDescent="0.3">
      <c r="D29131" s="25"/>
      <c r="F29131" s="21"/>
      <c r="G29131" s="16"/>
    </row>
    <row r="29132" spans="4:7" ht="15" x14ac:dyDescent="0.3">
      <c r="D29132" s="25"/>
      <c r="F29132" s="21"/>
      <c r="G29132" s="16"/>
    </row>
    <row r="29133" spans="4:7" ht="15" x14ac:dyDescent="0.3">
      <c r="D29133" s="25"/>
      <c r="F29133" s="21"/>
      <c r="G29133" s="16"/>
    </row>
    <row r="29134" spans="4:7" ht="15" x14ac:dyDescent="0.3">
      <c r="D29134" s="25"/>
      <c r="F29134" s="21"/>
      <c r="G29134" s="16"/>
    </row>
    <row r="29135" spans="4:7" ht="15" x14ac:dyDescent="0.3">
      <c r="D29135" s="25"/>
      <c r="F29135" s="21"/>
      <c r="G29135" s="16"/>
    </row>
    <row r="29136" spans="4:7" ht="15" x14ac:dyDescent="0.3">
      <c r="D29136" s="25"/>
      <c r="F29136" s="21"/>
      <c r="G29136" s="16"/>
    </row>
    <row r="29137" spans="4:7" ht="15" x14ac:dyDescent="0.3">
      <c r="D29137" s="25"/>
      <c r="F29137" s="21"/>
      <c r="G29137" s="16"/>
    </row>
    <row r="29138" spans="4:7" ht="15" x14ac:dyDescent="0.3">
      <c r="D29138" s="25"/>
      <c r="F29138" s="21"/>
      <c r="G29138" s="16"/>
    </row>
    <row r="29139" spans="4:7" ht="15" x14ac:dyDescent="0.3">
      <c r="D29139" s="25"/>
      <c r="F29139" s="21"/>
      <c r="G29139" s="16"/>
    </row>
    <row r="29140" spans="4:7" ht="15" x14ac:dyDescent="0.3">
      <c r="D29140" s="25"/>
      <c r="F29140" s="21"/>
      <c r="G29140" s="16"/>
    </row>
    <row r="29141" spans="4:7" ht="15" x14ac:dyDescent="0.3">
      <c r="D29141" s="25"/>
      <c r="F29141" s="21"/>
      <c r="G29141" s="16"/>
    </row>
    <row r="29142" spans="4:7" ht="15" x14ac:dyDescent="0.3">
      <c r="D29142" s="25"/>
      <c r="F29142" s="21"/>
      <c r="G29142" s="16"/>
    </row>
    <row r="29143" spans="4:7" ht="15" x14ac:dyDescent="0.3">
      <c r="D29143" s="25"/>
      <c r="F29143" s="21"/>
      <c r="G29143" s="16"/>
    </row>
    <row r="29144" spans="4:7" ht="15" x14ac:dyDescent="0.3">
      <c r="D29144" s="25"/>
      <c r="F29144" s="21"/>
      <c r="G29144" s="16"/>
    </row>
    <row r="29145" spans="4:7" ht="15" x14ac:dyDescent="0.3">
      <c r="D29145" s="25"/>
      <c r="F29145" s="21"/>
      <c r="G29145" s="16"/>
    </row>
    <row r="29146" spans="4:7" ht="15" x14ac:dyDescent="0.3">
      <c r="D29146" s="25"/>
      <c r="F29146" s="21"/>
      <c r="G29146" s="16"/>
    </row>
    <row r="29147" spans="4:7" ht="15" x14ac:dyDescent="0.3">
      <c r="D29147" s="25"/>
      <c r="F29147" s="21"/>
      <c r="G29147" s="16"/>
    </row>
    <row r="29148" spans="4:7" ht="15" x14ac:dyDescent="0.3">
      <c r="D29148" s="25"/>
      <c r="F29148" s="21"/>
      <c r="G29148" s="16"/>
    </row>
    <row r="29149" spans="4:7" ht="15" x14ac:dyDescent="0.3">
      <c r="D29149" s="25"/>
      <c r="F29149" s="21"/>
      <c r="G29149" s="16"/>
    </row>
    <row r="29150" spans="4:7" ht="15" x14ac:dyDescent="0.3">
      <c r="D29150" s="25"/>
      <c r="F29150" s="21"/>
      <c r="G29150" s="16"/>
    </row>
    <row r="29151" spans="4:7" ht="15" x14ac:dyDescent="0.3">
      <c r="D29151" s="25"/>
      <c r="F29151" s="21"/>
      <c r="G29151" s="16"/>
    </row>
    <row r="29152" spans="4:7" ht="15" x14ac:dyDescent="0.3">
      <c r="D29152" s="25"/>
      <c r="F29152" s="21"/>
      <c r="G29152" s="16"/>
    </row>
    <row r="29153" spans="4:7" ht="15" x14ac:dyDescent="0.3">
      <c r="D29153" s="25"/>
      <c r="F29153" s="21"/>
      <c r="G29153" s="16"/>
    </row>
    <row r="29154" spans="4:7" ht="15" x14ac:dyDescent="0.3">
      <c r="D29154" s="25"/>
      <c r="F29154" s="21"/>
      <c r="G29154" s="16"/>
    </row>
    <row r="29155" spans="4:7" ht="15" x14ac:dyDescent="0.3">
      <c r="D29155" s="25"/>
      <c r="F29155" s="21"/>
      <c r="G29155" s="16"/>
    </row>
    <row r="29156" spans="4:7" ht="15" x14ac:dyDescent="0.3">
      <c r="D29156" s="25"/>
      <c r="F29156" s="21"/>
      <c r="G29156" s="16"/>
    </row>
    <row r="29157" spans="4:7" ht="15" x14ac:dyDescent="0.3">
      <c r="D29157" s="25"/>
      <c r="F29157" s="21"/>
      <c r="G29157" s="16"/>
    </row>
    <row r="29158" spans="4:7" ht="15" x14ac:dyDescent="0.3">
      <c r="D29158" s="25"/>
      <c r="F29158" s="21"/>
      <c r="G29158" s="16"/>
    </row>
    <row r="29159" spans="4:7" ht="15" x14ac:dyDescent="0.3">
      <c r="D29159" s="25"/>
      <c r="F29159" s="21"/>
      <c r="G29159" s="16"/>
    </row>
    <row r="29160" spans="4:7" ht="15" x14ac:dyDescent="0.3">
      <c r="D29160" s="25"/>
      <c r="F29160" s="21"/>
      <c r="G29160" s="16"/>
    </row>
    <row r="29161" spans="4:7" ht="15" x14ac:dyDescent="0.3">
      <c r="D29161" s="25"/>
      <c r="F29161" s="21"/>
      <c r="G29161" s="16"/>
    </row>
    <row r="29162" spans="4:7" ht="15" x14ac:dyDescent="0.3">
      <c r="D29162" s="25"/>
      <c r="F29162" s="21"/>
      <c r="G29162" s="16"/>
    </row>
    <row r="29163" spans="4:7" ht="15" x14ac:dyDescent="0.3">
      <c r="D29163" s="25"/>
      <c r="F29163" s="21"/>
      <c r="G29163" s="16"/>
    </row>
    <row r="29164" spans="4:7" ht="15" x14ac:dyDescent="0.3">
      <c r="D29164" s="25"/>
      <c r="F29164" s="21"/>
      <c r="G29164" s="16"/>
    </row>
    <row r="29165" spans="4:7" ht="15" x14ac:dyDescent="0.3">
      <c r="D29165" s="25"/>
      <c r="F29165" s="21"/>
      <c r="G29165" s="16"/>
    </row>
    <row r="29166" spans="4:7" ht="15" x14ac:dyDescent="0.3">
      <c r="D29166" s="25"/>
      <c r="F29166" s="21"/>
      <c r="G29166" s="16"/>
    </row>
    <row r="29167" spans="4:7" ht="15" x14ac:dyDescent="0.3">
      <c r="D29167" s="25"/>
      <c r="F29167" s="21"/>
      <c r="G29167" s="16"/>
    </row>
    <row r="29168" spans="4:7" ht="15" x14ac:dyDescent="0.3">
      <c r="D29168" s="25"/>
      <c r="F29168" s="21"/>
      <c r="G29168" s="16"/>
    </row>
    <row r="29169" spans="4:7" ht="15" x14ac:dyDescent="0.3">
      <c r="D29169" s="25"/>
      <c r="F29169" s="21"/>
      <c r="G29169" s="16"/>
    </row>
    <row r="29170" spans="4:7" ht="15" x14ac:dyDescent="0.3">
      <c r="D29170" s="25"/>
      <c r="F29170" s="21"/>
      <c r="G29170" s="16"/>
    </row>
    <row r="29171" spans="4:7" ht="15" x14ac:dyDescent="0.3">
      <c r="D29171" s="25"/>
      <c r="F29171" s="21"/>
      <c r="G29171" s="16"/>
    </row>
    <row r="29172" spans="4:7" ht="15" x14ac:dyDescent="0.3">
      <c r="D29172" s="25"/>
      <c r="F29172" s="21"/>
      <c r="G29172" s="16"/>
    </row>
    <row r="29173" spans="4:7" ht="15" x14ac:dyDescent="0.3">
      <c r="D29173" s="25"/>
      <c r="F29173" s="21"/>
      <c r="G29173" s="16"/>
    </row>
    <row r="29174" spans="4:7" ht="15" x14ac:dyDescent="0.3">
      <c r="D29174" s="25"/>
      <c r="F29174" s="21"/>
      <c r="G29174" s="16"/>
    </row>
    <row r="29175" spans="4:7" ht="15" x14ac:dyDescent="0.3">
      <c r="D29175" s="25"/>
      <c r="F29175" s="21"/>
      <c r="G29175" s="16"/>
    </row>
    <row r="29176" spans="4:7" ht="15" x14ac:dyDescent="0.3">
      <c r="D29176" s="25"/>
      <c r="F29176" s="21"/>
      <c r="G29176" s="16"/>
    </row>
    <row r="29177" spans="4:7" ht="15" x14ac:dyDescent="0.3">
      <c r="D29177" s="25"/>
      <c r="F29177" s="21"/>
      <c r="G29177" s="16"/>
    </row>
    <row r="29178" spans="4:7" ht="15" x14ac:dyDescent="0.3">
      <c r="D29178" s="25"/>
      <c r="F29178" s="21"/>
      <c r="G29178" s="16"/>
    </row>
    <row r="29179" spans="4:7" ht="15" x14ac:dyDescent="0.3">
      <c r="D29179" s="25"/>
      <c r="F29179" s="21"/>
      <c r="G29179" s="16"/>
    </row>
    <row r="29180" spans="4:7" ht="15" x14ac:dyDescent="0.3">
      <c r="D29180" s="25"/>
      <c r="F29180" s="21"/>
      <c r="G29180" s="16"/>
    </row>
    <row r="29181" spans="4:7" ht="15" x14ac:dyDescent="0.3">
      <c r="D29181" s="25"/>
      <c r="F29181" s="21"/>
      <c r="G29181" s="16"/>
    </row>
    <row r="29182" spans="4:7" ht="15" x14ac:dyDescent="0.3">
      <c r="D29182" s="25"/>
      <c r="F29182" s="21"/>
      <c r="G29182" s="16"/>
    </row>
    <row r="29183" spans="4:7" ht="15" x14ac:dyDescent="0.3">
      <c r="D29183" s="25"/>
      <c r="F29183" s="21"/>
      <c r="G29183" s="16"/>
    </row>
    <row r="29184" spans="4:7" ht="15" x14ac:dyDescent="0.3">
      <c r="D29184" s="25"/>
      <c r="F29184" s="21"/>
      <c r="G29184" s="16"/>
    </row>
    <row r="29185" spans="4:7" ht="15" x14ac:dyDescent="0.3">
      <c r="D29185" s="25"/>
      <c r="F29185" s="21"/>
      <c r="G29185" s="16"/>
    </row>
    <row r="29186" spans="4:7" ht="15" x14ac:dyDescent="0.3">
      <c r="D29186" s="25"/>
      <c r="F29186" s="21"/>
      <c r="G29186" s="16"/>
    </row>
    <row r="29187" spans="4:7" ht="15" x14ac:dyDescent="0.3">
      <c r="D29187" s="25"/>
      <c r="F29187" s="21"/>
      <c r="G29187" s="16"/>
    </row>
    <row r="29188" spans="4:7" ht="15" x14ac:dyDescent="0.3">
      <c r="D29188" s="25"/>
      <c r="F29188" s="21"/>
      <c r="G29188" s="16"/>
    </row>
    <row r="29189" spans="4:7" ht="15" x14ac:dyDescent="0.3">
      <c r="D29189" s="25"/>
      <c r="F29189" s="21"/>
      <c r="G29189" s="16"/>
    </row>
    <row r="29190" spans="4:7" ht="15" x14ac:dyDescent="0.3">
      <c r="D29190" s="25"/>
      <c r="F29190" s="21"/>
      <c r="G29190" s="16"/>
    </row>
    <row r="29191" spans="4:7" ht="15" x14ac:dyDescent="0.3">
      <c r="D29191" s="25"/>
      <c r="F29191" s="21"/>
      <c r="G29191" s="16"/>
    </row>
    <row r="29192" spans="4:7" ht="15" x14ac:dyDescent="0.3">
      <c r="D29192" s="25"/>
      <c r="F29192" s="21"/>
      <c r="G29192" s="16"/>
    </row>
    <row r="29193" spans="4:7" ht="15" x14ac:dyDescent="0.3">
      <c r="D29193" s="25"/>
      <c r="F29193" s="21"/>
      <c r="G29193" s="16"/>
    </row>
    <row r="29194" spans="4:7" ht="15" x14ac:dyDescent="0.3">
      <c r="D29194" s="25"/>
      <c r="F29194" s="21"/>
      <c r="G29194" s="16"/>
    </row>
    <row r="29195" spans="4:7" ht="15" x14ac:dyDescent="0.3">
      <c r="D29195" s="25"/>
      <c r="F29195" s="21"/>
      <c r="G29195" s="16"/>
    </row>
    <row r="29196" spans="4:7" ht="15" x14ac:dyDescent="0.3">
      <c r="D29196" s="25"/>
      <c r="F29196" s="21"/>
      <c r="G29196" s="16"/>
    </row>
    <row r="29197" spans="4:7" ht="15" x14ac:dyDescent="0.3">
      <c r="D29197" s="25"/>
      <c r="F29197" s="21"/>
      <c r="G29197" s="16"/>
    </row>
    <row r="29198" spans="4:7" ht="15" x14ac:dyDescent="0.3">
      <c r="D29198" s="25"/>
      <c r="F29198" s="21"/>
      <c r="G29198" s="16"/>
    </row>
    <row r="29199" spans="4:7" ht="15" x14ac:dyDescent="0.3">
      <c r="D29199" s="25"/>
      <c r="F29199" s="21"/>
      <c r="G29199" s="16"/>
    </row>
    <row r="29200" spans="4:7" ht="15" x14ac:dyDescent="0.3">
      <c r="D29200" s="25"/>
      <c r="F29200" s="21"/>
      <c r="G29200" s="16"/>
    </row>
    <row r="29201" spans="4:7" ht="15" x14ac:dyDescent="0.3">
      <c r="D29201" s="25"/>
      <c r="F29201" s="21"/>
      <c r="G29201" s="16"/>
    </row>
    <row r="29202" spans="4:7" ht="15" x14ac:dyDescent="0.3">
      <c r="D29202" s="25"/>
      <c r="F29202" s="21"/>
      <c r="G29202" s="16"/>
    </row>
    <row r="29203" spans="4:7" ht="15" x14ac:dyDescent="0.3">
      <c r="D29203" s="25"/>
      <c r="F29203" s="21"/>
      <c r="G29203" s="16"/>
    </row>
    <row r="29204" spans="4:7" ht="15" x14ac:dyDescent="0.3">
      <c r="D29204" s="25"/>
      <c r="F29204" s="21"/>
      <c r="G29204" s="16"/>
    </row>
    <row r="29205" spans="4:7" ht="15" x14ac:dyDescent="0.3">
      <c r="D29205" s="25"/>
      <c r="F29205" s="21"/>
      <c r="G29205" s="16"/>
    </row>
    <row r="29206" spans="4:7" ht="15" x14ac:dyDescent="0.3">
      <c r="D29206" s="25"/>
      <c r="F29206" s="21"/>
      <c r="G29206" s="16"/>
    </row>
    <row r="29207" spans="4:7" ht="15" x14ac:dyDescent="0.3">
      <c r="D29207" s="25"/>
      <c r="F29207" s="21"/>
      <c r="G29207" s="16"/>
    </row>
    <row r="29208" spans="4:7" ht="15" x14ac:dyDescent="0.3">
      <c r="D29208" s="25"/>
      <c r="F29208" s="21"/>
      <c r="G29208" s="16"/>
    </row>
    <row r="29209" spans="4:7" ht="15" x14ac:dyDescent="0.3">
      <c r="D29209" s="25"/>
      <c r="F29209" s="21"/>
      <c r="G29209" s="16"/>
    </row>
    <row r="29210" spans="4:7" ht="15" x14ac:dyDescent="0.3">
      <c r="D29210" s="25"/>
      <c r="F29210" s="21"/>
      <c r="G29210" s="16"/>
    </row>
    <row r="29211" spans="4:7" ht="15" x14ac:dyDescent="0.3">
      <c r="D29211" s="25"/>
      <c r="F29211" s="21"/>
      <c r="G29211" s="16"/>
    </row>
    <row r="29212" spans="4:7" ht="15" x14ac:dyDescent="0.3">
      <c r="D29212" s="25"/>
      <c r="F29212" s="21"/>
      <c r="G29212" s="16"/>
    </row>
    <row r="29213" spans="4:7" ht="15" x14ac:dyDescent="0.3">
      <c r="D29213" s="25"/>
      <c r="F29213" s="21"/>
      <c r="G29213" s="16"/>
    </row>
    <row r="29214" spans="4:7" ht="15" x14ac:dyDescent="0.3">
      <c r="D29214" s="25"/>
      <c r="F29214" s="21"/>
      <c r="G29214" s="16"/>
    </row>
    <row r="29215" spans="4:7" ht="15" x14ac:dyDescent="0.3">
      <c r="D29215" s="25"/>
      <c r="F29215" s="21"/>
      <c r="G29215" s="16"/>
    </row>
    <row r="29216" spans="4:7" ht="15" x14ac:dyDescent="0.3">
      <c r="D29216" s="25"/>
      <c r="F29216" s="21"/>
      <c r="G29216" s="16"/>
    </row>
    <row r="29217" spans="4:7" ht="15" x14ac:dyDescent="0.3">
      <c r="D29217" s="25"/>
      <c r="F29217" s="21"/>
      <c r="G29217" s="16"/>
    </row>
    <row r="29218" spans="4:7" ht="15" x14ac:dyDescent="0.3">
      <c r="D29218" s="25"/>
      <c r="F29218" s="21"/>
      <c r="G29218" s="16"/>
    </row>
    <row r="29219" spans="4:7" ht="15" x14ac:dyDescent="0.3">
      <c r="D29219" s="25"/>
      <c r="F29219" s="21"/>
      <c r="G29219" s="16"/>
    </row>
    <row r="29220" spans="4:7" ht="15" x14ac:dyDescent="0.3">
      <c r="D29220" s="25"/>
      <c r="F29220" s="21"/>
      <c r="G29220" s="16"/>
    </row>
    <row r="29221" spans="4:7" ht="15" x14ac:dyDescent="0.3">
      <c r="D29221" s="25"/>
      <c r="F29221" s="21"/>
      <c r="G29221" s="16"/>
    </row>
    <row r="29222" spans="4:7" ht="15" x14ac:dyDescent="0.3">
      <c r="D29222" s="25"/>
      <c r="F29222" s="21"/>
      <c r="G29222" s="16"/>
    </row>
    <row r="29223" spans="4:7" ht="15" x14ac:dyDescent="0.3">
      <c r="D29223" s="25"/>
      <c r="F29223" s="21"/>
      <c r="G29223" s="16"/>
    </row>
    <row r="29224" spans="4:7" ht="15" x14ac:dyDescent="0.3">
      <c r="D29224" s="25"/>
      <c r="F29224" s="21"/>
      <c r="G29224" s="16"/>
    </row>
    <row r="29225" spans="4:7" ht="15" x14ac:dyDescent="0.3">
      <c r="D29225" s="25"/>
      <c r="F29225" s="21"/>
      <c r="G29225" s="16"/>
    </row>
    <row r="29226" spans="4:7" ht="15" x14ac:dyDescent="0.3">
      <c r="D29226" s="25"/>
      <c r="F29226" s="21"/>
      <c r="G29226" s="16"/>
    </row>
    <row r="29227" spans="4:7" ht="15" x14ac:dyDescent="0.3">
      <c r="D29227" s="25"/>
      <c r="F29227" s="21"/>
      <c r="G29227" s="16"/>
    </row>
    <row r="29228" spans="4:7" ht="15" x14ac:dyDescent="0.3">
      <c r="D29228" s="25"/>
      <c r="F29228" s="21"/>
      <c r="G29228" s="16"/>
    </row>
    <row r="29229" spans="4:7" ht="15" x14ac:dyDescent="0.3">
      <c r="D29229" s="25"/>
      <c r="F29229" s="21"/>
      <c r="G29229" s="16"/>
    </row>
    <row r="29230" spans="4:7" ht="15" x14ac:dyDescent="0.3">
      <c r="D29230" s="25"/>
      <c r="F29230" s="21"/>
      <c r="G29230" s="16"/>
    </row>
    <row r="29231" spans="4:7" ht="15" x14ac:dyDescent="0.3">
      <c r="D29231" s="25"/>
      <c r="F29231" s="21"/>
      <c r="G29231" s="16"/>
    </row>
    <row r="29232" spans="4:7" ht="15" x14ac:dyDescent="0.3">
      <c r="D29232" s="25"/>
      <c r="F29232" s="21"/>
      <c r="G29232" s="16"/>
    </row>
    <row r="29233" spans="4:7" ht="15" x14ac:dyDescent="0.3">
      <c r="D29233" s="25"/>
      <c r="F29233" s="21"/>
      <c r="G29233" s="16"/>
    </row>
    <row r="29234" spans="4:7" ht="15" x14ac:dyDescent="0.3">
      <c r="D29234" s="25"/>
      <c r="F29234" s="21"/>
      <c r="G29234" s="16"/>
    </row>
    <row r="29235" spans="4:7" ht="15" x14ac:dyDescent="0.3">
      <c r="D29235" s="25"/>
      <c r="F29235" s="21"/>
      <c r="G29235" s="16"/>
    </row>
    <row r="29236" spans="4:7" ht="15" x14ac:dyDescent="0.3">
      <c r="D29236" s="25"/>
      <c r="F29236" s="21"/>
      <c r="G29236" s="16"/>
    </row>
    <row r="29237" spans="4:7" ht="15" x14ac:dyDescent="0.3">
      <c r="D29237" s="25"/>
      <c r="F29237" s="21"/>
      <c r="G29237" s="16"/>
    </row>
    <row r="29238" spans="4:7" ht="15" x14ac:dyDescent="0.3">
      <c r="D29238" s="25"/>
      <c r="F29238" s="21"/>
      <c r="G29238" s="16"/>
    </row>
    <row r="29239" spans="4:7" ht="15" x14ac:dyDescent="0.3">
      <c r="D29239" s="25"/>
      <c r="F29239" s="21"/>
      <c r="G29239" s="16"/>
    </row>
    <row r="29240" spans="4:7" ht="15" x14ac:dyDescent="0.3">
      <c r="D29240" s="25"/>
      <c r="F29240" s="21"/>
      <c r="G29240" s="16"/>
    </row>
    <row r="29241" spans="4:7" ht="15" x14ac:dyDescent="0.3">
      <c r="D29241" s="25"/>
      <c r="F29241" s="21"/>
      <c r="G29241" s="16"/>
    </row>
    <row r="29242" spans="4:7" ht="15" x14ac:dyDescent="0.3">
      <c r="D29242" s="25"/>
      <c r="F29242" s="21"/>
      <c r="G29242" s="16"/>
    </row>
    <row r="29243" spans="4:7" ht="15" x14ac:dyDescent="0.3">
      <c r="D29243" s="25"/>
      <c r="F29243" s="21"/>
      <c r="G29243" s="16"/>
    </row>
    <row r="29244" spans="4:7" ht="15" x14ac:dyDescent="0.3">
      <c r="D29244" s="25"/>
      <c r="F29244" s="21"/>
      <c r="G29244" s="16"/>
    </row>
    <row r="29245" spans="4:7" ht="15" x14ac:dyDescent="0.3">
      <c r="D29245" s="25"/>
      <c r="F29245" s="21"/>
      <c r="G29245" s="16"/>
    </row>
    <row r="29246" spans="4:7" ht="15" x14ac:dyDescent="0.3">
      <c r="D29246" s="25"/>
      <c r="F29246" s="21"/>
      <c r="G29246" s="16"/>
    </row>
    <row r="29247" spans="4:7" ht="15" x14ac:dyDescent="0.3">
      <c r="D29247" s="25"/>
      <c r="F29247" s="21"/>
      <c r="G29247" s="16"/>
    </row>
    <row r="29248" spans="4:7" ht="15" x14ac:dyDescent="0.3">
      <c r="D29248" s="25"/>
      <c r="F29248" s="21"/>
      <c r="G29248" s="16"/>
    </row>
    <row r="29249" spans="4:7" ht="15" x14ac:dyDescent="0.3">
      <c r="D29249" s="25"/>
      <c r="F29249" s="21"/>
      <c r="G29249" s="16"/>
    </row>
    <row r="29250" spans="4:7" ht="15" x14ac:dyDescent="0.3">
      <c r="D29250" s="25"/>
      <c r="F29250" s="21"/>
      <c r="G29250" s="16"/>
    </row>
    <row r="29251" spans="4:7" ht="15" x14ac:dyDescent="0.3">
      <c r="D29251" s="25"/>
      <c r="F29251" s="21"/>
      <c r="G29251" s="16"/>
    </row>
    <row r="29252" spans="4:7" ht="15" x14ac:dyDescent="0.3">
      <c r="D29252" s="25"/>
      <c r="F29252" s="21"/>
      <c r="G29252" s="16"/>
    </row>
    <row r="29253" spans="4:7" ht="15" x14ac:dyDescent="0.3">
      <c r="D29253" s="25"/>
      <c r="F29253" s="21"/>
      <c r="G29253" s="16"/>
    </row>
    <row r="29254" spans="4:7" ht="15" x14ac:dyDescent="0.3">
      <c r="D29254" s="25"/>
      <c r="F29254" s="21"/>
      <c r="G29254" s="16"/>
    </row>
    <row r="29255" spans="4:7" ht="15" x14ac:dyDescent="0.3">
      <c r="D29255" s="25"/>
      <c r="F29255" s="21"/>
      <c r="G29255" s="16"/>
    </row>
    <row r="29256" spans="4:7" ht="15" x14ac:dyDescent="0.3">
      <c r="D29256" s="25"/>
      <c r="F29256" s="21"/>
      <c r="G29256" s="16"/>
    </row>
    <row r="29257" spans="4:7" ht="15" x14ac:dyDescent="0.3">
      <c r="D29257" s="25"/>
      <c r="F29257" s="21"/>
      <c r="G29257" s="16"/>
    </row>
    <row r="29258" spans="4:7" ht="15" x14ac:dyDescent="0.3">
      <c r="D29258" s="25"/>
      <c r="F29258" s="21"/>
      <c r="G29258" s="16"/>
    </row>
    <row r="29259" spans="4:7" ht="15" x14ac:dyDescent="0.3">
      <c r="D29259" s="25"/>
      <c r="F29259" s="21"/>
      <c r="G29259" s="16"/>
    </row>
    <row r="29260" spans="4:7" ht="15" x14ac:dyDescent="0.3">
      <c r="D29260" s="25"/>
      <c r="F29260" s="21"/>
      <c r="G29260" s="16"/>
    </row>
    <row r="29261" spans="4:7" ht="15" x14ac:dyDescent="0.3">
      <c r="D29261" s="25"/>
      <c r="F29261" s="21"/>
      <c r="G29261" s="16"/>
    </row>
    <row r="29262" spans="4:7" ht="15" x14ac:dyDescent="0.3">
      <c r="D29262" s="25"/>
      <c r="F29262" s="21"/>
      <c r="G29262" s="16"/>
    </row>
    <row r="29263" spans="4:7" ht="15" x14ac:dyDescent="0.3">
      <c r="D29263" s="25"/>
      <c r="F29263" s="21"/>
      <c r="G29263" s="16"/>
    </row>
    <row r="29264" spans="4:7" ht="15" x14ac:dyDescent="0.3">
      <c r="D29264" s="25"/>
      <c r="F29264" s="21"/>
      <c r="G29264" s="16"/>
    </row>
    <row r="29265" spans="4:7" ht="15" x14ac:dyDescent="0.3">
      <c r="D29265" s="25"/>
      <c r="F29265" s="21"/>
      <c r="G29265" s="16"/>
    </row>
    <row r="29266" spans="4:7" ht="15" x14ac:dyDescent="0.3">
      <c r="D29266" s="25"/>
      <c r="F29266" s="21"/>
      <c r="G29266" s="16"/>
    </row>
    <row r="29267" spans="4:7" ht="15" x14ac:dyDescent="0.3">
      <c r="D29267" s="25"/>
      <c r="F29267" s="21"/>
      <c r="G29267" s="16"/>
    </row>
    <row r="29268" spans="4:7" ht="15" x14ac:dyDescent="0.3">
      <c r="D29268" s="25"/>
      <c r="F29268" s="21"/>
      <c r="G29268" s="16"/>
    </row>
    <row r="29269" spans="4:7" ht="15" x14ac:dyDescent="0.3">
      <c r="D29269" s="25"/>
      <c r="F29269" s="21"/>
      <c r="G29269" s="16"/>
    </row>
    <row r="29270" spans="4:7" ht="15" x14ac:dyDescent="0.3">
      <c r="D29270" s="25"/>
      <c r="F29270" s="21"/>
      <c r="G29270" s="16"/>
    </row>
    <row r="29271" spans="4:7" ht="15" x14ac:dyDescent="0.3">
      <c r="D29271" s="25"/>
      <c r="F29271" s="21"/>
      <c r="G29271" s="16"/>
    </row>
    <row r="29272" spans="4:7" ht="15" x14ac:dyDescent="0.3">
      <c r="D29272" s="25"/>
      <c r="F29272" s="21"/>
      <c r="G29272" s="16"/>
    </row>
    <row r="29273" spans="4:7" ht="15" x14ac:dyDescent="0.3">
      <c r="D29273" s="25"/>
      <c r="F29273" s="21"/>
      <c r="G29273" s="16"/>
    </row>
    <row r="29274" spans="4:7" ht="15" x14ac:dyDescent="0.3">
      <c r="D29274" s="25"/>
      <c r="F29274" s="21"/>
      <c r="G29274" s="16"/>
    </row>
    <row r="29275" spans="4:7" ht="15" x14ac:dyDescent="0.3">
      <c r="D29275" s="25"/>
      <c r="F29275" s="21"/>
      <c r="G29275" s="16"/>
    </row>
    <row r="29276" spans="4:7" ht="15" x14ac:dyDescent="0.3">
      <c r="D29276" s="25"/>
      <c r="F29276" s="21"/>
      <c r="G29276" s="16"/>
    </row>
    <row r="29277" spans="4:7" ht="15" x14ac:dyDescent="0.3">
      <c r="D29277" s="25"/>
      <c r="F29277" s="21"/>
      <c r="G29277" s="16"/>
    </row>
    <row r="29278" spans="4:7" ht="15" x14ac:dyDescent="0.3">
      <c r="D29278" s="25"/>
      <c r="F29278" s="21"/>
      <c r="G29278" s="16"/>
    </row>
    <row r="29279" spans="4:7" ht="15" x14ac:dyDescent="0.3">
      <c r="D29279" s="25"/>
      <c r="F29279" s="21"/>
      <c r="G29279" s="16"/>
    </row>
    <row r="29280" spans="4:7" ht="15" x14ac:dyDescent="0.3">
      <c r="D29280" s="25"/>
      <c r="F29280" s="21"/>
      <c r="G29280" s="16"/>
    </row>
    <row r="29281" spans="4:7" ht="15" x14ac:dyDescent="0.3">
      <c r="D29281" s="25"/>
      <c r="F29281" s="21"/>
      <c r="G29281" s="16"/>
    </row>
    <row r="29282" spans="4:7" ht="15" x14ac:dyDescent="0.3">
      <c r="D29282" s="25"/>
      <c r="F29282" s="21"/>
      <c r="G29282" s="16"/>
    </row>
    <row r="29283" spans="4:7" ht="15" x14ac:dyDescent="0.3">
      <c r="D29283" s="25"/>
      <c r="F29283" s="21"/>
      <c r="G29283" s="16"/>
    </row>
    <row r="29284" spans="4:7" ht="15" x14ac:dyDescent="0.3">
      <c r="D29284" s="25"/>
      <c r="F29284" s="21"/>
      <c r="G29284" s="16"/>
    </row>
    <row r="29285" spans="4:7" ht="15" x14ac:dyDescent="0.3">
      <c r="D29285" s="25"/>
      <c r="F29285" s="21"/>
      <c r="G29285" s="16"/>
    </row>
    <row r="29286" spans="4:7" ht="15" x14ac:dyDescent="0.3">
      <c r="D29286" s="25"/>
      <c r="F29286" s="21"/>
      <c r="G29286" s="16"/>
    </row>
    <row r="29287" spans="4:7" ht="15" x14ac:dyDescent="0.3">
      <c r="D29287" s="25"/>
      <c r="F29287" s="21"/>
      <c r="G29287" s="16"/>
    </row>
    <row r="29288" spans="4:7" ht="15" x14ac:dyDescent="0.3">
      <c r="D29288" s="25"/>
      <c r="F29288" s="21"/>
      <c r="G29288" s="16"/>
    </row>
    <row r="29289" spans="4:7" ht="15" x14ac:dyDescent="0.3">
      <c r="D29289" s="25"/>
      <c r="F29289" s="21"/>
      <c r="G29289" s="16"/>
    </row>
    <row r="29290" spans="4:7" ht="15" x14ac:dyDescent="0.3">
      <c r="D29290" s="25"/>
      <c r="F29290" s="21"/>
      <c r="G29290" s="16"/>
    </row>
    <row r="29291" spans="4:7" ht="15" x14ac:dyDescent="0.3">
      <c r="D29291" s="25"/>
      <c r="F29291" s="21"/>
      <c r="G29291" s="16"/>
    </row>
    <row r="29292" spans="4:7" ht="15" x14ac:dyDescent="0.3">
      <c r="D29292" s="25"/>
      <c r="F29292" s="21"/>
      <c r="G29292" s="16"/>
    </row>
    <row r="29293" spans="4:7" ht="15" x14ac:dyDescent="0.3">
      <c r="D29293" s="25"/>
      <c r="F29293" s="21"/>
      <c r="G29293" s="16"/>
    </row>
    <row r="29294" spans="4:7" ht="15" x14ac:dyDescent="0.3">
      <c r="D29294" s="25"/>
      <c r="F29294" s="21"/>
      <c r="G29294" s="16"/>
    </row>
    <row r="29295" spans="4:7" ht="15" x14ac:dyDescent="0.3">
      <c r="D29295" s="25"/>
      <c r="F29295" s="21"/>
      <c r="G29295" s="16"/>
    </row>
    <row r="29296" spans="4:7" ht="15" x14ac:dyDescent="0.3">
      <c r="D29296" s="25"/>
      <c r="F29296" s="21"/>
      <c r="G29296" s="16"/>
    </row>
    <row r="29297" spans="4:7" ht="15" x14ac:dyDescent="0.3">
      <c r="D29297" s="25"/>
      <c r="F29297" s="21"/>
      <c r="G29297" s="16"/>
    </row>
    <row r="29298" spans="4:7" ht="15" x14ac:dyDescent="0.3">
      <c r="D29298" s="25"/>
      <c r="F29298" s="21"/>
      <c r="G29298" s="16"/>
    </row>
    <row r="29299" spans="4:7" ht="15" x14ac:dyDescent="0.3">
      <c r="D29299" s="25"/>
      <c r="F29299" s="21"/>
      <c r="G29299" s="16"/>
    </row>
    <row r="29300" spans="4:7" ht="15" x14ac:dyDescent="0.3">
      <c r="D29300" s="25"/>
      <c r="F29300" s="21"/>
      <c r="G29300" s="16"/>
    </row>
    <row r="29301" spans="4:7" ht="15" x14ac:dyDescent="0.3">
      <c r="D29301" s="25"/>
      <c r="F29301" s="21"/>
      <c r="G29301" s="16"/>
    </row>
    <row r="29302" spans="4:7" ht="15" x14ac:dyDescent="0.3">
      <c r="D29302" s="25"/>
      <c r="F29302" s="21"/>
      <c r="G29302" s="16"/>
    </row>
    <row r="29303" spans="4:7" ht="15" x14ac:dyDescent="0.3">
      <c r="D29303" s="25"/>
      <c r="F29303" s="21"/>
      <c r="G29303" s="16"/>
    </row>
    <row r="29304" spans="4:7" ht="15" x14ac:dyDescent="0.3">
      <c r="D29304" s="25"/>
      <c r="F29304" s="21"/>
      <c r="G29304" s="16"/>
    </row>
    <row r="29305" spans="4:7" ht="15" x14ac:dyDescent="0.3">
      <c r="D29305" s="25"/>
      <c r="F29305" s="21"/>
      <c r="G29305" s="16"/>
    </row>
    <row r="29306" spans="4:7" ht="15" x14ac:dyDescent="0.3">
      <c r="D29306" s="25"/>
      <c r="F29306" s="21"/>
      <c r="G29306" s="16"/>
    </row>
    <row r="29307" spans="4:7" ht="15" x14ac:dyDescent="0.3">
      <c r="D29307" s="25"/>
      <c r="F29307" s="21"/>
      <c r="G29307" s="16"/>
    </row>
    <row r="29308" spans="4:7" ht="15" x14ac:dyDescent="0.3">
      <c r="D29308" s="25"/>
      <c r="F29308" s="21"/>
      <c r="G29308" s="16"/>
    </row>
    <row r="29309" spans="4:7" ht="15" x14ac:dyDescent="0.3">
      <c r="D29309" s="25"/>
      <c r="F29309" s="21"/>
      <c r="G29309" s="16"/>
    </row>
    <row r="29310" spans="4:7" ht="15" x14ac:dyDescent="0.3">
      <c r="D29310" s="25"/>
      <c r="F29310" s="21"/>
      <c r="G29310" s="16"/>
    </row>
    <row r="29311" spans="4:7" ht="15" x14ac:dyDescent="0.3">
      <c r="D29311" s="25"/>
      <c r="F29311" s="21"/>
      <c r="G29311" s="16"/>
    </row>
    <row r="29312" spans="4:7" ht="15" x14ac:dyDescent="0.3">
      <c r="D29312" s="25"/>
      <c r="F29312" s="21"/>
      <c r="G29312" s="16"/>
    </row>
    <row r="29313" spans="4:7" ht="15" x14ac:dyDescent="0.3">
      <c r="D29313" s="25"/>
      <c r="F29313" s="21"/>
      <c r="G29313" s="16"/>
    </row>
    <row r="29314" spans="4:7" ht="15" x14ac:dyDescent="0.3">
      <c r="D29314" s="25"/>
      <c r="F29314" s="21"/>
      <c r="G29314" s="16"/>
    </row>
    <row r="29315" spans="4:7" ht="15" x14ac:dyDescent="0.3">
      <c r="D29315" s="25"/>
      <c r="F29315" s="21"/>
      <c r="G29315" s="16"/>
    </row>
    <row r="29316" spans="4:7" ht="15" x14ac:dyDescent="0.3">
      <c r="D29316" s="25"/>
      <c r="F29316" s="21"/>
      <c r="G29316" s="16"/>
    </row>
    <row r="29317" spans="4:7" ht="15" x14ac:dyDescent="0.3">
      <c r="D29317" s="25"/>
      <c r="F29317" s="21"/>
      <c r="G29317" s="16"/>
    </row>
    <row r="29318" spans="4:7" ht="15" x14ac:dyDescent="0.3">
      <c r="D29318" s="25"/>
      <c r="F29318" s="21"/>
      <c r="G29318" s="16"/>
    </row>
    <row r="29319" spans="4:7" ht="15" x14ac:dyDescent="0.3">
      <c r="D29319" s="25"/>
      <c r="F29319" s="21"/>
      <c r="G29319" s="16"/>
    </row>
    <row r="29320" spans="4:7" ht="15" x14ac:dyDescent="0.3">
      <c r="D29320" s="25"/>
      <c r="F29320" s="21"/>
      <c r="G29320" s="16"/>
    </row>
    <row r="29321" spans="4:7" ht="15" x14ac:dyDescent="0.3">
      <c r="D29321" s="25"/>
      <c r="F29321" s="21"/>
      <c r="G29321" s="16"/>
    </row>
    <row r="29322" spans="4:7" ht="15" x14ac:dyDescent="0.3">
      <c r="D29322" s="25"/>
      <c r="F29322" s="21"/>
      <c r="G29322" s="16"/>
    </row>
    <row r="29323" spans="4:7" ht="15" x14ac:dyDescent="0.3">
      <c r="D29323" s="25"/>
      <c r="F29323" s="21"/>
      <c r="G29323" s="16"/>
    </row>
    <row r="29324" spans="4:7" ht="15" x14ac:dyDescent="0.3">
      <c r="D29324" s="25"/>
      <c r="F29324" s="21"/>
      <c r="G29324" s="16"/>
    </row>
    <row r="29325" spans="4:7" ht="15" x14ac:dyDescent="0.3">
      <c r="D29325" s="25"/>
      <c r="F29325" s="21"/>
      <c r="G29325" s="16"/>
    </row>
    <row r="29326" spans="4:7" ht="15" x14ac:dyDescent="0.3">
      <c r="D29326" s="25"/>
      <c r="F29326" s="21"/>
      <c r="G29326" s="16"/>
    </row>
    <row r="29327" spans="4:7" ht="15" x14ac:dyDescent="0.3">
      <c r="D29327" s="25"/>
      <c r="F29327" s="21"/>
      <c r="G29327" s="16"/>
    </row>
    <row r="29328" spans="4:7" ht="15" x14ac:dyDescent="0.3">
      <c r="D29328" s="25"/>
      <c r="F29328" s="21"/>
      <c r="G29328" s="16"/>
    </row>
    <row r="29329" spans="4:7" ht="15" x14ac:dyDescent="0.3">
      <c r="D29329" s="25"/>
      <c r="F29329" s="21"/>
      <c r="G29329" s="16"/>
    </row>
    <row r="29330" spans="4:7" ht="15" x14ac:dyDescent="0.3">
      <c r="D29330" s="25"/>
      <c r="F29330" s="21"/>
      <c r="G29330" s="16"/>
    </row>
    <row r="29331" spans="4:7" ht="15" x14ac:dyDescent="0.3">
      <c r="D29331" s="25"/>
      <c r="F29331" s="21"/>
      <c r="G29331" s="16"/>
    </row>
    <row r="29332" spans="4:7" ht="15" x14ac:dyDescent="0.3">
      <c r="D29332" s="25"/>
      <c r="F29332" s="21"/>
      <c r="G29332" s="16"/>
    </row>
    <row r="29333" spans="4:7" ht="15" x14ac:dyDescent="0.3">
      <c r="D29333" s="25"/>
      <c r="F29333" s="21"/>
      <c r="G29333" s="16"/>
    </row>
    <row r="29334" spans="4:7" ht="15" x14ac:dyDescent="0.3">
      <c r="D29334" s="25"/>
      <c r="F29334" s="21"/>
      <c r="G29334" s="16"/>
    </row>
    <row r="29335" spans="4:7" ht="15" x14ac:dyDescent="0.3">
      <c r="D29335" s="25"/>
      <c r="F29335" s="21"/>
      <c r="G29335" s="16"/>
    </row>
    <row r="29336" spans="4:7" ht="15" x14ac:dyDescent="0.3">
      <c r="D29336" s="25"/>
      <c r="F29336" s="21"/>
      <c r="G29336" s="16"/>
    </row>
    <row r="29337" spans="4:7" ht="15" x14ac:dyDescent="0.3">
      <c r="D29337" s="25"/>
      <c r="F29337" s="21"/>
      <c r="G29337" s="16"/>
    </row>
    <row r="29338" spans="4:7" ht="15" x14ac:dyDescent="0.3">
      <c r="D29338" s="25"/>
      <c r="F29338" s="21"/>
      <c r="G29338" s="16"/>
    </row>
    <row r="29339" spans="4:7" ht="15" x14ac:dyDescent="0.3">
      <c r="D29339" s="25"/>
      <c r="F29339" s="21"/>
      <c r="G29339" s="16"/>
    </row>
    <row r="29340" spans="4:7" ht="15" x14ac:dyDescent="0.3">
      <c r="D29340" s="25"/>
      <c r="F29340" s="21"/>
      <c r="G29340" s="16"/>
    </row>
    <row r="29341" spans="4:7" ht="15" x14ac:dyDescent="0.3">
      <c r="D29341" s="25"/>
      <c r="F29341" s="21"/>
      <c r="G29341" s="16"/>
    </row>
    <row r="29342" spans="4:7" ht="15" x14ac:dyDescent="0.3">
      <c r="D29342" s="25"/>
      <c r="F29342" s="21"/>
      <c r="G29342" s="16"/>
    </row>
    <row r="29343" spans="4:7" ht="15" x14ac:dyDescent="0.3">
      <c r="D29343" s="25"/>
      <c r="F29343" s="21"/>
      <c r="G29343" s="16"/>
    </row>
    <row r="29344" spans="4:7" ht="15" x14ac:dyDescent="0.3">
      <c r="D29344" s="25"/>
      <c r="F29344" s="21"/>
      <c r="G29344" s="16"/>
    </row>
    <row r="29345" spans="4:7" ht="15" x14ac:dyDescent="0.3">
      <c r="D29345" s="25"/>
      <c r="F29345" s="21"/>
      <c r="G29345" s="16"/>
    </row>
    <row r="29346" spans="4:7" ht="15" x14ac:dyDescent="0.3">
      <c r="D29346" s="25"/>
      <c r="F29346" s="21"/>
      <c r="G29346" s="16"/>
    </row>
    <row r="29347" spans="4:7" ht="15" x14ac:dyDescent="0.3">
      <c r="D29347" s="25"/>
      <c r="F29347" s="21"/>
      <c r="G29347" s="16"/>
    </row>
    <row r="29348" spans="4:7" ht="15" x14ac:dyDescent="0.3">
      <c r="D29348" s="25"/>
      <c r="F29348" s="21"/>
      <c r="G29348" s="16"/>
    </row>
    <row r="29349" spans="4:7" ht="15" x14ac:dyDescent="0.3">
      <c r="D29349" s="25"/>
      <c r="F29349" s="21"/>
      <c r="G29349" s="16"/>
    </row>
    <row r="29350" spans="4:7" ht="15" x14ac:dyDescent="0.3">
      <c r="D29350" s="25"/>
      <c r="F29350" s="21"/>
      <c r="G29350" s="16"/>
    </row>
    <row r="29351" spans="4:7" ht="15" x14ac:dyDescent="0.3">
      <c r="D29351" s="25"/>
      <c r="F29351" s="21"/>
      <c r="G29351" s="16"/>
    </row>
    <row r="29352" spans="4:7" ht="15" x14ac:dyDescent="0.3">
      <c r="D29352" s="25"/>
      <c r="F29352" s="21"/>
      <c r="G29352" s="16"/>
    </row>
    <row r="29353" spans="4:7" ht="15" x14ac:dyDescent="0.3">
      <c r="D29353" s="25"/>
      <c r="F29353" s="21"/>
      <c r="G29353" s="16"/>
    </row>
    <row r="29354" spans="4:7" ht="15" x14ac:dyDescent="0.3">
      <c r="D29354" s="25"/>
      <c r="F29354" s="21"/>
      <c r="G29354" s="16"/>
    </row>
    <row r="29355" spans="4:7" ht="15" x14ac:dyDescent="0.3">
      <c r="D29355" s="25"/>
      <c r="F29355" s="21"/>
      <c r="G29355" s="16"/>
    </row>
    <row r="29356" spans="4:7" ht="15" x14ac:dyDescent="0.3">
      <c r="D29356" s="25"/>
      <c r="F29356" s="21"/>
      <c r="G29356" s="16"/>
    </row>
    <row r="29357" spans="4:7" ht="15" x14ac:dyDescent="0.3">
      <c r="D29357" s="25"/>
      <c r="F29357" s="21"/>
      <c r="G29357" s="16"/>
    </row>
    <row r="29358" spans="4:7" ht="15" x14ac:dyDescent="0.3">
      <c r="D29358" s="25"/>
      <c r="F29358" s="21"/>
      <c r="G29358" s="16"/>
    </row>
    <row r="29359" spans="4:7" ht="15" x14ac:dyDescent="0.3">
      <c r="D29359" s="25"/>
      <c r="F29359" s="21"/>
      <c r="G29359" s="16"/>
    </row>
    <row r="29360" spans="4:7" ht="15" x14ac:dyDescent="0.3">
      <c r="D29360" s="25"/>
      <c r="F29360" s="21"/>
      <c r="G29360" s="16"/>
    </row>
    <row r="29361" spans="4:7" ht="15" x14ac:dyDescent="0.3">
      <c r="D29361" s="25"/>
      <c r="F29361" s="21"/>
      <c r="G29361" s="16"/>
    </row>
    <row r="29362" spans="4:7" ht="15" x14ac:dyDescent="0.3">
      <c r="D29362" s="25"/>
      <c r="F29362" s="21"/>
      <c r="G29362" s="16"/>
    </row>
    <row r="29363" spans="4:7" ht="15" x14ac:dyDescent="0.3">
      <c r="D29363" s="25"/>
      <c r="F29363" s="21"/>
      <c r="G29363" s="16"/>
    </row>
    <row r="29364" spans="4:7" ht="15" x14ac:dyDescent="0.3">
      <c r="D29364" s="25"/>
      <c r="F29364" s="21"/>
      <c r="G29364" s="16"/>
    </row>
    <row r="29365" spans="4:7" ht="15" x14ac:dyDescent="0.3">
      <c r="D29365" s="25"/>
      <c r="F29365" s="21"/>
      <c r="G29365" s="16"/>
    </row>
    <row r="29366" spans="4:7" ht="15" x14ac:dyDescent="0.3">
      <c r="D29366" s="25"/>
      <c r="F29366" s="21"/>
      <c r="G29366" s="16"/>
    </row>
    <row r="29367" spans="4:7" ht="15" x14ac:dyDescent="0.3">
      <c r="D29367" s="25"/>
      <c r="F29367" s="21"/>
      <c r="G29367" s="16"/>
    </row>
    <row r="29368" spans="4:7" ht="15" x14ac:dyDescent="0.3">
      <c r="D29368" s="25"/>
      <c r="F29368" s="21"/>
      <c r="G29368" s="16"/>
    </row>
    <row r="29369" spans="4:7" ht="15" x14ac:dyDescent="0.3">
      <c r="D29369" s="25"/>
      <c r="F29369" s="21"/>
      <c r="G29369" s="16"/>
    </row>
    <row r="29370" spans="4:7" ht="15" x14ac:dyDescent="0.3">
      <c r="D29370" s="25"/>
      <c r="F29370" s="21"/>
      <c r="G29370" s="16"/>
    </row>
    <row r="29371" spans="4:7" ht="15" x14ac:dyDescent="0.3">
      <c r="D29371" s="25"/>
      <c r="F29371" s="21"/>
      <c r="G29371" s="16"/>
    </row>
    <row r="29372" spans="4:7" ht="15" x14ac:dyDescent="0.3">
      <c r="D29372" s="25"/>
      <c r="F29372" s="21"/>
      <c r="G29372" s="16"/>
    </row>
    <row r="29373" spans="4:7" ht="15" x14ac:dyDescent="0.3">
      <c r="D29373" s="25"/>
      <c r="F29373" s="21"/>
      <c r="G29373" s="16"/>
    </row>
    <row r="29374" spans="4:7" ht="15" x14ac:dyDescent="0.3">
      <c r="D29374" s="25"/>
      <c r="F29374" s="21"/>
      <c r="G29374" s="16"/>
    </row>
    <row r="29375" spans="4:7" ht="15" x14ac:dyDescent="0.3">
      <c r="D29375" s="25"/>
      <c r="F29375" s="21"/>
      <c r="G29375" s="16"/>
    </row>
    <row r="29376" spans="4:7" ht="15" x14ac:dyDescent="0.3">
      <c r="D29376" s="25"/>
      <c r="F29376" s="21"/>
      <c r="G29376" s="16"/>
    </row>
    <row r="29377" spans="4:7" ht="15" x14ac:dyDescent="0.3">
      <c r="D29377" s="25"/>
      <c r="F29377" s="21"/>
      <c r="G29377" s="16"/>
    </row>
    <row r="29378" spans="4:7" ht="15" x14ac:dyDescent="0.3">
      <c r="D29378" s="25"/>
      <c r="F29378" s="21"/>
      <c r="G29378" s="16"/>
    </row>
    <row r="29379" spans="4:7" ht="15" x14ac:dyDescent="0.3">
      <c r="D29379" s="25"/>
      <c r="F29379" s="21"/>
      <c r="G29379" s="16"/>
    </row>
    <row r="29380" spans="4:7" ht="15" x14ac:dyDescent="0.3">
      <c r="D29380" s="25"/>
      <c r="F29380" s="21"/>
      <c r="G29380" s="16"/>
    </row>
    <row r="29381" spans="4:7" ht="15" x14ac:dyDescent="0.3">
      <c r="D29381" s="25"/>
      <c r="F29381" s="21"/>
      <c r="G29381" s="16"/>
    </row>
    <row r="29382" spans="4:7" ht="15" x14ac:dyDescent="0.3">
      <c r="D29382" s="25"/>
      <c r="F29382" s="21"/>
      <c r="G29382" s="16"/>
    </row>
    <row r="29383" spans="4:7" ht="15" x14ac:dyDescent="0.3">
      <c r="D29383" s="25"/>
      <c r="F29383" s="21"/>
      <c r="G29383" s="16"/>
    </row>
    <row r="29384" spans="4:7" ht="15" x14ac:dyDescent="0.3">
      <c r="D29384" s="25"/>
      <c r="F29384" s="21"/>
      <c r="G29384" s="16"/>
    </row>
    <row r="29385" spans="4:7" ht="15" x14ac:dyDescent="0.3">
      <c r="D29385" s="25"/>
      <c r="F29385" s="21"/>
      <c r="G29385" s="16"/>
    </row>
    <row r="29386" spans="4:7" ht="15" x14ac:dyDescent="0.3">
      <c r="D29386" s="25"/>
      <c r="F29386" s="21"/>
      <c r="G29386" s="16"/>
    </row>
    <row r="29387" spans="4:7" ht="15" x14ac:dyDescent="0.3">
      <c r="D29387" s="25"/>
      <c r="F29387" s="21"/>
      <c r="G29387" s="16"/>
    </row>
    <row r="29388" spans="4:7" ht="15" x14ac:dyDescent="0.3">
      <c r="D29388" s="25"/>
      <c r="F29388" s="21"/>
      <c r="G29388" s="16"/>
    </row>
    <row r="29389" spans="4:7" ht="15" x14ac:dyDescent="0.3">
      <c r="D29389" s="25"/>
      <c r="F29389" s="21"/>
      <c r="G29389" s="16"/>
    </row>
    <row r="29390" spans="4:7" ht="15" x14ac:dyDescent="0.3">
      <c r="D29390" s="25"/>
      <c r="F29390" s="21"/>
      <c r="G29390" s="16"/>
    </row>
    <row r="29391" spans="4:7" ht="15" x14ac:dyDescent="0.3">
      <c r="D29391" s="25"/>
      <c r="F29391" s="21"/>
      <c r="G29391" s="16"/>
    </row>
    <row r="29392" spans="4:7" ht="15" x14ac:dyDescent="0.3">
      <c r="D29392" s="25"/>
      <c r="F29392" s="21"/>
      <c r="G29392" s="16"/>
    </row>
    <row r="29393" spans="4:7" ht="15" x14ac:dyDescent="0.3">
      <c r="D29393" s="25"/>
      <c r="F29393" s="21"/>
      <c r="G29393" s="16"/>
    </row>
    <row r="29394" spans="4:7" ht="15" x14ac:dyDescent="0.3">
      <c r="D29394" s="25"/>
      <c r="F29394" s="21"/>
      <c r="G29394" s="16"/>
    </row>
    <row r="29395" spans="4:7" ht="15" x14ac:dyDescent="0.3">
      <c r="D29395" s="25"/>
      <c r="F29395" s="21"/>
      <c r="G29395" s="16"/>
    </row>
    <row r="29396" spans="4:7" ht="15" x14ac:dyDescent="0.3">
      <c r="D29396" s="25"/>
      <c r="F29396" s="21"/>
      <c r="G29396" s="16"/>
    </row>
    <row r="29397" spans="4:7" ht="15" x14ac:dyDescent="0.3">
      <c r="D29397" s="25"/>
      <c r="F29397" s="21"/>
      <c r="G29397" s="16"/>
    </row>
    <row r="29398" spans="4:7" ht="15" x14ac:dyDescent="0.3">
      <c r="D29398" s="25"/>
      <c r="F29398" s="21"/>
      <c r="G29398" s="16"/>
    </row>
    <row r="29399" spans="4:7" ht="15" x14ac:dyDescent="0.3">
      <c r="D29399" s="25"/>
      <c r="F29399" s="21"/>
      <c r="G29399" s="16"/>
    </row>
    <row r="29400" spans="4:7" ht="15" x14ac:dyDescent="0.3">
      <c r="D29400" s="25"/>
      <c r="F29400" s="21"/>
      <c r="G29400" s="16"/>
    </row>
    <row r="29401" spans="4:7" ht="15" x14ac:dyDescent="0.3">
      <c r="D29401" s="25"/>
      <c r="F29401" s="21"/>
      <c r="G29401" s="16"/>
    </row>
    <row r="29402" spans="4:7" ht="15" x14ac:dyDescent="0.3">
      <c r="D29402" s="25"/>
      <c r="F29402" s="21"/>
      <c r="G29402" s="16"/>
    </row>
    <row r="29403" spans="4:7" ht="15" x14ac:dyDescent="0.3">
      <c r="D29403" s="25"/>
      <c r="F29403" s="21"/>
      <c r="G29403" s="16"/>
    </row>
    <row r="29404" spans="4:7" ht="15" x14ac:dyDescent="0.3">
      <c r="D29404" s="25"/>
      <c r="F29404" s="21"/>
      <c r="G29404" s="16"/>
    </row>
    <row r="29405" spans="4:7" ht="15" x14ac:dyDescent="0.3">
      <c r="D29405" s="25"/>
      <c r="F29405" s="21"/>
      <c r="G29405" s="16"/>
    </row>
    <row r="29406" spans="4:7" ht="15" x14ac:dyDescent="0.3">
      <c r="D29406" s="25"/>
      <c r="F29406" s="21"/>
      <c r="G29406" s="16"/>
    </row>
    <row r="29407" spans="4:7" ht="15" x14ac:dyDescent="0.3">
      <c r="D29407" s="25"/>
      <c r="F29407" s="21"/>
      <c r="G29407" s="16"/>
    </row>
    <row r="29408" spans="4:7" ht="15" x14ac:dyDescent="0.3">
      <c r="D29408" s="25"/>
      <c r="F29408" s="21"/>
      <c r="G29408" s="16"/>
    </row>
    <row r="29409" spans="4:7" ht="15" x14ac:dyDescent="0.3">
      <c r="D29409" s="25"/>
      <c r="F29409" s="21"/>
      <c r="G29409" s="16"/>
    </row>
    <row r="29410" spans="4:7" ht="15" x14ac:dyDescent="0.3">
      <c r="D29410" s="25"/>
      <c r="F29410" s="21"/>
      <c r="G29410" s="16"/>
    </row>
    <row r="29411" spans="4:7" ht="15" x14ac:dyDescent="0.3">
      <c r="D29411" s="25"/>
      <c r="F29411" s="21"/>
      <c r="G29411" s="16"/>
    </row>
    <row r="29412" spans="4:7" ht="15" x14ac:dyDescent="0.3">
      <c r="D29412" s="25"/>
      <c r="F29412" s="21"/>
      <c r="G29412" s="16"/>
    </row>
    <row r="29413" spans="4:7" ht="15" x14ac:dyDescent="0.3">
      <c r="D29413" s="25"/>
      <c r="F29413" s="21"/>
      <c r="G29413" s="16"/>
    </row>
    <row r="29414" spans="4:7" ht="15" x14ac:dyDescent="0.3">
      <c r="D29414" s="25"/>
      <c r="F29414" s="21"/>
      <c r="G29414" s="16"/>
    </row>
    <row r="29415" spans="4:7" ht="15" x14ac:dyDescent="0.3">
      <c r="D29415" s="25"/>
      <c r="F29415" s="21"/>
      <c r="G29415" s="16"/>
    </row>
    <row r="29416" spans="4:7" ht="15" x14ac:dyDescent="0.3">
      <c r="D29416" s="25"/>
      <c r="F29416" s="21"/>
      <c r="G29416" s="16"/>
    </row>
    <row r="29417" spans="4:7" ht="15" x14ac:dyDescent="0.3">
      <c r="D29417" s="25"/>
      <c r="F29417" s="21"/>
      <c r="G29417" s="16"/>
    </row>
    <row r="29418" spans="4:7" ht="15" x14ac:dyDescent="0.3">
      <c r="D29418" s="25"/>
      <c r="F29418" s="21"/>
      <c r="G29418" s="16"/>
    </row>
    <row r="29419" spans="4:7" ht="15" x14ac:dyDescent="0.3">
      <c r="D29419" s="25"/>
      <c r="F29419" s="21"/>
      <c r="G29419" s="16"/>
    </row>
    <row r="29420" spans="4:7" ht="15" x14ac:dyDescent="0.3">
      <c r="D29420" s="25"/>
      <c r="F29420" s="21"/>
      <c r="G29420" s="16"/>
    </row>
    <row r="29421" spans="4:7" ht="15" x14ac:dyDescent="0.3">
      <c r="D29421" s="25"/>
      <c r="F29421" s="21"/>
      <c r="G29421" s="16"/>
    </row>
    <row r="29422" spans="4:7" ht="15" x14ac:dyDescent="0.3">
      <c r="D29422" s="25"/>
      <c r="F29422" s="21"/>
      <c r="G29422" s="16"/>
    </row>
    <row r="29423" spans="4:7" ht="15" x14ac:dyDescent="0.3">
      <c r="D29423" s="25"/>
      <c r="F29423" s="21"/>
      <c r="G29423" s="16"/>
    </row>
    <row r="29424" spans="4:7" ht="15" x14ac:dyDescent="0.3">
      <c r="D29424" s="25"/>
      <c r="F29424" s="21"/>
      <c r="G29424" s="16"/>
    </row>
    <row r="29425" spans="4:7" ht="15" x14ac:dyDescent="0.3">
      <c r="D29425" s="25"/>
      <c r="F29425" s="21"/>
      <c r="G29425" s="16"/>
    </row>
    <row r="29426" spans="4:7" ht="15" x14ac:dyDescent="0.3">
      <c r="D29426" s="25"/>
      <c r="F29426" s="21"/>
      <c r="G29426" s="16"/>
    </row>
    <row r="29427" spans="4:7" ht="15" x14ac:dyDescent="0.3">
      <c r="D29427" s="25"/>
      <c r="F29427" s="21"/>
      <c r="G29427" s="16"/>
    </row>
    <row r="29428" spans="4:7" ht="15" x14ac:dyDescent="0.3">
      <c r="D29428" s="25"/>
      <c r="F29428" s="21"/>
      <c r="G29428" s="16"/>
    </row>
    <row r="29429" spans="4:7" ht="15" x14ac:dyDescent="0.3">
      <c r="D29429" s="25"/>
      <c r="F29429" s="21"/>
      <c r="G29429" s="16"/>
    </row>
    <row r="29430" spans="4:7" ht="15" x14ac:dyDescent="0.3">
      <c r="D29430" s="25"/>
      <c r="F29430" s="21"/>
      <c r="G29430" s="16"/>
    </row>
    <row r="29431" spans="4:7" ht="15" x14ac:dyDescent="0.3">
      <c r="D29431" s="25"/>
      <c r="F29431" s="21"/>
      <c r="G29431" s="16"/>
    </row>
    <row r="29432" spans="4:7" ht="15" x14ac:dyDescent="0.3">
      <c r="D29432" s="25"/>
      <c r="F29432" s="21"/>
      <c r="G29432" s="16"/>
    </row>
    <row r="29433" spans="4:7" ht="15" x14ac:dyDescent="0.3">
      <c r="D29433" s="25"/>
      <c r="F29433" s="21"/>
      <c r="G29433" s="16"/>
    </row>
    <row r="29434" spans="4:7" ht="15" x14ac:dyDescent="0.3">
      <c r="D29434" s="25"/>
      <c r="F29434" s="21"/>
      <c r="G29434" s="16"/>
    </row>
    <row r="29435" spans="4:7" ht="15" x14ac:dyDescent="0.3">
      <c r="D29435" s="25"/>
      <c r="F29435" s="21"/>
      <c r="G29435" s="16"/>
    </row>
    <row r="29436" spans="4:7" ht="15" x14ac:dyDescent="0.3">
      <c r="D29436" s="25"/>
      <c r="F29436" s="21"/>
      <c r="G29436" s="16"/>
    </row>
    <row r="29437" spans="4:7" ht="15" x14ac:dyDescent="0.3">
      <c r="D29437" s="25"/>
      <c r="F29437" s="21"/>
      <c r="G29437" s="16"/>
    </row>
    <row r="29438" spans="4:7" ht="15" x14ac:dyDescent="0.3">
      <c r="D29438" s="25"/>
      <c r="F29438" s="21"/>
      <c r="G29438" s="16"/>
    </row>
    <row r="29439" spans="4:7" ht="15" x14ac:dyDescent="0.3">
      <c r="D29439" s="25"/>
      <c r="F29439" s="21"/>
      <c r="G29439" s="16"/>
    </row>
    <row r="29440" spans="4:7" ht="15" x14ac:dyDescent="0.3">
      <c r="D29440" s="25"/>
      <c r="F29440" s="21"/>
      <c r="G29440" s="16"/>
    </row>
    <row r="29441" spans="4:7" ht="15" x14ac:dyDescent="0.3">
      <c r="D29441" s="25"/>
      <c r="F29441" s="21"/>
      <c r="G29441" s="16"/>
    </row>
    <row r="29442" spans="4:7" ht="15" x14ac:dyDescent="0.3">
      <c r="D29442" s="25"/>
      <c r="F29442" s="21"/>
      <c r="G29442" s="16"/>
    </row>
    <row r="29443" spans="4:7" ht="15" x14ac:dyDescent="0.3">
      <c r="D29443" s="25"/>
      <c r="F29443" s="21"/>
      <c r="G29443" s="16"/>
    </row>
    <row r="29444" spans="4:7" ht="15" x14ac:dyDescent="0.3">
      <c r="D29444" s="25"/>
      <c r="F29444" s="21"/>
      <c r="G29444" s="16"/>
    </row>
    <row r="29445" spans="4:7" ht="15" x14ac:dyDescent="0.3">
      <c r="D29445" s="25"/>
      <c r="F29445" s="21"/>
      <c r="G29445" s="16"/>
    </row>
    <row r="29446" spans="4:7" ht="15" x14ac:dyDescent="0.3">
      <c r="D29446" s="25"/>
      <c r="F29446" s="21"/>
      <c r="G29446" s="16"/>
    </row>
    <row r="29447" spans="4:7" ht="15" x14ac:dyDescent="0.3">
      <c r="D29447" s="25"/>
      <c r="F29447" s="21"/>
      <c r="G29447" s="16"/>
    </row>
    <row r="29448" spans="4:7" ht="15" x14ac:dyDescent="0.3">
      <c r="D29448" s="25"/>
      <c r="F29448" s="21"/>
      <c r="G29448" s="16"/>
    </row>
    <row r="29449" spans="4:7" ht="15" x14ac:dyDescent="0.3">
      <c r="D29449" s="25"/>
      <c r="F29449" s="21"/>
      <c r="G29449" s="16"/>
    </row>
    <row r="29450" spans="4:7" ht="15" x14ac:dyDescent="0.3">
      <c r="D29450" s="25"/>
      <c r="F29450" s="21"/>
      <c r="G29450" s="16"/>
    </row>
    <row r="29451" spans="4:7" ht="15" x14ac:dyDescent="0.3">
      <c r="D29451" s="25"/>
      <c r="F29451" s="21"/>
      <c r="G29451" s="16"/>
    </row>
    <row r="29452" spans="4:7" ht="15" x14ac:dyDescent="0.3">
      <c r="D29452" s="25"/>
      <c r="F29452" s="21"/>
      <c r="G29452" s="16"/>
    </row>
    <row r="29453" spans="4:7" ht="15" x14ac:dyDescent="0.3">
      <c r="D29453" s="25"/>
      <c r="F29453" s="21"/>
      <c r="G29453" s="16"/>
    </row>
    <row r="29454" spans="4:7" ht="15" x14ac:dyDescent="0.3">
      <c r="D29454" s="25"/>
      <c r="F29454" s="21"/>
      <c r="G29454" s="16"/>
    </row>
    <row r="29455" spans="4:7" ht="15" x14ac:dyDescent="0.3">
      <c r="D29455" s="25"/>
      <c r="F29455" s="21"/>
      <c r="G29455" s="16"/>
    </row>
    <row r="29456" spans="4:7" ht="15" x14ac:dyDescent="0.3">
      <c r="D29456" s="25"/>
      <c r="F29456" s="21"/>
      <c r="G29456" s="16"/>
    </row>
    <row r="29457" spans="4:7" ht="15" x14ac:dyDescent="0.3">
      <c r="D29457" s="25"/>
      <c r="F29457" s="21"/>
      <c r="G29457" s="16"/>
    </row>
    <row r="29458" spans="4:7" ht="15" x14ac:dyDescent="0.3">
      <c r="D29458" s="25"/>
      <c r="F29458" s="21"/>
      <c r="G29458" s="16"/>
    </row>
    <row r="29459" spans="4:7" ht="15" x14ac:dyDescent="0.3">
      <c r="D29459" s="25"/>
      <c r="F29459" s="21"/>
      <c r="G29459" s="16"/>
    </row>
    <row r="29460" spans="4:7" ht="15" x14ac:dyDescent="0.3">
      <c r="D29460" s="25"/>
      <c r="F29460" s="21"/>
      <c r="G29460" s="16"/>
    </row>
    <row r="29461" spans="4:7" ht="15" x14ac:dyDescent="0.3">
      <c r="D29461" s="25"/>
      <c r="F29461" s="21"/>
      <c r="G29461" s="16"/>
    </row>
    <row r="29462" spans="4:7" ht="15" x14ac:dyDescent="0.3">
      <c r="D29462" s="25"/>
      <c r="F29462" s="21"/>
      <c r="G29462" s="16"/>
    </row>
    <row r="29463" spans="4:7" ht="15" x14ac:dyDescent="0.3">
      <c r="D29463" s="25"/>
      <c r="F29463" s="21"/>
      <c r="G29463" s="16"/>
    </row>
    <row r="29464" spans="4:7" ht="15" x14ac:dyDescent="0.3">
      <c r="D29464" s="25"/>
      <c r="F29464" s="21"/>
      <c r="G29464" s="16"/>
    </row>
    <row r="29465" spans="4:7" ht="15" x14ac:dyDescent="0.3">
      <c r="D29465" s="25"/>
      <c r="F29465" s="21"/>
      <c r="G29465" s="16"/>
    </row>
    <row r="29466" spans="4:7" ht="15" x14ac:dyDescent="0.3">
      <c r="D29466" s="25"/>
      <c r="F29466" s="21"/>
      <c r="G29466" s="16"/>
    </row>
    <row r="29467" spans="4:7" ht="15" x14ac:dyDescent="0.3">
      <c r="D29467" s="25"/>
      <c r="F29467" s="21"/>
      <c r="G29467" s="16"/>
    </row>
    <row r="29468" spans="4:7" ht="15" x14ac:dyDescent="0.3">
      <c r="D29468" s="25"/>
      <c r="F29468" s="21"/>
      <c r="G29468" s="16"/>
    </row>
    <row r="29469" spans="4:7" ht="15" x14ac:dyDescent="0.3">
      <c r="D29469" s="25"/>
      <c r="F29469" s="21"/>
      <c r="G29469" s="16"/>
    </row>
    <row r="29470" spans="4:7" ht="15" x14ac:dyDescent="0.3">
      <c r="D29470" s="25"/>
      <c r="F29470" s="21"/>
      <c r="G29470" s="16"/>
    </row>
    <row r="29471" spans="4:7" ht="15" x14ac:dyDescent="0.3">
      <c r="D29471" s="25"/>
      <c r="F29471" s="21"/>
      <c r="G29471" s="16"/>
    </row>
    <row r="29472" spans="4:7" ht="15" x14ac:dyDescent="0.3">
      <c r="D29472" s="25"/>
      <c r="F29472" s="21"/>
      <c r="G29472" s="16"/>
    </row>
    <row r="29473" spans="4:7" ht="15" x14ac:dyDescent="0.3">
      <c r="D29473" s="25"/>
      <c r="F29473" s="21"/>
      <c r="G29473" s="16"/>
    </row>
    <row r="29474" spans="4:7" ht="15" x14ac:dyDescent="0.3">
      <c r="D29474" s="25"/>
      <c r="F29474" s="21"/>
      <c r="G29474" s="16"/>
    </row>
    <row r="29475" spans="4:7" ht="15" x14ac:dyDescent="0.3">
      <c r="D29475" s="25"/>
      <c r="F29475" s="21"/>
      <c r="G29475" s="16"/>
    </row>
    <row r="29476" spans="4:7" ht="15" x14ac:dyDescent="0.3">
      <c r="D29476" s="25"/>
      <c r="F29476" s="21"/>
      <c r="G29476" s="16"/>
    </row>
    <row r="29477" spans="4:7" ht="15" x14ac:dyDescent="0.3">
      <c r="D29477" s="25"/>
      <c r="F29477" s="21"/>
      <c r="G29477" s="16"/>
    </row>
    <row r="29478" spans="4:7" ht="15" x14ac:dyDescent="0.3">
      <c r="D29478" s="25"/>
      <c r="F29478" s="21"/>
      <c r="G29478" s="16"/>
    </row>
    <row r="29479" spans="4:7" ht="15" x14ac:dyDescent="0.3">
      <c r="D29479" s="25"/>
      <c r="F29479" s="21"/>
      <c r="G29479" s="16"/>
    </row>
    <row r="29480" spans="4:7" ht="15" x14ac:dyDescent="0.3">
      <c r="D29480" s="25"/>
      <c r="F29480" s="21"/>
      <c r="G29480" s="16"/>
    </row>
    <row r="29481" spans="4:7" ht="15" x14ac:dyDescent="0.3">
      <c r="D29481" s="25"/>
      <c r="F29481" s="21"/>
      <c r="G29481" s="16"/>
    </row>
    <row r="29482" spans="4:7" ht="15" x14ac:dyDescent="0.3">
      <c r="D29482" s="25"/>
      <c r="F29482" s="21"/>
      <c r="G29482" s="16"/>
    </row>
    <row r="29483" spans="4:7" ht="15" x14ac:dyDescent="0.3">
      <c r="D29483" s="25"/>
      <c r="F29483" s="21"/>
      <c r="G29483" s="16"/>
    </row>
    <row r="29484" spans="4:7" ht="15" x14ac:dyDescent="0.3">
      <c r="D29484" s="25"/>
      <c r="F29484" s="21"/>
      <c r="G29484" s="16"/>
    </row>
    <row r="29485" spans="4:7" ht="15" x14ac:dyDescent="0.3">
      <c r="D29485" s="25"/>
      <c r="F29485" s="21"/>
      <c r="G29485" s="16"/>
    </row>
    <row r="29486" spans="4:7" ht="15" x14ac:dyDescent="0.3">
      <c r="D29486" s="25"/>
      <c r="F29486" s="21"/>
      <c r="G29486" s="16"/>
    </row>
    <row r="29487" spans="4:7" ht="15" x14ac:dyDescent="0.3">
      <c r="D29487" s="25"/>
      <c r="F29487" s="21"/>
      <c r="G29487" s="16"/>
    </row>
    <row r="29488" spans="4:7" ht="15" x14ac:dyDescent="0.3">
      <c r="D29488" s="25"/>
      <c r="F29488" s="21"/>
      <c r="G29488" s="16"/>
    </row>
    <row r="29489" spans="4:7" ht="15" x14ac:dyDescent="0.3">
      <c r="D29489" s="25"/>
      <c r="F29489" s="21"/>
      <c r="G29489" s="16"/>
    </row>
    <row r="29490" spans="4:7" ht="15" x14ac:dyDescent="0.3">
      <c r="D29490" s="25"/>
      <c r="F29490" s="21"/>
      <c r="G29490" s="16"/>
    </row>
    <row r="29491" spans="4:7" ht="15" x14ac:dyDescent="0.3">
      <c r="D29491" s="25"/>
      <c r="F29491" s="21"/>
      <c r="G29491" s="16"/>
    </row>
    <row r="29492" spans="4:7" ht="15" x14ac:dyDescent="0.3">
      <c r="D29492" s="25"/>
      <c r="F29492" s="21"/>
      <c r="G29492" s="16"/>
    </row>
    <row r="29493" spans="4:7" ht="15" x14ac:dyDescent="0.3">
      <c r="D29493" s="25"/>
      <c r="F29493" s="21"/>
      <c r="G29493" s="16"/>
    </row>
    <row r="29494" spans="4:7" ht="15" x14ac:dyDescent="0.3">
      <c r="D29494" s="25"/>
      <c r="F29494" s="21"/>
      <c r="G29494" s="16"/>
    </row>
    <row r="29495" spans="4:7" ht="15" x14ac:dyDescent="0.3">
      <c r="D29495" s="25"/>
      <c r="F29495" s="21"/>
      <c r="G29495" s="16"/>
    </row>
    <row r="29496" spans="4:7" ht="15" x14ac:dyDescent="0.3">
      <c r="D29496" s="25"/>
      <c r="F29496" s="21"/>
      <c r="G29496" s="16"/>
    </row>
    <row r="29497" spans="4:7" ht="15" x14ac:dyDescent="0.3">
      <c r="D29497" s="25"/>
      <c r="F29497" s="21"/>
      <c r="G29497" s="16"/>
    </row>
    <row r="29498" spans="4:7" ht="15" x14ac:dyDescent="0.3">
      <c r="D29498" s="25"/>
      <c r="F29498" s="21"/>
      <c r="G29498" s="16"/>
    </row>
    <row r="29499" spans="4:7" ht="15" x14ac:dyDescent="0.3">
      <c r="D29499" s="25"/>
      <c r="F29499" s="21"/>
      <c r="G29499" s="16"/>
    </row>
    <row r="29500" spans="4:7" ht="15" x14ac:dyDescent="0.3">
      <c r="D29500" s="25"/>
      <c r="F29500" s="21"/>
      <c r="G29500" s="16"/>
    </row>
    <row r="29501" spans="4:7" ht="15" x14ac:dyDescent="0.3">
      <c r="D29501" s="25"/>
      <c r="F29501" s="21"/>
      <c r="G29501" s="16"/>
    </row>
    <row r="29502" spans="4:7" ht="15" x14ac:dyDescent="0.3">
      <c r="D29502" s="25"/>
      <c r="F29502" s="21"/>
      <c r="G29502" s="16"/>
    </row>
    <row r="29503" spans="4:7" ht="15" x14ac:dyDescent="0.3">
      <c r="D29503" s="25"/>
      <c r="F29503" s="21"/>
      <c r="G29503" s="16"/>
    </row>
    <row r="29504" spans="4:7" ht="15" x14ac:dyDescent="0.3">
      <c r="D29504" s="25"/>
      <c r="F29504" s="21"/>
      <c r="G29504" s="16"/>
    </row>
    <row r="29505" spans="4:7" ht="15" x14ac:dyDescent="0.3">
      <c r="D29505" s="25"/>
      <c r="F29505" s="21"/>
      <c r="G29505" s="16"/>
    </row>
    <row r="29506" spans="4:7" ht="15" x14ac:dyDescent="0.3">
      <c r="D29506" s="25"/>
      <c r="F29506" s="21"/>
      <c r="G29506" s="16"/>
    </row>
    <row r="29507" spans="4:7" ht="15" x14ac:dyDescent="0.3">
      <c r="D29507" s="25"/>
      <c r="F29507" s="21"/>
      <c r="G29507" s="16"/>
    </row>
    <row r="29508" spans="4:7" ht="15" x14ac:dyDescent="0.3">
      <c r="D29508" s="25"/>
      <c r="F29508" s="21"/>
      <c r="G29508" s="16"/>
    </row>
    <row r="29509" spans="4:7" ht="15" x14ac:dyDescent="0.3">
      <c r="D29509" s="25"/>
      <c r="F29509" s="21"/>
      <c r="G29509" s="16"/>
    </row>
    <row r="29510" spans="4:7" ht="15" x14ac:dyDescent="0.3">
      <c r="D29510" s="25"/>
      <c r="F29510" s="21"/>
      <c r="G29510" s="16"/>
    </row>
    <row r="29511" spans="4:7" ht="15" x14ac:dyDescent="0.3">
      <c r="D29511" s="25"/>
      <c r="F29511" s="21"/>
      <c r="G29511" s="16"/>
    </row>
    <row r="29512" spans="4:7" ht="15" x14ac:dyDescent="0.3">
      <c r="D29512" s="25"/>
      <c r="F29512" s="21"/>
      <c r="G29512" s="16"/>
    </row>
    <row r="29513" spans="4:7" ht="15" x14ac:dyDescent="0.3">
      <c r="D29513" s="25"/>
      <c r="F29513" s="21"/>
      <c r="G29513" s="16"/>
    </row>
    <row r="29514" spans="4:7" ht="15" x14ac:dyDescent="0.3">
      <c r="D29514" s="25"/>
      <c r="F29514" s="21"/>
      <c r="G29514" s="16"/>
    </row>
    <row r="29515" spans="4:7" ht="15" x14ac:dyDescent="0.3">
      <c r="D29515" s="25"/>
      <c r="F29515" s="21"/>
      <c r="G29515" s="16"/>
    </row>
    <row r="29516" spans="4:7" ht="15" x14ac:dyDescent="0.3">
      <c r="D29516" s="25"/>
      <c r="F29516" s="21"/>
      <c r="G29516" s="16"/>
    </row>
    <row r="29517" spans="4:7" ht="15" x14ac:dyDescent="0.3">
      <c r="D29517" s="25"/>
      <c r="F29517" s="21"/>
      <c r="G29517" s="16"/>
    </row>
    <row r="29518" spans="4:7" ht="15" x14ac:dyDescent="0.3">
      <c r="D29518" s="25"/>
      <c r="F29518" s="21"/>
      <c r="G29518" s="16"/>
    </row>
    <row r="29519" spans="4:7" ht="15" x14ac:dyDescent="0.3">
      <c r="D29519" s="25"/>
      <c r="F29519" s="21"/>
      <c r="G29519" s="16"/>
    </row>
    <row r="29520" spans="4:7" ht="15" x14ac:dyDescent="0.3">
      <c r="D29520" s="25"/>
      <c r="F29520" s="21"/>
      <c r="G29520" s="16"/>
    </row>
    <row r="29521" spans="4:7" ht="15" x14ac:dyDescent="0.3">
      <c r="D29521" s="25"/>
      <c r="F29521" s="21"/>
      <c r="G29521" s="16"/>
    </row>
    <row r="29522" spans="4:7" ht="15" x14ac:dyDescent="0.3">
      <c r="D29522" s="25"/>
      <c r="F29522" s="21"/>
      <c r="G29522" s="16"/>
    </row>
    <row r="29523" spans="4:7" ht="15" x14ac:dyDescent="0.3">
      <c r="D29523" s="25"/>
      <c r="F29523" s="21"/>
      <c r="G29523" s="16"/>
    </row>
    <row r="29524" spans="4:7" ht="15" x14ac:dyDescent="0.3">
      <c r="D29524" s="25"/>
      <c r="F29524" s="21"/>
      <c r="G29524" s="16"/>
    </row>
    <row r="29525" spans="4:7" ht="15" x14ac:dyDescent="0.3">
      <c r="D29525" s="25"/>
      <c r="F29525" s="21"/>
      <c r="G29525" s="16"/>
    </row>
    <row r="29526" spans="4:7" ht="15" x14ac:dyDescent="0.3">
      <c r="D29526" s="25"/>
      <c r="F29526" s="21"/>
      <c r="G29526" s="16"/>
    </row>
    <row r="29527" spans="4:7" ht="15" x14ac:dyDescent="0.3">
      <c r="D29527" s="25"/>
      <c r="F29527" s="21"/>
      <c r="G29527" s="16"/>
    </row>
    <row r="29528" spans="4:7" ht="15" x14ac:dyDescent="0.3">
      <c r="D29528" s="25"/>
      <c r="F29528" s="21"/>
      <c r="G29528" s="16"/>
    </row>
    <row r="29529" spans="4:7" ht="15" x14ac:dyDescent="0.3">
      <c r="D29529" s="25"/>
      <c r="F29529" s="21"/>
      <c r="G29529" s="16"/>
    </row>
    <row r="29530" spans="4:7" ht="15" x14ac:dyDescent="0.3">
      <c r="D29530" s="25"/>
      <c r="F29530" s="21"/>
      <c r="G29530" s="16"/>
    </row>
    <row r="29531" spans="4:7" ht="15" x14ac:dyDescent="0.3">
      <c r="D29531" s="25"/>
      <c r="F29531" s="21"/>
      <c r="G29531" s="16"/>
    </row>
    <row r="29532" spans="4:7" ht="15" x14ac:dyDescent="0.3">
      <c r="D29532" s="25"/>
      <c r="F29532" s="21"/>
      <c r="G29532" s="16"/>
    </row>
    <row r="29533" spans="4:7" ht="15" x14ac:dyDescent="0.3">
      <c r="D29533" s="25"/>
      <c r="F29533" s="21"/>
      <c r="G29533" s="16"/>
    </row>
    <row r="29534" spans="4:7" ht="15" x14ac:dyDescent="0.3">
      <c r="D29534" s="25"/>
      <c r="F29534" s="21"/>
      <c r="G29534" s="16"/>
    </row>
    <row r="29535" spans="4:7" ht="15" x14ac:dyDescent="0.3">
      <c r="D29535" s="25"/>
      <c r="F29535" s="21"/>
      <c r="G29535" s="16"/>
    </row>
    <row r="29536" spans="4:7" ht="15" x14ac:dyDescent="0.3">
      <c r="D29536" s="25"/>
      <c r="F29536" s="21"/>
      <c r="G29536" s="16"/>
    </row>
    <row r="29537" spans="4:7" ht="15" x14ac:dyDescent="0.3">
      <c r="D29537" s="25"/>
      <c r="F29537" s="21"/>
      <c r="G29537" s="16"/>
    </row>
    <row r="29538" spans="4:7" ht="15" x14ac:dyDescent="0.3">
      <c r="D29538" s="25"/>
      <c r="F29538" s="21"/>
      <c r="G29538" s="16"/>
    </row>
    <row r="29539" spans="4:7" ht="15" x14ac:dyDescent="0.3">
      <c r="D29539" s="25"/>
      <c r="F29539" s="21"/>
      <c r="G29539" s="16"/>
    </row>
    <row r="29540" spans="4:7" ht="15" x14ac:dyDescent="0.3">
      <c r="D29540" s="25"/>
      <c r="F29540" s="21"/>
      <c r="G29540" s="16"/>
    </row>
    <row r="29541" spans="4:7" ht="15" x14ac:dyDescent="0.3">
      <c r="D29541" s="25"/>
      <c r="F29541" s="21"/>
      <c r="G29541" s="16"/>
    </row>
    <row r="29542" spans="4:7" ht="15" x14ac:dyDescent="0.3">
      <c r="D29542" s="25"/>
      <c r="F29542" s="21"/>
      <c r="G29542" s="16"/>
    </row>
    <row r="29543" spans="4:7" ht="15" x14ac:dyDescent="0.3">
      <c r="D29543" s="25"/>
      <c r="F29543" s="21"/>
      <c r="G29543" s="16"/>
    </row>
    <row r="29544" spans="4:7" ht="15" x14ac:dyDescent="0.3">
      <c r="D29544" s="25"/>
      <c r="F29544" s="21"/>
      <c r="G29544" s="16"/>
    </row>
    <row r="29545" spans="4:7" ht="15" x14ac:dyDescent="0.3">
      <c r="D29545" s="25"/>
      <c r="F29545" s="21"/>
      <c r="G29545" s="16"/>
    </row>
    <row r="29546" spans="4:7" ht="15" x14ac:dyDescent="0.3">
      <c r="D29546" s="25"/>
      <c r="F29546" s="21"/>
      <c r="G29546" s="16"/>
    </row>
    <row r="29547" spans="4:7" ht="15" x14ac:dyDescent="0.3">
      <c r="D29547" s="25"/>
      <c r="F29547" s="21"/>
      <c r="G29547" s="16"/>
    </row>
    <row r="29548" spans="4:7" ht="15" x14ac:dyDescent="0.3">
      <c r="D29548" s="25"/>
      <c r="F29548" s="21"/>
      <c r="G29548" s="16"/>
    </row>
    <row r="29549" spans="4:7" ht="15" x14ac:dyDescent="0.3">
      <c r="D29549" s="25"/>
      <c r="F29549" s="21"/>
      <c r="G29549" s="16"/>
    </row>
    <row r="29550" spans="4:7" ht="15" x14ac:dyDescent="0.3">
      <c r="D29550" s="25"/>
      <c r="F29550" s="21"/>
      <c r="G29550" s="16"/>
    </row>
    <row r="29551" spans="4:7" ht="15" x14ac:dyDescent="0.3">
      <c r="D29551" s="25"/>
      <c r="F29551" s="21"/>
      <c r="G29551" s="16"/>
    </row>
    <row r="29552" spans="4:7" ht="15" x14ac:dyDescent="0.3">
      <c r="D29552" s="25"/>
      <c r="F29552" s="21"/>
      <c r="G29552" s="16"/>
    </row>
    <row r="29553" spans="4:7" ht="15" x14ac:dyDescent="0.3">
      <c r="D29553" s="25"/>
      <c r="F29553" s="21"/>
      <c r="G29553" s="16"/>
    </row>
    <row r="29554" spans="4:7" ht="15" x14ac:dyDescent="0.3">
      <c r="D29554" s="25"/>
      <c r="F29554" s="21"/>
      <c r="G29554" s="16"/>
    </row>
    <row r="29555" spans="4:7" ht="15" x14ac:dyDescent="0.3">
      <c r="D29555" s="25"/>
      <c r="F29555" s="21"/>
      <c r="G29555" s="16"/>
    </row>
    <row r="29556" spans="4:7" ht="15" x14ac:dyDescent="0.3">
      <c r="D29556" s="25"/>
      <c r="F29556" s="21"/>
      <c r="G29556" s="16"/>
    </row>
    <row r="29557" spans="4:7" ht="15" x14ac:dyDescent="0.3">
      <c r="D29557" s="25"/>
      <c r="F29557" s="21"/>
      <c r="G29557" s="16"/>
    </row>
    <row r="29558" spans="4:7" ht="15" x14ac:dyDescent="0.3">
      <c r="D29558" s="25"/>
      <c r="F29558" s="21"/>
      <c r="G29558" s="16"/>
    </row>
    <row r="29559" spans="4:7" ht="15" x14ac:dyDescent="0.3">
      <c r="D29559" s="25"/>
      <c r="F29559" s="21"/>
      <c r="G29559" s="16"/>
    </row>
    <row r="29560" spans="4:7" ht="15" x14ac:dyDescent="0.3">
      <c r="D29560" s="25"/>
      <c r="F29560" s="21"/>
      <c r="G29560" s="16"/>
    </row>
    <row r="29561" spans="4:7" ht="15" x14ac:dyDescent="0.3">
      <c r="D29561" s="25"/>
      <c r="F29561" s="21"/>
      <c r="G29561" s="16"/>
    </row>
    <row r="29562" spans="4:7" ht="15" x14ac:dyDescent="0.3">
      <c r="D29562" s="25"/>
      <c r="F29562" s="21"/>
      <c r="G29562" s="16"/>
    </row>
    <row r="29563" spans="4:7" ht="15" x14ac:dyDescent="0.3">
      <c r="D29563" s="25"/>
      <c r="F29563" s="21"/>
      <c r="G29563" s="16"/>
    </row>
    <row r="29564" spans="4:7" ht="15" x14ac:dyDescent="0.3">
      <c r="D29564" s="25"/>
      <c r="F29564" s="21"/>
      <c r="G29564" s="16"/>
    </row>
    <row r="29565" spans="4:7" ht="15" x14ac:dyDescent="0.3">
      <c r="D29565" s="25"/>
      <c r="F29565" s="21"/>
      <c r="G29565" s="16"/>
    </row>
    <row r="29566" spans="4:7" ht="15" x14ac:dyDescent="0.3">
      <c r="D29566" s="25"/>
      <c r="F29566" s="21"/>
      <c r="G29566" s="16"/>
    </row>
    <row r="29567" spans="4:7" ht="15" x14ac:dyDescent="0.3">
      <c r="D29567" s="25"/>
      <c r="F29567" s="21"/>
      <c r="G29567" s="16"/>
    </row>
    <row r="29568" spans="4:7" ht="15" x14ac:dyDescent="0.3">
      <c r="D29568" s="25"/>
      <c r="F29568" s="21"/>
      <c r="G29568" s="16"/>
    </row>
    <row r="29569" spans="4:7" ht="15" x14ac:dyDescent="0.3">
      <c r="D29569" s="25"/>
      <c r="F29569" s="21"/>
      <c r="G29569" s="16"/>
    </row>
    <row r="29570" spans="4:7" ht="15" x14ac:dyDescent="0.3">
      <c r="D29570" s="25"/>
      <c r="F29570" s="21"/>
      <c r="G29570" s="16"/>
    </row>
    <row r="29571" spans="4:7" ht="15" x14ac:dyDescent="0.3">
      <c r="D29571" s="25"/>
      <c r="F29571" s="21"/>
      <c r="G29571" s="16"/>
    </row>
    <row r="29572" spans="4:7" ht="15" x14ac:dyDescent="0.3">
      <c r="D29572" s="25"/>
      <c r="F29572" s="21"/>
      <c r="G29572" s="16"/>
    </row>
    <row r="29573" spans="4:7" ht="15" x14ac:dyDescent="0.3">
      <c r="D29573" s="25"/>
      <c r="F29573" s="21"/>
      <c r="G29573" s="16"/>
    </row>
    <row r="29574" spans="4:7" ht="15" x14ac:dyDescent="0.3">
      <c r="D29574" s="25"/>
      <c r="F29574" s="21"/>
      <c r="G29574" s="16"/>
    </row>
    <row r="29575" spans="4:7" ht="15" x14ac:dyDescent="0.3">
      <c r="D29575" s="25"/>
      <c r="F29575" s="21"/>
      <c r="G29575" s="16"/>
    </row>
    <row r="29576" spans="4:7" ht="15" x14ac:dyDescent="0.3">
      <c r="D29576" s="25"/>
      <c r="F29576" s="21"/>
      <c r="G29576" s="16"/>
    </row>
    <row r="29577" spans="4:7" ht="15" x14ac:dyDescent="0.3">
      <c r="D29577" s="25"/>
      <c r="F29577" s="21"/>
      <c r="G29577" s="16"/>
    </row>
    <row r="29578" spans="4:7" ht="15" x14ac:dyDescent="0.3">
      <c r="D29578" s="25"/>
      <c r="F29578" s="21"/>
      <c r="G29578" s="16"/>
    </row>
    <row r="29579" spans="4:7" ht="15" x14ac:dyDescent="0.3">
      <c r="D29579" s="25"/>
      <c r="F29579" s="21"/>
      <c r="G29579" s="16"/>
    </row>
    <row r="29580" spans="4:7" ht="15" x14ac:dyDescent="0.3">
      <c r="D29580" s="25"/>
      <c r="F29580" s="21"/>
      <c r="G29580" s="16"/>
    </row>
    <row r="29581" spans="4:7" ht="15" x14ac:dyDescent="0.3">
      <c r="D29581" s="25"/>
      <c r="F29581" s="21"/>
      <c r="G29581" s="16"/>
    </row>
    <row r="29582" spans="4:7" ht="15" x14ac:dyDescent="0.3">
      <c r="D29582" s="25"/>
      <c r="F29582" s="21"/>
      <c r="G29582" s="16"/>
    </row>
    <row r="29583" spans="4:7" ht="15" x14ac:dyDescent="0.3">
      <c r="D29583" s="25"/>
      <c r="F29583" s="21"/>
      <c r="G29583" s="16"/>
    </row>
    <row r="29584" spans="4:7" ht="15" x14ac:dyDescent="0.3">
      <c r="D29584" s="25"/>
      <c r="F29584" s="21"/>
      <c r="G29584" s="16"/>
    </row>
    <row r="29585" spans="4:7" ht="15" x14ac:dyDescent="0.3">
      <c r="D29585" s="25"/>
      <c r="F29585" s="21"/>
      <c r="G29585" s="16"/>
    </row>
    <row r="29586" spans="4:7" ht="15" x14ac:dyDescent="0.3">
      <c r="D29586" s="25"/>
      <c r="F29586" s="21"/>
      <c r="G29586" s="16"/>
    </row>
    <row r="29587" spans="4:7" ht="15" x14ac:dyDescent="0.3">
      <c r="D29587" s="25"/>
      <c r="F29587" s="21"/>
      <c r="G29587" s="16"/>
    </row>
    <row r="29588" spans="4:7" ht="15" x14ac:dyDescent="0.3">
      <c r="D29588" s="25"/>
      <c r="F29588" s="21"/>
      <c r="G29588" s="16"/>
    </row>
    <row r="29589" spans="4:7" ht="15" x14ac:dyDescent="0.3">
      <c r="D29589" s="25"/>
      <c r="F29589" s="21"/>
      <c r="G29589" s="16"/>
    </row>
    <row r="29590" spans="4:7" ht="15" x14ac:dyDescent="0.3">
      <c r="D29590" s="25"/>
      <c r="F29590" s="21"/>
      <c r="G29590" s="16"/>
    </row>
    <row r="29591" spans="4:7" ht="15" x14ac:dyDescent="0.3">
      <c r="D29591" s="25"/>
      <c r="F29591" s="21"/>
      <c r="G29591" s="16"/>
    </row>
    <row r="29592" spans="4:7" ht="15" x14ac:dyDescent="0.3">
      <c r="D29592" s="25"/>
      <c r="F29592" s="21"/>
      <c r="G29592" s="16"/>
    </row>
    <row r="29593" spans="4:7" ht="15" x14ac:dyDescent="0.3">
      <c r="D29593" s="25"/>
      <c r="F29593" s="21"/>
      <c r="G29593" s="16"/>
    </row>
    <row r="29594" spans="4:7" ht="15" x14ac:dyDescent="0.3">
      <c r="D29594" s="25"/>
      <c r="F29594" s="21"/>
      <c r="G29594" s="16"/>
    </row>
    <row r="29595" spans="4:7" ht="15" x14ac:dyDescent="0.3">
      <c r="D29595" s="25"/>
      <c r="F29595" s="21"/>
      <c r="G29595" s="16"/>
    </row>
    <row r="29596" spans="4:7" ht="15" x14ac:dyDescent="0.3">
      <c r="D29596" s="25"/>
      <c r="F29596" s="21"/>
      <c r="G29596" s="16"/>
    </row>
    <row r="29597" spans="4:7" ht="15" x14ac:dyDescent="0.3">
      <c r="D29597" s="25"/>
      <c r="F29597" s="21"/>
      <c r="G29597" s="16"/>
    </row>
    <row r="29598" spans="4:7" ht="15" x14ac:dyDescent="0.3">
      <c r="D29598" s="25"/>
      <c r="F29598" s="21"/>
      <c r="G29598" s="16"/>
    </row>
    <row r="29599" spans="4:7" ht="15" x14ac:dyDescent="0.3">
      <c r="D29599" s="25"/>
      <c r="F29599" s="21"/>
      <c r="G29599" s="16"/>
    </row>
    <row r="29600" spans="4:7" ht="15" x14ac:dyDescent="0.3">
      <c r="D29600" s="25"/>
      <c r="F29600" s="21"/>
      <c r="G29600" s="16"/>
    </row>
    <row r="29601" spans="4:7" ht="15" x14ac:dyDescent="0.3">
      <c r="D29601" s="25"/>
      <c r="F29601" s="21"/>
      <c r="G29601" s="16"/>
    </row>
    <row r="29602" spans="4:7" ht="15" x14ac:dyDescent="0.3">
      <c r="D29602" s="25"/>
      <c r="F29602" s="21"/>
      <c r="G29602" s="16"/>
    </row>
    <row r="29603" spans="4:7" ht="15" x14ac:dyDescent="0.3">
      <c r="D29603" s="25"/>
      <c r="F29603" s="21"/>
      <c r="G29603" s="16"/>
    </row>
    <row r="29604" spans="4:7" ht="15" x14ac:dyDescent="0.3">
      <c r="D29604" s="25"/>
      <c r="F29604" s="21"/>
      <c r="G29604" s="16"/>
    </row>
    <row r="29605" spans="4:7" ht="15" x14ac:dyDescent="0.3">
      <c r="D29605" s="25"/>
      <c r="F29605" s="21"/>
      <c r="G29605" s="16"/>
    </row>
    <row r="29606" spans="4:7" ht="15" x14ac:dyDescent="0.3">
      <c r="D29606" s="25"/>
      <c r="F29606" s="21"/>
      <c r="G29606" s="16"/>
    </row>
    <row r="29607" spans="4:7" ht="15" x14ac:dyDescent="0.3">
      <c r="D29607" s="25"/>
      <c r="F29607" s="21"/>
      <c r="G29607" s="16"/>
    </row>
    <row r="29608" spans="4:7" ht="15" x14ac:dyDescent="0.3">
      <c r="D29608" s="25"/>
      <c r="F29608" s="21"/>
      <c r="G29608" s="16"/>
    </row>
    <row r="29609" spans="4:7" ht="15" x14ac:dyDescent="0.3">
      <c r="D29609" s="25"/>
      <c r="F29609" s="21"/>
      <c r="G29609" s="16"/>
    </row>
    <row r="29610" spans="4:7" ht="15" x14ac:dyDescent="0.3">
      <c r="D29610" s="25"/>
      <c r="F29610" s="21"/>
      <c r="G29610" s="16"/>
    </row>
    <row r="29611" spans="4:7" ht="15" x14ac:dyDescent="0.3">
      <c r="D29611" s="25"/>
      <c r="F29611" s="21"/>
      <c r="G29611" s="16"/>
    </row>
    <row r="29612" spans="4:7" ht="15" x14ac:dyDescent="0.3">
      <c r="D29612" s="25"/>
      <c r="F29612" s="21"/>
      <c r="G29612" s="16"/>
    </row>
    <row r="29613" spans="4:7" ht="15" x14ac:dyDescent="0.3">
      <c r="D29613" s="25"/>
      <c r="F29613" s="21"/>
      <c r="G29613" s="16"/>
    </row>
    <row r="29614" spans="4:7" ht="15" x14ac:dyDescent="0.3">
      <c r="D29614" s="25"/>
      <c r="F29614" s="21"/>
      <c r="G29614" s="16"/>
    </row>
    <row r="29615" spans="4:7" ht="15" x14ac:dyDescent="0.3">
      <c r="D29615" s="25"/>
      <c r="F29615" s="21"/>
      <c r="G29615" s="16"/>
    </row>
    <row r="29616" spans="4:7" ht="15" x14ac:dyDescent="0.3">
      <c r="D29616" s="25"/>
      <c r="F29616" s="21"/>
      <c r="G29616" s="16"/>
    </row>
    <row r="29617" spans="4:7" ht="15" x14ac:dyDescent="0.3">
      <c r="D29617" s="25"/>
      <c r="F29617" s="21"/>
      <c r="G29617" s="16"/>
    </row>
    <row r="29618" spans="4:7" ht="15" x14ac:dyDescent="0.3">
      <c r="D29618" s="25"/>
      <c r="F29618" s="21"/>
      <c r="G29618" s="16"/>
    </row>
    <row r="29619" spans="4:7" ht="15" x14ac:dyDescent="0.3">
      <c r="D29619" s="25"/>
      <c r="F29619" s="21"/>
      <c r="G29619" s="16"/>
    </row>
    <row r="29620" spans="4:7" ht="15" x14ac:dyDescent="0.3">
      <c r="D29620" s="25"/>
      <c r="F29620" s="21"/>
      <c r="G29620" s="16"/>
    </row>
    <row r="29621" spans="4:7" ht="15" x14ac:dyDescent="0.3">
      <c r="D29621" s="25"/>
      <c r="F29621" s="21"/>
      <c r="G29621" s="16"/>
    </row>
    <row r="29622" spans="4:7" ht="15" x14ac:dyDescent="0.3">
      <c r="D29622" s="25"/>
      <c r="F29622" s="21"/>
      <c r="G29622" s="16"/>
    </row>
    <row r="29623" spans="4:7" ht="15" x14ac:dyDescent="0.3">
      <c r="D29623" s="25"/>
      <c r="F29623" s="21"/>
      <c r="G29623" s="16"/>
    </row>
    <row r="29624" spans="4:7" ht="15" x14ac:dyDescent="0.3">
      <c r="D29624" s="25"/>
      <c r="F29624" s="21"/>
      <c r="G29624" s="16"/>
    </row>
    <row r="29625" spans="4:7" ht="15" x14ac:dyDescent="0.3">
      <c r="D29625" s="25"/>
      <c r="F29625" s="21"/>
      <c r="G29625" s="16"/>
    </row>
    <row r="29626" spans="4:7" ht="15" x14ac:dyDescent="0.3">
      <c r="D29626" s="25"/>
      <c r="F29626" s="21"/>
      <c r="G29626" s="16"/>
    </row>
    <row r="29627" spans="4:7" ht="15" x14ac:dyDescent="0.3">
      <c r="D29627" s="25"/>
      <c r="F29627" s="21"/>
      <c r="G29627" s="16"/>
    </row>
    <row r="29628" spans="4:7" ht="15" x14ac:dyDescent="0.3">
      <c r="D29628" s="25"/>
      <c r="F29628" s="21"/>
      <c r="G29628" s="16"/>
    </row>
    <row r="29629" spans="4:7" ht="15" x14ac:dyDescent="0.3">
      <c r="D29629" s="25"/>
      <c r="F29629" s="21"/>
      <c r="G29629" s="16"/>
    </row>
    <row r="29630" spans="4:7" ht="15" x14ac:dyDescent="0.3">
      <c r="D29630" s="25"/>
      <c r="F29630" s="21"/>
      <c r="G29630" s="16"/>
    </row>
    <row r="29631" spans="4:7" ht="15" x14ac:dyDescent="0.3">
      <c r="D29631" s="25"/>
      <c r="F29631" s="21"/>
      <c r="G29631" s="16"/>
    </row>
    <row r="29632" spans="4:7" ht="15" x14ac:dyDescent="0.3">
      <c r="D29632" s="25"/>
      <c r="F29632" s="21"/>
      <c r="G29632" s="16"/>
    </row>
    <row r="29633" spans="4:7" ht="15" x14ac:dyDescent="0.3">
      <c r="D29633" s="25"/>
      <c r="F29633" s="21"/>
      <c r="G29633" s="16"/>
    </row>
    <row r="29634" spans="4:7" ht="15" x14ac:dyDescent="0.3">
      <c r="D29634" s="25"/>
      <c r="F29634" s="21"/>
      <c r="G29634" s="16"/>
    </row>
    <row r="29635" spans="4:7" ht="15" x14ac:dyDescent="0.3">
      <c r="D29635" s="25"/>
      <c r="F29635" s="21"/>
      <c r="G29635" s="16"/>
    </row>
    <row r="29636" spans="4:7" ht="15" x14ac:dyDescent="0.3">
      <c r="D29636" s="25"/>
      <c r="F29636" s="21"/>
      <c r="G29636" s="16"/>
    </row>
    <row r="29637" spans="4:7" ht="15" x14ac:dyDescent="0.3">
      <c r="D29637" s="25"/>
      <c r="F29637" s="21"/>
      <c r="G29637" s="16"/>
    </row>
    <row r="29638" spans="4:7" ht="15" x14ac:dyDescent="0.3">
      <c r="D29638" s="25"/>
      <c r="F29638" s="21"/>
      <c r="G29638" s="16"/>
    </row>
    <row r="29639" spans="4:7" ht="15" x14ac:dyDescent="0.3">
      <c r="D29639" s="25"/>
      <c r="F29639" s="21"/>
      <c r="G29639" s="16"/>
    </row>
    <row r="29640" spans="4:7" ht="15" x14ac:dyDescent="0.3">
      <c r="D29640" s="25"/>
      <c r="F29640" s="21"/>
      <c r="G29640" s="16"/>
    </row>
    <row r="29641" spans="4:7" ht="15" x14ac:dyDescent="0.3">
      <c r="D29641" s="25"/>
      <c r="F29641" s="21"/>
      <c r="G29641" s="16"/>
    </row>
    <row r="29642" spans="4:7" ht="15" x14ac:dyDescent="0.3">
      <c r="D29642" s="25"/>
      <c r="F29642" s="21"/>
      <c r="G29642" s="16"/>
    </row>
    <row r="29643" spans="4:7" ht="15" x14ac:dyDescent="0.3">
      <c r="D29643" s="25"/>
      <c r="F29643" s="21"/>
      <c r="G29643" s="16"/>
    </row>
    <row r="29644" spans="4:7" ht="15" x14ac:dyDescent="0.3">
      <c r="D29644" s="25"/>
      <c r="F29644" s="21"/>
      <c r="G29644" s="16"/>
    </row>
    <row r="29645" spans="4:7" ht="15" x14ac:dyDescent="0.3">
      <c r="D29645" s="25"/>
      <c r="F29645" s="21"/>
      <c r="G29645" s="16"/>
    </row>
    <row r="29646" spans="4:7" ht="15" x14ac:dyDescent="0.3">
      <c r="D29646" s="25"/>
      <c r="F29646" s="21"/>
      <c r="G29646" s="16"/>
    </row>
    <row r="29647" spans="4:7" ht="15" x14ac:dyDescent="0.3">
      <c r="D29647" s="25"/>
      <c r="F29647" s="21"/>
      <c r="G29647" s="16"/>
    </row>
    <row r="29648" spans="4:7" ht="15" x14ac:dyDescent="0.3">
      <c r="D29648" s="25"/>
      <c r="F29648" s="21"/>
      <c r="G29648" s="16"/>
    </row>
    <row r="29649" spans="4:7" ht="15" x14ac:dyDescent="0.3">
      <c r="D29649" s="25"/>
      <c r="F29649" s="21"/>
      <c r="G29649" s="16"/>
    </row>
    <row r="29650" spans="4:7" ht="15" x14ac:dyDescent="0.3">
      <c r="D29650" s="25"/>
      <c r="F29650" s="21"/>
      <c r="G29650" s="16"/>
    </row>
    <row r="29651" spans="4:7" ht="15" x14ac:dyDescent="0.3">
      <c r="D29651" s="25"/>
      <c r="F29651" s="21"/>
      <c r="G29651" s="16"/>
    </row>
    <row r="29652" spans="4:7" ht="15" x14ac:dyDescent="0.3">
      <c r="D29652" s="25"/>
      <c r="F29652" s="21"/>
      <c r="G29652" s="16"/>
    </row>
    <row r="29653" spans="4:7" ht="15" x14ac:dyDescent="0.3">
      <c r="D29653" s="25"/>
      <c r="F29653" s="21"/>
      <c r="G29653" s="16"/>
    </row>
    <row r="29654" spans="4:7" ht="15" x14ac:dyDescent="0.3">
      <c r="D29654" s="25"/>
      <c r="F29654" s="21"/>
      <c r="G29654" s="16"/>
    </row>
    <row r="29655" spans="4:7" ht="15" x14ac:dyDescent="0.3">
      <c r="D29655" s="25"/>
      <c r="F29655" s="21"/>
      <c r="G29655" s="16"/>
    </row>
    <row r="29656" spans="4:7" ht="15" x14ac:dyDescent="0.3">
      <c r="D29656" s="25"/>
      <c r="F29656" s="21"/>
      <c r="G29656" s="16"/>
    </row>
    <row r="29657" spans="4:7" ht="15" x14ac:dyDescent="0.3">
      <c r="D29657" s="25"/>
      <c r="F29657" s="21"/>
      <c r="G29657" s="16"/>
    </row>
    <row r="29658" spans="4:7" ht="15" x14ac:dyDescent="0.3">
      <c r="D29658" s="25"/>
      <c r="F29658" s="21"/>
      <c r="G29658" s="16"/>
    </row>
    <row r="29659" spans="4:7" ht="15" x14ac:dyDescent="0.3">
      <c r="D29659" s="25"/>
      <c r="F29659" s="21"/>
      <c r="G29659" s="16"/>
    </row>
    <row r="29660" spans="4:7" ht="15" x14ac:dyDescent="0.3">
      <c r="D29660" s="25"/>
      <c r="F29660" s="21"/>
      <c r="G29660" s="16"/>
    </row>
    <row r="29661" spans="4:7" ht="15" x14ac:dyDescent="0.3">
      <c r="D29661" s="25"/>
      <c r="F29661" s="21"/>
      <c r="G29661" s="16"/>
    </row>
    <row r="29662" spans="4:7" ht="15" x14ac:dyDescent="0.3">
      <c r="D29662" s="25"/>
      <c r="F29662" s="21"/>
      <c r="G29662" s="16"/>
    </row>
    <row r="29663" spans="4:7" ht="15" x14ac:dyDescent="0.3">
      <c r="D29663" s="25"/>
      <c r="F29663" s="21"/>
      <c r="G29663" s="16"/>
    </row>
    <row r="29664" spans="4:7" ht="15" x14ac:dyDescent="0.3">
      <c r="D29664" s="25"/>
      <c r="F29664" s="21"/>
      <c r="G29664" s="16"/>
    </row>
    <row r="29665" spans="4:7" ht="15" x14ac:dyDescent="0.3">
      <c r="D29665" s="25"/>
      <c r="F29665" s="21"/>
      <c r="G29665" s="16"/>
    </row>
    <row r="29666" spans="4:7" ht="15" x14ac:dyDescent="0.3">
      <c r="D29666" s="25"/>
      <c r="F29666" s="21"/>
      <c r="G29666" s="16"/>
    </row>
    <row r="29667" spans="4:7" ht="15" x14ac:dyDescent="0.3">
      <c r="D29667" s="25"/>
      <c r="F29667" s="21"/>
      <c r="G29667" s="16"/>
    </row>
    <row r="29668" spans="4:7" ht="15" x14ac:dyDescent="0.3">
      <c r="D29668" s="25"/>
      <c r="F29668" s="21"/>
      <c r="G29668" s="16"/>
    </row>
    <row r="29669" spans="4:7" ht="15" x14ac:dyDescent="0.3">
      <c r="D29669" s="25"/>
      <c r="F29669" s="21"/>
      <c r="G29669" s="16"/>
    </row>
    <row r="29670" spans="4:7" ht="15" x14ac:dyDescent="0.3">
      <c r="D29670" s="25"/>
      <c r="F29670" s="21"/>
      <c r="G29670" s="16"/>
    </row>
    <row r="29671" spans="4:7" ht="15" x14ac:dyDescent="0.3">
      <c r="D29671" s="25"/>
      <c r="F29671" s="21"/>
      <c r="G29671" s="16"/>
    </row>
    <row r="29672" spans="4:7" ht="15" x14ac:dyDescent="0.3">
      <c r="D29672" s="25"/>
      <c r="F29672" s="21"/>
      <c r="G29672" s="16"/>
    </row>
    <row r="29673" spans="4:7" ht="15" x14ac:dyDescent="0.3">
      <c r="D29673" s="25"/>
      <c r="F29673" s="21"/>
      <c r="G29673" s="16"/>
    </row>
    <row r="29674" spans="4:7" ht="15" x14ac:dyDescent="0.3">
      <c r="D29674" s="25"/>
      <c r="F29674" s="21"/>
      <c r="G29674" s="16"/>
    </row>
    <row r="29675" spans="4:7" ht="15" x14ac:dyDescent="0.3">
      <c r="D29675" s="25"/>
      <c r="F29675" s="21"/>
      <c r="G29675" s="16"/>
    </row>
    <row r="29676" spans="4:7" ht="15" x14ac:dyDescent="0.3">
      <c r="D29676" s="25"/>
      <c r="F29676" s="21"/>
      <c r="G29676" s="16"/>
    </row>
    <row r="29677" spans="4:7" ht="15" x14ac:dyDescent="0.3">
      <c r="D29677" s="25"/>
      <c r="F29677" s="21"/>
      <c r="G29677" s="16"/>
    </row>
    <row r="29678" spans="4:7" ht="15" x14ac:dyDescent="0.3">
      <c r="D29678" s="25"/>
      <c r="F29678" s="21"/>
      <c r="G29678" s="16"/>
    </row>
    <row r="29679" spans="4:7" ht="15" x14ac:dyDescent="0.3">
      <c r="D29679" s="25"/>
      <c r="F29679" s="21"/>
      <c r="G29679" s="16"/>
    </row>
    <row r="29680" spans="4:7" ht="15" x14ac:dyDescent="0.3">
      <c r="D29680" s="25"/>
      <c r="F29680" s="21"/>
      <c r="G29680" s="16"/>
    </row>
    <row r="29681" spans="4:7" ht="15" x14ac:dyDescent="0.3">
      <c r="D29681" s="25"/>
      <c r="F29681" s="21"/>
      <c r="G29681" s="16"/>
    </row>
    <row r="29682" spans="4:7" ht="15" x14ac:dyDescent="0.3">
      <c r="D29682" s="25"/>
      <c r="F29682" s="21"/>
      <c r="G29682" s="16"/>
    </row>
    <row r="29683" spans="4:7" ht="15" x14ac:dyDescent="0.3">
      <c r="D29683" s="25"/>
      <c r="F29683" s="21"/>
      <c r="G29683" s="16"/>
    </row>
    <row r="29684" spans="4:7" ht="15" x14ac:dyDescent="0.3">
      <c r="D29684" s="25"/>
      <c r="F29684" s="21"/>
      <c r="G29684" s="16"/>
    </row>
    <row r="29685" spans="4:7" ht="15" x14ac:dyDescent="0.3">
      <c r="D29685" s="25"/>
      <c r="F29685" s="21"/>
      <c r="G29685" s="16"/>
    </row>
    <row r="29686" spans="4:7" ht="15" x14ac:dyDescent="0.3">
      <c r="D29686" s="25"/>
      <c r="F29686" s="21"/>
      <c r="G29686" s="16"/>
    </row>
    <row r="29687" spans="4:7" ht="15" x14ac:dyDescent="0.3">
      <c r="D29687" s="25"/>
      <c r="F29687" s="21"/>
      <c r="G29687" s="16"/>
    </row>
    <row r="29688" spans="4:7" ht="15" x14ac:dyDescent="0.3">
      <c r="D29688" s="25"/>
      <c r="F29688" s="21"/>
      <c r="G29688" s="16"/>
    </row>
    <row r="29689" spans="4:7" ht="15" x14ac:dyDescent="0.3">
      <c r="D29689" s="25"/>
      <c r="F29689" s="21"/>
      <c r="G29689" s="16"/>
    </row>
    <row r="29690" spans="4:7" ht="15" x14ac:dyDescent="0.3">
      <c r="D29690" s="25"/>
      <c r="F29690" s="21"/>
      <c r="G29690" s="16"/>
    </row>
    <row r="29691" spans="4:7" ht="15" x14ac:dyDescent="0.3">
      <c r="D29691" s="25"/>
      <c r="F29691" s="21"/>
      <c r="G29691" s="16"/>
    </row>
    <row r="29692" spans="4:7" ht="15" x14ac:dyDescent="0.3">
      <c r="D29692" s="25"/>
      <c r="F29692" s="21"/>
      <c r="G29692" s="16"/>
    </row>
    <row r="29693" spans="4:7" ht="15" x14ac:dyDescent="0.3">
      <c r="D29693" s="25"/>
      <c r="F29693" s="21"/>
      <c r="G29693" s="16"/>
    </row>
    <row r="29694" spans="4:7" ht="15" x14ac:dyDescent="0.3">
      <c r="D29694" s="25"/>
      <c r="F29694" s="21"/>
      <c r="G29694" s="16"/>
    </row>
    <row r="29695" spans="4:7" ht="15" x14ac:dyDescent="0.3">
      <c r="D29695" s="25"/>
      <c r="F29695" s="21"/>
      <c r="G29695" s="16"/>
    </row>
    <row r="29696" spans="4:7" ht="15" x14ac:dyDescent="0.3">
      <c r="D29696" s="25"/>
      <c r="F29696" s="21"/>
      <c r="G29696" s="16"/>
    </row>
    <row r="29697" spans="4:7" ht="15" x14ac:dyDescent="0.3">
      <c r="D29697" s="25"/>
      <c r="F29697" s="21"/>
      <c r="G29697" s="16"/>
    </row>
    <row r="29698" spans="4:7" ht="15" x14ac:dyDescent="0.3">
      <c r="D29698" s="25"/>
      <c r="F29698" s="21"/>
      <c r="G29698" s="16"/>
    </row>
    <row r="29699" spans="4:7" ht="15" x14ac:dyDescent="0.3">
      <c r="D29699" s="25"/>
      <c r="F29699" s="21"/>
      <c r="G29699" s="16"/>
    </row>
    <row r="29700" spans="4:7" ht="15" x14ac:dyDescent="0.3">
      <c r="D29700" s="25"/>
      <c r="F29700" s="21"/>
      <c r="G29700" s="16"/>
    </row>
    <row r="29701" spans="4:7" ht="15" x14ac:dyDescent="0.3">
      <c r="D29701" s="25"/>
      <c r="F29701" s="21"/>
      <c r="G29701" s="16"/>
    </row>
    <row r="29702" spans="4:7" ht="15" x14ac:dyDescent="0.3">
      <c r="D29702" s="25"/>
      <c r="F29702" s="21"/>
      <c r="G29702" s="16"/>
    </row>
    <row r="29703" spans="4:7" ht="15" x14ac:dyDescent="0.3">
      <c r="D29703" s="25"/>
      <c r="F29703" s="21"/>
      <c r="G29703" s="16"/>
    </row>
    <row r="29704" spans="4:7" ht="15" x14ac:dyDescent="0.3">
      <c r="D29704" s="25"/>
      <c r="F29704" s="21"/>
      <c r="G29704" s="16"/>
    </row>
    <row r="29705" spans="4:7" ht="15" x14ac:dyDescent="0.3">
      <c r="D29705" s="25"/>
      <c r="F29705" s="21"/>
      <c r="G29705" s="16"/>
    </row>
    <row r="29706" spans="4:7" ht="15" x14ac:dyDescent="0.3">
      <c r="D29706" s="25"/>
      <c r="F29706" s="21"/>
      <c r="G29706" s="16"/>
    </row>
    <row r="29707" spans="4:7" ht="15" x14ac:dyDescent="0.3">
      <c r="D29707" s="25"/>
      <c r="F29707" s="21"/>
      <c r="G29707" s="16"/>
    </row>
    <row r="29708" spans="4:7" ht="15" x14ac:dyDescent="0.3">
      <c r="D29708" s="25"/>
      <c r="F29708" s="21"/>
      <c r="G29708" s="16"/>
    </row>
    <row r="29709" spans="4:7" ht="15" x14ac:dyDescent="0.3">
      <c r="D29709" s="25"/>
      <c r="F29709" s="21"/>
      <c r="G29709" s="16"/>
    </row>
    <row r="29710" spans="4:7" ht="15" x14ac:dyDescent="0.3">
      <c r="D29710" s="25"/>
      <c r="F29710" s="21"/>
      <c r="G29710" s="16"/>
    </row>
    <row r="29711" spans="4:7" ht="15" x14ac:dyDescent="0.3">
      <c r="D29711" s="25"/>
      <c r="F29711" s="21"/>
      <c r="G29711" s="16"/>
    </row>
    <row r="29712" spans="4:7" ht="15" x14ac:dyDescent="0.3">
      <c r="D29712" s="25"/>
      <c r="F29712" s="21"/>
      <c r="G29712" s="16"/>
    </row>
    <row r="29713" spans="4:7" ht="15" x14ac:dyDescent="0.3">
      <c r="D29713" s="25"/>
      <c r="F29713" s="21"/>
      <c r="G29713" s="16"/>
    </row>
    <row r="29714" spans="4:7" ht="15" x14ac:dyDescent="0.3">
      <c r="D29714" s="25"/>
      <c r="F29714" s="21"/>
      <c r="G29714" s="16"/>
    </row>
    <row r="29715" spans="4:7" ht="15" x14ac:dyDescent="0.3">
      <c r="D29715" s="25"/>
      <c r="F29715" s="21"/>
      <c r="G29715" s="16"/>
    </row>
    <row r="29716" spans="4:7" ht="15" x14ac:dyDescent="0.3">
      <c r="D29716" s="25"/>
      <c r="F29716" s="21"/>
      <c r="G29716" s="16"/>
    </row>
    <row r="29717" spans="4:7" ht="15" x14ac:dyDescent="0.3">
      <c r="D29717" s="25"/>
      <c r="F29717" s="21"/>
      <c r="G29717" s="16"/>
    </row>
    <row r="29718" spans="4:7" ht="15" x14ac:dyDescent="0.3">
      <c r="D29718" s="25"/>
      <c r="F29718" s="21"/>
      <c r="G29718" s="16"/>
    </row>
    <row r="29719" spans="4:7" ht="15" x14ac:dyDescent="0.3">
      <c r="D29719" s="25"/>
      <c r="F29719" s="21"/>
      <c r="G29719" s="16"/>
    </row>
    <row r="29720" spans="4:7" ht="15" x14ac:dyDescent="0.3">
      <c r="D29720" s="25"/>
      <c r="F29720" s="21"/>
      <c r="G29720" s="16"/>
    </row>
    <row r="29721" spans="4:7" ht="15" x14ac:dyDescent="0.3">
      <c r="D29721" s="25"/>
      <c r="F29721" s="21"/>
      <c r="G29721" s="16"/>
    </row>
    <row r="29722" spans="4:7" ht="15" x14ac:dyDescent="0.3">
      <c r="D29722" s="25"/>
      <c r="F29722" s="21"/>
      <c r="G29722" s="16"/>
    </row>
    <row r="29723" spans="4:7" ht="15" x14ac:dyDescent="0.3">
      <c r="D29723" s="25"/>
      <c r="F29723" s="21"/>
      <c r="G29723" s="16"/>
    </row>
    <row r="29724" spans="4:7" ht="15" x14ac:dyDescent="0.3">
      <c r="D29724" s="25"/>
      <c r="F29724" s="21"/>
      <c r="G29724" s="16"/>
    </row>
    <row r="29725" spans="4:7" ht="15" x14ac:dyDescent="0.3">
      <c r="D29725" s="25"/>
      <c r="F29725" s="21"/>
      <c r="G29725" s="16"/>
    </row>
    <row r="29726" spans="4:7" ht="15" x14ac:dyDescent="0.3">
      <c r="D29726" s="25"/>
      <c r="F29726" s="21"/>
      <c r="G29726" s="16"/>
    </row>
    <row r="29727" spans="4:7" ht="15" x14ac:dyDescent="0.3">
      <c r="D29727" s="25"/>
      <c r="F29727" s="21"/>
      <c r="G29727" s="16"/>
    </row>
    <row r="29728" spans="4:7" ht="15" x14ac:dyDescent="0.3">
      <c r="D29728" s="25"/>
      <c r="F29728" s="21"/>
      <c r="G29728" s="16"/>
    </row>
    <row r="29729" spans="4:7" ht="15" x14ac:dyDescent="0.3">
      <c r="D29729" s="25"/>
      <c r="F29729" s="21"/>
      <c r="G29729" s="16"/>
    </row>
    <row r="29730" spans="4:7" ht="15" x14ac:dyDescent="0.3">
      <c r="D29730" s="25"/>
      <c r="F29730" s="21"/>
      <c r="G29730" s="16"/>
    </row>
    <row r="29731" spans="4:7" ht="15" x14ac:dyDescent="0.3">
      <c r="D29731" s="25"/>
      <c r="F29731" s="21"/>
      <c r="G29731" s="16"/>
    </row>
    <row r="29732" spans="4:7" ht="15" x14ac:dyDescent="0.3">
      <c r="D29732" s="25"/>
      <c r="F29732" s="21"/>
      <c r="G29732" s="16"/>
    </row>
    <row r="29733" spans="4:7" ht="15" x14ac:dyDescent="0.3">
      <c r="D29733" s="25"/>
      <c r="F29733" s="21"/>
      <c r="G29733" s="16"/>
    </row>
    <row r="29734" spans="4:7" ht="15" x14ac:dyDescent="0.3">
      <c r="D29734" s="25"/>
      <c r="F29734" s="21"/>
      <c r="G29734" s="16"/>
    </row>
    <row r="29735" spans="4:7" ht="15" x14ac:dyDescent="0.3">
      <c r="D29735" s="25"/>
      <c r="F29735" s="21"/>
      <c r="G29735" s="16"/>
    </row>
    <row r="29736" spans="4:7" ht="15" x14ac:dyDescent="0.3">
      <c r="D29736" s="25"/>
      <c r="F29736" s="21"/>
      <c r="G29736" s="16"/>
    </row>
    <row r="29737" spans="4:7" ht="15" x14ac:dyDescent="0.3">
      <c r="D29737" s="25"/>
      <c r="F29737" s="21"/>
      <c r="G29737" s="16"/>
    </row>
    <row r="29738" spans="4:7" ht="15" x14ac:dyDescent="0.3">
      <c r="D29738" s="25"/>
      <c r="F29738" s="21"/>
      <c r="G29738" s="16"/>
    </row>
    <row r="29739" spans="4:7" ht="15" x14ac:dyDescent="0.3">
      <c r="D29739" s="25"/>
      <c r="F29739" s="21"/>
      <c r="G29739" s="16"/>
    </row>
    <row r="29740" spans="4:7" ht="15" x14ac:dyDescent="0.3">
      <c r="D29740" s="25"/>
      <c r="F29740" s="21"/>
      <c r="G29740" s="16"/>
    </row>
    <row r="29741" spans="4:7" ht="15" x14ac:dyDescent="0.3">
      <c r="D29741" s="25"/>
      <c r="F29741" s="21"/>
      <c r="G29741" s="16"/>
    </row>
    <row r="29742" spans="4:7" ht="15" x14ac:dyDescent="0.3">
      <c r="D29742" s="25"/>
      <c r="F29742" s="21"/>
      <c r="G29742" s="16"/>
    </row>
    <row r="29743" spans="4:7" ht="15" x14ac:dyDescent="0.3">
      <c r="D29743" s="25"/>
      <c r="F29743" s="21"/>
      <c r="G29743" s="16"/>
    </row>
    <row r="29744" spans="4:7" ht="15" x14ac:dyDescent="0.3">
      <c r="D29744" s="25"/>
      <c r="F29744" s="21"/>
      <c r="G29744" s="16"/>
    </row>
    <row r="29745" spans="4:7" ht="15" x14ac:dyDescent="0.3">
      <c r="D29745" s="25"/>
      <c r="F29745" s="21"/>
      <c r="G29745" s="16"/>
    </row>
    <row r="29746" spans="4:7" ht="15" x14ac:dyDescent="0.3">
      <c r="D29746" s="25"/>
      <c r="F29746" s="21"/>
      <c r="G29746" s="16"/>
    </row>
    <row r="29747" spans="4:7" ht="15" x14ac:dyDescent="0.3">
      <c r="D29747" s="25"/>
      <c r="F29747" s="21"/>
      <c r="G29747" s="16"/>
    </row>
    <row r="29748" spans="4:7" ht="15" x14ac:dyDescent="0.3">
      <c r="D29748" s="25"/>
      <c r="F29748" s="21"/>
      <c r="G29748" s="16"/>
    </row>
    <row r="29749" spans="4:7" ht="15" x14ac:dyDescent="0.3">
      <c r="D29749" s="25"/>
      <c r="F29749" s="21"/>
      <c r="G29749" s="16"/>
    </row>
    <row r="29750" spans="4:7" ht="15" x14ac:dyDescent="0.3">
      <c r="D29750" s="25"/>
      <c r="F29750" s="21"/>
      <c r="G29750" s="16"/>
    </row>
    <row r="29751" spans="4:7" ht="15" x14ac:dyDescent="0.3">
      <c r="D29751" s="25"/>
      <c r="F29751" s="21"/>
      <c r="G29751" s="16"/>
    </row>
    <row r="29752" spans="4:7" ht="15" x14ac:dyDescent="0.3">
      <c r="D29752" s="25"/>
      <c r="F29752" s="21"/>
      <c r="G29752" s="16"/>
    </row>
    <row r="29753" spans="4:7" ht="15" x14ac:dyDescent="0.3">
      <c r="D29753" s="25"/>
      <c r="F29753" s="21"/>
      <c r="G29753" s="16"/>
    </row>
    <row r="29754" spans="4:7" ht="15" x14ac:dyDescent="0.3">
      <c r="D29754" s="25"/>
      <c r="F29754" s="21"/>
      <c r="G29754" s="16"/>
    </row>
    <row r="29755" spans="4:7" ht="15" x14ac:dyDescent="0.3">
      <c r="D29755" s="25"/>
      <c r="F29755" s="21"/>
      <c r="G29755" s="16"/>
    </row>
    <row r="29756" spans="4:7" ht="15" x14ac:dyDescent="0.3">
      <c r="D29756" s="25"/>
      <c r="F29756" s="21"/>
      <c r="G29756" s="16"/>
    </row>
    <row r="29757" spans="4:7" ht="15" x14ac:dyDescent="0.3">
      <c r="D29757" s="25"/>
      <c r="F29757" s="21"/>
      <c r="G29757" s="16"/>
    </row>
    <row r="29758" spans="4:7" ht="15" x14ac:dyDescent="0.3">
      <c r="D29758" s="25"/>
      <c r="F29758" s="21"/>
      <c r="G29758" s="16"/>
    </row>
    <row r="29759" spans="4:7" ht="15" x14ac:dyDescent="0.3">
      <c r="D29759" s="25"/>
      <c r="F29759" s="21"/>
      <c r="G29759" s="16"/>
    </row>
    <row r="29760" spans="4:7" ht="15" x14ac:dyDescent="0.3">
      <c r="D29760" s="25"/>
      <c r="F29760" s="21"/>
      <c r="G29760" s="16"/>
    </row>
    <row r="29761" spans="4:7" ht="15" x14ac:dyDescent="0.3">
      <c r="D29761" s="25"/>
      <c r="F29761" s="21"/>
      <c r="G29761" s="16"/>
    </row>
    <row r="29762" spans="4:7" ht="15" x14ac:dyDescent="0.3">
      <c r="D29762" s="25"/>
      <c r="F29762" s="21"/>
      <c r="G29762" s="16"/>
    </row>
    <row r="29763" spans="4:7" ht="15" x14ac:dyDescent="0.3">
      <c r="D29763" s="25"/>
      <c r="F29763" s="21"/>
      <c r="G29763" s="16"/>
    </row>
    <row r="29764" spans="4:7" ht="15" x14ac:dyDescent="0.3">
      <c r="D29764" s="25"/>
      <c r="F29764" s="21"/>
      <c r="G29764" s="16"/>
    </row>
    <row r="29765" spans="4:7" ht="15" x14ac:dyDescent="0.3">
      <c r="D29765" s="25"/>
      <c r="F29765" s="21"/>
      <c r="G29765" s="16"/>
    </row>
    <row r="29766" spans="4:7" ht="15" x14ac:dyDescent="0.3">
      <c r="D29766" s="25"/>
      <c r="F29766" s="21"/>
      <c r="G29766" s="16"/>
    </row>
    <row r="29767" spans="4:7" ht="15" x14ac:dyDescent="0.3">
      <c r="D29767" s="25"/>
      <c r="F29767" s="21"/>
      <c r="G29767" s="16"/>
    </row>
    <row r="29768" spans="4:7" ht="15" x14ac:dyDescent="0.3">
      <c r="D29768" s="25"/>
      <c r="F29768" s="21"/>
      <c r="G29768" s="16"/>
    </row>
    <row r="29769" spans="4:7" ht="15" x14ac:dyDescent="0.3">
      <c r="D29769" s="25"/>
      <c r="F29769" s="21"/>
      <c r="G29769" s="16"/>
    </row>
    <row r="29770" spans="4:7" ht="15" x14ac:dyDescent="0.3">
      <c r="D29770" s="25"/>
      <c r="F29770" s="21"/>
      <c r="G29770" s="16"/>
    </row>
    <row r="29771" spans="4:7" ht="15" x14ac:dyDescent="0.3">
      <c r="D29771" s="25"/>
      <c r="F29771" s="21"/>
      <c r="G29771" s="16"/>
    </row>
    <row r="29772" spans="4:7" ht="15" x14ac:dyDescent="0.3">
      <c r="D29772" s="25"/>
      <c r="F29772" s="21"/>
      <c r="G29772" s="16"/>
    </row>
    <row r="29773" spans="4:7" ht="15" x14ac:dyDescent="0.3">
      <c r="D29773" s="25"/>
      <c r="F29773" s="21"/>
      <c r="G29773" s="16"/>
    </row>
    <row r="29774" spans="4:7" ht="15" x14ac:dyDescent="0.3">
      <c r="D29774" s="25"/>
      <c r="F29774" s="21"/>
      <c r="G29774" s="16"/>
    </row>
    <row r="29775" spans="4:7" ht="15" x14ac:dyDescent="0.3">
      <c r="D29775" s="25"/>
      <c r="F29775" s="21"/>
      <c r="G29775" s="16"/>
    </row>
    <row r="29776" spans="4:7" ht="15" x14ac:dyDescent="0.3">
      <c r="D29776" s="25"/>
      <c r="F29776" s="21"/>
      <c r="G29776" s="16"/>
    </row>
    <row r="29777" spans="4:7" ht="15" x14ac:dyDescent="0.3">
      <c r="D29777" s="25"/>
      <c r="F29777" s="21"/>
      <c r="G29777" s="16"/>
    </row>
    <row r="29778" spans="4:7" ht="15" x14ac:dyDescent="0.3">
      <c r="D29778" s="25"/>
      <c r="F29778" s="21"/>
      <c r="G29778" s="16"/>
    </row>
    <row r="29779" spans="4:7" ht="15" x14ac:dyDescent="0.3">
      <c r="D29779" s="25"/>
      <c r="F29779" s="21"/>
      <c r="G29779" s="16"/>
    </row>
    <row r="29780" spans="4:7" ht="15" x14ac:dyDescent="0.3">
      <c r="D29780" s="25"/>
      <c r="F29780" s="21"/>
      <c r="G29780" s="16"/>
    </row>
    <row r="29781" spans="4:7" ht="15" x14ac:dyDescent="0.3">
      <c r="D29781" s="25"/>
      <c r="F29781" s="21"/>
      <c r="G29781" s="16"/>
    </row>
    <row r="29782" spans="4:7" ht="15" x14ac:dyDescent="0.3">
      <c r="D29782" s="25"/>
      <c r="F29782" s="21"/>
      <c r="G29782" s="16"/>
    </row>
    <row r="29783" spans="4:7" ht="15" x14ac:dyDescent="0.3">
      <c r="D29783" s="25"/>
      <c r="F29783" s="21"/>
      <c r="G29783" s="16"/>
    </row>
    <row r="29784" spans="4:7" ht="15" x14ac:dyDescent="0.3">
      <c r="D29784" s="25"/>
      <c r="F29784" s="21"/>
      <c r="G29784" s="16"/>
    </row>
    <row r="29785" spans="4:7" ht="15" x14ac:dyDescent="0.3">
      <c r="D29785" s="25"/>
      <c r="F29785" s="21"/>
      <c r="G29785" s="16"/>
    </row>
    <row r="29786" spans="4:7" ht="15" x14ac:dyDescent="0.3">
      <c r="D29786" s="25"/>
      <c r="F29786" s="21"/>
      <c r="G29786" s="16"/>
    </row>
    <row r="29787" spans="4:7" ht="15" x14ac:dyDescent="0.3">
      <c r="D29787" s="25"/>
      <c r="F29787" s="21"/>
      <c r="G29787" s="16"/>
    </row>
    <row r="29788" spans="4:7" ht="15" x14ac:dyDescent="0.3">
      <c r="D29788" s="25"/>
      <c r="F29788" s="21"/>
      <c r="G29788" s="16"/>
    </row>
    <row r="29789" spans="4:7" ht="15" x14ac:dyDescent="0.3">
      <c r="D29789" s="25"/>
      <c r="F29789" s="21"/>
      <c r="G29789" s="16"/>
    </row>
    <row r="29790" spans="4:7" ht="15" x14ac:dyDescent="0.3">
      <c r="D29790" s="25"/>
      <c r="F29790" s="21"/>
      <c r="G29790" s="16"/>
    </row>
    <row r="29791" spans="4:7" ht="15" x14ac:dyDescent="0.3">
      <c r="D29791" s="25"/>
      <c r="F29791" s="21"/>
      <c r="G29791" s="16"/>
    </row>
    <row r="29792" spans="4:7" ht="15" x14ac:dyDescent="0.3">
      <c r="D29792" s="25"/>
      <c r="F29792" s="21"/>
      <c r="G29792" s="16"/>
    </row>
    <row r="29793" spans="4:7" ht="15" x14ac:dyDescent="0.3">
      <c r="D29793" s="25"/>
      <c r="F29793" s="21"/>
      <c r="G29793" s="16"/>
    </row>
    <row r="29794" spans="4:7" ht="15" x14ac:dyDescent="0.3">
      <c r="D29794" s="25"/>
      <c r="F29794" s="21"/>
      <c r="G29794" s="16"/>
    </row>
    <row r="29795" spans="4:7" ht="15" x14ac:dyDescent="0.3">
      <c r="D29795" s="25"/>
      <c r="F29795" s="21"/>
      <c r="G29795" s="16"/>
    </row>
    <row r="29796" spans="4:7" ht="15" x14ac:dyDescent="0.3">
      <c r="D29796" s="25"/>
      <c r="F29796" s="21"/>
      <c r="G29796" s="16"/>
    </row>
    <row r="29797" spans="4:7" ht="15" x14ac:dyDescent="0.3">
      <c r="D29797" s="25"/>
      <c r="F29797" s="21"/>
      <c r="G29797" s="16"/>
    </row>
    <row r="29798" spans="4:7" ht="15" x14ac:dyDescent="0.3">
      <c r="D29798" s="25"/>
      <c r="F29798" s="21"/>
      <c r="G29798" s="16"/>
    </row>
    <row r="29799" spans="4:7" ht="15" x14ac:dyDescent="0.3">
      <c r="D29799" s="25"/>
      <c r="F29799" s="21"/>
      <c r="G29799" s="16"/>
    </row>
    <row r="29800" spans="4:7" ht="15" x14ac:dyDescent="0.3">
      <c r="D29800" s="25"/>
      <c r="F29800" s="21"/>
      <c r="G29800" s="16"/>
    </row>
    <row r="29801" spans="4:7" ht="15" x14ac:dyDescent="0.3">
      <c r="D29801" s="25"/>
      <c r="F29801" s="21"/>
      <c r="G29801" s="16"/>
    </row>
    <row r="29802" spans="4:7" ht="15" x14ac:dyDescent="0.3">
      <c r="D29802" s="25"/>
      <c r="F29802" s="21"/>
      <c r="G29802" s="16"/>
    </row>
    <row r="29803" spans="4:7" ht="15" x14ac:dyDescent="0.3">
      <c r="D29803" s="25"/>
      <c r="F29803" s="21"/>
      <c r="G29803" s="16"/>
    </row>
    <row r="29804" spans="4:7" ht="15" x14ac:dyDescent="0.3">
      <c r="D29804" s="25"/>
      <c r="F29804" s="21"/>
      <c r="G29804" s="16"/>
    </row>
    <row r="29805" spans="4:7" ht="15" x14ac:dyDescent="0.3">
      <c r="D29805" s="25"/>
      <c r="F29805" s="21"/>
      <c r="G29805" s="16"/>
    </row>
    <row r="29806" spans="4:7" ht="15" x14ac:dyDescent="0.3">
      <c r="D29806" s="25"/>
      <c r="F29806" s="21"/>
      <c r="G29806" s="16"/>
    </row>
    <row r="29807" spans="4:7" ht="15" x14ac:dyDescent="0.3">
      <c r="D29807" s="25"/>
      <c r="F29807" s="21"/>
      <c r="G29807" s="16"/>
    </row>
    <row r="29808" spans="4:7" ht="15" x14ac:dyDescent="0.3">
      <c r="D29808" s="25"/>
      <c r="F29808" s="21"/>
      <c r="G29808" s="16"/>
    </row>
    <row r="29809" spans="4:7" ht="15" x14ac:dyDescent="0.3">
      <c r="D29809" s="25"/>
      <c r="F29809" s="21"/>
      <c r="G29809" s="16"/>
    </row>
    <row r="29810" spans="4:7" ht="15" x14ac:dyDescent="0.3">
      <c r="D29810" s="25"/>
      <c r="F29810" s="21"/>
      <c r="G29810" s="16"/>
    </row>
    <row r="29811" spans="4:7" ht="15" x14ac:dyDescent="0.3">
      <c r="D29811" s="25"/>
      <c r="F29811" s="21"/>
      <c r="G29811" s="16"/>
    </row>
    <row r="29812" spans="4:7" ht="15" x14ac:dyDescent="0.3">
      <c r="D29812" s="25"/>
      <c r="F29812" s="21"/>
      <c r="G29812" s="16"/>
    </row>
    <row r="29813" spans="4:7" ht="15" x14ac:dyDescent="0.3">
      <c r="D29813" s="25"/>
      <c r="F29813" s="21"/>
      <c r="G29813" s="16"/>
    </row>
    <row r="29814" spans="4:7" ht="15" x14ac:dyDescent="0.3">
      <c r="D29814" s="25"/>
      <c r="F29814" s="21"/>
      <c r="G29814" s="16"/>
    </row>
    <row r="29815" spans="4:7" ht="15" x14ac:dyDescent="0.3">
      <c r="D29815" s="25"/>
      <c r="F29815" s="21"/>
      <c r="G29815" s="16"/>
    </row>
    <row r="29816" spans="4:7" ht="15" x14ac:dyDescent="0.3">
      <c r="D29816" s="25"/>
      <c r="F29816" s="21"/>
      <c r="G29816" s="16"/>
    </row>
    <row r="29817" spans="4:7" ht="15" x14ac:dyDescent="0.3">
      <c r="D29817" s="25"/>
      <c r="F29817" s="21"/>
      <c r="G29817" s="16"/>
    </row>
    <row r="29818" spans="4:7" ht="15" x14ac:dyDescent="0.3">
      <c r="D29818" s="25"/>
      <c r="F29818" s="21"/>
      <c r="G29818" s="16"/>
    </row>
    <row r="29819" spans="4:7" ht="15" x14ac:dyDescent="0.3">
      <c r="D29819" s="25"/>
      <c r="F29819" s="21"/>
      <c r="G29819" s="16"/>
    </row>
    <row r="29820" spans="4:7" ht="15" x14ac:dyDescent="0.3">
      <c r="D29820" s="25"/>
      <c r="F29820" s="21"/>
      <c r="G29820" s="16"/>
    </row>
    <row r="29821" spans="4:7" ht="15" x14ac:dyDescent="0.3">
      <c r="D29821" s="25"/>
      <c r="F29821" s="21"/>
      <c r="G29821" s="16"/>
    </row>
    <row r="29822" spans="4:7" ht="15" x14ac:dyDescent="0.3">
      <c r="D29822" s="25"/>
      <c r="F29822" s="21"/>
      <c r="G29822" s="16"/>
    </row>
    <row r="29823" spans="4:7" ht="15" x14ac:dyDescent="0.3">
      <c r="D29823" s="25"/>
      <c r="F29823" s="21"/>
      <c r="G29823" s="16"/>
    </row>
    <row r="29824" spans="4:7" ht="15" x14ac:dyDescent="0.3">
      <c r="D29824" s="25"/>
      <c r="F29824" s="21"/>
      <c r="G29824" s="16"/>
    </row>
    <row r="29825" spans="4:7" ht="15" x14ac:dyDescent="0.3">
      <c r="D29825" s="25"/>
      <c r="F29825" s="21"/>
      <c r="G29825" s="16"/>
    </row>
    <row r="29826" spans="4:7" ht="15" x14ac:dyDescent="0.3">
      <c r="D29826" s="25"/>
      <c r="F29826" s="21"/>
      <c r="G29826" s="16"/>
    </row>
    <row r="29827" spans="4:7" ht="15" x14ac:dyDescent="0.3">
      <c r="D29827" s="25"/>
      <c r="F29827" s="21"/>
      <c r="G29827" s="16"/>
    </row>
    <row r="29828" spans="4:7" ht="15" x14ac:dyDescent="0.3">
      <c r="D29828" s="25"/>
      <c r="F29828" s="21"/>
      <c r="G29828" s="16"/>
    </row>
    <row r="29829" spans="4:7" ht="15" x14ac:dyDescent="0.3">
      <c r="D29829" s="25"/>
      <c r="F29829" s="21"/>
      <c r="G29829" s="16"/>
    </row>
    <row r="29830" spans="4:7" ht="15" x14ac:dyDescent="0.3">
      <c r="D29830" s="25"/>
      <c r="F29830" s="21"/>
      <c r="G29830" s="16"/>
    </row>
    <row r="29831" spans="4:7" ht="15" x14ac:dyDescent="0.3">
      <c r="D29831" s="25"/>
      <c r="F29831" s="21"/>
      <c r="G29831" s="16"/>
    </row>
    <row r="29832" spans="4:7" ht="15" x14ac:dyDescent="0.3">
      <c r="D29832" s="25"/>
      <c r="F29832" s="21"/>
      <c r="G29832" s="16"/>
    </row>
    <row r="29833" spans="4:7" ht="15" x14ac:dyDescent="0.3">
      <c r="D29833" s="25"/>
      <c r="F29833" s="21"/>
      <c r="G29833" s="16"/>
    </row>
    <row r="29834" spans="4:7" ht="15" x14ac:dyDescent="0.3">
      <c r="D29834" s="25"/>
      <c r="F29834" s="21"/>
      <c r="G29834" s="16"/>
    </row>
    <row r="29835" spans="4:7" ht="15" x14ac:dyDescent="0.3">
      <c r="D29835" s="25"/>
      <c r="F29835" s="21"/>
      <c r="G29835" s="16"/>
    </row>
    <row r="29836" spans="4:7" ht="15" x14ac:dyDescent="0.3">
      <c r="D29836" s="25"/>
      <c r="F29836" s="21"/>
      <c r="G29836" s="16"/>
    </row>
    <row r="29837" spans="4:7" ht="15" x14ac:dyDescent="0.3">
      <c r="D29837" s="25"/>
      <c r="F29837" s="21"/>
      <c r="G29837" s="16"/>
    </row>
    <row r="29838" spans="4:7" ht="15" x14ac:dyDescent="0.3">
      <c r="D29838" s="25"/>
      <c r="F29838" s="21"/>
      <c r="G29838" s="16"/>
    </row>
    <row r="29839" spans="4:7" ht="15" x14ac:dyDescent="0.3">
      <c r="D29839" s="25"/>
      <c r="F29839" s="21"/>
      <c r="G29839" s="16"/>
    </row>
    <row r="29840" spans="4:7" ht="15" x14ac:dyDescent="0.3">
      <c r="D29840" s="25"/>
      <c r="F29840" s="21"/>
      <c r="G29840" s="16"/>
    </row>
    <row r="29841" spans="4:7" ht="15" x14ac:dyDescent="0.3">
      <c r="D29841" s="25"/>
      <c r="F29841" s="21"/>
      <c r="G29841" s="16"/>
    </row>
    <row r="29842" spans="4:7" ht="15" x14ac:dyDescent="0.3">
      <c r="D29842" s="25"/>
      <c r="F29842" s="21"/>
      <c r="G29842" s="16"/>
    </row>
    <row r="29843" spans="4:7" ht="15" x14ac:dyDescent="0.3">
      <c r="D29843" s="25"/>
      <c r="F29843" s="21"/>
      <c r="G29843" s="16"/>
    </row>
    <row r="29844" spans="4:7" ht="15" x14ac:dyDescent="0.3">
      <c r="D29844" s="25"/>
      <c r="F29844" s="21"/>
      <c r="G29844" s="16"/>
    </row>
    <row r="29845" spans="4:7" ht="15" x14ac:dyDescent="0.3">
      <c r="D29845" s="25"/>
      <c r="F29845" s="21"/>
      <c r="G29845" s="16"/>
    </row>
    <row r="29846" spans="4:7" ht="15" x14ac:dyDescent="0.3">
      <c r="D29846" s="25"/>
      <c r="F29846" s="21"/>
      <c r="G29846" s="16"/>
    </row>
    <row r="29847" spans="4:7" ht="15" x14ac:dyDescent="0.3">
      <c r="D29847" s="25"/>
      <c r="F29847" s="21"/>
      <c r="G29847" s="16"/>
    </row>
    <row r="29848" spans="4:7" ht="15" x14ac:dyDescent="0.3">
      <c r="D29848" s="25"/>
      <c r="F29848" s="21"/>
      <c r="G29848" s="16"/>
    </row>
    <row r="29849" spans="4:7" ht="15" x14ac:dyDescent="0.3">
      <c r="D29849" s="25"/>
      <c r="F29849" s="21"/>
      <c r="G29849" s="16"/>
    </row>
    <row r="29850" spans="4:7" ht="15" x14ac:dyDescent="0.3">
      <c r="D29850" s="25"/>
      <c r="F29850" s="21"/>
      <c r="G29850" s="16"/>
    </row>
    <row r="29851" spans="4:7" ht="15" x14ac:dyDescent="0.3">
      <c r="D29851" s="25"/>
      <c r="F29851" s="21"/>
      <c r="G29851" s="16"/>
    </row>
    <row r="29852" spans="4:7" ht="15" x14ac:dyDescent="0.3">
      <c r="D29852" s="25"/>
      <c r="F29852" s="21"/>
      <c r="G29852" s="16"/>
    </row>
    <row r="29853" spans="4:7" ht="15" x14ac:dyDescent="0.3">
      <c r="D29853" s="25"/>
      <c r="F29853" s="21"/>
      <c r="G29853" s="16"/>
    </row>
    <row r="29854" spans="4:7" ht="15" x14ac:dyDescent="0.3">
      <c r="D29854" s="25"/>
      <c r="F29854" s="21"/>
      <c r="G29854" s="16"/>
    </row>
    <row r="29855" spans="4:7" ht="15" x14ac:dyDescent="0.3">
      <c r="D29855" s="25"/>
      <c r="F29855" s="21"/>
      <c r="G29855" s="16"/>
    </row>
    <row r="29856" spans="4:7" ht="15" x14ac:dyDescent="0.3">
      <c r="D29856" s="25"/>
      <c r="F29856" s="21"/>
      <c r="G29856" s="16"/>
    </row>
    <row r="29857" spans="4:7" ht="15" x14ac:dyDescent="0.3">
      <c r="D29857" s="25"/>
      <c r="F29857" s="21"/>
      <c r="G29857" s="16"/>
    </row>
    <row r="29858" spans="4:7" ht="15" x14ac:dyDescent="0.3">
      <c r="D29858" s="25"/>
      <c r="F29858" s="21"/>
      <c r="G29858" s="16"/>
    </row>
    <row r="29859" spans="4:7" ht="15" x14ac:dyDescent="0.3">
      <c r="D29859" s="25"/>
      <c r="F29859" s="21"/>
      <c r="G29859" s="16"/>
    </row>
    <row r="29860" spans="4:7" ht="15" x14ac:dyDescent="0.3">
      <c r="D29860" s="25"/>
      <c r="F29860" s="21"/>
      <c r="G29860" s="16"/>
    </row>
    <row r="29861" spans="4:7" ht="15" x14ac:dyDescent="0.3">
      <c r="D29861" s="25"/>
      <c r="F29861" s="21"/>
      <c r="G29861" s="16"/>
    </row>
    <row r="29862" spans="4:7" ht="15" x14ac:dyDescent="0.3">
      <c r="D29862" s="25"/>
      <c r="F29862" s="21"/>
      <c r="G29862" s="16"/>
    </row>
    <row r="29863" spans="4:7" ht="15" x14ac:dyDescent="0.3">
      <c r="D29863" s="25"/>
      <c r="F29863" s="21"/>
      <c r="G29863" s="16"/>
    </row>
    <row r="29864" spans="4:7" ht="15" x14ac:dyDescent="0.3">
      <c r="D29864" s="25"/>
      <c r="F29864" s="21"/>
      <c r="G29864" s="16"/>
    </row>
    <row r="29865" spans="4:7" ht="15" x14ac:dyDescent="0.3">
      <c r="D29865" s="25"/>
      <c r="F29865" s="21"/>
      <c r="G29865" s="16"/>
    </row>
    <row r="29866" spans="4:7" ht="15" x14ac:dyDescent="0.3">
      <c r="D29866" s="25"/>
      <c r="F29866" s="21"/>
      <c r="G29866" s="16"/>
    </row>
    <row r="29867" spans="4:7" ht="15" x14ac:dyDescent="0.3">
      <c r="D29867" s="25"/>
      <c r="F29867" s="21"/>
      <c r="G29867" s="16"/>
    </row>
    <row r="29868" spans="4:7" ht="15" x14ac:dyDescent="0.3">
      <c r="D29868" s="25"/>
      <c r="F29868" s="21"/>
      <c r="G29868" s="16"/>
    </row>
    <row r="29869" spans="4:7" ht="15" x14ac:dyDescent="0.3">
      <c r="D29869" s="25"/>
      <c r="F29869" s="21"/>
      <c r="G29869" s="16"/>
    </row>
    <row r="29870" spans="4:7" ht="15" x14ac:dyDescent="0.3">
      <c r="D29870" s="25"/>
      <c r="F29870" s="21"/>
      <c r="G29870" s="16"/>
    </row>
    <row r="29871" spans="4:7" ht="15" x14ac:dyDescent="0.3">
      <c r="D29871" s="25"/>
      <c r="F29871" s="21"/>
      <c r="G29871" s="16"/>
    </row>
    <row r="29872" spans="4:7" ht="15" x14ac:dyDescent="0.3">
      <c r="D29872" s="25"/>
      <c r="F29872" s="21"/>
      <c r="G29872" s="16"/>
    </row>
    <row r="29873" spans="4:7" ht="15" x14ac:dyDescent="0.3">
      <c r="D29873" s="25"/>
      <c r="F29873" s="21"/>
      <c r="G29873" s="16"/>
    </row>
    <row r="29874" spans="4:7" ht="15" x14ac:dyDescent="0.3">
      <c r="D29874" s="25"/>
      <c r="F29874" s="21"/>
      <c r="G29874" s="16"/>
    </row>
    <row r="29875" spans="4:7" ht="15" x14ac:dyDescent="0.3">
      <c r="D29875" s="25"/>
      <c r="F29875" s="21"/>
      <c r="G29875" s="16"/>
    </row>
    <row r="29876" spans="4:7" ht="15" x14ac:dyDescent="0.3">
      <c r="D29876" s="25"/>
      <c r="F29876" s="21"/>
      <c r="G29876" s="16"/>
    </row>
    <row r="29877" spans="4:7" ht="15" x14ac:dyDescent="0.3">
      <c r="D29877" s="25"/>
      <c r="F29877" s="21"/>
      <c r="G29877" s="16"/>
    </row>
    <row r="29878" spans="4:7" ht="15" x14ac:dyDescent="0.3">
      <c r="D29878" s="25"/>
      <c r="F29878" s="21"/>
      <c r="G29878" s="16"/>
    </row>
    <row r="29879" spans="4:7" ht="15" x14ac:dyDescent="0.3">
      <c r="D29879" s="25"/>
      <c r="F29879" s="21"/>
      <c r="G29879" s="16"/>
    </row>
    <row r="29880" spans="4:7" ht="15" x14ac:dyDescent="0.3">
      <c r="D29880" s="25"/>
      <c r="F29880" s="21"/>
      <c r="G29880" s="16"/>
    </row>
    <row r="29881" spans="4:7" ht="15" x14ac:dyDescent="0.3">
      <c r="D29881" s="25"/>
      <c r="F29881" s="21"/>
      <c r="G29881" s="16"/>
    </row>
    <row r="29882" spans="4:7" ht="15" x14ac:dyDescent="0.3">
      <c r="D29882" s="25"/>
      <c r="F29882" s="21"/>
      <c r="G29882" s="16"/>
    </row>
    <row r="29883" spans="4:7" ht="15" x14ac:dyDescent="0.3">
      <c r="D29883" s="25"/>
      <c r="F29883" s="21"/>
      <c r="G29883" s="16"/>
    </row>
    <row r="29884" spans="4:7" ht="15" x14ac:dyDescent="0.3">
      <c r="D29884" s="25"/>
      <c r="F29884" s="21"/>
      <c r="G29884" s="16"/>
    </row>
    <row r="29885" spans="4:7" ht="15" x14ac:dyDescent="0.3">
      <c r="D29885" s="25"/>
      <c r="F29885" s="21"/>
      <c r="G29885" s="16"/>
    </row>
    <row r="29886" spans="4:7" ht="15" x14ac:dyDescent="0.3">
      <c r="D29886" s="25"/>
      <c r="F29886" s="21"/>
      <c r="G29886" s="16"/>
    </row>
    <row r="29887" spans="4:7" ht="15" x14ac:dyDescent="0.3">
      <c r="D29887" s="25"/>
      <c r="F29887" s="21"/>
      <c r="G29887" s="16"/>
    </row>
    <row r="29888" spans="4:7" ht="15" x14ac:dyDescent="0.3">
      <c r="D29888" s="25"/>
      <c r="F29888" s="21"/>
      <c r="G29888" s="16"/>
    </row>
    <row r="29889" spans="4:7" ht="15" x14ac:dyDescent="0.3">
      <c r="D29889" s="25"/>
      <c r="F29889" s="21"/>
      <c r="G29889" s="16"/>
    </row>
    <row r="29890" spans="4:7" ht="15" x14ac:dyDescent="0.3">
      <c r="D29890" s="25"/>
      <c r="F29890" s="21"/>
      <c r="G29890" s="16"/>
    </row>
    <row r="29891" spans="4:7" ht="15" x14ac:dyDescent="0.3">
      <c r="D29891" s="25"/>
      <c r="F29891" s="21"/>
      <c r="G29891" s="16"/>
    </row>
    <row r="29892" spans="4:7" ht="15" x14ac:dyDescent="0.3">
      <c r="D29892" s="25"/>
      <c r="F29892" s="21"/>
      <c r="G29892" s="16"/>
    </row>
    <row r="29893" spans="4:7" ht="15" x14ac:dyDescent="0.3">
      <c r="D29893" s="25"/>
      <c r="F29893" s="21"/>
      <c r="G29893" s="16"/>
    </row>
    <row r="29894" spans="4:7" ht="15" x14ac:dyDescent="0.3">
      <c r="D29894" s="25"/>
      <c r="F29894" s="21"/>
      <c r="G29894" s="16"/>
    </row>
    <row r="29895" spans="4:7" ht="15" x14ac:dyDescent="0.3">
      <c r="D29895" s="25"/>
      <c r="F29895" s="21"/>
      <c r="G29895" s="16"/>
    </row>
    <row r="29896" spans="4:7" ht="15" x14ac:dyDescent="0.3">
      <c r="D29896" s="25"/>
      <c r="F29896" s="21"/>
      <c r="G29896" s="16"/>
    </row>
    <row r="29897" spans="4:7" ht="15" x14ac:dyDescent="0.3">
      <c r="D29897" s="25"/>
      <c r="F29897" s="21"/>
      <c r="G29897" s="16"/>
    </row>
    <row r="29898" spans="4:7" ht="15" x14ac:dyDescent="0.3">
      <c r="D29898" s="25"/>
      <c r="F29898" s="21"/>
      <c r="G29898" s="16"/>
    </row>
    <row r="29899" spans="4:7" ht="15" x14ac:dyDescent="0.3">
      <c r="D29899" s="25"/>
      <c r="F29899" s="21"/>
      <c r="G29899" s="16"/>
    </row>
    <row r="29900" spans="4:7" ht="15" x14ac:dyDescent="0.3">
      <c r="D29900" s="25"/>
      <c r="F29900" s="21"/>
      <c r="G29900" s="16"/>
    </row>
    <row r="29901" spans="4:7" ht="15" x14ac:dyDescent="0.3">
      <c r="D29901" s="25"/>
      <c r="F29901" s="21"/>
      <c r="G29901" s="16"/>
    </row>
    <row r="29902" spans="4:7" ht="15" x14ac:dyDescent="0.3">
      <c r="D29902" s="25"/>
      <c r="F29902" s="21"/>
      <c r="G29902" s="16"/>
    </row>
    <row r="29903" spans="4:7" ht="15" x14ac:dyDescent="0.3">
      <c r="D29903" s="25"/>
      <c r="F29903" s="21"/>
      <c r="G29903" s="16"/>
    </row>
    <row r="29904" spans="4:7" ht="15" x14ac:dyDescent="0.3">
      <c r="D29904" s="25"/>
      <c r="F29904" s="21"/>
      <c r="G29904" s="16"/>
    </row>
    <row r="29905" spans="4:7" ht="15" x14ac:dyDescent="0.3">
      <c r="D29905" s="25"/>
      <c r="F29905" s="21"/>
      <c r="G29905" s="16"/>
    </row>
    <row r="29906" spans="4:7" ht="15" x14ac:dyDescent="0.3">
      <c r="D29906" s="25"/>
      <c r="F29906" s="21"/>
      <c r="G29906" s="16"/>
    </row>
    <row r="29907" spans="4:7" ht="15" x14ac:dyDescent="0.3">
      <c r="D29907" s="25"/>
      <c r="F29907" s="21"/>
      <c r="G29907" s="16"/>
    </row>
    <row r="29908" spans="4:7" ht="15" x14ac:dyDescent="0.3">
      <c r="D29908" s="25"/>
      <c r="F29908" s="21"/>
      <c r="G29908" s="16"/>
    </row>
    <row r="29909" spans="4:7" ht="15" x14ac:dyDescent="0.3">
      <c r="D29909" s="25"/>
      <c r="F29909" s="21"/>
      <c r="G29909" s="16"/>
    </row>
    <row r="29910" spans="4:7" ht="15" x14ac:dyDescent="0.3">
      <c r="D29910" s="25"/>
      <c r="F29910" s="21"/>
      <c r="G29910" s="16"/>
    </row>
    <row r="29911" spans="4:7" ht="15" x14ac:dyDescent="0.3">
      <c r="D29911" s="25"/>
      <c r="F29911" s="21"/>
      <c r="G29911" s="16"/>
    </row>
    <row r="29912" spans="4:7" ht="15" x14ac:dyDescent="0.3">
      <c r="D29912" s="25"/>
      <c r="F29912" s="21"/>
      <c r="G29912" s="16"/>
    </row>
    <row r="29913" spans="4:7" ht="15" x14ac:dyDescent="0.3">
      <c r="D29913" s="25"/>
      <c r="F29913" s="21"/>
      <c r="G29913" s="16"/>
    </row>
    <row r="29914" spans="4:7" ht="15" x14ac:dyDescent="0.3">
      <c r="D29914" s="25"/>
      <c r="F29914" s="21"/>
      <c r="G29914" s="16"/>
    </row>
    <row r="29915" spans="4:7" ht="15" x14ac:dyDescent="0.3">
      <c r="D29915" s="25"/>
      <c r="F29915" s="21"/>
      <c r="G29915" s="16"/>
    </row>
    <row r="29916" spans="4:7" ht="15" x14ac:dyDescent="0.3">
      <c r="D29916" s="25"/>
      <c r="F29916" s="21"/>
      <c r="G29916" s="16"/>
    </row>
    <row r="29917" spans="4:7" ht="15" x14ac:dyDescent="0.3">
      <c r="D29917" s="25"/>
      <c r="F29917" s="21"/>
      <c r="G29917" s="16"/>
    </row>
    <row r="29918" spans="4:7" ht="15" x14ac:dyDescent="0.3">
      <c r="D29918" s="25"/>
      <c r="F29918" s="21"/>
      <c r="G29918" s="16"/>
    </row>
    <row r="29919" spans="4:7" ht="15" x14ac:dyDescent="0.3">
      <c r="D29919" s="25"/>
      <c r="F29919" s="21"/>
      <c r="G29919" s="16"/>
    </row>
    <row r="29920" spans="4:7" ht="15" x14ac:dyDescent="0.3">
      <c r="D29920" s="25"/>
      <c r="F29920" s="21"/>
      <c r="G29920" s="16"/>
    </row>
    <row r="29921" spans="4:7" ht="15" x14ac:dyDescent="0.3">
      <c r="D29921" s="25"/>
      <c r="F29921" s="21"/>
      <c r="G29921" s="16"/>
    </row>
    <row r="29922" spans="4:7" ht="15" x14ac:dyDescent="0.3">
      <c r="D29922" s="25"/>
      <c r="F29922" s="21"/>
      <c r="G29922" s="16"/>
    </row>
    <row r="29923" spans="4:7" ht="15" x14ac:dyDescent="0.3">
      <c r="D29923" s="25"/>
      <c r="F29923" s="21"/>
      <c r="G29923" s="16"/>
    </row>
    <row r="29924" spans="4:7" ht="15" x14ac:dyDescent="0.3">
      <c r="D29924" s="25"/>
      <c r="F29924" s="21"/>
      <c r="G29924" s="16"/>
    </row>
    <row r="29925" spans="4:7" ht="15" x14ac:dyDescent="0.3">
      <c r="D29925" s="25"/>
      <c r="F29925" s="21"/>
      <c r="G29925" s="16"/>
    </row>
    <row r="29926" spans="4:7" ht="15" x14ac:dyDescent="0.3">
      <c r="D29926" s="25"/>
      <c r="F29926" s="21"/>
      <c r="G29926" s="16"/>
    </row>
    <row r="29927" spans="4:7" ht="15" x14ac:dyDescent="0.3">
      <c r="D29927" s="25"/>
      <c r="F29927" s="21"/>
      <c r="G29927" s="16"/>
    </row>
    <row r="29928" spans="4:7" ht="15" x14ac:dyDescent="0.3">
      <c r="D29928" s="25"/>
      <c r="F29928" s="21"/>
      <c r="G29928" s="16"/>
    </row>
    <row r="29929" spans="4:7" ht="15" x14ac:dyDescent="0.3">
      <c r="D29929" s="25"/>
      <c r="F29929" s="21"/>
      <c r="G29929" s="16"/>
    </row>
    <row r="29930" spans="4:7" ht="15" x14ac:dyDescent="0.3">
      <c r="D29930" s="25"/>
      <c r="F29930" s="21"/>
      <c r="G29930" s="16"/>
    </row>
    <row r="29931" spans="4:7" ht="15" x14ac:dyDescent="0.3">
      <c r="D29931" s="25"/>
      <c r="F29931" s="21"/>
      <c r="G29931" s="16"/>
    </row>
    <row r="29932" spans="4:7" ht="15" x14ac:dyDescent="0.3">
      <c r="D29932" s="25"/>
      <c r="F29932" s="21"/>
      <c r="G29932" s="16"/>
    </row>
    <row r="29933" spans="4:7" ht="15" x14ac:dyDescent="0.3">
      <c r="D29933" s="25"/>
      <c r="F29933" s="21"/>
      <c r="G29933" s="16"/>
    </row>
    <row r="29934" spans="4:7" ht="15" x14ac:dyDescent="0.3">
      <c r="D29934" s="25"/>
      <c r="F29934" s="21"/>
      <c r="G29934" s="16"/>
    </row>
    <row r="29935" spans="4:7" ht="15" x14ac:dyDescent="0.3">
      <c r="D29935" s="25"/>
      <c r="F29935" s="21"/>
      <c r="G29935" s="16"/>
    </row>
    <row r="29936" spans="4:7" ht="15" x14ac:dyDescent="0.3">
      <c r="D29936" s="25"/>
      <c r="F29936" s="21"/>
      <c r="G29936" s="16"/>
    </row>
    <row r="29937" spans="4:7" ht="15" x14ac:dyDescent="0.3">
      <c r="D29937" s="25"/>
      <c r="F29937" s="21"/>
      <c r="G29937" s="16"/>
    </row>
    <row r="29938" spans="4:7" ht="15" x14ac:dyDescent="0.3">
      <c r="D29938" s="25"/>
      <c r="F29938" s="21"/>
      <c r="G29938" s="16"/>
    </row>
    <row r="29939" spans="4:7" ht="15" x14ac:dyDescent="0.3">
      <c r="D29939" s="25"/>
      <c r="F29939" s="21"/>
      <c r="G29939" s="16"/>
    </row>
    <row r="29940" spans="4:7" ht="15" x14ac:dyDescent="0.3">
      <c r="D29940" s="25"/>
      <c r="F29940" s="21"/>
      <c r="G29940" s="16"/>
    </row>
    <row r="29941" spans="4:7" ht="15" x14ac:dyDescent="0.3">
      <c r="D29941" s="25"/>
      <c r="F29941" s="21"/>
      <c r="G29941" s="16"/>
    </row>
    <row r="29942" spans="4:7" ht="15" x14ac:dyDescent="0.3">
      <c r="D29942" s="25"/>
      <c r="F29942" s="21"/>
      <c r="G29942" s="16"/>
    </row>
    <row r="29943" spans="4:7" ht="15" x14ac:dyDescent="0.3">
      <c r="D29943" s="25"/>
      <c r="F29943" s="21"/>
      <c r="G29943" s="16"/>
    </row>
    <row r="29944" spans="4:7" ht="15" x14ac:dyDescent="0.3">
      <c r="D29944" s="25"/>
      <c r="F29944" s="21"/>
      <c r="G29944" s="16"/>
    </row>
    <row r="29945" spans="4:7" ht="15" x14ac:dyDescent="0.3">
      <c r="D29945" s="25"/>
      <c r="F29945" s="21"/>
      <c r="G29945" s="16"/>
    </row>
    <row r="29946" spans="4:7" ht="15" x14ac:dyDescent="0.3">
      <c r="D29946" s="25"/>
      <c r="F29946" s="21"/>
      <c r="G29946" s="16"/>
    </row>
    <row r="29947" spans="4:7" ht="15" x14ac:dyDescent="0.3">
      <c r="D29947" s="25"/>
      <c r="F29947" s="21"/>
      <c r="G29947" s="16"/>
    </row>
    <row r="29948" spans="4:7" ht="15" x14ac:dyDescent="0.3">
      <c r="D29948" s="25"/>
      <c r="F29948" s="21"/>
      <c r="G29948" s="16"/>
    </row>
    <row r="29949" spans="4:7" ht="15" x14ac:dyDescent="0.3">
      <c r="D29949" s="25"/>
      <c r="F29949" s="21"/>
      <c r="G29949" s="16"/>
    </row>
    <row r="29950" spans="4:7" ht="15" x14ac:dyDescent="0.3">
      <c r="D29950" s="25"/>
      <c r="F29950" s="21"/>
      <c r="G29950" s="16"/>
    </row>
    <row r="29951" spans="4:7" ht="15" x14ac:dyDescent="0.3">
      <c r="D29951" s="25"/>
      <c r="F29951" s="21"/>
      <c r="G29951" s="16"/>
    </row>
    <row r="29952" spans="4:7" ht="15" x14ac:dyDescent="0.3">
      <c r="D29952" s="25"/>
      <c r="F29952" s="21"/>
      <c r="G29952" s="16"/>
    </row>
    <row r="29953" spans="4:7" ht="15" x14ac:dyDescent="0.3">
      <c r="D29953" s="25"/>
      <c r="F29953" s="21"/>
      <c r="G29953" s="16"/>
    </row>
    <row r="29954" spans="4:7" ht="15" x14ac:dyDescent="0.3">
      <c r="D29954" s="25"/>
      <c r="F29954" s="21"/>
      <c r="G29954" s="16"/>
    </row>
    <row r="29955" spans="4:7" ht="15" x14ac:dyDescent="0.3">
      <c r="D29955" s="25"/>
      <c r="F29955" s="21"/>
      <c r="G29955" s="16"/>
    </row>
    <row r="29956" spans="4:7" ht="15" x14ac:dyDescent="0.3">
      <c r="D29956" s="25"/>
      <c r="F29956" s="21"/>
      <c r="G29956" s="16"/>
    </row>
    <row r="29957" spans="4:7" ht="15" x14ac:dyDescent="0.3">
      <c r="D29957" s="25"/>
      <c r="F29957" s="21"/>
      <c r="G29957" s="16"/>
    </row>
    <row r="29958" spans="4:7" ht="15" x14ac:dyDescent="0.3">
      <c r="D29958" s="25"/>
      <c r="F29958" s="21"/>
      <c r="G29958" s="16"/>
    </row>
    <row r="29959" spans="4:7" ht="15" x14ac:dyDescent="0.3">
      <c r="D29959" s="25"/>
      <c r="F29959" s="21"/>
      <c r="G29959" s="16"/>
    </row>
    <row r="29960" spans="4:7" ht="15" x14ac:dyDescent="0.3">
      <c r="D29960" s="25"/>
      <c r="F29960" s="21"/>
      <c r="G29960" s="16"/>
    </row>
    <row r="29961" spans="4:7" ht="15" x14ac:dyDescent="0.3">
      <c r="D29961" s="25"/>
      <c r="F29961" s="21"/>
      <c r="G29961" s="16"/>
    </row>
    <row r="29962" spans="4:7" ht="15" x14ac:dyDescent="0.3">
      <c r="D29962" s="25"/>
      <c r="F29962" s="21"/>
      <c r="G29962" s="16"/>
    </row>
    <row r="29963" spans="4:7" ht="15" x14ac:dyDescent="0.3">
      <c r="D29963" s="25"/>
      <c r="F29963" s="21"/>
      <c r="G29963" s="16"/>
    </row>
    <row r="29964" spans="4:7" ht="15" x14ac:dyDescent="0.3">
      <c r="D29964" s="25"/>
      <c r="F29964" s="21"/>
      <c r="G29964" s="16"/>
    </row>
    <row r="29965" spans="4:7" ht="15" x14ac:dyDescent="0.3">
      <c r="D29965" s="25"/>
      <c r="F29965" s="21"/>
      <c r="G29965" s="16"/>
    </row>
    <row r="29966" spans="4:7" ht="15" x14ac:dyDescent="0.3">
      <c r="D29966" s="25"/>
      <c r="F29966" s="21"/>
      <c r="G29966" s="16"/>
    </row>
    <row r="29967" spans="4:7" ht="15" x14ac:dyDescent="0.3">
      <c r="D29967" s="25"/>
      <c r="F29967" s="21"/>
      <c r="G29967" s="16"/>
    </row>
    <row r="29968" spans="4:7" ht="15" x14ac:dyDescent="0.3">
      <c r="D29968" s="25"/>
      <c r="F29968" s="21"/>
      <c r="G29968" s="16"/>
    </row>
    <row r="29969" spans="4:7" ht="15" x14ac:dyDescent="0.3">
      <c r="D29969" s="25"/>
      <c r="F29969" s="21"/>
      <c r="G29969" s="16"/>
    </row>
    <row r="29970" spans="4:7" ht="15" x14ac:dyDescent="0.3">
      <c r="D29970" s="25"/>
      <c r="F29970" s="21"/>
      <c r="G29970" s="16"/>
    </row>
    <row r="29971" spans="4:7" ht="15" x14ac:dyDescent="0.3">
      <c r="D29971" s="25"/>
      <c r="F29971" s="21"/>
      <c r="G29971" s="16"/>
    </row>
    <row r="29972" spans="4:7" ht="15" x14ac:dyDescent="0.3">
      <c r="D29972" s="25"/>
      <c r="F29972" s="21"/>
      <c r="G29972" s="16"/>
    </row>
    <row r="29973" spans="4:7" ht="15" x14ac:dyDescent="0.3">
      <c r="D29973" s="25"/>
      <c r="F29973" s="21"/>
      <c r="G29973" s="16"/>
    </row>
    <row r="29974" spans="4:7" ht="15" x14ac:dyDescent="0.3">
      <c r="D29974" s="25"/>
      <c r="F29974" s="21"/>
      <c r="G29974" s="16"/>
    </row>
    <row r="29975" spans="4:7" ht="15" x14ac:dyDescent="0.3">
      <c r="D29975" s="25"/>
      <c r="F29975" s="21"/>
      <c r="G29975" s="16"/>
    </row>
    <row r="29976" spans="4:7" ht="15" x14ac:dyDescent="0.3">
      <c r="D29976" s="25"/>
      <c r="F29976" s="21"/>
      <c r="G29976" s="16"/>
    </row>
    <row r="29977" spans="4:7" x14ac:dyDescent="0.2">
      <c r="D29977" s="25"/>
      <c r="F29977" s="21"/>
    </row>
    <row r="29978" spans="4:7" ht="15" x14ac:dyDescent="0.3">
      <c r="D29978" s="25"/>
      <c r="F29978" s="21"/>
      <c r="G29978" s="16"/>
    </row>
    <row r="29979" spans="4:7" ht="15" x14ac:dyDescent="0.3">
      <c r="D29979" s="25"/>
      <c r="F29979" s="21"/>
      <c r="G29979" s="16"/>
    </row>
    <row r="29980" spans="4:7" ht="15" x14ac:dyDescent="0.3">
      <c r="D29980" s="25"/>
      <c r="F29980" s="21"/>
      <c r="G29980" s="16"/>
    </row>
    <row r="29981" spans="4:7" ht="15" x14ac:dyDescent="0.3">
      <c r="D29981" s="25"/>
      <c r="F29981" s="21"/>
      <c r="G29981" s="16"/>
    </row>
    <row r="29982" spans="4:7" ht="15" x14ac:dyDescent="0.3">
      <c r="D29982" s="25"/>
      <c r="F29982" s="21"/>
      <c r="G29982" s="16"/>
    </row>
    <row r="29983" spans="4:7" ht="15" x14ac:dyDescent="0.3">
      <c r="D29983" s="25"/>
      <c r="F29983" s="21"/>
      <c r="G29983" s="16"/>
    </row>
    <row r="29984" spans="4:7" ht="15" x14ac:dyDescent="0.3">
      <c r="D29984" s="25"/>
      <c r="F29984" s="21"/>
      <c r="G29984" s="16"/>
    </row>
    <row r="29985" spans="4:7" ht="15" x14ac:dyDescent="0.3">
      <c r="D29985" s="25"/>
      <c r="F29985" s="21"/>
      <c r="G29985" s="16"/>
    </row>
    <row r="29986" spans="4:7" ht="15" x14ac:dyDescent="0.3">
      <c r="D29986" s="25"/>
      <c r="F29986" s="21"/>
      <c r="G29986" s="16"/>
    </row>
    <row r="29987" spans="4:7" ht="15" x14ac:dyDescent="0.3">
      <c r="D29987" s="25"/>
      <c r="F29987" s="21"/>
      <c r="G29987" s="16"/>
    </row>
    <row r="29988" spans="4:7" ht="15" x14ac:dyDescent="0.3">
      <c r="D29988" s="25"/>
      <c r="F29988" s="21"/>
      <c r="G29988" s="16"/>
    </row>
    <row r="29989" spans="4:7" ht="15" x14ac:dyDescent="0.3">
      <c r="D29989" s="25"/>
      <c r="F29989" s="21"/>
      <c r="G29989" s="16"/>
    </row>
    <row r="29990" spans="4:7" ht="15" x14ac:dyDescent="0.3">
      <c r="D29990" s="25"/>
      <c r="F29990" s="21"/>
      <c r="G29990" s="16"/>
    </row>
    <row r="29991" spans="4:7" ht="15" x14ac:dyDescent="0.3">
      <c r="D29991" s="25"/>
      <c r="F29991" s="21"/>
      <c r="G29991" s="16"/>
    </row>
    <row r="29992" spans="4:7" ht="15" x14ac:dyDescent="0.3">
      <c r="D29992" s="25"/>
      <c r="F29992" s="21"/>
      <c r="G29992" s="16"/>
    </row>
    <row r="29993" spans="4:7" ht="15" x14ac:dyDescent="0.3">
      <c r="D29993" s="25"/>
      <c r="F29993" s="21"/>
      <c r="G29993" s="16"/>
    </row>
    <row r="29994" spans="4:7" ht="15" x14ac:dyDescent="0.3">
      <c r="D29994" s="25"/>
      <c r="F29994" s="21"/>
      <c r="G29994" s="16"/>
    </row>
    <row r="29995" spans="4:7" ht="15" x14ac:dyDescent="0.3">
      <c r="D29995" s="25"/>
      <c r="F29995" s="21"/>
      <c r="G29995" s="16"/>
    </row>
    <row r="29996" spans="4:7" ht="15" x14ac:dyDescent="0.3">
      <c r="D29996" s="25"/>
      <c r="F29996" s="21"/>
      <c r="G29996" s="16"/>
    </row>
    <row r="29997" spans="4:7" ht="15" x14ac:dyDescent="0.3">
      <c r="D29997" s="25"/>
      <c r="F29997" s="21"/>
      <c r="G29997" s="16"/>
    </row>
    <row r="29998" spans="4:7" ht="15" x14ac:dyDescent="0.3">
      <c r="D29998" s="25"/>
      <c r="F29998" s="21"/>
      <c r="G29998" s="16"/>
    </row>
    <row r="29999" spans="4:7" ht="15" x14ac:dyDescent="0.3">
      <c r="D29999" s="25"/>
      <c r="F29999" s="21"/>
      <c r="G29999" s="16"/>
    </row>
    <row r="30000" spans="4:7" ht="15" x14ac:dyDescent="0.3">
      <c r="D30000" s="25"/>
      <c r="F30000" s="21"/>
      <c r="G30000" s="16"/>
    </row>
    <row r="30001" spans="4:7" ht="15" x14ac:dyDescent="0.3">
      <c r="D30001" s="25"/>
      <c r="F30001" s="21"/>
      <c r="G30001" s="16"/>
    </row>
    <row r="30002" spans="4:7" ht="15" x14ac:dyDescent="0.3">
      <c r="D30002" s="25"/>
      <c r="F30002" s="21"/>
      <c r="G30002" s="16"/>
    </row>
    <row r="30003" spans="4:7" ht="15" x14ac:dyDescent="0.3">
      <c r="D30003" s="25"/>
      <c r="F30003" s="21"/>
      <c r="G30003" s="16"/>
    </row>
    <row r="30004" spans="4:7" ht="15" x14ac:dyDescent="0.3">
      <c r="D30004" s="25"/>
      <c r="F30004" s="21"/>
      <c r="G30004" s="16"/>
    </row>
    <row r="30005" spans="4:7" ht="15" x14ac:dyDescent="0.3">
      <c r="D30005" s="25"/>
      <c r="F30005" s="21"/>
      <c r="G30005" s="16"/>
    </row>
    <row r="30006" spans="4:7" ht="15" x14ac:dyDescent="0.3">
      <c r="D30006" s="25"/>
      <c r="F30006" s="21"/>
      <c r="G30006" s="16"/>
    </row>
    <row r="30007" spans="4:7" ht="15" x14ac:dyDescent="0.3">
      <c r="D30007" s="25"/>
      <c r="F30007" s="21"/>
      <c r="G30007" s="16"/>
    </row>
    <row r="30008" spans="4:7" ht="15" x14ac:dyDescent="0.3">
      <c r="D30008" s="25"/>
      <c r="F30008" s="21"/>
      <c r="G30008" s="16"/>
    </row>
    <row r="30009" spans="4:7" ht="15" x14ac:dyDescent="0.3">
      <c r="D30009" s="25"/>
      <c r="F30009" s="21"/>
      <c r="G30009" s="16"/>
    </row>
    <row r="30010" spans="4:7" ht="15" x14ac:dyDescent="0.3">
      <c r="D30010" s="25"/>
      <c r="F30010" s="21"/>
      <c r="G30010" s="16"/>
    </row>
    <row r="30011" spans="4:7" ht="15" x14ac:dyDescent="0.3">
      <c r="D30011" s="25"/>
      <c r="F30011" s="21"/>
      <c r="G30011" s="16"/>
    </row>
    <row r="30012" spans="4:7" ht="15" x14ac:dyDescent="0.3">
      <c r="D30012" s="25"/>
      <c r="F30012" s="21"/>
      <c r="G30012" s="16"/>
    </row>
    <row r="30013" spans="4:7" ht="15" x14ac:dyDescent="0.3">
      <c r="D30013" s="25"/>
      <c r="F30013" s="21"/>
      <c r="G30013" s="16"/>
    </row>
    <row r="30014" spans="4:7" ht="15" x14ac:dyDescent="0.3">
      <c r="D30014" s="25"/>
      <c r="F30014" s="21"/>
      <c r="G30014" s="16"/>
    </row>
    <row r="30015" spans="4:7" ht="15" x14ac:dyDescent="0.3">
      <c r="D30015" s="25"/>
      <c r="F30015" s="21"/>
      <c r="G30015" s="16"/>
    </row>
    <row r="30016" spans="4:7" ht="15" x14ac:dyDescent="0.3">
      <c r="D30016" s="25"/>
      <c r="F30016" s="21"/>
      <c r="G30016" s="16"/>
    </row>
    <row r="30017" spans="4:7" ht="15" x14ac:dyDescent="0.3">
      <c r="D30017" s="25"/>
      <c r="F30017" s="21"/>
      <c r="G30017" s="16"/>
    </row>
    <row r="30018" spans="4:7" ht="15" x14ac:dyDescent="0.3">
      <c r="D30018" s="25"/>
      <c r="F30018" s="21"/>
      <c r="G30018" s="16"/>
    </row>
    <row r="30019" spans="4:7" ht="15" x14ac:dyDescent="0.3">
      <c r="D30019" s="25"/>
      <c r="F30019" s="21"/>
      <c r="G30019" s="16"/>
    </row>
    <row r="30020" spans="4:7" ht="15" x14ac:dyDescent="0.3">
      <c r="D30020" s="25"/>
      <c r="F30020" s="21"/>
      <c r="G30020" s="16"/>
    </row>
    <row r="30021" spans="4:7" ht="15" x14ac:dyDescent="0.3">
      <c r="D30021" s="25"/>
      <c r="F30021" s="21"/>
      <c r="G30021" s="16"/>
    </row>
    <row r="30022" spans="4:7" ht="15" x14ac:dyDescent="0.3">
      <c r="D30022" s="25"/>
      <c r="F30022" s="21"/>
      <c r="G30022" s="16"/>
    </row>
    <row r="30023" spans="4:7" ht="15" x14ac:dyDescent="0.3">
      <c r="D30023" s="25"/>
      <c r="F30023" s="21"/>
      <c r="G30023" s="16"/>
    </row>
    <row r="30024" spans="4:7" ht="15" x14ac:dyDescent="0.3">
      <c r="D30024" s="25"/>
      <c r="F30024" s="21"/>
      <c r="G30024" s="16"/>
    </row>
    <row r="30025" spans="4:7" ht="15" x14ac:dyDescent="0.3">
      <c r="D30025" s="25"/>
      <c r="F30025" s="21"/>
      <c r="G30025" s="16"/>
    </row>
    <row r="30026" spans="4:7" ht="15" x14ac:dyDescent="0.3">
      <c r="D30026" s="25"/>
      <c r="F30026" s="21"/>
      <c r="G30026" s="16"/>
    </row>
    <row r="30027" spans="4:7" ht="15" x14ac:dyDescent="0.3">
      <c r="D30027" s="25"/>
      <c r="F30027" s="21"/>
      <c r="G30027" s="16"/>
    </row>
    <row r="30028" spans="4:7" ht="15" x14ac:dyDescent="0.3">
      <c r="D30028" s="25"/>
      <c r="F30028" s="21"/>
      <c r="G30028" s="16"/>
    </row>
    <row r="30029" spans="4:7" ht="15" x14ac:dyDescent="0.3">
      <c r="D30029" s="25"/>
      <c r="F30029" s="21"/>
      <c r="G30029" s="16"/>
    </row>
    <row r="30030" spans="4:7" ht="15" x14ac:dyDescent="0.3">
      <c r="D30030" s="25"/>
      <c r="F30030" s="21"/>
      <c r="G30030" s="16"/>
    </row>
    <row r="30031" spans="4:7" ht="15" x14ac:dyDescent="0.3">
      <c r="D30031" s="25"/>
      <c r="F30031" s="21"/>
      <c r="G30031" s="16"/>
    </row>
    <row r="30032" spans="4:7" ht="15" x14ac:dyDescent="0.3">
      <c r="D30032" s="25"/>
      <c r="F30032" s="21"/>
      <c r="G30032" s="16"/>
    </row>
    <row r="30033" spans="4:7" ht="15" x14ac:dyDescent="0.3">
      <c r="D30033" s="25"/>
      <c r="F30033" s="21"/>
      <c r="G30033" s="16"/>
    </row>
    <row r="30034" spans="4:7" ht="15" x14ac:dyDescent="0.3">
      <c r="D30034" s="25"/>
      <c r="F30034" s="21"/>
      <c r="G30034" s="16"/>
    </row>
    <row r="30035" spans="4:7" ht="15" x14ac:dyDescent="0.3">
      <c r="D30035" s="25"/>
      <c r="F30035" s="21"/>
      <c r="G30035" s="16"/>
    </row>
    <row r="30036" spans="4:7" ht="15" x14ac:dyDescent="0.3">
      <c r="D30036" s="25"/>
      <c r="F30036" s="21"/>
      <c r="G30036" s="16"/>
    </row>
    <row r="30037" spans="4:7" ht="15" x14ac:dyDescent="0.3">
      <c r="D30037" s="25"/>
      <c r="F30037" s="21"/>
      <c r="G30037" s="16"/>
    </row>
    <row r="30038" spans="4:7" ht="15" x14ac:dyDescent="0.3">
      <c r="D30038" s="25"/>
      <c r="F30038" s="21"/>
      <c r="G30038" s="16"/>
    </row>
    <row r="30039" spans="4:7" ht="15" x14ac:dyDescent="0.3">
      <c r="D30039" s="25"/>
      <c r="F30039" s="21"/>
      <c r="G30039" s="16"/>
    </row>
    <row r="30040" spans="4:7" ht="15" x14ac:dyDescent="0.3">
      <c r="D30040" s="25"/>
      <c r="F30040" s="21"/>
      <c r="G30040" s="16"/>
    </row>
    <row r="30041" spans="4:7" ht="15" x14ac:dyDescent="0.3">
      <c r="D30041" s="25"/>
      <c r="F30041" s="21"/>
      <c r="G30041" s="16"/>
    </row>
    <row r="30042" spans="4:7" ht="15" x14ac:dyDescent="0.3">
      <c r="D30042" s="25"/>
      <c r="F30042" s="21"/>
      <c r="G30042" s="16"/>
    </row>
    <row r="30043" spans="4:7" ht="15" x14ac:dyDescent="0.3">
      <c r="D30043" s="25"/>
      <c r="F30043" s="21"/>
      <c r="G30043" s="16"/>
    </row>
    <row r="30044" spans="4:7" ht="15" x14ac:dyDescent="0.3">
      <c r="D30044" s="25"/>
      <c r="F30044" s="21"/>
      <c r="G30044" s="16"/>
    </row>
    <row r="30045" spans="4:7" ht="15" x14ac:dyDescent="0.3">
      <c r="D30045" s="25"/>
      <c r="F30045" s="21"/>
      <c r="G30045" s="16"/>
    </row>
    <row r="30046" spans="4:7" ht="15" x14ac:dyDescent="0.3">
      <c r="D30046" s="25"/>
      <c r="F30046" s="21"/>
      <c r="G30046" s="16"/>
    </row>
    <row r="30047" spans="4:7" ht="15" x14ac:dyDescent="0.3">
      <c r="D30047" s="25"/>
      <c r="F30047" s="21"/>
      <c r="G30047" s="16"/>
    </row>
    <row r="30048" spans="4:7" ht="15" x14ac:dyDescent="0.3">
      <c r="D30048" s="25"/>
      <c r="F30048" s="21"/>
      <c r="G30048" s="16"/>
    </row>
    <row r="30049" spans="4:7" ht="15" x14ac:dyDescent="0.3">
      <c r="D30049" s="25"/>
      <c r="F30049" s="21"/>
      <c r="G30049" s="16"/>
    </row>
    <row r="30050" spans="4:7" ht="15" x14ac:dyDescent="0.3">
      <c r="D30050" s="25"/>
      <c r="F30050" s="21"/>
      <c r="G30050" s="16"/>
    </row>
    <row r="30051" spans="4:7" ht="15" x14ac:dyDescent="0.3">
      <c r="D30051" s="25"/>
      <c r="F30051" s="21"/>
      <c r="G30051" s="16"/>
    </row>
    <row r="30052" spans="4:7" ht="15" x14ac:dyDescent="0.3">
      <c r="D30052" s="25"/>
      <c r="F30052" s="21"/>
      <c r="G30052" s="16"/>
    </row>
    <row r="30053" spans="4:7" ht="15" x14ac:dyDescent="0.3">
      <c r="D30053" s="25"/>
      <c r="F30053" s="21"/>
      <c r="G30053" s="16"/>
    </row>
    <row r="30054" spans="4:7" ht="15" x14ac:dyDescent="0.3">
      <c r="D30054" s="25"/>
      <c r="F30054" s="21"/>
      <c r="G30054" s="16"/>
    </row>
    <row r="30055" spans="4:7" ht="15" x14ac:dyDescent="0.3">
      <c r="D30055" s="25"/>
      <c r="F30055" s="21"/>
      <c r="G30055" s="16"/>
    </row>
    <row r="30056" spans="4:7" ht="15" x14ac:dyDescent="0.3">
      <c r="D30056" s="25"/>
      <c r="F30056" s="21"/>
      <c r="G30056" s="16"/>
    </row>
    <row r="30057" spans="4:7" ht="15" x14ac:dyDescent="0.3">
      <c r="D30057" s="25"/>
      <c r="F30057" s="21"/>
      <c r="G30057" s="16"/>
    </row>
    <row r="30058" spans="4:7" ht="15" x14ac:dyDescent="0.3">
      <c r="D30058" s="25"/>
      <c r="F30058" s="21"/>
      <c r="G30058" s="16"/>
    </row>
    <row r="30059" spans="4:7" ht="15" x14ac:dyDescent="0.3">
      <c r="D30059" s="25"/>
      <c r="F30059" s="21"/>
      <c r="G30059" s="16"/>
    </row>
    <row r="30060" spans="4:7" ht="15" x14ac:dyDescent="0.3">
      <c r="D30060" s="25"/>
      <c r="F30060" s="21"/>
      <c r="G30060" s="16"/>
    </row>
    <row r="30061" spans="4:7" ht="15" x14ac:dyDescent="0.3">
      <c r="D30061" s="25"/>
      <c r="F30061" s="21"/>
      <c r="G30061" s="16"/>
    </row>
    <row r="30062" spans="4:7" ht="15" x14ac:dyDescent="0.3">
      <c r="D30062" s="25"/>
      <c r="F30062" s="21"/>
      <c r="G30062" s="16"/>
    </row>
    <row r="30063" spans="4:7" ht="15" x14ac:dyDescent="0.3">
      <c r="D30063" s="25"/>
      <c r="F30063" s="21"/>
      <c r="G30063" s="16"/>
    </row>
    <row r="30064" spans="4:7" ht="15" x14ac:dyDescent="0.3">
      <c r="D30064" s="25"/>
      <c r="F30064" s="21"/>
      <c r="G30064" s="16"/>
    </row>
    <row r="30065" spans="4:7" ht="15" x14ac:dyDescent="0.3">
      <c r="D30065" s="25"/>
      <c r="F30065" s="21"/>
      <c r="G30065" s="16"/>
    </row>
    <row r="30066" spans="4:7" ht="15" x14ac:dyDescent="0.3">
      <c r="D30066" s="25"/>
      <c r="F30066" s="21"/>
      <c r="G30066" s="16"/>
    </row>
    <row r="30067" spans="4:7" ht="15" x14ac:dyDescent="0.3">
      <c r="D30067" s="25"/>
      <c r="F30067" s="21"/>
      <c r="G30067" s="16"/>
    </row>
    <row r="30068" spans="4:7" ht="15" x14ac:dyDescent="0.3">
      <c r="D30068" s="25"/>
      <c r="F30068" s="21"/>
      <c r="G30068" s="16"/>
    </row>
    <row r="30069" spans="4:7" ht="15" x14ac:dyDescent="0.3">
      <c r="D30069" s="25"/>
      <c r="F30069" s="21"/>
      <c r="G30069" s="16"/>
    </row>
    <row r="30070" spans="4:7" ht="15" x14ac:dyDescent="0.3">
      <c r="D30070" s="25"/>
      <c r="F30070" s="21"/>
      <c r="G30070" s="16"/>
    </row>
    <row r="30071" spans="4:7" ht="15" x14ac:dyDescent="0.3">
      <c r="D30071" s="25"/>
      <c r="F30071" s="21"/>
      <c r="G30071" s="16"/>
    </row>
    <row r="30072" spans="4:7" ht="15" x14ac:dyDescent="0.3">
      <c r="D30072" s="25"/>
      <c r="F30072" s="21"/>
      <c r="G30072" s="16"/>
    </row>
    <row r="30073" spans="4:7" ht="15" x14ac:dyDescent="0.3">
      <c r="D30073" s="25"/>
      <c r="F30073" s="21"/>
      <c r="G30073" s="16"/>
    </row>
    <row r="30074" spans="4:7" ht="15" x14ac:dyDescent="0.3">
      <c r="D30074" s="25"/>
      <c r="F30074" s="21"/>
      <c r="G30074" s="16"/>
    </row>
    <row r="30075" spans="4:7" ht="15" x14ac:dyDescent="0.3">
      <c r="D30075" s="25"/>
      <c r="F30075" s="21"/>
      <c r="G30075" s="16"/>
    </row>
    <row r="30076" spans="4:7" ht="15" x14ac:dyDescent="0.3">
      <c r="D30076" s="25"/>
      <c r="F30076" s="21"/>
      <c r="G30076" s="16"/>
    </row>
    <row r="30077" spans="4:7" ht="15" x14ac:dyDescent="0.3">
      <c r="D30077" s="25"/>
      <c r="F30077" s="21"/>
      <c r="G30077" s="16"/>
    </row>
    <row r="30078" spans="4:7" ht="15" x14ac:dyDescent="0.3">
      <c r="D30078" s="25"/>
      <c r="F30078" s="21"/>
      <c r="G30078" s="16"/>
    </row>
    <row r="30079" spans="4:7" ht="15" x14ac:dyDescent="0.3">
      <c r="D30079" s="25"/>
      <c r="F30079" s="21"/>
      <c r="G30079" s="16"/>
    </row>
    <row r="30080" spans="4:7" ht="15" x14ac:dyDescent="0.3">
      <c r="D30080" s="25"/>
      <c r="F30080" s="21"/>
      <c r="G30080" s="16"/>
    </row>
    <row r="30081" spans="4:7" ht="15" x14ac:dyDescent="0.3">
      <c r="D30081" s="25"/>
      <c r="F30081" s="21"/>
      <c r="G30081" s="16"/>
    </row>
    <row r="30082" spans="4:7" ht="15" x14ac:dyDescent="0.3">
      <c r="D30082" s="25"/>
      <c r="F30082" s="21"/>
      <c r="G30082" s="16"/>
    </row>
    <row r="30083" spans="4:7" ht="15" x14ac:dyDescent="0.3">
      <c r="D30083" s="25"/>
      <c r="F30083" s="21"/>
      <c r="G30083" s="16"/>
    </row>
    <row r="30084" spans="4:7" ht="15" x14ac:dyDescent="0.3">
      <c r="D30084" s="25"/>
      <c r="F30084" s="21"/>
      <c r="G30084" s="16"/>
    </row>
    <row r="30085" spans="4:7" ht="15" x14ac:dyDescent="0.3">
      <c r="D30085" s="25"/>
      <c r="F30085" s="21"/>
      <c r="G30085" s="16"/>
    </row>
    <row r="30086" spans="4:7" ht="15" x14ac:dyDescent="0.3">
      <c r="D30086" s="25"/>
      <c r="F30086" s="21"/>
      <c r="G30086" s="16"/>
    </row>
    <row r="30087" spans="4:7" ht="15" x14ac:dyDescent="0.3">
      <c r="D30087" s="25"/>
      <c r="F30087" s="21"/>
      <c r="G30087" s="16"/>
    </row>
    <row r="30088" spans="4:7" ht="15" x14ac:dyDescent="0.3">
      <c r="D30088" s="25"/>
      <c r="F30088" s="21"/>
      <c r="G30088" s="16"/>
    </row>
    <row r="30089" spans="4:7" ht="15" x14ac:dyDescent="0.3">
      <c r="D30089" s="25"/>
      <c r="F30089" s="21"/>
      <c r="G30089" s="16"/>
    </row>
    <row r="30090" spans="4:7" ht="15" x14ac:dyDescent="0.3">
      <c r="D30090" s="25"/>
      <c r="F30090" s="21"/>
      <c r="G30090" s="16"/>
    </row>
    <row r="30091" spans="4:7" ht="15" x14ac:dyDescent="0.3">
      <c r="D30091" s="25"/>
      <c r="F30091" s="21"/>
      <c r="G30091" s="16"/>
    </row>
    <row r="30092" spans="4:7" ht="15" x14ac:dyDescent="0.3">
      <c r="D30092" s="25"/>
      <c r="F30092" s="21"/>
      <c r="G30092" s="16"/>
    </row>
    <row r="30093" spans="4:7" ht="15" x14ac:dyDescent="0.3">
      <c r="D30093" s="25"/>
      <c r="F30093" s="21"/>
      <c r="G30093" s="16"/>
    </row>
    <row r="30094" spans="4:7" ht="15" x14ac:dyDescent="0.3">
      <c r="D30094" s="25"/>
      <c r="F30094" s="21"/>
      <c r="G30094" s="16"/>
    </row>
    <row r="30095" spans="4:7" ht="15" x14ac:dyDescent="0.3">
      <c r="D30095" s="25"/>
      <c r="F30095" s="21"/>
      <c r="G30095" s="16"/>
    </row>
    <row r="30096" spans="4:7" ht="15" x14ac:dyDescent="0.3">
      <c r="D30096" s="25"/>
      <c r="F30096" s="21"/>
      <c r="G30096" s="16"/>
    </row>
    <row r="30097" spans="4:7" ht="15" x14ac:dyDescent="0.3">
      <c r="D30097" s="25"/>
      <c r="F30097" s="21"/>
      <c r="G30097" s="16"/>
    </row>
    <row r="30098" spans="4:7" ht="15" x14ac:dyDescent="0.3">
      <c r="D30098" s="25"/>
      <c r="F30098" s="21"/>
      <c r="G30098" s="16"/>
    </row>
    <row r="30099" spans="4:7" ht="15" x14ac:dyDescent="0.3">
      <c r="D30099" s="25"/>
      <c r="F30099" s="21"/>
      <c r="G30099" s="16"/>
    </row>
    <row r="30100" spans="4:7" ht="15" x14ac:dyDescent="0.3">
      <c r="D30100" s="25"/>
      <c r="F30100" s="21"/>
      <c r="G30100" s="16"/>
    </row>
    <row r="30101" spans="4:7" ht="15" x14ac:dyDescent="0.3">
      <c r="D30101" s="25"/>
      <c r="F30101" s="21"/>
      <c r="G30101" s="16"/>
    </row>
    <row r="30102" spans="4:7" ht="15" x14ac:dyDescent="0.3">
      <c r="D30102" s="25"/>
      <c r="F30102" s="21"/>
      <c r="G30102" s="16"/>
    </row>
    <row r="30103" spans="4:7" ht="15" x14ac:dyDescent="0.3">
      <c r="D30103" s="25"/>
      <c r="F30103" s="21"/>
      <c r="G30103" s="16"/>
    </row>
    <row r="30104" spans="4:7" ht="15" x14ac:dyDescent="0.3">
      <c r="D30104" s="25"/>
      <c r="F30104" s="21"/>
      <c r="G30104" s="16"/>
    </row>
    <row r="30105" spans="4:7" ht="15" x14ac:dyDescent="0.3">
      <c r="D30105" s="25"/>
      <c r="F30105" s="21"/>
      <c r="G30105" s="16"/>
    </row>
    <row r="30106" spans="4:7" ht="15" x14ac:dyDescent="0.3">
      <c r="D30106" s="25"/>
      <c r="F30106" s="21"/>
      <c r="G30106" s="16"/>
    </row>
    <row r="30107" spans="4:7" ht="15" x14ac:dyDescent="0.3">
      <c r="D30107" s="25"/>
      <c r="F30107" s="21"/>
      <c r="G30107" s="16"/>
    </row>
    <row r="30108" spans="4:7" ht="15" x14ac:dyDescent="0.3">
      <c r="D30108" s="25"/>
      <c r="F30108" s="21"/>
      <c r="G30108" s="16"/>
    </row>
    <row r="30109" spans="4:7" ht="15" x14ac:dyDescent="0.3">
      <c r="D30109" s="25"/>
      <c r="F30109" s="21"/>
      <c r="G30109" s="16"/>
    </row>
    <row r="30110" spans="4:7" ht="15" x14ac:dyDescent="0.3">
      <c r="D30110" s="25"/>
      <c r="F30110" s="21"/>
      <c r="G30110" s="16"/>
    </row>
    <row r="30111" spans="4:7" ht="15" x14ac:dyDescent="0.3">
      <c r="D30111" s="25"/>
      <c r="F30111" s="21"/>
      <c r="G30111" s="16"/>
    </row>
    <row r="30112" spans="4:7" ht="15" x14ac:dyDescent="0.3">
      <c r="D30112" s="25"/>
      <c r="F30112" s="21"/>
      <c r="G30112" s="16"/>
    </row>
    <row r="30113" spans="4:7" ht="15" x14ac:dyDescent="0.3">
      <c r="D30113" s="25"/>
      <c r="F30113" s="21"/>
      <c r="G30113" s="16"/>
    </row>
    <row r="30114" spans="4:7" ht="15" x14ac:dyDescent="0.3">
      <c r="D30114" s="25"/>
      <c r="F30114" s="21"/>
      <c r="G30114" s="16"/>
    </row>
    <row r="30115" spans="4:7" ht="15" x14ac:dyDescent="0.3">
      <c r="D30115" s="25"/>
      <c r="F30115" s="21"/>
      <c r="G30115" s="16"/>
    </row>
    <row r="30116" spans="4:7" ht="15" x14ac:dyDescent="0.3">
      <c r="D30116" s="25"/>
      <c r="F30116" s="21"/>
      <c r="G30116" s="16"/>
    </row>
    <row r="30117" spans="4:7" ht="15" x14ac:dyDescent="0.3">
      <c r="D30117" s="25"/>
      <c r="F30117" s="21"/>
      <c r="G30117" s="16"/>
    </row>
    <row r="30118" spans="4:7" ht="15" x14ac:dyDescent="0.3">
      <c r="D30118" s="25"/>
      <c r="F30118" s="21"/>
      <c r="G30118" s="16"/>
    </row>
    <row r="30119" spans="4:7" ht="15" x14ac:dyDescent="0.3">
      <c r="D30119" s="25"/>
      <c r="F30119" s="21"/>
      <c r="G30119" s="16"/>
    </row>
    <row r="30120" spans="4:7" ht="15" x14ac:dyDescent="0.3">
      <c r="D30120" s="25"/>
      <c r="F30120" s="21"/>
      <c r="G30120" s="16"/>
    </row>
    <row r="30121" spans="4:7" ht="15" x14ac:dyDescent="0.3">
      <c r="D30121" s="25"/>
      <c r="F30121" s="21"/>
      <c r="G30121" s="16"/>
    </row>
    <row r="30122" spans="4:7" ht="15" x14ac:dyDescent="0.3">
      <c r="D30122" s="25"/>
      <c r="F30122" s="21"/>
      <c r="G30122" s="16"/>
    </row>
    <row r="30123" spans="4:7" ht="15" x14ac:dyDescent="0.3">
      <c r="D30123" s="25"/>
      <c r="F30123" s="21"/>
      <c r="G30123" s="16"/>
    </row>
    <row r="30124" spans="4:7" ht="15" x14ac:dyDescent="0.3">
      <c r="D30124" s="25"/>
      <c r="F30124" s="21"/>
      <c r="G30124" s="16"/>
    </row>
    <row r="30125" spans="4:7" ht="15" x14ac:dyDescent="0.3">
      <c r="D30125" s="25"/>
      <c r="F30125" s="21"/>
      <c r="G30125" s="16"/>
    </row>
    <row r="30126" spans="4:7" ht="15" x14ac:dyDescent="0.3">
      <c r="D30126" s="25"/>
      <c r="F30126" s="21"/>
      <c r="G30126" s="16"/>
    </row>
    <row r="30127" spans="4:7" ht="15" x14ac:dyDescent="0.3">
      <c r="D30127" s="25"/>
      <c r="F30127" s="21"/>
      <c r="G30127" s="16"/>
    </row>
    <row r="30128" spans="4:7" ht="15" x14ac:dyDescent="0.3">
      <c r="D30128" s="25"/>
      <c r="F30128" s="21"/>
      <c r="G30128" s="16"/>
    </row>
    <row r="30129" spans="4:7" ht="15" x14ac:dyDescent="0.3">
      <c r="D30129" s="25"/>
      <c r="F30129" s="21"/>
      <c r="G30129" s="16"/>
    </row>
    <row r="30130" spans="4:7" ht="15" x14ac:dyDescent="0.3">
      <c r="D30130" s="25"/>
      <c r="F30130" s="21"/>
      <c r="G30130" s="16"/>
    </row>
    <row r="30131" spans="4:7" ht="15" x14ac:dyDescent="0.3">
      <c r="D30131" s="25"/>
      <c r="F30131" s="21"/>
      <c r="G30131" s="16"/>
    </row>
    <row r="30132" spans="4:7" ht="15" x14ac:dyDescent="0.3">
      <c r="D30132" s="25"/>
      <c r="F30132" s="21"/>
      <c r="G30132" s="16"/>
    </row>
    <row r="30133" spans="4:7" ht="15" x14ac:dyDescent="0.3">
      <c r="D30133" s="25"/>
      <c r="F30133" s="21"/>
      <c r="G30133" s="16"/>
    </row>
    <row r="30134" spans="4:7" ht="15" x14ac:dyDescent="0.3">
      <c r="D30134" s="25"/>
      <c r="F30134" s="21"/>
      <c r="G30134" s="16"/>
    </row>
    <row r="30135" spans="4:7" ht="15" x14ac:dyDescent="0.3">
      <c r="D30135" s="25"/>
      <c r="F30135" s="21"/>
      <c r="G30135" s="16"/>
    </row>
    <row r="30136" spans="4:7" ht="15" x14ac:dyDescent="0.3">
      <c r="D30136" s="25"/>
      <c r="F30136" s="21"/>
      <c r="G30136" s="16"/>
    </row>
    <row r="30137" spans="4:7" ht="15" x14ac:dyDescent="0.3">
      <c r="D30137" s="25"/>
      <c r="F30137" s="21"/>
      <c r="G30137" s="16"/>
    </row>
    <row r="30138" spans="4:7" ht="15" x14ac:dyDescent="0.3">
      <c r="D30138" s="25"/>
      <c r="F30138" s="21"/>
      <c r="G30138" s="16"/>
    </row>
    <row r="30139" spans="4:7" ht="15" x14ac:dyDescent="0.3">
      <c r="D30139" s="25"/>
      <c r="F30139" s="21"/>
      <c r="G30139" s="16"/>
    </row>
    <row r="30140" spans="4:7" ht="15" x14ac:dyDescent="0.3">
      <c r="D30140" s="25"/>
      <c r="F30140" s="21"/>
      <c r="G30140" s="16"/>
    </row>
    <row r="30141" spans="4:7" ht="15" x14ac:dyDescent="0.3">
      <c r="D30141" s="25"/>
      <c r="F30141" s="21"/>
      <c r="G30141" s="16"/>
    </row>
    <row r="30142" spans="4:7" ht="15" x14ac:dyDescent="0.3">
      <c r="D30142" s="25"/>
      <c r="F30142" s="21"/>
      <c r="G30142" s="16"/>
    </row>
    <row r="30143" spans="4:7" ht="15" x14ac:dyDescent="0.3">
      <c r="D30143" s="25"/>
      <c r="F30143" s="21"/>
      <c r="G30143" s="16"/>
    </row>
    <row r="30144" spans="4:7" ht="15" x14ac:dyDescent="0.3">
      <c r="D30144" s="25"/>
      <c r="F30144" s="21"/>
      <c r="G30144" s="16"/>
    </row>
    <row r="30145" spans="4:7" ht="15" x14ac:dyDescent="0.3">
      <c r="D30145" s="25"/>
      <c r="F30145" s="21"/>
      <c r="G30145" s="16"/>
    </row>
    <row r="30146" spans="4:7" ht="15" x14ac:dyDescent="0.3">
      <c r="D30146" s="25"/>
      <c r="F30146" s="21"/>
      <c r="G30146" s="16"/>
    </row>
    <row r="30147" spans="4:7" ht="15" x14ac:dyDescent="0.3">
      <c r="D30147" s="25"/>
      <c r="F30147" s="21"/>
      <c r="G30147" s="16"/>
    </row>
    <row r="30148" spans="4:7" ht="15" x14ac:dyDescent="0.3">
      <c r="D30148" s="25"/>
      <c r="F30148" s="21"/>
      <c r="G30148" s="16"/>
    </row>
    <row r="30149" spans="4:7" ht="15" x14ac:dyDescent="0.3">
      <c r="D30149" s="25"/>
      <c r="F30149" s="21"/>
      <c r="G30149" s="16"/>
    </row>
    <row r="30150" spans="4:7" ht="15" x14ac:dyDescent="0.3">
      <c r="D30150" s="25"/>
      <c r="F30150" s="21"/>
      <c r="G30150" s="16"/>
    </row>
    <row r="30151" spans="4:7" ht="15" x14ac:dyDescent="0.3">
      <c r="D30151" s="25"/>
      <c r="F30151" s="21"/>
      <c r="G30151" s="16"/>
    </row>
    <row r="30152" spans="4:7" ht="15" x14ac:dyDescent="0.3">
      <c r="D30152" s="25"/>
      <c r="F30152" s="21"/>
      <c r="G30152" s="16"/>
    </row>
    <row r="30153" spans="4:7" ht="15" x14ac:dyDescent="0.3">
      <c r="D30153" s="25"/>
      <c r="F30153" s="21"/>
      <c r="G30153" s="16"/>
    </row>
    <row r="30154" spans="4:7" ht="15" x14ac:dyDescent="0.3">
      <c r="D30154" s="25"/>
      <c r="F30154" s="21"/>
      <c r="G30154" s="16"/>
    </row>
    <row r="30155" spans="4:7" ht="15" x14ac:dyDescent="0.3">
      <c r="D30155" s="25"/>
      <c r="F30155" s="21"/>
      <c r="G30155" s="16"/>
    </row>
    <row r="30156" spans="4:7" ht="15" x14ac:dyDescent="0.3">
      <c r="D30156" s="25"/>
      <c r="F30156" s="21"/>
      <c r="G30156" s="16"/>
    </row>
    <row r="30157" spans="4:7" ht="15" x14ac:dyDescent="0.3">
      <c r="D30157" s="25"/>
      <c r="F30157" s="21"/>
      <c r="G30157" s="16"/>
    </row>
    <row r="30158" spans="4:7" ht="15" x14ac:dyDescent="0.3">
      <c r="D30158" s="25"/>
      <c r="F30158" s="21"/>
      <c r="G30158" s="16"/>
    </row>
    <row r="30159" spans="4:7" ht="15" x14ac:dyDescent="0.3">
      <c r="D30159" s="25"/>
      <c r="F30159" s="21"/>
      <c r="G30159" s="16"/>
    </row>
    <row r="30160" spans="4:7" ht="15" x14ac:dyDescent="0.3">
      <c r="D30160" s="25"/>
      <c r="F30160" s="21"/>
      <c r="G30160" s="16"/>
    </row>
    <row r="30161" spans="4:7" ht="15" x14ac:dyDescent="0.3">
      <c r="D30161" s="25"/>
      <c r="F30161" s="21"/>
      <c r="G30161" s="16"/>
    </row>
    <row r="30162" spans="4:7" ht="15" x14ac:dyDescent="0.3">
      <c r="D30162" s="25"/>
      <c r="F30162" s="21"/>
      <c r="G30162" s="16"/>
    </row>
    <row r="30163" spans="4:7" ht="15" x14ac:dyDescent="0.3">
      <c r="D30163" s="25"/>
      <c r="F30163" s="21"/>
      <c r="G30163" s="16"/>
    </row>
    <row r="30164" spans="4:7" ht="15" x14ac:dyDescent="0.3">
      <c r="D30164" s="25"/>
      <c r="F30164" s="21"/>
      <c r="G30164" s="16"/>
    </row>
    <row r="30165" spans="4:7" ht="15" x14ac:dyDescent="0.3">
      <c r="D30165" s="25"/>
      <c r="F30165" s="21"/>
      <c r="G30165" s="16"/>
    </row>
    <row r="30166" spans="4:7" ht="15" x14ac:dyDescent="0.3">
      <c r="D30166" s="25"/>
      <c r="F30166" s="21"/>
      <c r="G30166" s="16"/>
    </row>
    <row r="30167" spans="4:7" ht="15" x14ac:dyDescent="0.3">
      <c r="D30167" s="25"/>
      <c r="F30167" s="21"/>
      <c r="G30167" s="16"/>
    </row>
    <row r="30168" spans="4:7" ht="15" x14ac:dyDescent="0.3">
      <c r="D30168" s="25"/>
      <c r="F30168" s="21"/>
      <c r="G30168" s="16"/>
    </row>
    <row r="30169" spans="4:7" ht="15" x14ac:dyDescent="0.3">
      <c r="D30169" s="25"/>
      <c r="F30169" s="21"/>
      <c r="G30169" s="16"/>
    </row>
    <row r="30170" spans="4:7" ht="15" x14ac:dyDescent="0.3">
      <c r="D30170" s="25"/>
      <c r="F30170" s="21"/>
      <c r="G30170" s="16"/>
    </row>
    <row r="30171" spans="4:7" ht="15" x14ac:dyDescent="0.3">
      <c r="D30171" s="25"/>
      <c r="F30171" s="21"/>
      <c r="G30171" s="16"/>
    </row>
    <row r="30172" spans="4:7" ht="15" x14ac:dyDescent="0.3">
      <c r="D30172" s="25"/>
      <c r="F30172" s="21"/>
      <c r="G30172" s="16"/>
    </row>
    <row r="30173" spans="4:7" ht="15" x14ac:dyDescent="0.3">
      <c r="D30173" s="25"/>
      <c r="F30173" s="21"/>
      <c r="G30173" s="16"/>
    </row>
    <row r="30174" spans="4:7" ht="15" x14ac:dyDescent="0.3">
      <c r="D30174" s="25"/>
      <c r="F30174" s="21"/>
      <c r="G30174" s="16"/>
    </row>
    <row r="30175" spans="4:7" ht="15" x14ac:dyDescent="0.3">
      <c r="D30175" s="25"/>
      <c r="F30175" s="21"/>
      <c r="G30175" s="16"/>
    </row>
    <row r="30176" spans="4:7" ht="15" x14ac:dyDescent="0.3">
      <c r="D30176" s="25"/>
      <c r="F30176" s="21"/>
      <c r="G30176" s="16"/>
    </row>
    <row r="30177" spans="4:7" ht="15" x14ac:dyDescent="0.3">
      <c r="D30177" s="25"/>
      <c r="F30177" s="21"/>
      <c r="G30177" s="16"/>
    </row>
    <row r="30178" spans="4:7" ht="15" x14ac:dyDescent="0.3">
      <c r="D30178" s="25"/>
      <c r="F30178" s="21"/>
      <c r="G30178" s="16"/>
    </row>
    <row r="30179" spans="4:7" ht="15" x14ac:dyDescent="0.3">
      <c r="D30179" s="25"/>
      <c r="F30179" s="21"/>
      <c r="G30179" s="16"/>
    </row>
    <row r="30180" spans="4:7" ht="15" x14ac:dyDescent="0.3">
      <c r="D30180" s="25"/>
      <c r="F30180" s="21"/>
      <c r="G30180" s="16"/>
    </row>
    <row r="30181" spans="4:7" ht="15" x14ac:dyDescent="0.3">
      <c r="D30181" s="25"/>
      <c r="F30181" s="21"/>
      <c r="G30181" s="16"/>
    </row>
    <row r="30182" spans="4:7" ht="15" x14ac:dyDescent="0.3">
      <c r="D30182" s="25"/>
      <c r="F30182" s="21"/>
      <c r="G30182" s="16"/>
    </row>
    <row r="30183" spans="4:7" ht="15" x14ac:dyDescent="0.3">
      <c r="D30183" s="25"/>
      <c r="F30183" s="21"/>
      <c r="G30183" s="16"/>
    </row>
    <row r="30184" spans="4:7" ht="15" x14ac:dyDescent="0.3">
      <c r="D30184" s="25"/>
      <c r="F30184" s="21"/>
      <c r="G30184" s="16"/>
    </row>
    <row r="30185" spans="4:7" ht="15" x14ac:dyDescent="0.3">
      <c r="D30185" s="25"/>
      <c r="F30185" s="21"/>
      <c r="G30185" s="16"/>
    </row>
    <row r="30186" spans="4:7" ht="15" x14ac:dyDescent="0.3">
      <c r="D30186" s="25"/>
      <c r="F30186" s="21"/>
      <c r="G30186" s="16"/>
    </row>
    <row r="30187" spans="4:7" ht="15" x14ac:dyDescent="0.3">
      <c r="D30187" s="25"/>
      <c r="F30187" s="21"/>
      <c r="G30187" s="16"/>
    </row>
    <row r="30188" spans="4:7" ht="15" x14ac:dyDescent="0.3">
      <c r="D30188" s="25"/>
      <c r="F30188" s="21"/>
      <c r="G30188" s="16"/>
    </row>
    <row r="30189" spans="4:7" ht="15" x14ac:dyDescent="0.3">
      <c r="D30189" s="25"/>
      <c r="F30189" s="21"/>
      <c r="G30189" s="16"/>
    </row>
    <row r="30190" spans="4:7" ht="15" x14ac:dyDescent="0.3">
      <c r="D30190" s="25"/>
      <c r="F30190" s="21"/>
      <c r="G30190" s="16"/>
    </row>
    <row r="30191" spans="4:7" ht="15" x14ac:dyDescent="0.3">
      <c r="D30191" s="25"/>
      <c r="F30191" s="21"/>
      <c r="G30191" s="16"/>
    </row>
    <row r="30192" spans="4:7" ht="15" x14ac:dyDescent="0.3">
      <c r="D30192" s="25"/>
      <c r="F30192" s="21"/>
      <c r="G30192" s="16"/>
    </row>
    <row r="30193" spans="4:7" ht="15" x14ac:dyDescent="0.3">
      <c r="D30193" s="25"/>
      <c r="F30193" s="21"/>
      <c r="G30193" s="16"/>
    </row>
    <row r="30194" spans="4:7" ht="15" x14ac:dyDescent="0.3">
      <c r="D30194" s="25"/>
      <c r="F30194" s="21"/>
      <c r="G30194" s="16"/>
    </row>
    <row r="30195" spans="4:7" ht="15" x14ac:dyDescent="0.3">
      <c r="D30195" s="25"/>
      <c r="F30195" s="21"/>
      <c r="G30195" s="16"/>
    </row>
    <row r="30196" spans="4:7" ht="15" x14ac:dyDescent="0.3">
      <c r="D30196" s="25"/>
      <c r="F30196" s="21"/>
      <c r="G30196" s="16"/>
    </row>
    <row r="30197" spans="4:7" ht="15" x14ac:dyDescent="0.3">
      <c r="D30197" s="25"/>
      <c r="F30197" s="21"/>
      <c r="G30197" s="16"/>
    </row>
    <row r="30198" spans="4:7" ht="15" x14ac:dyDescent="0.3">
      <c r="D30198" s="25"/>
      <c r="F30198" s="21"/>
      <c r="G30198" s="16"/>
    </row>
    <row r="30199" spans="4:7" ht="15" x14ac:dyDescent="0.3">
      <c r="D30199" s="25"/>
      <c r="F30199" s="21"/>
      <c r="G30199" s="16"/>
    </row>
    <row r="30200" spans="4:7" ht="15" x14ac:dyDescent="0.3">
      <c r="D30200" s="25"/>
      <c r="F30200" s="21"/>
      <c r="G30200" s="16"/>
    </row>
    <row r="30201" spans="4:7" ht="15" x14ac:dyDescent="0.3">
      <c r="D30201" s="25"/>
      <c r="F30201" s="21"/>
      <c r="G30201" s="16"/>
    </row>
    <row r="30202" spans="4:7" ht="15" x14ac:dyDescent="0.3">
      <c r="D30202" s="25"/>
      <c r="F30202" s="21"/>
      <c r="G30202" s="16"/>
    </row>
    <row r="30203" spans="4:7" ht="15" x14ac:dyDescent="0.3">
      <c r="D30203" s="25"/>
      <c r="F30203" s="21"/>
      <c r="G30203" s="16"/>
    </row>
    <row r="30204" spans="4:7" ht="15" x14ac:dyDescent="0.3">
      <c r="D30204" s="25"/>
      <c r="F30204" s="21"/>
      <c r="G30204" s="16"/>
    </row>
    <row r="30205" spans="4:7" ht="15" x14ac:dyDescent="0.3">
      <c r="D30205" s="25"/>
      <c r="F30205" s="21"/>
      <c r="G30205" s="16"/>
    </row>
    <row r="30206" spans="4:7" ht="15" x14ac:dyDescent="0.3">
      <c r="D30206" s="25"/>
      <c r="F30206" s="21"/>
      <c r="G30206" s="16"/>
    </row>
    <row r="30207" spans="4:7" ht="15" x14ac:dyDescent="0.3">
      <c r="D30207" s="25"/>
      <c r="F30207" s="21"/>
      <c r="G30207" s="16"/>
    </row>
    <row r="30208" spans="4:7" ht="15" x14ac:dyDescent="0.3">
      <c r="D30208" s="25"/>
      <c r="F30208" s="21"/>
      <c r="G30208" s="16"/>
    </row>
    <row r="30209" spans="4:7" ht="15" x14ac:dyDescent="0.3">
      <c r="D30209" s="25"/>
      <c r="F30209" s="21"/>
      <c r="G30209" s="16"/>
    </row>
    <row r="30210" spans="4:7" ht="15" x14ac:dyDescent="0.3">
      <c r="D30210" s="25"/>
      <c r="F30210" s="21"/>
      <c r="G30210" s="16"/>
    </row>
    <row r="30211" spans="4:7" ht="15" x14ac:dyDescent="0.3">
      <c r="D30211" s="25"/>
      <c r="F30211" s="21"/>
      <c r="G30211" s="16"/>
    </row>
    <row r="30212" spans="4:7" ht="15" x14ac:dyDescent="0.3">
      <c r="D30212" s="25"/>
      <c r="F30212" s="21"/>
      <c r="G30212" s="16"/>
    </row>
    <row r="30213" spans="4:7" ht="15" x14ac:dyDescent="0.3">
      <c r="D30213" s="25"/>
      <c r="F30213" s="21"/>
      <c r="G30213" s="16"/>
    </row>
    <row r="30214" spans="4:7" ht="15" x14ac:dyDescent="0.3">
      <c r="D30214" s="25"/>
      <c r="F30214" s="21"/>
      <c r="G30214" s="16"/>
    </row>
    <row r="30215" spans="4:7" ht="15" x14ac:dyDescent="0.3">
      <c r="D30215" s="25"/>
      <c r="F30215" s="21"/>
      <c r="G30215" s="16"/>
    </row>
    <row r="30216" spans="4:7" ht="15" x14ac:dyDescent="0.3">
      <c r="D30216" s="25"/>
      <c r="F30216" s="21"/>
      <c r="G30216" s="16"/>
    </row>
    <row r="30217" spans="4:7" ht="15" x14ac:dyDescent="0.3">
      <c r="D30217" s="25"/>
      <c r="F30217" s="21"/>
      <c r="G30217" s="16"/>
    </row>
    <row r="30218" spans="4:7" ht="15" x14ac:dyDescent="0.3">
      <c r="D30218" s="25"/>
      <c r="F30218" s="21"/>
      <c r="G30218" s="16"/>
    </row>
    <row r="30219" spans="4:7" ht="15" x14ac:dyDescent="0.3">
      <c r="D30219" s="25"/>
      <c r="F30219" s="21"/>
      <c r="G30219" s="16"/>
    </row>
    <row r="30220" spans="4:7" ht="15" x14ac:dyDescent="0.3">
      <c r="D30220" s="25"/>
      <c r="F30220" s="21"/>
      <c r="G30220" s="16"/>
    </row>
    <row r="30221" spans="4:7" ht="15" x14ac:dyDescent="0.3">
      <c r="D30221" s="25"/>
      <c r="F30221" s="21"/>
      <c r="G30221" s="16"/>
    </row>
    <row r="30222" spans="4:7" ht="15" x14ac:dyDescent="0.3">
      <c r="D30222" s="25"/>
      <c r="F30222" s="21"/>
      <c r="G30222" s="16"/>
    </row>
    <row r="30223" spans="4:7" ht="15" x14ac:dyDescent="0.3">
      <c r="D30223" s="25"/>
      <c r="F30223" s="21"/>
      <c r="G30223" s="16"/>
    </row>
    <row r="30224" spans="4:7" ht="15" x14ac:dyDescent="0.3">
      <c r="D30224" s="25"/>
      <c r="F30224" s="21"/>
      <c r="G30224" s="16"/>
    </row>
    <row r="30225" spans="4:7" ht="15" x14ac:dyDescent="0.3">
      <c r="D30225" s="25"/>
      <c r="F30225" s="21"/>
      <c r="G30225" s="16"/>
    </row>
    <row r="30226" spans="4:7" ht="15" x14ac:dyDescent="0.3">
      <c r="D30226" s="25"/>
      <c r="F30226" s="21"/>
      <c r="G30226" s="16"/>
    </row>
    <row r="30227" spans="4:7" ht="15" x14ac:dyDescent="0.3">
      <c r="D30227" s="25"/>
      <c r="F30227" s="21"/>
      <c r="G30227" s="16"/>
    </row>
    <row r="30228" spans="4:7" ht="15" x14ac:dyDescent="0.3">
      <c r="D30228" s="25"/>
      <c r="F30228" s="21"/>
      <c r="G30228" s="16"/>
    </row>
    <row r="30229" spans="4:7" ht="15" x14ac:dyDescent="0.3">
      <c r="D30229" s="25"/>
      <c r="F30229" s="21"/>
      <c r="G30229" s="16"/>
    </row>
    <row r="30230" spans="4:7" ht="15" x14ac:dyDescent="0.3">
      <c r="D30230" s="25"/>
      <c r="F30230" s="21"/>
      <c r="G30230" s="16"/>
    </row>
    <row r="30231" spans="4:7" ht="15" x14ac:dyDescent="0.3">
      <c r="D30231" s="25"/>
      <c r="F30231" s="21"/>
      <c r="G30231" s="16"/>
    </row>
    <row r="30232" spans="4:7" ht="15" x14ac:dyDescent="0.3">
      <c r="D30232" s="25"/>
      <c r="F30232" s="21"/>
      <c r="G30232" s="16"/>
    </row>
    <row r="30233" spans="4:7" ht="15" x14ac:dyDescent="0.3">
      <c r="D30233" s="25"/>
      <c r="F30233" s="21"/>
      <c r="G30233" s="16"/>
    </row>
    <row r="30234" spans="4:7" ht="15" x14ac:dyDescent="0.3">
      <c r="D30234" s="25"/>
      <c r="F30234" s="21"/>
      <c r="G30234" s="16"/>
    </row>
    <row r="30235" spans="4:7" ht="15" x14ac:dyDescent="0.3">
      <c r="D30235" s="25"/>
      <c r="F30235" s="21"/>
      <c r="G30235" s="16"/>
    </row>
    <row r="30236" spans="4:7" ht="15" x14ac:dyDescent="0.3">
      <c r="D30236" s="25"/>
      <c r="F30236" s="21"/>
      <c r="G30236" s="16"/>
    </row>
    <row r="30237" spans="4:7" ht="15" x14ac:dyDescent="0.3">
      <c r="D30237" s="25"/>
      <c r="F30237" s="21"/>
      <c r="G30237" s="16"/>
    </row>
    <row r="30238" spans="4:7" ht="15" x14ac:dyDescent="0.3">
      <c r="D30238" s="25"/>
      <c r="F30238" s="21"/>
      <c r="G30238" s="16"/>
    </row>
    <row r="30239" spans="4:7" ht="15" x14ac:dyDescent="0.3">
      <c r="D30239" s="25"/>
      <c r="F30239" s="21"/>
      <c r="G30239" s="16"/>
    </row>
    <row r="30240" spans="4:7" ht="15" x14ac:dyDescent="0.3">
      <c r="D30240" s="25"/>
      <c r="F30240" s="21"/>
      <c r="G30240" s="16"/>
    </row>
    <row r="30241" spans="4:7" ht="15" x14ac:dyDescent="0.3">
      <c r="D30241" s="25"/>
      <c r="F30241" s="21"/>
      <c r="G30241" s="16"/>
    </row>
    <row r="30242" spans="4:7" ht="15" x14ac:dyDescent="0.3">
      <c r="D30242" s="25"/>
      <c r="F30242" s="21"/>
      <c r="G30242" s="16"/>
    </row>
    <row r="30243" spans="4:7" ht="15" x14ac:dyDescent="0.3">
      <c r="D30243" s="25"/>
      <c r="F30243" s="21"/>
      <c r="G30243" s="16"/>
    </row>
    <row r="30244" spans="4:7" ht="15" x14ac:dyDescent="0.3">
      <c r="D30244" s="25"/>
      <c r="F30244" s="21"/>
      <c r="G30244" s="16"/>
    </row>
    <row r="30245" spans="4:7" ht="15" x14ac:dyDescent="0.3">
      <c r="D30245" s="25"/>
      <c r="F30245" s="21"/>
      <c r="G30245" s="16"/>
    </row>
    <row r="30246" spans="4:7" ht="15" x14ac:dyDescent="0.3">
      <c r="D30246" s="25"/>
      <c r="F30246" s="21"/>
      <c r="G30246" s="16"/>
    </row>
    <row r="30247" spans="4:7" ht="15" x14ac:dyDescent="0.3">
      <c r="D30247" s="25"/>
      <c r="F30247" s="21"/>
      <c r="G30247" s="16"/>
    </row>
    <row r="30248" spans="4:7" ht="15" x14ac:dyDescent="0.3">
      <c r="D30248" s="25"/>
      <c r="F30248" s="21"/>
      <c r="G30248" s="16"/>
    </row>
    <row r="30249" spans="4:7" ht="15" x14ac:dyDescent="0.3">
      <c r="D30249" s="25"/>
      <c r="F30249" s="21"/>
      <c r="G30249" s="16"/>
    </row>
    <row r="30250" spans="4:7" ht="15" x14ac:dyDescent="0.3">
      <c r="D30250" s="25"/>
      <c r="F30250" s="21"/>
      <c r="G30250" s="16"/>
    </row>
    <row r="30251" spans="4:7" ht="15" x14ac:dyDescent="0.3">
      <c r="D30251" s="25"/>
      <c r="F30251" s="21"/>
      <c r="G30251" s="16"/>
    </row>
    <row r="30252" spans="4:7" ht="15" x14ac:dyDescent="0.3">
      <c r="D30252" s="25"/>
      <c r="F30252" s="21"/>
      <c r="G30252" s="16"/>
    </row>
    <row r="30253" spans="4:7" ht="15" x14ac:dyDescent="0.3">
      <c r="D30253" s="25"/>
      <c r="F30253" s="21"/>
      <c r="G30253" s="16"/>
    </row>
    <row r="30254" spans="4:7" ht="15" x14ac:dyDescent="0.3">
      <c r="D30254" s="25"/>
      <c r="F30254" s="21"/>
      <c r="G30254" s="16"/>
    </row>
    <row r="30255" spans="4:7" ht="15" x14ac:dyDescent="0.3">
      <c r="D30255" s="25"/>
      <c r="F30255" s="21"/>
      <c r="G30255" s="16"/>
    </row>
    <row r="30256" spans="4:7" ht="15" x14ac:dyDescent="0.3">
      <c r="D30256" s="25"/>
      <c r="F30256" s="21"/>
      <c r="G30256" s="16"/>
    </row>
    <row r="30257" spans="4:7" ht="15" x14ac:dyDescent="0.3">
      <c r="D30257" s="25"/>
      <c r="F30257" s="21"/>
      <c r="G30257" s="16"/>
    </row>
    <row r="30258" spans="4:7" ht="15" x14ac:dyDescent="0.3">
      <c r="D30258" s="25"/>
      <c r="F30258" s="21"/>
      <c r="G30258" s="16"/>
    </row>
    <row r="30259" spans="4:7" ht="15" x14ac:dyDescent="0.3">
      <c r="D30259" s="25"/>
      <c r="F30259" s="21"/>
      <c r="G30259" s="16"/>
    </row>
    <row r="30260" spans="4:7" ht="15" x14ac:dyDescent="0.3">
      <c r="D30260" s="25"/>
      <c r="F30260" s="21"/>
      <c r="G30260" s="16"/>
    </row>
    <row r="30261" spans="4:7" ht="15" x14ac:dyDescent="0.3">
      <c r="D30261" s="25"/>
      <c r="F30261" s="21"/>
      <c r="G30261" s="16"/>
    </row>
    <row r="30262" spans="4:7" ht="15" x14ac:dyDescent="0.3">
      <c r="D30262" s="25"/>
      <c r="F30262" s="21"/>
      <c r="G30262" s="16"/>
    </row>
    <row r="30263" spans="4:7" ht="15" x14ac:dyDescent="0.3">
      <c r="D30263" s="25"/>
      <c r="F30263" s="21"/>
      <c r="G30263" s="16"/>
    </row>
    <row r="30264" spans="4:7" ht="15" x14ac:dyDescent="0.3">
      <c r="D30264" s="25"/>
      <c r="F30264" s="21"/>
      <c r="G30264" s="16"/>
    </row>
    <row r="30265" spans="4:7" ht="15" x14ac:dyDescent="0.3">
      <c r="D30265" s="25"/>
      <c r="F30265" s="21"/>
      <c r="G30265" s="16"/>
    </row>
    <row r="30266" spans="4:7" ht="15" x14ac:dyDescent="0.3">
      <c r="D30266" s="25"/>
      <c r="F30266" s="21"/>
      <c r="G30266" s="16"/>
    </row>
    <row r="30267" spans="4:7" ht="15" x14ac:dyDescent="0.3">
      <c r="D30267" s="25"/>
      <c r="F30267" s="21"/>
      <c r="G30267" s="16"/>
    </row>
    <row r="30268" spans="4:7" ht="15" x14ac:dyDescent="0.3">
      <c r="D30268" s="25"/>
      <c r="F30268" s="21"/>
      <c r="G30268" s="16"/>
    </row>
    <row r="30269" spans="4:7" ht="15" x14ac:dyDescent="0.3">
      <c r="D30269" s="25"/>
      <c r="F30269" s="21"/>
      <c r="G30269" s="16"/>
    </row>
    <row r="30270" spans="4:7" ht="15" x14ac:dyDescent="0.3">
      <c r="D30270" s="25"/>
      <c r="F30270" s="21"/>
      <c r="G30270" s="16"/>
    </row>
    <row r="30271" spans="4:7" ht="15" x14ac:dyDescent="0.3">
      <c r="D30271" s="25"/>
      <c r="F30271" s="21"/>
      <c r="G30271" s="16"/>
    </row>
    <row r="30272" spans="4:7" ht="15" x14ac:dyDescent="0.3">
      <c r="D30272" s="25"/>
      <c r="F30272" s="21"/>
      <c r="G30272" s="16"/>
    </row>
    <row r="30273" spans="4:7" ht="15" x14ac:dyDescent="0.3">
      <c r="D30273" s="25"/>
      <c r="F30273" s="21"/>
      <c r="G30273" s="16"/>
    </row>
    <row r="30274" spans="4:7" ht="15" x14ac:dyDescent="0.3">
      <c r="D30274" s="25"/>
      <c r="F30274" s="21"/>
      <c r="G30274" s="16"/>
    </row>
    <row r="30275" spans="4:7" ht="15" x14ac:dyDescent="0.3">
      <c r="D30275" s="25"/>
      <c r="F30275" s="21"/>
      <c r="G30275" s="16"/>
    </row>
    <row r="30276" spans="4:7" ht="15" x14ac:dyDescent="0.3">
      <c r="D30276" s="25"/>
      <c r="F30276" s="21"/>
      <c r="G30276" s="16"/>
    </row>
    <row r="30277" spans="4:7" ht="15" x14ac:dyDescent="0.3">
      <c r="D30277" s="25"/>
      <c r="F30277" s="21"/>
      <c r="G30277" s="16"/>
    </row>
    <row r="30278" spans="4:7" ht="15" x14ac:dyDescent="0.3">
      <c r="D30278" s="25"/>
      <c r="F30278" s="21"/>
      <c r="G30278" s="16"/>
    </row>
    <row r="30279" spans="4:7" ht="15" x14ac:dyDescent="0.3">
      <c r="D30279" s="25"/>
      <c r="F30279" s="21"/>
      <c r="G30279" s="16"/>
    </row>
    <row r="30280" spans="4:7" ht="15" x14ac:dyDescent="0.3">
      <c r="D30280" s="25"/>
      <c r="F30280" s="21"/>
      <c r="G30280" s="16"/>
    </row>
    <row r="30281" spans="4:7" ht="15" x14ac:dyDescent="0.3">
      <c r="D30281" s="25"/>
      <c r="F30281" s="21"/>
      <c r="G30281" s="16"/>
    </row>
    <row r="30282" spans="4:7" ht="15" x14ac:dyDescent="0.3">
      <c r="D30282" s="25"/>
      <c r="F30282" s="21"/>
      <c r="G30282" s="16"/>
    </row>
    <row r="30283" spans="4:7" ht="15" x14ac:dyDescent="0.3">
      <c r="D30283" s="25"/>
      <c r="F30283" s="21"/>
      <c r="G30283" s="16"/>
    </row>
    <row r="30284" spans="4:7" ht="15" x14ac:dyDescent="0.3">
      <c r="D30284" s="25"/>
      <c r="F30284" s="21"/>
      <c r="G30284" s="16"/>
    </row>
    <row r="30285" spans="4:7" ht="15" x14ac:dyDescent="0.3">
      <c r="D30285" s="25"/>
      <c r="F30285" s="21"/>
      <c r="G30285" s="16"/>
    </row>
    <row r="30286" spans="4:7" ht="15" x14ac:dyDescent="0.3">
      <c r="D30286" s="25"/>
      <c r="F30286" s="21"/>
      <c r="G30286" s="16"/>
    </row>
    <row r="30287" spans="4:7" ht="15" x14ac:dyDescent="0.3">
      <c r="D30287" s="25"/>
      <c r="F30287" s="21"/>
      <c r="G30287" s="16"/>
    </row>
    <row r="30288" spans="4:7" ht="15" x14ac:dyDescent="0.3">
      <c r="D30288" s="25"/>
      <c r="F30288" s="21"/>
      <c r="G30288" s="16"/>
    </row>
    <row r="30289" spans="4:7" ht="15" x14ac:dyDescent="0.3">
      <c r="D30289" s="25"/>
      <c r="F30289" s="21"/>
      <c r="G30289" s="16"/>
    </row>
    <row r="30290" spans="4:7" ht="15" x14ac:dyDescent="0.3">
      <c r="D30290" s="25"/>
      <c r="F30290" s="21"/>
      <c r="G30290" s="16"/>
    </row>
    <row r="30291" spans="4:7" ht="15" x14ac:dyDescent="0.3">
      <c r="D30291" s="25"/>
      <c r="F30291" s="21"/>
      <c r="G30291" s="16"/>
    </row>
    <row r="30292" spans="4:7" ht="15" x14ac:dyDescent="0.3">
      <c r="D30292" s="25"/>
      <c r="F30292" s="21"/>
      <c r="G30292" s="16"/>
    </row>
    <row r="30293" spans="4:7" ht="15" x14ac:dyDescent="0.3">
      <c r="D30293" s="25"/>
      <c r="F30293" s="21"/>
      <c r="G30293" s="16"/>
    </row>
    <row r="30294" spans="4:7" ht="15" x14ac:dyDescent="0.3">
      <c r="D30294" s="25"/>
      <c r="F30294" s="21"/>
      <c r="G30294" s="16"/>
    </row>
    <row r="30295" spans="4:7" ht="15" x14ac:dyDescent="0.3">
      <c r="D30295" s="25"/>
      <c r="F30295" s="21"/>
      <c r="G30295" s="16"/>
    </row>
    <row r="30296" spans="4:7" ht="15" x14ac:dyDescent="0.3">
      <c r="D30296" s="25"/>
      <c r="F30296" s="21"/>
      <c r="G30296" s="16"/>
    </row>
    <row r="30297" spans="4:7" ht="15" x14ac:dyDescent="0.3">
      <c r="D30297" s="25"/>
      <c r="F30297" s="21"/>
      <c r="G30297" s="16"/>
    </row>
    <row r="30298" spans="4:7" ht="15" x14ac:dyDescent="0.3">
      <c r="D30298" s="25"/>
      <c r="F30298" s="21"/>
      <c r="G30298" s="16"/>
    </row>
    <row r="30299" spans="4:7" ht="15" x14ac:dyDescent="0.3">
      <c r="D30299" s="25"/>
      <c r="F30299" s="21"/>
      <c r="G30299" s="16"/>
    </row>
    <row r="30300" spans="4:7" ht="15" x14ac:dyDescent="0.3">
      <c r="D30300" s="25"/>
      <c r="F30300" s="21"/>
      <c r="G30300" s="16"/>
    </row>
    <row r="30301" spans="4:7" ht="15" x14ac:dyDescent="0.3">
      <c r="D30301" s="25"/>
      <c r="F30301" s="21"/>
      <c r="G30301" s="16"/>
    </row>
    <row r="30302" spans="4:7" ht="15" x14ac:dyDescent="0.3">
      <c r="D30302" s="25"/>
      <c r="F30302" s="21"/>
      <c r="G30302" s="16"/>
    </row>
    <row r="30303" spans="4:7" ht="15" x14ac:dyDescent="0.3">
      <c r="D30303" s="25"/>
      <c r="F30303" s="21"/>
      <c r="G30303" s="16"/>
    </row>
    <row r="30304" spans="4:7" ht="15" x14ac:dyDescent="0.3">
      <c r="D30304" s="25"/>
      <c r="F30304" s="21"/>
      <c r="G30304" s="16"/>
    </row>
    <row r="30305" spans="4:7" ht="15" x14ac:dyDescent="0.3">
      <c r="D30305" s="25"/>
      <c r="F30305" s="21"/>
      <c r="G30305" s="16"/>
    </row>
    <row r="30306" spans="4:7" ht="15" x14ac:dyDescent="0.3">
      <c r="D30306" s="25"/>
      <c r="F30306" s="21"/>
      <c r="G30306" s="16"/>
    </row>
    <row r="30307" spans="4:7" ht="15" x14ac:dyDescent="0.3">
      <c r="D30307" s="25"/>
      <c r="F30307" s="21"/>
      <c r="G30307" s="16"/>
    </row>
    <row r="30308" spans="4:7" ht="15" x14ac:dyDescent="0.3">
      <c r="D30308" s="25"/>
      <c r="F30308" s="21"/>
      <c r="G30308" s="16"/>
    </row>
    <row r="30309" spans="4:7" ht="15" x14ac:dyDescent="0.3">
      <c r="D30309" s="25"/>
      <c r="F30309" s="21"/>
      <c r="G30309" s="16"/>
    </row>
    <row r="30310" spans="4:7" ht="15" x14ac:dyDescent="0.3">
      <c r="D30310" s="25"/>
      <c r="F30310" s="21"/>
      <c r="G30310" s="16"/>
    </row>
    <row r="30311" spans="4:7" ht="15" x14ac:dyDescent="0.3">
      <c r="D30311" s="25"/>
      <c r="F30311" s="21"/>
      <c r="G30311" s="16"/>
    </row>
    <row r="30312" spans="4:7" ht="15" x14ac:dyDescent="0.3">
      <c r="D30312" s="25"/>
      <c r="F30312" s="21"/>
      <c r="G30312" s="16"/>
    </row>
    <row r="30313" spans="4:7" ht="15" x14ac:dyDescent="0.3">
      <c r="D30313" s="25"/>
      <c r="F30313" s="21"/>
      <c r="G30313" s="16"/>
    </row>
    <row r="30314" spans="4:7" ht="15" x14ac:dyDescent="0.3">
      <c r="D30314" s="25"/>
      <c r="F30314" s="21"/>
      <c r="G30314" s="16"/>
    </row>
    <row r="30315" spans="4:7" ht="15" x14ac:dyDescent="0.3">
      <c r="D30315" s="25"/>
      <c r="F30315" s="21"/>
      <c r="G30315" s="16"/>
    </row>
    <row r="30316" spans="4:7" ht="15" x14ac:dyDescent="0.3">
      <c r="D30316" s="25"/>
      <c r="F30316" s="21"/>
      <c r="G30316" s="16"/>
    </row>
    <row r="30317" spans="4:7" ht="15" x14ac:dyDescent="0.3">
      <c r="D30317" s="25"/>
      <c r="F30317" s="21"/>
      <c r="G30317" s="16"/>
    </row>
    <row r="30318" spans="4:7" ht="15" x14ac:dyDescent="0.3">
      <c r="D30318" s="25"/>
      <c r="F30318" s="21"/>
      <c r="G30318" s="16"/>
    </row>
    <row r="30319" spans="4:7" ht="15" x14ac:dyDescent="0.3">
      <c r="D30319" s="25"/>
      <c r="F30319" s="21"/>
      <c r="G30319" s="16"/>
    </row>
    <row r="30320" spans="4:7" ht="15" x14ac:dyDescent="0.3">
      <c r="D30320" s="25"/>
      <c r="F30320" s="21"/>
      <c r="G30320" s="16"/>
    </row>
    <row r="30321" spans="4:7" ht="15" x14ac:dyDescent="0.3">
      <c r="D30321" s="25"/>
      <c r="F30321" s="21"/>
      <c r="G30321" s="16"/>
    </row>
    <row r="30322" spans="4:7" ht="15" x14ac:dyDescent="0.3">
      <c r="D30322" s="25"/>
      <c r="F30322" s="21"/>
      <c r="G30322" s="16"/>
    </row>
    <row r="30323" spans="4:7" ht="15" x14ac:dyDescent="0.3">
      <c r="D30323" s="25"/>
      <c r="F30323" s="21"/>
      <c r="G30323" s="16"/>
    </row>
    <row r="30324" spans="4:7" ht="15" x14ac:dyDescent="0.3">
      <c r="D30324" s="25"/>
      <c r="F30324" s="21"/>
      <c r="G30324" s="16"/>
    </row>
    <row r="30325" spans="4:7" ht="15" x14ac:dyDescent="0.3">
      <c r="D30325" s="25"/>
      <c r="F30325" s="21"/>
      <c r="G30325" s="16"/>
    </row>
    <row r="30326" spans="4:7" ht="15" x14ac:dyDescent="0.3">
      <c r="D30326" s="25"/>
      <c r="F30326" s="21"/>
      <c r="G30326" s="16"/>
    </row>
    <row r="30327" spans="4:7" ht="15" x14ac:dyDescent="0.3">
      <c r="D30327" s="25"/>
      <c r="F30327" s="21"/>
      <c r="G30327" s="16"/>
    </row>
    <row r="30328" spans="4:7" ht="15" x14ac:dyDescent="0.3">
      <c r="D30328" s="25"/>
      <c r="F30328" s="21"/>
      <c r="G30328" s="16"/>
    </row>
    <row r="30329" spans="4:7" ht="15" x14ac:dyDescent="0.3">
      <c r="D30329" s="25"/>
      <c r="F30329" s="21"/>
      <c r="G30329" s="16"/>
    </row>
    <row r="30330" spans="4:7" ht="15" x14ac:dyDescent="0.3">
      <c r="D30330" s="25"/>
      <c r="F30330" s="21"/>
      <c r="G30330" s="16"/>
    </row>
    <row r="30331" spans="4:7" ht="15" x14ac:dyDescent="0.3">
      <c r="D30331" s="25"/>
      <c r="F30331" s="21"/>
      <c r="G30331" s="16"/>
    </row>
    <row r="30332" spans="4:7" ht="15" x14ac:dyDescent="0.3">
      <c r="D30332" s="25"/>
      <c r="F30332" s="21"/>
      <c r="G30332" s="16"/>
    </row>
    <row r="30333" spans="4:7" ht="15" x14ac:dyDescent="0.3">
      <c r="D30333" s="25"/>
      <c r="F30333" s="21"/>
      <c r="G30333" s="16"/>
    </row>
    <row r="30334" spans="4:7" ht="15" x14ac:dyDescent="0.3">
      <c r="D30334" s="25"/>
      <c r="F30334" s="21"/>
      <c r="G30334" s="16"/>
    </row>
    <row r="30335" spans="4:7" ht="15" x14ac:dyDescent="0.3">
      <c r="D30335" s="25"/>
      <c r="F30335" s="21"/>
      <c r="G30335" s="16"/>
    </row>
    <row r="30336" spans="4:7" ht="15" x14ac:dyDescent="0.3">
      <c r="D30336" s="25"/>
      <c r="F30336" s="21"/>
      <c r="G30336" s="16"/>
    </row>
    <row r="30337" spans="4:7" ht="15" x14ac:dyDescent="0.3">
      <c r="D30337" s="25"/>
      <c r="F30337" s="21"/>
      <c r="G30337" s="16"/>
    </row>
    <row r="30338" spans="4:7" ht="15" x14ac:dyDescent="0.3">
      <c r="D30338" s="25"/>
      <c r="F30338" s="21"/>
      <c r="G30338" s="16"/>
    </row>
    <row r="30339" spans="4:7" ht="15" x14ac:dyDescent="0.3">
      <c r="D30339" s="25"/>
      <c r="F30339" s="21"/>
      <c r="G30339" s="16"/>
    </row>
    <row r="30340" spans="4:7" ht="15" x14ac:dyDescent="0.3">
      <c r="D30340" s="25"/>
      <c r="F30340" s="21"/>
      <c r="G30340" s="16"/>
    </row>
    <row r="30341" spans="4:7" ht="15" x14ac:dyDescent="0.3">
      <c r="D30341" s="25"/>
      <c r="F30341" s="21"/>
      <c r="G30341" s="16"/>
    </row>
    <row r="30342" spans="4:7" ht="15" x14ac:dyDescent="0.3">
      <c r="D30342" s="25"/>
      <c r="F30342" s="21"/>
      <c r="G30342" s="16"/>
    </row>
    <row r="30343" spans="4:7" ht="15" x14ac:dyDescent="0.3">
      <c r="D30343" s="25"/>
      <c r="F30343" s="21"/>
      <c r="G30343" s="16"/>
    </row>
    <row r="30344" spans="4:7" ht="15" x14ac:dyDescent="0.3">
      <c r="D30344" s="25"/>
      <c r="F30344" s="21"/>
      <c r="G30344" s="16"/>
    </row>
    <row r="30345" spans="4:7" ht="15" x14ac:dyDescent="0.3">
      <c r="D30345" s="25"/>
      <c r="F30345" s="21"/>
      <c r="G30345" s="16"/>
    </row>
    <row r="30346" spans="4:7" ht="15" x14ac:dyDescent="0.3">
      <c r="D30346" s="25"/>
      <c r="F30346" s="21"/>
      <c r="G30346" s="16"/>
    </row>
    <row r="30347" spans="4:7" ht="15" x14ac:dyDescent="0.3">
      <c r="D30347" s="25"/>
      <c r="F30347" s="21"/>
      <c r="G30347" s="16"/>
    </row>
    <row r="30348" spans="4:7" ht="15" x14ac:dyDescent="0.3">
      <c r="D30348" s="25"/>
      <c r="F30348" s="21"/>
      <c r="G30348" s="16"/>
    </row>
    <row r="30349" spans="4:7" ht="15" x14ac:dyDescent="0.3">
      <c r="D30349" s="25"/>
      <c r="F30349" s="21"/>
      <c r="G30349" s="16"/>
    </row>
    <row r="30350" spans="4:7" ht="15" x14ac:dyDescent="0.3">
      <c r="D30350" s="25"/>
      <c r="F30350" s="21"/>
      <c r="G30350" s="16"/>
    </row>
    <row r="30351" spans="4:7" ht="15" x14ac:dyDescent="0.3">
      <c r="D30351" s="25"/>
      <c r="F30351" s="21"/>
      <c r="G30351" s="16"/>
    </row>
    <row r="30352" spans="4:7" ht="15" x14ac:dyDescent="0.3">
      <c r="D30352" s="25"/>
      <c r="F30352" s="21"/>
      <c r="G30352" s="16"/>
    </row>
    <row r="30353" spans="4:7" ht="15" x14ac:dyDescent="0.3">
      <c r="D30353" s="25"/>
      <c r="F30353" s="21"/>
      <c r="G30353" s="16"/>
    </row>
    <row r="30354" spans="4:7" ht="15" x14ac:dyDescent="0.3">
      <c r="D30354" s="25"/>
      <c r="F30354" s="21"/>
      <c r="G30354" s="16"/>
    </row>
    <row r="30355" spans="4:7" ht="15" x14ac:dyDescent="0.3">
      <c r="D30355" s="25"/>
      <c r="F30355" s="21"/>
      <c r="G30355" s="16"/>
    </row>
    <row r="30356" spans="4:7" ht="15" x14ac:dyDescent="0.3">
      <c r="D30356" s="25"/>
      <c r="F30356" s="21"/>
      <c r="G30356" s="16"/>
    </row>
    <row r="30357" spans="4:7" ht="15" x14ac:dyDescent="0.3">
      <c r="D30357" s="25"/>
      <c r="F30357" s="21"/>
      <c r="G30357" s="16"/>
    </row>
    <row r="30358" spans="4:7" ht="15" x14ac:dyDescent="0.3">
      <c r="D30358" s="25"/>
      <c r="F30358" s="21"/>
      <c r="G30358" s="16"/>
    </row>
    <row r="30359" spans="4:7" ht="15" x14ac:dyDescent="0.3">
      <c r="D30359" s="25"/>
      <c r="F30359" s="21"/>
      <c r="G30359" s="16"/>
    </row>
    <row r="30360" spans="4:7" ht="15" x14ac:dyDescent="0.3">
      <c r="D30360" s="25"/>
      <c r="F30360" s="21"/>
      <c r="G30360" s="16"/>
    </row>
    <row r="30361" spans="4:7" ht="15" x14ac:dyDescent="0.3">
      <c r="D30361" s="25"/>
      <c r="F30361" s="21"/>
      <c r="G30361" s="16"/>
    </row>
    <row r="30362" spans="4:7" ht="15" x14ac:dyDescent="0.3">
      <c r="D30362" s="25"/>
      <c r="F30362" s="21"/>
      <c r="G30362" s="16"/>
    </row>
    <row r="30363" spans="4:7" ht="15" x14ac:dyDescent="0.3">
      <c r="D30363" s="25"/>
      <c r="F30363" s="21"/>
      <c r="G30363" s="16"/>
    </row>
    <row r="30364" spans="4:7" ht="15" x14ac:dyDescent="0.3">
      <c r="D30364" s="25"/>
      <c r="F30364" s="21"/>
      <c r="G30364" s="16"/>
    </row>
    <row r="30365" spans="4:7" ht="15" x14ac:dyDescent="0.3">
      <c r="D30365" s="25"/>
      <c r="F30365" s="21"/>
      <c r="G30365" s="16"/>
    </row>
    <row r="30366" spans="4:7" ht="15" x14ac:dyDescent="0.3">
      <c r="D30366" s="25"/>
      <c r="F30366" s="21"/>
      <c r="G30366" s="16"/>
    </row>
    <row r="30367" spans="4:7" ht="15" x14ac:dyDescent="0.3">
      <c r="D30367" s="25"/>
      <c r="F30367" s="21"/>
      <c r="G30367" s="16"/>
    </row>
    <row r="30368" spans="4:7" ht="15" x14ac:dyDescent="0.3">
      <c r="D30368" s="25"/>
      <c r="F30368" s="21"/>
      <c r="G30368" s="16"/>
    </row>
    <row r="30369" spans="4:7" ht="15" x14ac:dyDescent="0.3">
      <c r="D30369" s="25"/>
      <c r="F30369" s="21"/>
      <c r="G30369" s="16"/>
    </row>
    <row r="30370" spans="4:7" ht="15" x14ac:dyDescent="0.3">
      <c r="D30370" s="25"/>
      <c r="F30370" s="21"/>
      <c r="G30370" s="16"/>
    </row>
    <row r="30371" spans="4:7" ht="15" x14ac:dyDescent="0.3">
      <c r="D30371" s="25"/>
      <c r="F30371" s="21"/>
      <c r="G30371" s="16"/>
    </row>
    <row r="30372" spans="4:7" ht="15" x14ac:dyDescent="0.3">
      <c r="D30372" s="25"/>
      <c r="F30372" s="21"/>
      <c r="G30372" s="16"/>
    </row>
    <row r="30373" spans="4:7" ht="15" x14ac:dyDescent="0.3">
      <c r="D30373" s="25"/>
      <c r="F30373" s="21"/>
      <c r="G30373" s="16"/>
    </row>
    <row r="30374" spans="4:7" ht="15" x14ac:dyDescent="0.3">
      <c r="D30374" s="25"/>
      <c r="F30374" s="21"/>
      <c r="G30374" s="16"/>
    </row>
    <row r="30375" spans="4:7" ht="15" x14ac:dyDescent="0.3">
      <c r="D30375" s="25"/>
      <c r="F30375" s="21"/>
      <c r="G30375" s="16"/>
    </row>
    <row r="30376" spans="4:7" ht="15" x14ac:dyDescent="0.3">
      <c r="D30376" s="25"/>
      <c r="F30376" s="21"/>
      <c r="G30376" s="16"/>
    </row>
    <row r="30377" spans="4:7" ht="15" x14ac:dyDescent="0.3">
      <c r="D30377" s="25"/>
      <c r="F30377" s="21"/>
      <c r="G30377" s="16"/>
    </row>
    <row r="30378" spans="4:7" ht="15" x14ac:dyDescent="0.3">
      <c r="D30378" s="25"/>
      <c r="F30378" s="21"/>
      <c r="G30378" s="16"/>
    </row>
    <row r="30379" spans="4:7" ht="15" x14ac:dyDescent="0.3">
      <c r="D30379" s="25"/>
      <c r="F30379" s="21"/>
      <c r="G30379" s="16"/>
    </row>
    <row r="30380" spans="4:7" ht="15" x14ac:dyDescent="0.3">
      <c r="D30380" s="25"/>
      <c r="F30380" s="21"/>
      <c r="G30380" s="16"/>
    </row>
    <row r="30381" spans="4:7" ht="15" x14ac:dyDescent="0.3">
      <c r="D30381" s="25"/>
      <c r="F30381" s="21"/>
      <c r="G30381" s="16"/>
    </row>
    <row r="30382" spans="4:7" ht="15" x14ac:dyDescent="0.3">
      <c r="D30382" s="25"/>
      <c r="F30382" s="21"/>
      <c r="G30382" s="16"/>
    </row>
    <row r="30383" spans="4:7" ht="15" x14ac:dyDescent="0.3">
      <c r="D30383" s="25"/>
      <c r="F30383" s="21"/>
      <c r="G30383" s="16"/>
    </row>
    <row r="30384" spans="4:7" ht="15" x14ac:dyDescent="0.3">
      <c r="D30384" s="25"/>
      <c r="F30384" s="21"/>
      <c r="G30384" s="16"/>
    </row>
    <row r="30385" spans="4:7" ht="15" x14ac:dyDescent="0.3">
      <c r="D30385" s="25"/>
      <c r="F30385" s="21"/>
      <c r="G30385" s="16"/>
    </row>
    <row r="30386" spans="4:7" ht="15" x14ac:dyDescent="0.3">
      <c r="D30386" s="25"/>
      <c r="F30386" s="21"/>
      <c r="G30386" s="16"/>
    </row>
    <row r="30387" spans="4:7" ht="15" x14ac:dyDescent="0.3">
      <c r="D30387" s="25"/>
      <c r="F30387" s="21"/>
      <c r="G30387" s="16"/>
    </row>
    <row r="30388" spans="4:7" ht="15" x14ac:dyDescent="0.3">
      <c r="D30388" s="25"/>
      <c r="F30388" s="21"/>
      <c r="G30388" s="16"/>
    </row>
    <row r="30389" spans="4:7" ht="15" x14ac:dyDescent="0.3">
      <c r="D30389" s="25"/>
      <c r="F30389" s="21"/>
      <c r="G30389" s="16"/>
    </row>
    <row r="30390" spans="4:7" ht="15" x14ac:dyDescent="0.3">
      <c r="D30390" s="25"/>
      <c r="F30390" s="21"/>
      <c r="G30390" s="16"/>
    </row>
    <row r="30391" spans="4:7" ht="15" x14ac:dyDescent="0.3">
      <c r="D30391" s="25"/>
      <c r="F30391" s="21"/>
      <c r="G30391" s="16"/>
    </row>
    <row r="30392" spans="4:7" ht="15" x14ac:dyDescent="0.3">
      <c r="D30392" s="25"/>
      <c r="F30392" s="21"/>
      <c r="G30392" s="16"/>
    </row>
    <row r="30393" spans="4:7" ht="15" x14ac:dyDescent="0.3">
      <c r="D30393" s="25"/>
      <c r="F30393" s="21"/>
      <c r="G30393" s="16"/>
    </row>
    <row r="30394" spans="4:7" ht="15" x14ac:dyDescent="0.3">
      <c r="D30394" s="25"/>
      <c r="F30394" s="21"/>
      <c r="G30394" s="16"/>
    </row>
    <row r="30395" spans="4:7" ht="15" x14ac:dyDescent="0.3">
      <c r="D30395" s="25"/>
      <c r="F30395" s="21"/>
      <c r="G30395" s="16"/>
    </row>
    <row r="30396" spans="4:7" ht="15" x14ac:dyDescent="0.3">
      <c r="D30396" s="25"/>
      <c r="F30396" s="21"/>
      <c r="G30396" s="16"/>
    </row>
    <row r="30397" spans="4:7" ht="15" x14ac:dyDescent="0.3">
      <c r="D30397" s="25"/>
      <c r="F30397" s="21"/>
      <c r="G30397" s="16"/>
    </row>
    <row r="30398" spans="4:7" ht="15" x14ac:dyDescent="0.3">
      <c r="D30398" s="25"/>
      <c r="F30398" s="21"/>
      <c r="G30398" s="16"/>
    </row>
    <row r="30399" spans="4:7" ht="15" x14ac:dyDescent="0.3">
      <c r="D30399" s="25"/>
      <c r="F30399" s="21"/>
      <c r="G30399" s="16"/>
    </row>
    <row r="30400" spans="4:7" ht="15" x14ac:dyDescent="0.3">
      <c r="D30400" s="25"/>
      <c r="F30400" s="21"/>
      <c r="G30400" s="16"/>
    </row>
    <row r="30401" spans="4:7" ht="15" x14ac:dyDescent="0.3">
      <c r="D30401" s="25"/>
      <c r="F30401" s="21"/>
      <c r="G30401" s="16"/>
    </row>
    <row r="30402" spans="4:7" ht="15" x14ac:dyDescent="0.3">
      <c r="D30402" s="25"/>
      <c r="F30402" s="21"/>
      <c r="G30402" s="16"/>
    </row>
    <row r="30403" spans="4:7" ht="15" x14ac:dyDescent="0.3">
      <c r="D30403" s="25"/>
      <c r="F30403" s="21"/>
      <c r="G30403" s="16"/>
    </row>
    <row r="30404" spans="4:7" ht="15" x14ac:dyDescent="0.3">
      <c r="D30404" s="25"/>
      <c r="F30404" s="21"/>
      <c r="G30404" s="16"/>
    </row>
    <row r="30405" spans="4:7" ht="15" x14ac:dyDescent="0.3">
      <c r="D30405" s="25"/>
      <c r="F30405" s="21"/>
      <c r="G30405" s="16"/>
    </row>
    <row r="30406" spans="4:7" ht="15" x14ac:dyDescent="0.3">
      <c r="D30406" s="25"/>
      <c r="F30406" s="21"/>
      <c r="G30406" s="16"/>
    </row>
    <row r="30407" spans="4:7" ht="15" x14ac:dyDescent="0.3">
      <c r="D30407" s="25"/>
      <c r="F30407" s="21"/>
      <c r="G30407" s="16"/>
    </row>
    <row r="30408" spans="4:7" ht="15" x14ac:dyDescent="0.3">
      <c r="D30408" s="25"/>
      <c r="F30408" s="21"/>
      <c r="G30408" s="16"/>
    </row>
    <row r="30409" spans="4:7" ht="15" x14ac:dyDescent="0.3">
      <c r="D30409" s="25"/>
      <c r="F30409" s="21"/>
      <c r="G30409" s="16"/>
    </row>
    <row r="30410" spans="4:7" ht="15" x14ac:dyDescent="0.3">
      <c r="D30410" s="25"/>
      <c r="F30410" s="21"/>
      <c r="G30410" s="16"/>
    </row>
    <row r="30411" spans="4:7" ht="15" x14ac:dyDescent="0.3">
      <c r="D30411" s="25"/>
      <c r="F30411" s="21"/>
      <c r="G30411" s="16"/>
    </row>
    <row r="30412" spans="4:7" ht="15" x14ac:dyDescent="0.3">
      <c r="D30412" s="25"/>
      <c r="F30412" s="21"/>
      <c r="G30412" s="16"/>
    </row>
    <row r="30413" spans="4:7" ht="15" x14ac:dyDescent="0.3">
      <c r="D30413" s="25"/>
      <c r="F30413" s="21"/>
      <c r="G30413" s="16"/>
    </row>
    <row r="30414" spans="4:7" ht="15" x14ac:dyDescent="0.3">
      <c r="D30414" s="25"/>
      <c r="F30414" s="21"/>
      <c r="G30414" s="16"/>
    </row>
    <row r="30415" spans="4:7" ht="15" x14ac:dyDescent="0.3">
      <c r="D30415" s="25"/>
      <c r="F30415" s="21"/>
      <c r="G30415" s="16"/>
    </row>
    <row r="30416" spans="4:7" ht="15" x14ac:dyDescent="0.3">
      <c r="D30416" s="25"/>
      <c r="F30416" s="21"/>
      <c r="G30416" s="16"/>
    </row>
    <row r="30417" spans="4:7" ht="15" x14ac:dyDescent="0.3">
      <c r="D30417" s="25"/>
      <c r="F30417" s="21"/>
      <c r="G30417" s="16"/>
    </row>
    <row r="30418" spans="4:7" ht="15" x14ac:dyDescent="0.3">
      <c r="D30418" s="25"/>
      <c r="F30418" s="21"/>
      <c r="G30418" s="16"/>
    </row>
    <row r="30419" spans="4:7" ht="15" x14ac:dyDescent="0.3">
      <c r="D30419" s="25"/>
      <c r="F30419" s="21"/>
      <c r="G30419" s="16"/>
    </row>
    <row r="30420" spans="4:7" ht="15" x14ac:dyDescent="0.3">
      <c r="D30420" s="25"/>
      <c r="F30420" s="21"/>
      <c r="G30420" s="16"/>
    </row>
    <row r="30421" spans="4:7" ht="15" x14ac:dyDescent="0.3">
      <c r="D30421" s="25"/>
      <c r="F30421" s="21"/>
      <c r="G30421" s="16"/>
    </row>
    <row r="30422" spans="4:7" ht="15" x14ac:dyDescent="0.3">
      <c r="D30422" s="25"/>
      <c r="F30422" s="21"/>
      <c r="G30422" s="16"/>
    </row>
    <row r="30423" spans="4:7" ht="15" x14ac:dyDescent="0.3">
      <c r="D30423" s="25"/>
      <c r="F30423" s="21"/>
      <c r="G30423" s="16"/>
    </row>
    <row r="30424" spans="4:7" ht="15" x14ac:dyDescent="0.3">
      <c r="D30424" s="25"/>
      <c r="F30424" s="21"/>
      <c r="G30424" s="16"/>
    </row>
    <row r="30425" spans="4:7" ht="15" x14ac:dyDescent="0.3">
      <c r="D30425" s="25"/>
      <c r="F30425" s="21"/>
      <c r="G30425" s="16"/>
    </row>
    <row r="30426" spans="4:7" ht="15" x14ac:dyDescent="0.3">
      <c r="D30426" s="25"/>
      <c r="F30426" s="21"/>
      <c r="G30426" s="16"/>
    </row>
    <row r="30427" spans="4:7" ht="15" x14ac:dyDescent="0.3">
      <c r="D30427" s="25"/>
      <c r="F30427" s="21"/>
      <c r="G30427" s="16"/>
    </row>
    <row r="30428" spans="4:7" ht="15" x14ac:dyDescent="0.3">
      <c r="D30428" s="25"/>
      <c r="F30428" s="21"/>
      <c r="G30428" s="16"/>
    </row>
    <row r="30429" spans="4:7" ht="15" x14ac:dyDescent="0.3">
      <c r="D30429" s="25"/>
      <c r="F30429" s="21"/>
      <c r="G30429" s="16"/>
    </row>
    <row r="30430" spans="4:7" ht="15" x14ac:dyDescent="0.3">
      <c r="D30430" s="25"/>
      <c r="F30430" s="21"/>
      <c r="G30430" s="16"/>
    </row>
    <row r="30431" spans="4:7" ht="15" x14ac:dyDescent="0.3">
      <c r="D30431" s="25"/>
      <c r="F30431" s="21"/>
      <c r="G30431" s="16"/>
    </row>
    <row r="30432" spans="4:7" ht="15" x14ac:dyDescent="0.3">
      <c r="D30432" s="25"/>
      <c r="F30432" s="21"/>
      <c r="G30432" s="16"/>
    </row>
    <row r="30433" spans="4:7" ht="15" x14ac:dyDescent="0.3">
      <c r="D30433" s="25"/>
      <c r="F30433" s="21"/>
      <c r="G30433" s="16"/>
    </row>
    <row r="30434" spans="4:7" ht="15" x14ac:dyDescent="0.3">
      <c r="D30434" s="25"/>
      <c r="F30434" s="21"/>
      <c r="G30434" s="16"/>
    </row>
    <row r="30435" spans="4:7" ht="15" x14ac:dyDescent="0.3">
      <c r="D30435" s="25"/>
      <c r="F30435" s="21"/>
      <c r="G30435" s="16"/>
    </row>
    <row r="30436" spans="4:7" ht="15" x14ac:dyDescent="0.3">
      <c r="D30436" s="25"/>
      <c r="F30436" s="21"/>
      <c r="G30436" s="16"/>
    </row>
    <row r="30437" spans="4:7" ht="15" x14ac:dyDescent="0.3">
      <c r="D30437" s="25"/>
      <c r="F30437" s="21"/>
      <c r="G30437" s="16"/>
    </row>
    <row r="30438" spans="4:7" ht="15" x14ac:dyDescent="0.3">
      <c r="D30438" s="25"/>
      <c r="F30438" s="21"/>
      <c r="G30438" s="16"/>
    </row>
    <row r="30439" spans="4:7" ht="15" x14ac:dyDescent="0.3">
      <c r="D30439" s="25"/>
      <c r="F30439" s="21"/>
      <c r="G30439" s="16"/>
    </row>
    <row r="30440" spans="4:7" ht="15" x14ac:dyDescent="0.3">
      <c r="D30440" s="25"/>
      <c r="F30440" s="21"/>
      <c r="G30440" s="16"/>
    </row>
    <row r="30441" spans="4:7" ht="15" x14ac:dyDescent="0.3">
      <c r="D30441" s="25"/>
      <c r="F30441" s="21"/>
      <c r="G30441" s="16"/>
    </row>
    <row r="30442" spans="4:7" ht="15" x14ac:dyDescent="0.3">
      <c r="D30442" s="25"/>
      <c r="F30442" s="21"/>
      <c r="G30442" s="16"/>
    </row>
    <row r="30443" spans="4:7" ht="15" x14ac:dyDescent="0.3">
      <c r="D30443" s="25"/>
      <c r="F30443" s="21"/>
      <c r="G30443" s="16"/>
    </row>
    <row r="30444" spans="4:7" ht="15" x14ac:dyDescent="0.3">
      <c r="D30444" s="25"/>
      <c r="F30444" s="21"/>
      <c r="G30444" s="16"/>
    </row>
    <row r="30445" spans="4:7" ht="15" x14ac:dyDescent="0.3">
      <c r="D30445" s="25"/>
      <c r="F30445" s="21"/>
      <c r="G30445" s="16"/>
    </row>
    <row r="30446" spans="4:7" ht="15" x14ac:dyDescent="0.3">
      <c r="D30446" s="25"/>
      <c r="F30446" s="21"/>
      <c r="G30446" s="16"/>
    </row>
    <row r="30447" spans="4:7" ht="15" x14ac:dyDescent="0.3">
      <c r="D30447" s="25"/>
      <c r="F30447" s="21"/>
      <c r="G30447" s="16"/>
    </row>
    <row r="30448" spans="4:7" ht="15" x14ac:dyDescent="0.3">
      <c r="D30448" s="25"/>
      <c r="F30448" s="21"/>
      <c r="G30448" s="16"/>
    </row>
    <row r="30449" spans="4:7" ht="15" x14ac:dyDescent="0.3">
      <c r="D30449" s="25"/>
      <c r="F30449" s="21"/>
      <c r="G30449" s="16"/>
    </row>
    <row r="30450" spans="4:7" ht="15" x14ac:dyDescent="0.3">
      <c r="D30450" s="25"/>
      <c r="F30450" s="21"/>
      <c r="G30450" s="16"/>
    </row>
    <row r="30451" spans="4:7" ht="15" x14ac:dyDescent="0.3">
      <c r="D30451" s="25"/>
      <c r="F30451" s="21"/>
      <c r="G30451" s="16"/>
    </row>
    <row r="30452" spans="4:7" ht="15" x14ac:dyDescent="0.3">
      <c r="D30452" s="25"/>
      <c r="F30452" s="21"/>
      <c r="G30452" s="16"/>
    </row>
    <row r="30453" spans="4:7" ht="15" x14ac:dyDescent="0.3">
      <c r="D30453" s="25"/>
      <c r="F30453" s="21"/>
      <c r="G30453" s="16"/>
    </row>
    <row r="30454" spans="4:7" ht="15" x14ac:dyDescent="0.3">
      <c r="D30454" s="25"/>
      <c r="F30454" s="21"/>
      <c r="G30454" s="16"/>
    </row>
    <row r="30455" spans="4:7" ht="15" x14ac:dyDescent="0.3">
      <c r="D30455" s="25"/>
      <c r="F30455" s="21"/>
      <c r="G30455" s="16"/>
    </row>
    <row r="30456" spans="4:7" ht="15" x14ac:dyDescent="0.3">
      <c r="D30456" s="25"/>
      <c r="F30456" s="21"/>
      <c r="G30456" s="16"/>
    </row>
    <row r="30457" spans="4:7" ht="15" x14ac:dyDescent="0.3">
      <c r="D30457" s="25"/>
      <c r="F30457" s="21"/>
      <c r="G30457" s="16"/>
    </row>
    <row r="30458" spans="4:7" ht="15" x14ac:dyDescent="0.3">
      <c r="D30458" s="25"/>
      <c r="F30458" s="21"/>
      <c r="G30458" s="16"/>
    </row>
    <row r="30459" spans="4:7" ht="15" x14ac:dyDescent="0.3">
      <c r="D30459" s="25"/>
      <c r="F30459" s="21"/>
      <c r="G30459" s="16"/>
    </row>
    <row r="30460" spans="4:7" ht="15" x14ac:dyDescent="0.3">
      <c r="D30460" s="25"/>
      <c r="F30460" s="21"/>
      <c r="G30460" s="16"/>
    </row>
    <row r="30461" spans="4:7" ht="15" x14ac:dyDescent="0.3">
      <c r="D30461" s="25"/>
      <c r="F30461" s="21"/>
      <c r="G30461" s="16"/>
    </row>
    <row r="30462" spans="4:7" ht="15" x14ac:dyDescent="0.3">
      <c r="D30462" s="25"/>
      <c r="F30462" s="21"/>
      <c r="G30462" s="16"/>
    </row>
    <row r="30463" spans="4:7" ht="15" x14ac:dyDescent="0.3">
      <c r="D30463" s="25"/>
      <c r="F30463" s="21"/>
      <c r="G30463" s="16"/>
    </row>
    <row r="30464" spans="4:7" ht="15" x14ac:dyDescent="0.3">
      <c r="D30464" s="25"/>
      <c r="F30464" s="21"/>
      <c r="G30464" s="16"/>
    </row>
    <row r="30465" spans="4:7" ht="15" x14ac:dyDescent="0.3">
      <c r="D30465" s="25"/>
      <c r="F30465" s="21"/>
      <c r="G30465" s="16"/>
    </row>
    <row r="30466" spans="4:7" ht="15" x14ac:dyDescent="0.3">
      <c r="D30466" s="25"/>
      <c r="F30466" s="21"/>
      <c r="G30466" s="16"/>
    </row>
    <row r="30467" spans="4:7" ht="15" x14ac:dyDescent="0.3">
      <c r="D30467" s="25"/>
      <c r="F30467" s="21"/>
      <c r="G30467" s="16"/>
    </row>
    <row r="30468" spans="4:7" ht="15" x14ac:dyDescent="0.3">
      <c r="D30468" s="25"/>
      <c r="F30468" s="21"/>
      <c r="G30468" s="16"/>
    </row>
    <row r="30469" spans="4:7" ht="15" x14ac:dyDescent="0.3">
      <c r="D30469" s="25"/>
      <c r="F30469" s="21"/>
      <c r="G30469" s="16"/>
    </row>
    <row r="30470" spans="4:7" ht="15" x14ac:dyDescent="0.3">
      <c r="D30470" s="25"/>
      <c r="F30470" s="21"/>
      <c r="G30470" s="16"/>
    </row>
    <row r="30471" spans="4:7" ht="15" x14ac:dyDescent="0.3">
      <c r="D30471" s="25"/>
      <c r="F30471" s="21"/>
      <c r="G30471" s="16"/>
    </row>
    <row r="30472" spans="4:7" ht="15" x14ac:dyDescent="0.3">
      <c r="D30472" s="25"/>
      <c r="F30472" s="21"/>
      <c r="G30472" s="16"/>
    </row>
    <row r="30473" spans="4:7" ht="15" x14ac:dyDescent="0.3">
      <c r="D30473" s="25"/>
      <c r="F30473" s="21"/>
      <c r="G30473" s="16"/>
    </row>
    <row r="30474" spans="4:7" ht="15" x14ac:dyDescent="0.3">
      <c r="D30474" s="25"/>
      <c r="F30474" s="21"/>
      <c r="G30474" s="16"/>
    </row>
    <row r="30475" spans="4:7" ht="15" x14ac:dyDescent="0.3">
      <c r="D30475" s="25"/>
      <c r="F30475" s="21"/>
      <c r="G30475" s="16"/>
    </row>
    <row r="30476" spans="4:7" ht="15" x14ac:dyDescent="0.3">
      <c r="D30476" s="25"/>
      <c r="F30476" s="21"/>
      <c r="G30476" s="16"/>
    </row>
    <row r="30477" spans="4:7" ht="15" x14ac:dyDescent="0.3">
      <c r="D30477" s="25"/>
      <c r="F30477" s="21"/>
      <c r="G30477" s="16"/>
    </row>
    <row r="30478" spans="4:7" ht="15" x14ac:dyDescent="0.3">
      <c r="D30478" s="25"/>
      <c r="F30478" s="21"/>
      <c r="G30478" s="16"/>
    </row>
    <row r="30479" spans="4:7" ht="15" x14ac:dyDescent="0.3">
      <c r="D30479" s="25"/>
      <c r="F30479" s="21"/>
      <c r="G30479" s="16"/>
    </row>
    <row r="30480" spans="4:7" ht="15" x14ac:dyDescent="0.3">
      <c r="D30480" s="25"/>
      <c r="F30480" s="21"/>
      <c r="G30480" s="16"/>
    </row>
    <row r="30481" spans="4:7" ht="15" x14ac:dyDescent="0.3">
      <c r="D30481" s="25"/>
      <c r="F30481" s="21"/>
      <c r="G30481" s="16"/>
    </row>
    <row r="30482" spans="4:7" ht="15" x14ac:dyDescent="0.3">
      <c r="D30482" s="25"/>
      <c r="F30482" s="21"/>
      <c r="G30482" s="16"/>
    </row>
    <row r="30483" spans="4:7" ht="15" x14ac:dyDescent="0.3">
      <c r="D30483" s="25"/>
      <c r="F30483" s="21"/>
      <c r="G30483" s="16"/>
    </row>
    <row r="30484" spans="4:7" ht="15" x14ac:dyDescent="0.3">
      <c r="D30484" s="25"/>
      <c r="F30484" s="21"/>
      <c r="G30484" s="16"/>
    </row>
    <row r="30485" spans="4:7" ht="15" x14ac:dyDescent="0.3">
      <c r="D30485" s="25"/>
      <c r="F30485" s="21"/>
      <c r="G30485" s="16"/>
    </row>
    <row r="30486" spans="4:7" ht="15" x14ac:dyDescent="0.3">
      <c r="D30486" s="25"/>
      <c r="F30486" s="21"/>
      <c r="G30486" s="16"/>
    </row>
    <row r="30487" spans="4:7" ht="15" x14ac:dyDescent="0.3">
      <c r="D30487" s="25"/>
      <c r="F30487" s="21"/>
      <c r="G30487" s="16"/>
    </row>
    <row r="30488" spans="4:7" ht="15" x14ac:dyDescent="0.3">
      <c r="D30488" s="25"/>
      <c r="F30488" s="21"/>
      <c r="G30488" s="16"/>
    </row>
    <row r="30489" spans="4:7" ht="15" x14ac:dyDescent="0.3">
      <c r="D30489" s="25"/>
      <c r="F30489" s="21"/>
      <c r="G30489" s="16"/>
    </row>
    <row r="30490" spans="4:7" ht="15" x14ac:dyDescent="0.3">
      <c r="D30490" s="25"/>
      <c r="F30490" s="21"/>
      <c r="G30490" s="16"/>
    </row>
    <row r="30491" spans="4:7" ht="15" x14ac:dyDescent="0.3">
      <c r="D30491" s="25"/>
      <c r="F30491" s="21"/>
      <c r="G30491" s="16"/>
    </row>
    <row r="30492" spans="4:7" ht="15" x14ac:dyDescent="0.3">
      <c r="D30492" s="25"/>
      <c r="F30492" s="21"/>
      <c r="G30492" s="16"/>
    </row>
    <row r="30493" spans="4:7" ht="15" x14ac:dyDescent="0.3">
      <c r="D30493" s="25"/>
      <c r="F30493" s="21"/>
      <c r="G30493" s="16"/>
    </row>
    <row r="30494" spans="4:7" ht="15" x14ac:dyDescent="0.3">
      <c r="D30494" s="25"/>
      <c r="F30494" s="21"/>
      <c r="G30494" s="16"/>
    </row>
    <row r="30495" spans="4:7" ht="15" x14ac:dyDescent="0.3">
      <c r="D30495" s="25"/>
      <c r="F30495" s="21"/>
      <c r="G30495" s="16"/>
    </row>
    <row r="30496" spans="4:7" ht="15" x14ac:dyDescent="0.3">
      <c r="D30496" s="25"/>
      <c r="F30496" s="21"/>
      <c r="G30496" s="16"/>
    </row>
    <row r="30497" spans="4:7" ht="15" x14ac:dyDescent="0.3">
      <c r="D30497" s="25"/>
      <c r="F30497" s="21"/>
      <c r="G30497" s="16"/>
    </row>
    <row r="30498" spans="4:7" ht="15" x14ac:dyDescent="0.3">
      <c r="D30498" s="25"/>
      <c r="F30498" s="21"/>
      <c r="G30498" s="16"/>
    </row>
    <row r="30499" spans="4:7" ht="15" x14ac:dyDescent="0.3">
      <c r="D30499" s="25"/>
      <c r="F30499" s="21"/>
      <c r="G30499" s="16"/>
    </row>
    <row r="30500" spans="4:7" ht="15" x14ac:dyDescent="0.3">
      <c r="D30500" s="25"/>
      <c r="F30500" s="21"/>
      <c r="G30500" s="16"/>
    </row>
    <row r="30501" spans="4:7" ht="15" x14ac:dyDescent="0.3">
      <c r="D30501" s="25"/>
      <c r="F30501" s="21"/>
      <c r="G30501" s="16"/>
    </row>
    <row r="30502" spans="4:7" ht="15" x14ac:dyDescent="0.3">
      <c r="D30502" s="25"/>
      <c r="F30502" s="21"/>
      <c r="G30502" s="16"/>
    </row>
    <row r="30503" spans="4:7" ht="15" x14ac:dyDescent="0.3">
      <c r="D30503" s="25"/>
      <c r="F30503" s="21"/>
      <c r="G30503" s="16"/>
    </row>
    <row r="30504" spans="4:7" ht="15" x14ac:dyDescent="0.3">
      <c r="D30504" s="25"/>
      <c r="F30504" s="21"/>
      <c r="G30504" s="16"/>
    </row>
    <row r="30505" spans="4:7" ht="15" x14ac:dyDescent="0.3">
      <c r="D30505" s="25"/>
      <c r="F30505" s="21"/>
      <c r="G30505" s="16"/>
    </row>
    <row r="30506" spans="4:7" ht="15" x14ac:dyDescent="0.3">
      <c r="D30506" s="25"/>
      <c r="F30506" s="21"/>
      <c r="G30506" s="16"/>
    </row>
    <row r="30507" spans="4:7" ht="15" x14ac:dyDescent="0.3">
      <c r="D30507" s="25"/>
      <c r="F30507" s="21"/>
      <c r="G30507" s="16"/>
    </row>
    <row r="30508" spans="4:7" ht="15" x14ac:dyDescent="0.3">
      <c r="D30508" s="25"/>
      <c r="F30508" s="21"/>
      <c r="G30508" s="16"/>
    </row>
    <row r="30509" spans="4:7" ht="15" x14ac:dyDescent="0.3">
      <c r="D30509" s="25"/>
      <c r="F30509" s="21"/>
      <c r="G30509" s="16"/>
    </row>
    <row r="30510" spans="4:7" ht="15" x14ac:dyDescent="0.3">
      <c r="D30510" s="25"/>
      <c r="F30510" s="21"/>
      <c r="G30510" s="16"/>
    </row>
    <row r="30511" spans="4:7" ht="15" x14ac:dyDescent="0.3">
      <c r="D30511" s="25"/>
      <c r="F30511" s="21"/>
      <c r="G30511" s="16"/>
    </row>
    <row r="30512" spans="4:7" ht="15" x14ac:dyDescent="0.3">
      <c r="D30512" s="25"/>
      <c r="F30512" s="21"/>
      <c r="G30512" s="16"/>
    </row>
    <row r="30513" spans="4:7" ht="15" x14ac:dyDescent="0.3">
      <c r="D30513" s="25"/>
      <c r="F30513" s="21"/>
      <c r="G30513" s="16"/>
    </row>
    <row r="30514" spans="4:7" ht="15" x14ac:dyDescent="0.3">
      <c r="D30514" s="25"/>
      <c r="F30514" s="21"/>
      <c r="G30514" s="16"/>
    </row>
    <row r="30515" spans="4:7" ht="15" x14ac:dyDescent="0.3">
      <c r="D30515" s="25"/>
      <c r="F30515" s="21"/>
      <c r="G30515" s="16"/>
    </row>
    <row r="30516" spans="4:7" ht="15" x14ac:dyDescent="0.3">
      <c r="D30516" s="25"/>
      <c r="F30516" s="21"/>
      <c r="G30516" s="16"/>
    </row>
    <row r="30517" spans="4:7" ht="15" x14ac:dyDescent="0.3">
      <c r="D30517" s="25"/>
      <c r="F30517" s="21"/>
      <c r="G30517" s="16"/>
    </row>
    <row r="30518" spans="4:7" ht="15" x14ac:dyDescent="0.3">
      <c r="D30518" s="25"/>
      <c r="F30518" s="21"/>
      <c r="G30518" s="16"/>
    </row>
    <row r="30519" spans="4:7" ht="15" x14ac:dyDescent="0.3">
      <c r="D30519" s="25"/>
      <c r="F30519" s="21"/>
      <c r="G30519" s="16"/>
    </row>
    <row r="30520" spans="4:7" ht="15" x14ac:dyDescent="0.3">
      <c r="D30520" s="25"/>
      <c r="F30520" s="21"/>
      <c r="G30520" s="16"/>
    </row>
    <row r="30521" spans="4:7" ht="15" x14ac:dyDescent="0.3">
      <c r="D30521" s="25"/>
      <c r="F30521" s="21"/>
      <c r="G30521" s="16"/>
    </row>
    <row r="30522" spans="4:7" ht="15" x14ac:dyDescent="0.3">
      <c r="D30522" s="25"/>
      <c r="F30522" s="21"/>
      <c r="G30522" s="16"/>
    </row>
    <row r="30523" spans="4:7" ht="15" x14ac:dyDescent="0.3">
      <c r="D30523" s="25"/>
      <c r="F30523" s="21"/>
      <c r="G30523" s="16"/>
    </row>
    <row r="30524" spans="4:7" ht="15" x14ac:dyDescent="0.3">
      <c r="D30524" s="25"/>
      <c r="F30524" s="21"/>
      <c r="G30524" s="16"/>
    </row>
    <row r="30525" spans="4:7" ht="15" x14ac:dyDescent="0.3">
      <c r="D30525" s="25"/>
      <c r="F30525" s="21"/>
      <c r="G30525" s="16"/>
    </row>
    <row r="30526" spans="4:7" ht="15" x14ac:dyDescent="0.3">
      <c r="D30526" s="25"/>
      <c r="F30526" s="21"/>
      <c r="G30526" s="16"/>
    </row>
    <row r="30527" spans="4:7" ht="15" x14ac:dyDescent="0.3">
      <c r="D30527" s="25"/>
      <c r="F30527" s="21"/>
      <c r="G30527" s="16"/>
    </row>
    <row r="30528" spans="4:7" ht="15" x14ac:dyDescent="0.3">
      <c r="D30528" s="25"/>
      <c r="F30528" s="21"/>
      <c r="G30528" s="16"/>
    </row>
    <row r="30529" spans="4:7" ht="15" x14ac:dyDescent="0.3">
      <c r="D30529" s="25"/>
      <c r="F30529" s="21"/>
      <c r="G30529" s="16"/>
    </row>
    <row r="30530" spans="4:7" ht="15" x14ac:dyDescent="0.3">
      <c r="D30530" s="25"/>
      <c r="F30530" s="21"/>
      <c r="G30530" s="16"/>
    </row>
    <row r="30531" spans="4:7" ht="15" x14ac:dyDescent="0.3">
      <c r="D30531" s="25"/>
      <c r="F30531" s="21"/>
      <c r="G30531" s="16"/>
    </row>
    <row r="30532" spans="4:7" ht="15" x14ac:dyDescent="0.3">
      <c r="D30532" s="25"/>
      <c r="F30532" s="21"/>
      <c r="G30532" s="16"/>
    </row>
    <row r="30533" spans="4:7" ht="15" x14ac:dyDescent="0.3">
      <c r="D30533" s="25"/>
      <c r="F30533" s="21"/>
      <c r="G30533" s="16"/>
    </row>
    <row r="30534" spans="4:7" ht="15" x14ac:dyDescent="0.3">
      <c r="D30534" s="25"/>
      <c r="F30534" s="21"/>
      <c r="G30534" s="16"/>
    </row>
    <row r="30535" spans="4:7" ht="15" x14ac:dyDescent="0.3">
      <c r="D30535" s="25"/>
      <c r="F30535" s="21"/>
      <c r="G30535" s="16"/>
    </row>
    <row r="30536" spans="4:7" ht="15" x14ac:dyDescent="0.3">
      <c r="D30536" s="25"/>
      <c r="F30536" s="21"/>
      <c r="G30536" s="16"/>
    </row>
    <row r="30537" spans="4:7" ht="15" x14ac:dyDescent="0.3">
      <c r="D30537" s="25"/>
      <c r="F30537" s="21"/>
      <c r="G30537" s="16"/>
    </row>
    <row r="30538" spans="4:7" ht="15" x14ac:dyDescent="0.3">
      <c r="D30538" s="25"/>
      <c r="F30538" s="21"/>
      <c r="G30538" s="16"/>
    </row>
    <row r="30539" spans="4:7" ht="15" x14ac:dyDescent="0.3">
      <c r="D30539" s="25"/>
      <c r="F30539" s="21"/>
      <c r="G30539" s="16"/>
    </row>
    <row r="30540" spans="4:7" ht="15" x14ac:dyDescent="0.3">
      <c r="D30540" s="25"/>
      <c r="F30540" s="21"/>
      <c r="G30540" s="16"/>
    </row>
    <row r="30541" spans="4:7" ht="15" x14ac:dyDescent="0.3">
      <c r="D30541" s="25"/>
      <c r="F30541" s="21"/>
      <c r="G30541" s="16"/>
    </row>
    <row r="30542" spans="4:7" ht="15" x14ac:dyDescent="0.3">
      <c r="D30542" s="25"/>
      <c r="F30542" s="21"/>
      <c r="G30542" s="16"/>
    </row>
    <row r="30543" spans="4:7" ht="15" x14ac:dyDescent="0.3">
      <c r="D30543" s="25"/>
      <c r="F30543" s="21"/>
      <c r="G30543" s="16"/>
    </row>
    <row r="30544" spans="4:7" ht="15" x14ac:dyDescent="0.3">
      <c r="D30544" s="25"/>
      <c r="F30544" s="21"/>
      <c r="G30544" s="16"/>
    </row>
    <row r="30545" spans="4:7" ht="15" x14ac:dyDescent="0.3">
      <c r="D30545" s="25"/>
      <c r="F30545" s="21"/>
      <c r="G30545" s="16"/>
    </row>
    <row r="30546" spans="4:7" ht="15" x14ac:dyDescent="0.3">
      <c r="D30546" s="25"/>
      <c r="F30546" s="21"/>
      <c r="G30546" s="16"/>
    </row>
    <row r="30547" spans="4:7" ht="15" x14ac:dyDescent="0.3">
      <c r="D30547" s="25"/>
      <c r="F30547" s="21"/>
      <c r="G30547" s="16"/>
    </row>
    <row r="30548" spans="4:7" ht="15" x14ac:dyDescent="0.3">
      <c r="D30548" s="25"/>
      <c r="F30548" s="21"/>
      <c r="G30548" s="16"/>
    </row>
    <row r="30549" spans="4:7" ht="15" x14ac:dyDescent="0.3">
      <c r="D30549" s="25"/>
      <c r="F30549" s="21"/>
      <c r="G30549" s="16"/>
    </row>
    <row r="30550" spans="4:7" ht="15" x14ac:dyDescent="0.3">
      <c r="D30550" s="25"/>
      <c r="F30550" s="21"/>
      <c r="G30550" s="16"/>
    </row>
    <row r="30551" spans="4:7" ht="15" x14ac:dyDescent="0.3">
      <c r="D30551" s="25"/>
      <c r="F30551" s="21"/>
      <c r="G30551" s="16"/>
    </row>
    <row r="30552" spans="4:7" ht="15" x14ac:dyDescent="0.3">
      <c r="D30552" s="25"/>
      <c r="F30552" s="21"/>
      <c r="G30552" s="16"/>
    </row>
    <row r="30553" spans="4:7" ht="15" x14ac:dyDescent="0.3">
      <c r="D30553" s="25"/>
      <c r="F30553" s="21"/>
      <c r="G30553" s="16"/>
    </row>
    <row r="30554" spans="4:7" ht="15" x14ac:dyDescent="0.3">
      <c r="D30554" s="25"/>
      <c r="F30554" s="21"/>
      <c r="G30554" s="16"/>
    </row>
    <row r="30555" spans="4:7" ht="15" x14ac:dyDescent="0.3">
      <c r="D30555" s="25"/>
      <c r="F30555" s="21"/>
      <c r="G30555" s="16"/>
    </row>
    <row r="30556" spans="4:7" ht="15" x14ac:dyDescent="0.3">
      <c r="D30556" s="25"/>
      <c r="F30556" s="21"/>
      <c r="G30556" s="16"/>
    </row>
    <row r="30557" spans="4:7" ht="15" x14ac:dyDescent="0.3">
      <c r="D30557" s="25"/>
      <c r="F30557" s="21"/>
      <c r="G30557" s="16"/>
    </row>
    <row r="30558" spans="4:7" ht="15" x14ac:dyDescent="0.3">
      <c r="D30558" s="25"/>
      <c r="F30558" s="21"/>
      <c r="G30558" s="16"/>
    </row>
    <row r="30559" spans="4:7" ht="15" x14ac:dyDescent="0.3">
      <c r="D30559" s="25"/>
      <c r="F30559" s="21"/>
      <c r="G30559" s="16"/>
    </row>
    <row r="30560" spans="4:7" ht="15" x14ac:dyDescent="0.3">
      <c r="D30560" s="25"/>
      <c r="F30560" s="21"/>
      <c r="G30560" s="16"/>
    </row>
    <row r="30561" spans="4:7" ht="15" x14ac:dyDescent="0.3">
      <c r="D30561" s="25"/>
      <c r="F30561" s="21"/>
      <c r="G30561" s="16"/>
    </row>
    <row r="30562" spans="4:7" ht="15" x14ac:dyDescent="0.3">
      <c r="D30562" s="25"/>
      <c r="F30562" s="21"/>
      <c r="G30562" s="16"/>
    </row>
    <row r="30563" spans="4:7" ht="15" x14ac:dyDescent="0.3">
      <c r="D30563" s="25"/>
      <c r="F30563" s="21"/>
      <c r="G30563" s="16"/>
    </row>
    <row r="30564" spans="4:7" ht="15" x14ac:dyDescent="0.3">
      <c r="D30564" s="25"/>
      <c r="F30564" s="21"/>
      <c r="G30564" s="16"/>
    </row>
    <row r="30565" spans="4:7" ht="15" x14ac:dyDescent="0.3">
      <c r="D30565" s="25"/>
      <c r="F30565" s="21"/>
      <c r="G30565" s="16"/>
    </row>
    <row r="30566" spans="4:7" ht="15" x14ac:dyDescent="0.3">
      <c r="D30566" s="25"/>
      <c r="F30566" s="21"/>
      <c r="G30566" s="16"/>
    </row>
    <row r="30567" spans="4:7" ht="15" x14ac:dyDescent="0.3">
      <c r="D30567" s="25"/>
      <c r="F30567" s="21"/>
      <c r="G30567" s="16"/>
    </row>
    <row r="30568" spans="4:7" ht="15" x14ac:dyDescent="0.3">
      <c r="D30568" s="25"/>
      <c r="F30568" s="21"/>
      <c r="G30568" s="16"/>
    </row>
    <row r="30569" spans="4:7" ht="15" x14ac:dyDescent="0.3">
      <c r="D30569" s="25"/>
      <c r="F30569" s="21"/>
      <c r="G30569" s="16"/>
    </row>
    <row r="30570" spans="4:7" ht="15" x14ac:dyDescent="0.3">
      <c r="D30570" s="25"/>
      <c r="F30570" s="21"/>
      <c r="G30570" s="16"/>
    </row>
    <row r="30571" spans="4:7" ht="15" x14ac:dyDescent="0.3">
      <c r="D30571" s="25"/>
      <c r="F30571" s="21"/>
      <c r="G30571" s="16"/>
    </row>
    <row r="30572" spans="4:7" ht="15" x14ac:dyDescent="0.3">
      <c r="D30572" s="25"/>
      <c r="F30572" s="21"/>
      <c r="G30572" s="16"/>
    </row>
    <row r="30573" spans="4:7" ht="15" x14ac:dyDescent="0.3">
      <c r="D30573" s="25"/>
      <c r="F30573" s="21"/>
      <c r="G30573" s="16"/>
    </row>
    <row r="30574" spans="4:7" ht="15" x14ac:dyDescent="0.3">
      <c r="D30574" s="25"/>
      <c r="F30574" s="21"/>
      <c r="G30574" s="16"/>
    </row>
    <row r="30575" spans="4:7" ht="15" x14ac:dyDescent="0.3">
      <c r="D30575" s="25"/>
      <c r="F30575" s="21"/>
      <c r="G30575" s="16"/>
    </row>
    <row r="30576" spans="4:7" ht="15" x14ac:dyDescent="0.3">
      <c r="D30576" s="25"/>
      <c r="F30576" s="21"/>
      <c r="G30576" s="16"/>
    </row>
    <row r="30577" spans="4:7" ht="15" x14ac:dyDescent="0.3">
      <c r="D30577" s="25"/>
      <c r="F30577" s="21"/>
      <c r="G30577" s="16"/>
    </row>
    <row r="30578" spans="4:7" ht="15" x14ac:dyDescent="0.3">
      <c r="D30578" s="25"/>
      <c r="F30578" s="21"/>
      <c r="G30578" s="16"/>
    </row>
    <row r="30579" spans="4:7" ht="15" x14ac:dyDescent="0.3">
      <c r="D30579" s="25"/>
      <c r="F30579" s="21"/>
      <c r="G30579" s="16"/>
    </row>
    <row r="30580" spans="4:7" ht="15" x14ac:dyDescent="0.3">
      <c r="D30580" s="25"/>
      <c r="F30580" s="21"/>
      <c r="G30580" s="16"/>
    </row>
    <row r="30581" spans="4:7" ht="15" x14ac:dyDescent="0.3">
      <c r="D30581" s="25"/>
      <c r="F30581" s="21"/>
      <c r="G30581" s="16"/>
    </row>
    <row r="30582" spans="4:7" ht="15" x14ac:dyDescent="0.3">
      <c r="D30582" s="25"/>
      <c r="F30582" s="21"/>
      <c r="G30582" s="16"/>
    </row>
    <row r="30583" spans="4:7" ht="15" x14ac:dyDescent="0.3">
      <c r="D30583" s="25"/>
      <c r="F30583" s="21"/>
      <c r="G30583" s="16"/>
    </row>
    <row r="30584" spans="4:7" ht="15" x14ac:dyDescent="0.3">
      <c r="D30584" s="25"/>
      <c r="F30584" s="21"/>
      <c r="G30584" s="16"/>
    </row>
    <row r="30585" spans="4:7" ht="15" x14ac:dyDescent="0.3">
      <c r="D30585" s="25"/>
      <c r="F30585" s="21"/>
      <c r="G30585" s="16"/>
    </row>
    <row r="30586" spans="4:7" ht="15" x14ac:dyDescent="0.3">
      <c r="D30586" s="25"/>
      <c r="F30586" s="21"/>
      <c r="G30586" s="16"/>
    </row>
    <row r="30587" spans="4:7" ht="15" x14ac:dyDescent="0.3">
      <c r="D30587" s="25"/>
      <c r="F30587" s="21"/>
      <c r="G30587" s="16"/>
    </row>
    <row r="30588" spans="4:7" ht="15" x14ac:dyDescent="0.3">
      <c r="D30588" s="25"/>
      <c r="F30588" s="21"/>
      <c r="G30588" s="16"/>
    </row>
    <row r="30589" spans="4:7" ht="15" x14ac:dyDescent="0.3">
      <c r="D30589" s="25"/>
      <c r="F30589" s="21"/>
      <c r="G30589" s="16"/>
    </row>
    <row r="30590" spans="4:7" ht="15" x14ac:dyDescent="0.3">
      <c r="D30590" s="25"/>
      <c r="F30590" s="21"/>
      <c r="G30590" s="16"/>
    </row>
    <row r="30591" spans="4:7" ht="15" x14ac:dyDescent="0.3">
      <c r="D30591" s="25"/>
      <c r="F30591" s="21"/>
      <c r="G30591" s="16"/>
    </row>
    <row r="30592" spans="4:7" ht="15" x14ac:dyDescent="0.3">
      <c r="D30592" s="25"/>
      <c r="F30592" s="21"/>
      <c r="G30592" s="16"/>
    </row>
    <row r="30593" spans="4:7" ht="15" x14ac:dyDescent="0.3">
      <c r="D30593" s="25"/>
      <c r="F30593" s="21"/>
      <c r="G30593" s="16"/>
    </row>
    <row r="30594" spans="4:7" ht="15" x14ac:dyDescent="0.3">
      <c r="D30594" s="25"/>
      <c r="F30594" s="21"/>
      <c r="G30594" s="16"/>
    </row>
    <row r="30595" spans="4:7" ht="15" x14ac:dyDescent="0.3">
      <c r="D30595" s="25"/>
      <c r="F30595" s="21"/>
      <c r="G30595" s="16"/>
    </row>
    <row r="30596" spans="4:7" ht="15" x14ac:dyDescent="0.3">
      <c r="D30596" s="25"/>
      <c r="F30596" s="21"/>
      <c r="G30596" s="16"/>
    </row>
    <row r="30597" spans="4:7" ht="15" x14ac:dyDescent="0.3">
      <c r="D30597" s="25"/>
      <c r="F30597" s="21"/>
      <c r="G30597" s="16"/>
    </row>
    <row r="30598" spans="4:7" ht="15" x14ac:dyDescent="0.3">
      <c r="D30598" s="25"/>
      <c r="F30598" s="21"/>
      <c r="G30598" s="16"/>
    </row>
    <row r="30599" spans="4:7" ht="15" x14ac:dyDescent="0.3">
      <c r="D30599" s="25"/>
      <c r="F30599" s="21"/>
      <c r="G30599" s="16"/>
    </row>
    <row r="30600" spans="4:7" ht="15" x14ac:dyDescent="0.3">
      <c r="D30600" s="25"/>
      <c r="F30600" s="21"/>
      <c r="G30600" s="16"/>
    </row>
    <row r="30601" spans="4:7" ht="15" x14ac:dyDescent="0.3">
      <c r="D30601" s="25"/>
      <c r="F30601" s="21"/>
      <c r="G30601" s="16"/>
    </row>
    <row r="30602" spans="4:7" ht="15" x14ac:dyDescent="0.3">
      <c r="D30602" s="25"/>
      <c r="F30602" s="21"/>
      <c r="G30602" s="16"/>
    </row>
    <row r="30603" spans="4:7" ht="15" x14ac:dyDescent="0.3">
      <c r="D30603" s="25"/>
      <c r="F30603" s="21"/>
      <c r="G30603" s="16"/>
    </row>
    <row r="30604" spans="4:7" ht="15" x14ac:dyDescent="0.3">
      <c r="D30604" s="25"/>
      <c r="F30604" s="21"/>
      <c r="G30604" s="16"/>
    </row>
    <row r="30605" spans="4:7" ht="15" x14ac:dyDescent="0.3">
      <c r="D30605" s="25"/>
      <c r="F30605" s="21"/>
      <c r="G30605" s="16"/>
    </row>
    <row r="30606" spans="4:7" ht="15" x14ac:dyDescent="0.3">
      <c r="D30606" s="25"/>
      <c r="F30606" s="21"/>
      <c r="G30606" s="16"/>
    </row>
    <row r="30607" spans="4:7" ht="15" x14ac:dyDescent="0.3">
      <c r="D30607" s="25"/>
      <c r="F30607" s="21"/>
      <c r="G30607" s="16"/>
    </row>
    <row r="30608" spans="4:7" ht="15" x14ac:dyDescent="0.3">
      <c r="D30608" s="25"/>
      <c r="F30608" s="21"/>
      <c r="G30608" s="16"/>
    </row>
    <row r="30609" spans="4:7" ht="15" x14ac:dyDescent="0.3">
      <c r="D30609" s="25"/>
      <c r="F30609" s="21"/>
      <c r="G30609" s="16"/>
    </row>
    <row r="30610" spans="4:7" ht="15" x14ac:dyDescent="0.3">
      <c r="D30610" s="25"/>
      <c r="F30610" s="21"/>
      <c r="G30610" s="16"/>
    </row>
    <row r="30611" spans="4:7" ht="15" x14ac:dyDescent="0.3">
      <c r="D30611" s="25"/>
      <c r="F30611" s="21"/>
      <c r="G30611" s="16"/>
    </row>
    <row r="30612" spans="4:7" ht="15" x14ac:dyDescent="0.3">
      <c r="D30612" s="25"/>
      <c r="F30612" s="21"/>
      <c r="G30612" s="16"/>
    </row>
    <row r="30613" spans="4:7" ht="15" x14ac:dyDescent="0.3">
      <c r="D30613" s="25"/>
      <c r="F30613" s="21"/>
      <c r="G30613" s="16"/>
    </row>
    <row r="30614" spans="4:7" ht="15" x14ac:dyDescent="0.3">
      <c r="D30614" s="25"/>
      <c r="F30614" s="21"/>
      <c r="G30614" s="16"/>
    </row>
    <row r="30615" spans="4:7" ht="15" x14ac:dyDescent="0.3">
      <c r="D30615" s="25"/>
      <c r="F30615" s="21"/>
      <c r="G30615" s="16"/>
    </row>
    <row r="30616" spans="4:7" ht="15" x14ac:dyDescent="0.3">
      <c r="D30616" s="25"/>
      <c r="F30616" s="21"/>
      <c r="G30616" s="16"/>
    </row>
    <row r="30617" spans="4:7" ht="15" x14ac:dyDescent="0.3">
      <c r="D30617" s="25"/>
      <c r="F30617" s="21"/>
      <c r="G30617" s="16"/>
    </row>
    <row r="30618" spans="4:7" ht="15" x14ac:dyDescent="0.3">
      <c r="D30618" s="25"/>
      <c r="F30618" s="21"/>
      <c r="G30618" s="16"/>
    </row>
    <row r="30619" spans="4:7" ht="15" x14ac:dyDescent="0.3">
      <c r="D30619" s="25"/>
      <c r="F30619" s="21"/>
      <c r="G30619" s="16"/>
    </row>
    <row r="30620" spans="4:7" ht="15" x14ac:dyDescent="0.3">
      <c r="D30620" s="25"/>
      <c r="F30620" s="21"/>
      <c r="G30620" s="16"/>
    </row>
    <row r="30621" spans="4:7" ht="15" x14ac:dyDescent="0.3">
      <c r="D30621" s="25"/>
      <c r="F30621" s="21"/>
      <c r="G30621" s="16"/>
    </row>
    <row r="30622" spans="4:7" ht="15" x14ac:dyDescent="0.3">
      <c r="D30622" s="25"/>
      <c r="F30622" s="21"/>
      <c r="G30622" s="16"/>
    </row>
    <row r="30623" spans="4:7" ht="15" x14ac:dyDescent="0.3">
      <c r="D30623" s="25"/>
      <c r="F30623" s="21"/>
      <c r="G30623" s="16"/>
    </row>
    <row r="30624" spans="4:7" ht="15" x14ac:dyDescent="0.3">
      <c r="D30624" s="25"/>
      <c r="F30624" s="21"/>
      <c r="G30624" s="16"/>
    </row>
    <row r="30625" spans="4:7" ht="15" x14ac:dyDescent="0.3">
      <c r="D30625" s="25"/>
      <c r="F30625" s="21"/>
      <c r="G30625" s="16"/>
    </row>
    <row r="30626" spans="4:7" ht="15" x14ac:dyDescent="0.3">
      <c r="D30626" s="25"/>
      <c r="F30626" s="21"/>
      <c r="G30626" s="16"/>
    </row>
    <row r="30627" spans="4:7" ht="15" x14ac:dyDescent="0.3">
      <c r="D30627" s="25"/>
      <c r="F30627" s="21"/>
      <c r="G30627" s="16"/>
    </row>
    <row r="30628" spans="4:7" ht="15" x14ac:dyDescent="0.3">
      <c r="D30628" s="25"/>
      <c r="F30628" s="21"/>
      <c r="G30628" s="16"/>
    </row>
    <row r="30629" spans="4:7" ht="15" x14ac:dyDescent="0.3">
      <c r="D30629" s="25"/>
      <c r="F30629" s="21"/>
      <c r="G30629" s="16"/>
    </row>
    <row r="30630" spans="4:7" ht="15" x14ac:dyDescent="0.3">
      <c r="D30630" s="25"/>
      <c r="F30630" s="21"/>
      <c r="G30630" s="16"/>
    </row>
    <row r="30631" spans="4:7" ht="15" x14ac:dyDescent="0.3">
      <c r="D30631" s="25"/>
      <c r="F30631" s="21"/>
      <c r="G30631" s="16"/>
    </row>
    <row r="30632" spans="4:7" ht="15" x14ac:dyDescent="0.3">
      <c r="D30632" s="25"/>
      <c r="F30632" s="21"/>
      <c r="G30632" s="16"/>
    </row>
    <row r="30633" spans="4:7" ht="15" x14ac:dyDescent="0.3">
      <c r="D30633" s="25"/>
      <c r="F30633" s="21"/>
      <c r="G30633" s="16"/>
    </row>
    <row r="30634" spans="4:7" ht="15" x14ac:dyDescent="0.3">
      <c r="D30634" s="25"/>
      <c r="F30634" s="21"/>
      <c r="G30634" s="16"/>
    </row>
    <row r="30635" spans="4:7" ht="15" x14ac:dyDescent="0.3">
      <c r="D30635" s="25"/>
      <c r="F30635" s="21"/>
      <c r="G30635" s="16"/>
    </row>
    <row r="30636" spans="4:7" ht="15" x14ac:dyDescent="0.3">
      <c r="D30636" s="25"/>
      <c r="F30636" s="21"/>
      <c r="G30636" s="16"/>
    </row>
    <row r="30637" spans="4:7" ht="15" x14ac:dyDescent="0.3">
      <c r="D30637" s="25"/>
      <c r="F30637" s="21"/>
      <c r="G30637" s="16"/>
    </row>
    <row r="30638" spans="4:7" ht="15" x14ac:dyDescent="0.3">
      <c r="D30638" s="25"/>
      <c r="F30638" s="21"/>
      <c r="G30638" s="16"/>
    </row>
    <row r="30639" spans="4:7" ht="15" x14ac:dyDescent="0.3">
      <c r="D30639" s="25"/>
      <c r="F30639" s="21"/>
      <c r="G30639" s="16"/>
    </row>
    <row r="30640" spans="4:7" ht="15" x14ac:dyDescent="0.3">
      <c r="D30640" s="25"/>
      <c r="F30640" s="21"/>
      <c r="G30640" s="16"/>
    </row>
    <row r="30641" spans="4:7" ht="15" x14ac:dyDescent="0.3">
      <c r="D30641" s="25"/>
      <c r="F30641" s="21"/>
      <c r="G30641" s="16"/>
    </row>
    <row r="30642" spans="4:7" ht="15" x14ac:dyDescent="0.3">
      <c r="D30642" s="25"/>
      <c r="F30642" s="21"/>
      <c r="G30642" s="16"/>
    </row>
    <row r="30643" spans="4:7" ht="15" x14ac:dyDescent="0.3">
      <c r="D30643" s="25"/>
      <c r="F30643" s="21"/>
      <c r="G30643" s="16"/>
    </row>
    <row r="30644" spans="4:7" ht="15" x14ac:dyDescent="0.3">
      <c r="D30644" s="25"/>
      <c r="F30644" s="21"/>
      <c r="G30644" s="16"/>
    </row>
    <row r="30645" spans="4:7" ht="15" x14ac:dyDescent="0.3">
      <c r="D30645" s="25"/>
      <c r="F30645" s="21"/>
      <c r="G30645" s="16"/>
    </row>
    <row r="30646" spans="4:7" ht="15" x14ac:dyDescent="0.3">
      <c r="D30646" s="25"/>
      <c r="F30646" s="21"/>
      <c r="G30646" s="16"/>
    </row>
    <row r="30647" spans="4:7" ht="15" x14ac:dyDescent="0.3">
      <c r="D30647" s="25"/>
      <c r="F30647" s="21"/>
      <c r="G30647" s="16"/>
    </row>
    <row r="30648" spans="4:7" ht="15" x14ac:dyDescent="0.3">
      <c r="D30648" s="25"/>
      <c r="F30648" s="21"/>
      <c r="G30648" s="16"/>
    </row>
    <row r="30649" spans="4:7" ht="15" x14ac:dyDescent="0.3">
      <c r="D30649" s="25"/>
      <c r="F30649" s="21"/>
      <c r="G30649" s="16"/>
    </row>
    <row r="30650" spans="4:7" ht="15" x14ac:dyDescent="0.3">
      <c r="D30650" s="25"/>
      <c r="F30650" s="21"/>
      <c r="G30650" s="16"/>
    </row>
    <row r="30651" spans="4:7" ht="15" x14ac:dyDescent="0.3">
      <c r="D30651" s="25"/>
      <c r="F30651" s="21"/>
      <c r="G30651" s="16"/>
    </row>
    <row r="30652" spans="4:7" ht="15" x14ac:dyDescent="0.3">
      <c r="D30652" s="25"/>
      <c r="F30652" s="21"/>
      <c r="G30652" s="16"/>
    </row>
    <row r="30653" spans="4:7" ht="15" x14ac:dyDescent="0.3">
      <c r="D30653" s="25"/>
      <c r="F30653" s="21"/>
      <c r="G30653" s="16"/>
    </row>
    <row r="30654" spans="4:7" ht="15" x14ac:dyDescent="0.3">
      <c r="D30654" s="25"/>
      <c r="F30654" s="21"/>
      <c r="G30654" s="16"/>
    </row>
    <row r="30655" spans="4:7" ht="15" x14ac:dyDescent="0.3">
      <c r="D30655" s="25"/>
      <c r="F30655" s="21"/>
      <c r="G30655" s="16"/>
    </row>
    <row r="30656" spans="4:7" ht="15" x14ac:dyDescent="0.3">
      <c r="D30656" s="25"/>
      <c r="F30656" s="21"/>
      <c r="G30656" s="16"/>
    </row>
    <row r="30657" spans="4:7" ht="15" x14ac:dyDescent="0.3">
      <c r="D30657" s="25"/>
      <c r="F30657" s="21"/>
      <c r="G30657" s="16"/>
    </row>
    <row r="30658" spans="4:7" ht="15" x14ac:dyDescent="0.3">
      <c r="D30658" s="25"/>
      <c r="F30658" s="21"/>
      <c r="G30658" s="16"/>
    </row>
    <row r="30659" spans="4:7" ht="15" x14ac:dyDescent="0.3">
      <c r="D30659" s="25"/>
      <c r="F30659" s="21"/>
      <c r="G30659" s="16"/>
    </row>
    <row r="30660" spans="4:7" ht="15" x14ac:dyDescent="0.3">
      <c r="D30660" s="25"/>
      <c r="F30660" s="21"/>
      <c r="G30660" s="16"/>
    </row>
    <row r="30661" spans="4:7" ht="15" x14ac:dyDescent="0.3">
      <c r="D30661" s="25"/>
      <c r="F30661" s="21"/>
      <c r="G30661" s="16"/>
    </row>
    <row r="30662" spans="4:7" ht="15" x14ac:dyDescent="0.3">
      <c r="D30662" s="25"/>
      <c r="F30662" s="21"/>
      <c r="G30662" s="16"/>
    </row>
    <row r="30663" spans="4:7" ht="15" x14ac:dyDescent="0.3">
      <c r="D30663" s="25"/>
      <c r="F30663" s="21"/>
      <c r="G30663" s="16"/>
    </row>
    <row r="30664" spans="4:7" ht="15" x14ac:dyDescent="0.3">
      <c r="D30664" s="25"/>
      <c r="F30664" s="21"/>
      <c r="G30664" s="16"/>
    </row>
    <row r="30665" spans="4:7" ht="15" x14ac:dyDescent="0.3">
      <c r="D30665" s="25"/>
      <c r="F30665" s="21"/>
      <c r="G30665" s="16"/>
    </row>
    <row r="30666" spans="4:7" ht="15" x14ac:dyDescent="0.3">
      <c r="D30666" s="25"/>
      <c r="F30666" s="21"/>
      <c r="G30666" s="16"/>
    </row>
    <row r="30667" spans="4:7" ht="15" x14ac:dyDescent="0.3">
      <c r="D30667" s="25"/>
      <c r="F30667" s="21"/>
      <c r="G30667" s="16"/>
    </row>
    <row r="30668" spans="4:7" ht="15" x14ac:dyDescent="0.3">
      <c r="D30668" s="25"/>
      <c r="F30668" s="21"/>
      <c r="G30668" s="16"/>
    </row>
    <row r="30669" spans="4:7" ht="15" x14ac:dyDescent="0.3">
      <c r="D30669" s="25"/>
      <c r="F30669" s="21"/>
      <c r="G30669" s="16"/>
    </row>
    <row r="30670" spans="4:7" ht="15" x14ac:dyDescent="0.3">
      <c r="D30670" s="25"/>
      <c r="F30670" s="21"/>
      <c r="G30670" s="16"/>
    </row>
    <row r="30671" spans="4:7" ht="15" x14ac:dyDescent="0.3">
      <c r="D30671" s="25"/>
      <c r="F30671" s="21"/>
      <c r="G30671" s="16"/>
    </row>
    <row r="30672" spans="4:7" ht="15" x14ac:dyDescent="0.3">
      <c r="D30672" s="25"/>
      <c r="F30672" s="21"/>
      <c r="G30672" s="16"/>
    </row>
    <row r="30673" spans="4:7" ht="15" x14ac:dyDescent="0.3">
      <c r="D30673" s="25"/>
      <c r="F30673" s="21"/>
      <c r="G30673" s="16"/>
    </row>
    <row r="30674" spans="4:7" ht="15" x14ac:dyDescent="0.3">
      <c r="D30674" s="25"/>
      <c r="F30674" s="21"/>
      <c r="G30674" s="16"/>
    </row>
    <row r="30675" spans="4:7" ht="15" x14ac:dyDescent="0.3">
      <c r="D30675" s="25"/>
      <c r="F30675" s="21"/>
      <c r="G30675" s="16"/>
    </row>
    <row r="30676" spans="4:7" ht="15" x14ac:dyDescent="0.3">
      <c r="D30676" s="25"/>
      <c r="F30676" s="21"/>
      <c r="G30676" s="16"/>
    </row>
    <row r="30677" spans="4:7" ht="15" x14ac:dyDescent="0.3">
      <c r="D30677" s="25"/>
      <c r="F30677" s="21"/>
      <c r="G30677" s="16"/>
    </row>
    <row r="30678" spans="4:7" ht="15" x14ac:dyDescent="0.3">
      <c r="D30678" s="25"/>
      <c r="F30678" s="21"/>
      <c r="G30678" s="16"/>
    </row>
    <row r="30679" spans="4:7" ht="15" x14ac:dyDescent="0.3">
      <c r="D30679" s="25"/>
      <c r="F30679" s="21"/>
      <c r="G30679" s="16"/>
    </row>
    <row r="30680" spans="4:7" ht="15" x14ac:dyDescent="0.3">
      <c r="D30680" s="25"/>
      <c r="F30680" s="21"/>
      <c r="G30680" s="16"/>
    </row>
    <row r="30681" spans="4:7" ht="15" x14ac:dyDescent="0.3">
      <c r="D30681" s="25"/>
      <c r="F30681" s="21"/>
      <c r="G30681" s="16"/>
    </row>
    <row r="30682" spans="4:7" ht="15" x14ac:dyDescent="0.3">
      <c r="D30682" s="25"/>
      <c r="F30682" s="21"/>
      <c r="G30682" s="16"/>
    </row>
    <row r="30683" spans="4:7" ht="15" x14ac:dyDescent="0.3">
      <c r="D30683" s="25"/>
      <c r="F30683" s="21"/>
      <c r="G30683" s="16"/>
    </row>
    <row r="30684" spans="4:7" ht="15" x14ac:dyDescent="0.3">
      <c r="D30684" s="25"/>
      <c r="F30684" s="21"/>
      <c r="G30684" s="16"/>
    </row>
    <row r="30685" spans="4:7" ht="15" x14ac:dyDescent="0.3">
      <c r="D30685" s="25"/>
      <c r="F30685" s="21"/>
      <c r="G30685" s="16"/>
    </row>
    <row r="30686" spans="4:7" ht="15" x14ac:dyDescent="0.3">
      <c r="D30686" s="25"/>
      <c r="F30686" s="21"/>
      <c r="G30686" s="16"/>
    </row>
    <row r="30687" spans="4:7" ht="15" x14ac:dyDescent="0.3">
      <c r="D30687" s="25"/>
      <c r="F30687" s="21"/>
      <c r="G30687" s="16"/>
    </row>
    <row r="30688" spans="4:7" ht="15" x14ac:dyDescent="0.3">
      <c r="D30688" s="25"/>
      <c r="F30688" s="21"/>
      <c r="G30688" s="16"/>
    </row>
    <row r="30689" spans="4:7" ht="15" x14ac:dyDescent="0.3">
      <c r="D30689" s="25"/>
      <c r="F30689" s="21"/>
      <c r="G30689" s="16"/>
    </row>
    <row r="30690" spans="4:7" ht="15" x14ac:dyDescent="0.3">
      <c r="D30690" s="25"/>
      <c r="F30690" s="21"/>
      <c r="G30690" s="16"/>
    </row>
    <row r="30691" spans="4:7" ht="15" x14ac:dyDescent="0.3">
      <c r="D30691" s="25"/>
      <c r="F30691" s="21"/>
      <c r="G30691" s="16"/>
    </row>
    <row r="30692" spans="4:7" ht="15" x14ac:dyDescent="0.3">
      <c r="D30692" s="25"/>
      <c r="F30692" s="21"/>
      <c r="G30692" s="16"/>
    </row>
    <row r="30693" spans="4:7" ht="15" x14ac:dyDescent="0.3">
      <c r="D30693" s="25"/>
      <c r="F30693" s="21"/>
      <c r="G30693" s="16"/>
    </row>
    <row r="30694" spans="4:7" ht="15" x14ac:dyDescent="0.3">
      <c r="D30694" s="25"/>
      <c r="F30694" s="21"/>
      <c r="G30694" s="16"/>
    </row>
    <row r="30695" spans="4:7" ht="15" x14ac:dyDescent="0.3">
      <c r="D30695" s="25"/>
      <c r="F30695" s="21"/>
      <c r="G30695" s="16"/>
    </row>
    <row r="30696" spans="4:7" ht="15" x14ac:dyDescent="0.3">
      <c r="D30696" s="25"/>
      <c r="F30696" s="21"/>
      <c r="G30696" s="16"/>
    </row>
    <row r="30697" spans="4:7" ht="15" x14ac:dyDescent="0.3">
      <c r="D30697" s="25"/>
      <c r="F30697" s="21"/>
      <c r="G30697" s="16"/>
    </row>
    <row r="30698" spans="4:7" ht="15" x14ac:dyDescent="0.3">
      <c r="D30698" s="25"/>
      <c r="F30698" s="21"/>
      <c r="G30698" s="16"/>
    </row>
    <row r="30699" spans="4:7" ht="15" x14ac:dyDescent="0.3">
      <c r="D30699" s="25"/>
      <c r="F30699" s="21"/>
      <c r="G30699" s="16"/>
    </row>
    <row r="30700" spans="4:7" ht="15" x14ac:dyDescent="0.3">
      <c r="D30700" s="25"/>
      <c r="F30700" s="21"/>
      <c r="G30700" s="16"/>
    </row>
    <row r="30701" spans="4:7" ht="15" x14ac:dyDescent="0.3">
      <c r="D30701" s="25"/>
      <c r="F30701" s="21"/>
      <c r="G30701" s="16"/>
    </row>
    <row r="30702" spans="4:7" ht="15" x14ac:dyDescent="0.3">
      <c r="D30702" s="25"/>
      <c r="F30702" s="21"/>
      <c r="G30702" s="16"/>
    </row>
    <row r="30703" spans="4:7" ht="15" x14ac:dyDescent="0.3">
      <c r="D30703" s="25"/>
      <c r="F30703" s="21"/>
      <c r="G30703" s="16"/>
    </row>
    <row r="30704" spans="4:7" ht="15" x14ac:dyDescent="0.3">
      <c r="D30704" s="25"/>
      <c r="F30704" s="21"/>
      <c r="G30704" s="16"/>
    </row>
    <row r="30705" spans="4:7" ht="15" x14ac:dyDescent="0.3">
      <c r="D30705" s="25"/>
      <c r="F30705" s="21"/>
      <c r="G30705" s="16"/>
    </row>
    <row r="30706" spans="4:7" ht="15" x14ac:dyDescent="0.3">
      <c r="D30706" s="25"/>
      <c r="F30706" s="21"/>
      <c r="G30706" s="16"/>
    </row>
    <row r="30707" spans="4:7" ht="15" x14ac:dyDescent="0.3">
      <c r="D30707" s="25"/>
      <c r="F30707" s="21"/>
      <c r="G30707" s="16"/>
    </row>
    <row r="30708" spans="4:7" ht="15" x14ac:dyDescent="0.3">
      <c r="D30708" s="25"/>
      <c r="F30708" s="21"/>
      <c r="G30708" s="16"/>
    </row>
    <row r="30709" spans="4:7" ht="15" x14ac:dyDescent="0.3">
      <c r="D30709" s="25"/>
      <c r="F30709" s="21"/>
      <c r="G30709" s="16"/>
    </row>
    <row r="30710" spans="4:7" ht="15" x14ac:dyDescent="0.3">
      <c r="D30710" s="25"/>
      <c r="F30710" s="21"/>
      <c r="G30710" s="16"/>
    </row>
    <row r="30711" spans="4:7" ht="15" x14ac:dyDescent="0.3">
      <c r="D30711" s="25"/>
      <c r="F30711" s="21"/>
      <c r="G30711" s="16"/>
    </row>
    <row r="30712" spans="4:7" ht="15" x14ac:dyDescent="0.3">
      <c r="D30712" s="25"/>
      <c r="F30712" s="21"/>
      <c r="G30712" s="16"/>
    </row>
    <row r="30713" spans="4:7" ht="15" x14ac:dyDescent="0.3">
      <c r="D30713" s="25"/>
      <c r="F30713" s="21"/>
      <c r="G30713" s="16"/>
    </row>
    <row r="30714" spans="4:7" ht="15" x14ac:dyDescent="0.3">
      <c r="D30714" s="25"/>
      <c r="F30714" s="21"/>
      <c r="G30714" s="16"/>
    </row>
    <row r="30715" spans="4:7" ht="15" x14ac:dyDescent="0.3">
      <c r="D30715" s="25"/>
      <c r="F30715" s="21"/>
      <c r="G30715" s="16"/>
    </row>
    <row r="30716" spans="4:7" ht="15" x14ac:dyDescent="0.3">
      <c r="D30716" s="25"/>
      <c r="F30716" s="21"/>
      <c r="G30716" s="16"/>
    </row>
    <row r="30717" spans="4:7" ht="15" x14ac:dyDescent="0.3">
      <c r="D30717" s="25"/>
      <c r="F30717" s="21"/>
      <c r="G30717" s="16"/>
    </row>
    <row r="30718" spans="4:7" ht="15" x14ac:dyDescent="0.3">
      <c r="D30718" s="25"/>
      <c r="F30718" s="21"/>
      <c r="G30718" s="16"/>
    </row>
    <row r="30719" spans="4:7" ht="15" x14ac:dyDescent="0.3">
      <c r="D30719" s="25"/>
      <c r="F30719" s="21"/>
      <c r="G30719" s="16"/>
    </row>
    <row r="30720" spans="4:7" ht="15" x14ac:dyDescent="0.3">
      <c r="D30720" s="25"/>
      <c r="F30720" s="21"/>
      <c r="G30720" s="16"/>
    </row>
    <row r="30721" spans="4:7" ht="15" x14ac:dyDescent="0.3">
      <c r="D30721" s="25"/>
      <c r="F30721" s="21"/>
      <c r="G30721" s="16"/>
    </row>
    <row r="30722" spans="4:7" ht="15" x14ac:dyDescent="0.3">
      <c r="D30722" s="25"/>
      <c r="F30722" s="21"/>
      <c r="G30722" s="16"/>
    </row>
    <row r="30723" spans="4:7" ht="15" x14ac:dyDescent="0.3">
      <c r="D30723" s="25"/>
      <c r="F30723" s="21"/>
      <c r="G30723" s="16"/>
    </row>
    <row r="30724" spans="4:7" ht="15" x14ac:dyDescent="0.3">
      <c r="D30724" s="25"/>
      <c r="F30724" s="21"/>
      <c r="G30724" s="16"/>
    </row>
    <row r="30725" spans="4:7" ht="15" x14ac:dyDescent="0.3">
      <c r="D30725" s="25"/>
      <c r="F30725" s="21"/>
      <c r="G30725" s="16"/>
    </row>
    <row r="30726" spans="4:7" ht="15" x14ac:dyDescent="0.3">
      <c r="D30726" s="25"/>
      <c r="F30726" s="21"/>
      <c r="G30726" s="16"/>
    </row>
    <row r="30727" spans="4:7" ht="15" x14ac:dyDescent="0.3">
      <c r="D30727" s="25"/>
      <c r="F30727" s="21"/>
      <c r="G30727" s="16"/>
    </row>
    <row r="30728" spans="4:7" ht="15" x14ac:dyDescent="0.3">
      <c r="D30728" s="25"/>
      <c r="F30728" s="21"/>
      <c r="G30728" s="16"/>
    </row>
    <row r="30729" spans="4:7" ht="15" x14ac:dyDescent="0.3">
      <c r="D30729" s="25"/>
      <c r="F30729" s="21"/>
      <c r="G30729" s="16"/>
    </row>
    <row r="30730" spans="4:7" ht="15" x14ac:dyDescent="0.3">
      <c r="D30730" s="25"/>
      <c r="F30730" s="21"/>
      <c r="G30730" s="16"/>
    </row>
    <row r="30731" spans="4:7" ht="15" x14ac:dyDescent="0.3">
      <c r="D30731" s="25"/>
      <c r="F30731" s="21"/>
      <c r="G30731" s="16"/>
    </row>
    <row r="30732" spans="4:7" ht="15" x14ac:dyDescent="0.3">
      <c r="D30732" s="25"/>
      <c r="F30732" s="21"/>
      <c r="G30732" s="16"/>
    </row>
    <row r="30733" spans="4:7" ht="15" x14ac:dyDescent="0.3">
      <c r="D30733" s="25"/>
      <c r="F30733" s="21"/>
      <c r="G30733" s="16"/>
    </row>
    <row r="30734" spans="4:7" ht="15" x14ac:dyDescent="0.3">
      <c r="D30734" s="25"/>
      <c r="F30734" s="21"/>
      <c r="G30734" s="16"/>
    </row>
    <row r="30735" spans="4:7" ht="15" x14ac:dyDescent="0.3">
      <c r="D30735" s="25"/>
      <c r="F30735" s="21"/>
      <c r="G30735" s="16"/>
    </row>
    <row r="30736" spans="4:7" ht="15" x14ac:dyDescent="0.3">
      <c r="D30736" s="25"/>
      <c r="F30736" s="21"/>
      <c r="G30736" s="16"/>
    </row>
    <row r="30737" spans="4:7" ht="15" x14ac:dyDescent="0.3">
      <c r="D30737" s="25"/>
      <c r="F30737" s="21"/>
      <c r="G30737" s="16"/>
    </row>
    <row r="30738" spans="4:7" ht="15" x14ac:dyDescent="0.3">
      <c r="D30738" s="25"/>
      <c r="F30738" s="21"/>
      <c r="G30738" s="16"/>
    </row>
    <row r="30739" spans="4:7" ht="15" x14ac:dyDescent="0.3">
      <c r="D30739" s="25"/>
      <c r="F30739" s="21"/>
      <c r="G30739" s="16"/>
    </row>
    <row r="30740" spans="4:7" ht="15" x14ac:dyDescent="0.3">
      <c r="D30740" s="25"/>
      <c r="F30740" s="21"/>
      <c r="G30740" s="16"/>
    </row>
    <row r="30741" spans="4:7" ht="15" x14ac:dyDescent="0.3">
      <c r="D30741" s="25"/>
      <c r="F30741" s="21"/>
      <c r="G30741" s="16"/>
    </row>
    <row r="30742" spans="4:7" ht="15" x14ac:dyDescent="0.3">
      <c r="D30742" s="25"/>
      <c r="F30742" s="21"/>
      <c r="G30742" s="16"/>
    </row>
    <row r="30743" spans="4:7" ht="15" x14ac:dyDescent="0.3">
      <c r="D30743" s="25"/>
      <c r="F30743" s="21"/>
      <c r="G30743" s="16"/>
    </row>
    <row r="30744" spans="4:7" ht="15" x14ac:dyDescent="0.3">
      <c r="D30744" s="25"/>
      <c r="F30744" s="21"/>
      <c r="G30744" s="16"/>
    </row>
    <row r="30745" spans="4:7" ht="15" x14ac:dyDescent="0.3">
      <c r="D30745" s="25"/>
      <c r="F30745" s="21"/>
      <c r="G30745" s="16"/>
    </row>
    <row r="30746" spans="4:7" ht="15" x14ac:dyDescent="0.3">
      <c r="D30746" s="25"/>
      <c r="F30746" s="21"/>
      <c r="G30746" s="16"/>
    </row>
    <row r="30747" spans="4:7" ht="15" x14ac:dyDescent="0.3">
      <c r="D30747" s="25"/>
      <c r="F30747" s="21"/>
      <c r="G30747" s="16"/>
    </row>
    <row r="30748" spans="4:7" ht="15" x14ac:dyDescent="0.3">
      <c r="D30748" s="25"/>
      <c r="F30748" s="21"/>
      <c r="G30748" s="16"/>
    </row>
    <row r="30749" spans="4:7" ht="15" x14ac:dyDescent="0.3">
      <c r="D30749" s="25"/>
      <c r="F30749" s="21"/>
      <c r="G30749" s="16"/>
    </row>
    <row r="30750" spans="4:7" ht="15" x14ac:dyDescent="0.3">
      <c r="D30750" s="25"/>
      <c r="F30750" s="21"/>
      <c r="G30750" s="16"/>
    </row>
    <row r="30751" spans="4:7" ht="15" x14ac:dyDescent="0.3">
      <c r="D30751" s="25"/>
      <c r="F30751" s="21"/>
      <c r="G30751" s="16"/>
    </row>
    <row r="30752" spans="4:7" ht="15" x14ac:dyDescent="0.3">
      <c r="D30752" s="25"/>
      <c r="F30752" s="21"/>
      <c r="G30752" s="16"/>
    </row>
    <row r="30753" spans="4:7" ht="15" x14ac:dyDescent="0.3">
      <c r="D30753" s="25"/>
      <c r="F30753" s="21"/>
      <c r="G30753" s="16"/>
    </row>
    <row r="30754" spans="4:7" ht="15" x14ac:dyDescent="0.3">
      <c r="D30754" s="25"/>
      <c r="F30754" s="21"/>
      <c r="G30754" s="16"/>
    </row>
    <row r="30755" spans="4:7" ht="15" x14ac:dyDescent="0.3">
      <c r="D30755" s="25"/>
      <c r="F30755" s="21"/>
      <c r="G30755" s="16"/>
    </row>
    <row r="30756" spans="4:7" ht="15" x14ac:dyDescent="0.3">
      <c r="D30756" s="25"/>
      <c r="F30756" s="21"/>
      <c r="G30756" s="16"/>
    </row>
    <row r="30757" spans="4:7" ht="15" x14ac:dyDescent="0.3">
      <c r="D30757" s="25"/>
      <c r="F30757" s="21"/>
      <c r="G30757" s="16"/>
    </row>
    <row r="30758" spans="4:7" ht="15" x14ac:dyDescent="0.3">
      <c r="D30758" s="25"/>
      <c r="F30758" s="21"/>
      <c r="G30758" s="16"/>
    </row>
    <row r="30759" spans="4:7" ht="15" x14ac:dyDescent="0.3">
      <c r="D30759" s="25"/>
      <c r="F30759" s="21"/>
      <c r="G30759" s="16"/>
    </row>
    <row r="30760" spans="4:7" ht="15" x14ac:dyDescent="0.3">
      <c r="D30760" s="25"/>
      <c r="F30760" s="21"/>
      <c r="G30760" s="16"/>
    </row>
    <row r="30761" spans="4:7" ht="15" x14ac:dyDescent="0.3">
      <c r="D30761" s="25"/>
      <c r="F30761" s="21"/>
      <c r="G30761" s="16"/>
    </row>
    <row r="30762" spans="4:7" ht="15" x14ac:dyDescent="0.3">
      <c r="D30762" s="25"/>
      <c r="F30762" s="21"/>
      <c r="G30762" s="16"/>
    </row>
    <row r="30763" spans="4:7" ht="15" x14ac:dyDescent="0.3">
      <c r="D30763" s="25"/>
      <c r="F30763" s="21"/>
      <c r="G30763" s="16"/>
    </row>
    <row r="30764" spans="4:7" ht="15" x14ac:dyDescent="0.3">
      <c r="D30764" s="25"/>
      <c r="F30764" s="21"/>
      <c r="G30764" s="16"/>
    </row>
    <row r="30765" spans="4:7" ht="15" x14ac:dyDescent="0.3">
      <c r="D30765" s="25"/>
      <c r="F30765" s="21"/>
      <c r="G30765" s="16"/>
    </row>
    <row r="30766" spans="4:7" ht="15" x14ac:dyDescent="0.3">
      <c r="D30766" s="25"/>
      <c r="F30766" s="21"/>
      <c r="G30766" s="16"/>
    </row>
    <row r="30767" spans="4:7" ht="15" x14ac:dyDescent="0.3">
      <c r="D30767" s="25"/>
      <c r="F30767" s="21"/>
      <c r="G30767" s="16"/>
    </row>
    <row r="30768" spans="4:7" ht="15" x14ac:dyDescent="0.3">
      <c r="D30768" s="25"/>
      <c r="F30768" s="21"/>
      <c r="G30768" s="16"/>
    </row>
    <row r="30769" spans="4:7" ht="15" x14ac:dyDescent="0.3">
      <c r="D30769" s="25"/>
      <c r="F30769" s="21"/>
      <c r="G30769" s="16"/>
    </row>
    <row r="30770" spans="4:7" ht="15" x14ac:dyDescent="0.3">
      <c r="D30770" s="25"/>
      <c r="F30770" s="21"/>
      <c r="G30770" s="16"/>
    </row>
    <row r="30771" spans="4:7" ht="15" x14ac:dyDescent="0.3">
      <c r="D30771" s="25"/>
      <c r="F30771" s="21"/>
      <c r="G30771" s="16"/>
    </row>
    <row r="30772" spans="4:7" ht="15" x14ac:dyDescent="0.3">
      <c r="D30772" s="25"/>
      <c r="F30772" s="21"/>
      <c r="G30772" s="16"/>
    </row>
    <row r="30773" spans="4:7" ht="15" x14ac:dyDescent="0.3">
      <c r="D30773" s="25"/>
      <c r="F30773" s="21"/>
      <c r="G30773" s="16"/>
    </row>
    <row r="30774" spans="4:7" ht="15" x14ac:dyDescent="0.3">
      <c r="D30774" s="25"/>
      <c r="F30774" s="21"/>
      <c r="G30774" s="16"/>
    </row>
    <row r="30775" spans="4:7" ht="15" x14ac:dyDescent="0.3">
      <c r="D30775" s="25"/>
      <c r="F30775" s="21"/>
      <c r="G30775" s="16"/>
    </row>
    <row r="30776" spans="4:7" ht="15" x14ac:dyDescent="0.3">
      <c r="D30776" s="25"/>
      <c r="F30776" s="21"/>
      <c r="G30776" s="16"/>
    </row>
    <row r="30777" spans="4:7" ht="15" x14ac:dyDescent="0.3">
      <c r="D30777" s="25"/>
      <c r="F30777" s="21"/>
      <c r="G30777" s="16"/>
    </row>
    <row r="30778" spans="4:7" ht="15" x14ac:dyDescent="0.3">
      <c r="D30778" s="25"/>
      <c r="F30778" s="21"/>
      <c r="G30778" s="16"/>
    </row>
    <row r="30779" spans="4:7" ht="15" x14ac:dyDescent="0.3">
      <c r="D30779" s="25"/>
      <c r="F30779" s="21"/>
      <c r="G30779" s="16"/>
    </row>
    <row r="30780" spans="4:7" ht="15" x14ac:dyDescent="0.3">
      <c r="D30780" s="25"/>
      <c r="F30780" s="21"/>
      <c r="G30780" s="16"/>
    </row>
    <row r="30781" spans="4:7" ht="15" x14ac:dyDescent="0.3">
      <c r="D30781" s="25"/>
      <c r="F30781" s="21"/>
      <c r="G30781" s="16"/>
    </row>
    <row r="30782" spans="4:7" ht="15" x14ac:dyDescent="0.3">
      <c r="D30782" s="25"/>
      <c r="F30782" s="21"/>
      <c r="G30782" s="16"/>
    </row>
    <row r="30783" spans="4:7" ht="15" x14ac:dyDescent="0.3">
      <c r="D30783" s="25"/>
      <c r="F30783" s="21"/>
      <c r="G30783" s="16"/>
    </row>
    <row r="30784" spans="4:7" ht="15" x14ac:dyDescent="0.3">
      <c r="D30784" s="25"/>
      <c r="F30784" s="21"/>
      <c r="G30784" s="16"/>
    </row>
    <row r="30785" spans="4:7" ht="15" x14ac:dyDescent="0.3">
      <c r="D30785" s="25"/>
      <c r="F30785" s="21"/>
      <c r="G30785" s="16"/>
    </row>
    <row r="30786" spans="4:7" ht="15" x14ac:dyDescent="0.3">
      <c r="D30786" s="25"/>
      <c r="F30786" s="21"/>
      <c r="G30786" s="16"/>
    </row>
    <row r="30787" spans="4:7" ht="15" x14ac:dyDescent="0.3">
      <c r="D30787" s="25"/>
      <c r="F30787" s="21"/>
      <c r="G30787" s="16"/>
    </row>
    <row r="30788" spans="4:7" ht="15" x14ac:dyDescent="0.3">
      <c r="D30788" s="25"/>
      <c r="F30788" s="21"/>
      <c r="G30788" s="16"/>
    </row>
    <row r="30789" spans="4:7" ht="15" x14ac:dyDescent="0.3">
      <c r="D30789" s="25"/>
      <c r="F30789" s="21"/>
      <c r="G30789" s="16"/>
    </row>
    <row r="30790" spans="4:7" ht="15" x14ac:dyDescent="0.3">
      <c r="D30790" s="25"/>
      <c r="F30790" s="21"/>
      <c r="G30790" s="16"/>
    </row>
    <row r="30791" spans="4:7" ht="15" x14ac:dyDescent="0.3">
      <c r="D30791" s="25"/>
      <c r="F30791" s="21"/>
      <c r="G30791" s="16"/>
    </row>
    <row r="30792" spans="4:7" ht="15" x14ac:dyDescent="0.3">
      <c r="D30792" s="25"/>
      <c r="F30792" s="21"/>
      <c r="G30792" s="16"/>
    </row>
    <row r="30793" spans="4:7" ht="15" x14ac:dyDescent="0.3">
      <c r="D30793" s="25"/>
      <c r="F30793" s="21"/>
      <c r="G30793" s="16"/>
    </row>
    <row r="30794" spans="4:7" ht="15" x14ac:dyDescent="0.3">
      <c r="D30794" s="25"/>
      <c r="F30794" s="21"/>
      <c r="G30794" s="16"/>
    </row>
    <row r="30795" spans="4:7" ht="15" x14ac:dyDescent="0.3">
      <c r="D30795" s="25"/>
      <c r="F30795" s="21"/>
      <c r="G30795" s="16"/>
    </row>
    <row r="30796" spans="4:7" ht="15" x14ac:dyDescent="0.3">
      <c r="D30796" s="25"/>
      <c r="F30796" s="21"/>
      <c r="G30796" s="16"/>
    </row>
    <row r="30797" spans="4:7" ht="15" x14ac:dyDescent="0.3">
      <c r="D30797" s="25"/>
      <c r="F30797" s="21"/>
      <c r="G30797" s="16"/>
    </row>
    <row r="30798" spans="4:7" ht="15" x14ac:dyDescent="0.3">
      <c r="D30798" s="25"/>
      <c r="F30798" s="21"/>
      <c r="G30798" s="16"/>
    </row>
    <row r="30799" spans="4:7" ht="15" x14ac:dyDescent="0.3">
      <c r="D30799" s="25"/>
      <c r="F30799" s="21"/>
      <c r="G30799" s="16"/>
    </row>
    <row r="30800" spans="4:7" ht="15" x14ac:dyDescent="0.3">
      <c r="D30800" s="25"/>
      <c r="F30800" s="21"/>
      <c r="G30800" s="16"/>
    </row>
    <row r="30801" spans="4:7" ht="15" x14ac:dyDescent="0.3">
      <c r="D30801" s="25"/>
      <c r="F30801" s="21"/>
      <c r="G30801" s="16"/>
    </row>
    <row r="30802" spans="4:7" ht="15" x14ac:dyDescent="0.3">
      <c r="D30802" s="25"/>
      <c r="F30802" s="21"/>
      <c r="G30802" s="16"/>
    </row>
    <row r="30803" spans="4:7" ht="15" x14ac:dyDescent="0.3">
      <c r="D30803" s="25"/>
      <c r="F30803" s="21"/>
      <c r="G30803" s="16"/>
    </row>
    <row r="30804" spans="4:7" ht="15" x14ac:dyDescent="0.3">
      <c r="D30804" s="25"/>
      <c r="F30804" s="21"/>
      <c r="G30804" s="16"/>
    </row>
    <row r="30805" spans="4:7" ht="15" x14ac:dyDescent="0.3">
      <c r="D30805" s="25"/>
      <c r="F30805" s="21"/>
      <c r="G30805" s="16"/>
    </row>
    <row r="30806" spans="4:7" ht="15" x14ac:dyDescent="0.3">
      <c r="D30806" s="25"/>
      <c r="F30806" s="21"/>
      <c r="G30806" s="16"/>
    </row>
    <row r="30807" spans="4:7" ht="15" x14ac:dyDescent="0.3">
      <c r="D30807" s="25"/>
      <c r="F30807" s="21"/>
      <c r="G30807" s="16"/>
    </row>
    <row r="30808" spans="4:7" ht="15" x14ac:dyDescent="0.3">
      <c r="D30808" s="25"/>
      <c r="F30808" s="21"/>
      <c r="G30808" s="16"/>
    </row>
    <row r="30809" spans="4:7" ht="15" x14ac:dyDescent="0.3">
      <c r="D30809" s="25"/>
      <c r="F30809" s="21"/>
      <c r="G30809" s="16"/>
    </row>
    <row r="30810" spans="4:7" ht="15" x14ac:dyDescent="0.3">
      <c r="D30810" s="25"/>
      <c r="F30810" s="21"/>
      <c r="G30810" s="16"/>
    </row>
    <row r="30811" spans="4:7" ht="15" x14ac:dyDescent="0.3">
      <c r="D30811" s="25"/>
      <c r="F30811" s="21"/>
      <c r="G30811" s="16"/>
    </row>
    <row r="30812" spans="4:7" ht="15" x14ac:dyDescent="0.3">
      <c r="D30812" s="25"/>
      <c r="F30812" s="21"/>
      <c r="G30812" s="16"/>
    </row>
    <row r="30813" spans="4:7" ht="15" x14ac:dyDescent="0.3">
      <c r="D30813" s="25"/>
      <c r="F30813" s="21"/>
      <c r="G30813" s="16"/>
    </row>
    <row r="30814" spans="4:7" ht="15" x14ac:dyDescent="0.3">
      <c r="D30814" s="25"/>
      <c r="F30814" s="21"/>
      <c r="G30814" s="16"/>
    </row>
    <row r="30815" spans="4:7" ht="15" x14ac:dyDescent="0.3">
      <c r="D30815" s="25"/>
      <c r="F30815" s="21"/>
      <c r="G30815" s="16"/>
    </row>
    <row r="30816" spans="4:7" ht="15" x14ac:dyDescent="0.3">
      <c r="D30816" s="25"/>
      <c r="F30816" s="21"/>
      <c r="G30816" s="16"/>
    </row>
    <row r="30817" spans="4:7" ht="15" x14ac:dyDescent="0.3">
      <c r="D30817" s="25"/>
      <c r="F30817" s="21"/>
      <c r="G30817" s="16"/>
    </row>
    <row r="30818" spans="4:7" ht="15" x14ac:dyDescent="0.3">
      <c r="D30818" s="25"/>
      <c r="F30818" s="21"/>
      <c r="G30818" s="16"/>
    </row>
    <row r="30819" spans="4:7" ht="15" x14ac:dyDescent="0.3">
      <c r="D30819" s="25"/>
      <c r="F30819" s="21"/>
      <c r="G30819" s="16"/>
    </row>
    <row r="30820" spans="4:7" ht="15" x14ac:dyDescent="0.3">
      <c r="D30820" s="25"/>
      <c r="F30820" s="21"/>
      <c r="G30820" s="16"/>
    </row>
    <row r="30821" spans="4:7" ht="15" x14ac:dyDescent="0.3">
      <c r="D30821" s="25"/>
      <c r="F30821" s="21"/>
      <c r="G30821" s="16"/>
    </row>
    <row r="30822" spans="4:7" ht="15" x14ac:dyDescent="0.3">
      <c r="D30822" s="25"/>
      <c r="F30822" s="21"/>
      <c r="G30822" s="16"/>
    </row>
    <row r="30823" spans="4:7" ht="15" x14ac:dyDescent="0.3">
      <c r="D30823" s="25"/>
      <c r="F30823" s="21"/>
      <c r="G30823" s="16"/>
    </row>
    <row r="30824" spans="4:7" ht="15" x14ac:dyDescent="0.3">
      <c r="D30824" s="25"/>
      <c r="F30824" s="21"/>
      <c r="G30824" s="16"/>
    </row>
    <row r="30825" spans="4:7" ht="15" x14ac:dyDescent="0.3">
      <c r="D30825" s="25"/>
      <c r="F30825" s="21"/>
      <c r="G30825" s="16"/>
    </row>
    <row r="30826" spans="4:7" ht="15" x14ac:dyDescent="0.3">
      <c r="D30826" s="25"/>
      <c r="F30826" s="21"/>
      <c r="G30826" s="16"/>
    </row>
    <row r="30827" spans="4:7" ht="15" x14ac:dyDescent="0.3">
      <c r="D30827" s="25"/>
      <c r="F30827" s="21"/>
      <c r="G30827" s="16"/>
    </row>
    <row r="30828" spans="4:7" ht="15" x14ac:dyDescent="0.3">
      <c r="D30828" s="25"/>
      <c r="F30828" s="21"/>
      <c r="G30828" s="16"/>
    </row>
    <row r="30829" spans="4:7" ht="15" x14ac:dyDescent="0.3">
      <c r="D30829" s="25"/>
      <c r="F30829" s="21"/>
      <c r="G30829" s="16"/>
    </row>
    <row r="30830" spans="4:7" ht="15" x14ac:dyDescent="0.3">
      <c r="D30830" s="25"/>
      <c r="F30830" s="21"/>
      <c r="G30830" s="16"/>
    </row>
    <row r="30831" spans="4:7" ht="15" x14ac:dyDescent="0.3">
      <c r="D30831" s="25"/>
      <c r="F30831" s="21"/>
      <c r="G30831" s="16"/>
    </row>
    <row r="30832" spans="4:7" ht="15" x14ac:dyDescent="0.3">
      <c r="D30832" s="25"/>
      <c r="F30832" s="21"/>
      <c r="G30832" s="16"/>
    </row>
    <row r="30833" spans="4:7" ht="15" x14ac:dyDescent="0.3">
      <c r="D30833" s="25"/>
      <c r="F30833" s="21"/>
      <c r="G30833" s="16"/>
    </row>
    <row r="30834" spans="4:7" ht="15" x14ac:dyDescent="0.3">
      <c r="D30834" s="25"/>
      <c r="F30834" s="21"/>
      <c r="G30834" s="16"/>
    </row>
    <row r="30835" spans="4:7" ht="15" x14ac:dyDescent="0.3">
      <c r="D30835" s="25"/>
      <c r="F30835" s="21"/>
      <c r="G30835" s="16"/>
    </row>
    <row r="30836" spans="4:7" ht="15" x14ac:dyDescent="0.3">
      <c r="D30836" s="25"/>
      <c r="F30836" s="21"/>
      <c r="G30836" s="16"/>
    </row>
    <row r="30837" spans="4:7" ht="15" x14ac:dyDescent="0.3">
      <c r="D30837" s="25"/>
      <c r="F30837" s="21"/>
      <c r="G30837" s="16"/>
    </row>
    <row r="30838" spans="4:7" ht="15" x14ac:dyDescent="0.3">
      <c r="D30838" s="25"/>
      <c r="F30838" s="21"/>
      <c r="G30838" s="16"/>
    </row>
    <row r="30839" spans="4:7" ht="15" x14ac:dyDescent="0.3">
      <c r="D30839" s="25"/>
      <c r="F30839" s="21"/>
      <c r="G30839" s="16"/>
    </row>
    <row r="30840" spans="4:7" ht="15" x14ac:dyDescent="0.3">
      <c r="D30840" s="25"/>
      <c r="F30840" s="21"/>
      <c r="G30840" s="16"/>
    </row>
    <row r="30841" spans="4:7" ht="15" x14ac:dyDescent="0.3">
      <c r="D30841" s="25"/>
      <c r="F30841" s="21"/>
      <c r="G30841" s="16"/>
    </row>
    <row r="30842" spans="4:7" ht="15" x14ac:dyDescent="0.3">
      <c r="D30842" s="25"/>
      <c r="F30842" s="21"/>
      <c r="G30842" s="16"/>
    </row>
    <row r="30843" spans="4:7" ht="15" x14ac:dyDescent="0.3">
      <c r="D30843" s="25"/>
      <c r="F30843" s="21"/>
      <c r="G30843" s="16"/>
    </row>
    <row r="30844" spans="4:7" ht="15" x14ac:dyDescent="0.3">
      <c r="D30844" s="25"/>
      <c r="F30844" s="21"/>
      <c r="G30844" s="16"/>
    </row>
    <row r="30845" spans="4:7" ht="15" x14ac:dyDescent="0.3">
      <c r="D30845" s="25"/>
      <c r="F30845" s="21"/>
      <c r="G30845" s="16"/>
    </row>
    <row r="30846" spans="4:7" ht="15" x14ac:dyDescent="0.3">
      <c r="D30846" s="25"/>
      <c r="F30846" s="21"/>
      <c r="G30846" s="16"/>
    </row>
    <row r="30847" spans="4:7" ht="15" x14ac:dyDescent="0.3">
      <c r="D30847" s="25"/>
      <c r="F30847" s="21"/>
      <c r="G30847" s="16"/>
    </row>
    <row r="30848" spans="4:7" ht="15" x14ac:dyDescent="0.3">
      <c r="D30848" s="25"/>
      <c r="F30848" s="21"/>
      <c r="G30848" s="16"/>
    </row>
    <row r="30849" spans="4:7" ht="15" x14ac:dyDescent="0.3">
      <c r="D30849" s="25"/>
      <c r="F30849" s="21"/>
      <c r="G30849" s="16"/>
    </row>
    <row r="30850" spans="4:7" ht="15" x14ac:dyDescent="0.3">
      <c r="D30850" s="25"/>
      <c r="F30850" s="21"/>
      <c r="G30850" s="16"/>
    </row>
    <row r="30851" spans="4:7" ht="15" x14ac:dyDescent="0.3">
      <c r="D30851" s="25"/>
      <c r="F30851" s="21"/>
      <c r="G30851" s="16"/>
    </row>
    <row r="30852" spans="4:7" ht="15" x14ac:dyDescent="0.3">
      <c r="D30852" s="25"/>
      <c r="F30852" s="21"/>
      <c r="G30852" s="16"/>
    </row>
    <row r="30853" spans="4:7" ht="15" x14ac:dyDescent="0.3">
      <c r="D30853" s="25"/>
      <c r="F30853" s="21"/>
      <c r="G30853" s="16"/>
    </row>
    <row r="30854" spans="4:7" ht="15" x14ac:dyDescent="0.3">
      <c r="D30854" s="25"/>
      <c r="F30854" s="21"/>
      <c r="G30854" s="16"/>
    </row>
    <row r="30855" spans="4:7" ht="15" x14ac:dyDescent="0.3">
      <c r="D30855" s="25"/>
      <c r="F30855" s="21"/>
      <c r="G30855" s="16"/>
    </row>
    <row r="30856" spans="4:7" ht="15" x14ac:dyDescent="0.3">
      <c r="D30856" s="25"/>
      <c r="F30856" s="21"/>
      <c r="G30856" s="16"/>
    </row>
    <row r="30857" spans="4:7" ht="15" x14ac:dyDescent="0.3">
      <c r="D30857" s="25"/>
      <c r="F30857" s="21"/>
      <c r="G30857" s="16"/>
    </row>
    <row r="30858" spans="4:7" ht="15" x14ac:dyDescent="0.3">
      <c r="D30858" s="25"/>
      <c r="F30858" s="21"/>
      <c r="G30858" s="16"/>
    </row>
    <row r="30859" spans="4:7" ht="15" x14ac:dyDescent="0.3">
      <c r="D30859" s="25"/>
      <c r="F30859" s="21"/>
      <c r="G30859" s="16"/>
    </row>
    <row r="30860" spans="4:7" ht="15" x14ac:dyDescent="0.3">
      <c r="D30860" s="25"/>
      <c r="F30860" s="21"/>
      <c r="G30860" s="16"/>
    </row>
    <row r="30861" spans="4:7" ht="15" x14ac:dyDescent="0.3">
      <c r="D30861" s="25"/>
      <c r="F30861" s="21"/>
      <c r="G30861" s="16"/>
    </row>
    <row r="30862" spans="4:7" ht="15" x14ac:dyDescent="0.3">
      <c r="D30862" s="25"/>
      <c r="F30862" s="21"/>
      <c r="G30862" s="16"/>
    </row>
    <row r="30863" spans="4:7" ht="15" x14ac:dyDescent="0.3">
      <c r="D30863" s="25"/>
      <c r="F30863" s="21"/>
      <c r="G30863" s="16"/>
    </row>
    <row r="30864" spans="4:7" ht="15" x14ac:dyDescent="0.3">
      <c r="D30864" s="25"/>
      <c r="F30864" s="21"/>
      <c r="G30864" s="16"/>
    </row>
    <row r="30865" spans="4:7" ht="15" x14ac:dyDescent="0.3">
      <c r="D30865" s="25"/>
      <c r="F30865" s="21"/>
      <c r="G30865" s="16"/>
    </row>
    <row r="30866" spans="4:7" ht="15" x14ac:dyDescent="0.3">
      <c r="D30866" s="25"/>
      <c r="F30866" s="21"/>
      <c r="G30866" s="16"/>
    </row>
    <row r="30867" spans="4:7" ht="15" x14ac:dyDescent="0.3">
      <c r="D30867" s="25"/>
      <c r="F30867" s="21"/>
      <c r="G30867" s="16"/>
    </row>
    <row r="30868" spans="4:7" ht="15" x14ac:dyDescent="0.3">
      <c r="D30868" s="25"/>
      <c r="F30868" s="21"/>
      <c r="G30868" s="16"/>
    </row>
    <row r="30869" spans="4:7" ht="15" x14ac:dyDescent="0.3">
      <c r="D30869" s="25"/>
      <c r="F30869" s="21"/>
      <c r="G30869" s="16"/>
    </row>
    <row r="30870" spans="4:7" ht="15" x14ac:dyDescent="0.3">
      <c r="D30870" s="25"/>
      <c r="F30870" s="21"/>
      <c r="G30870" s="16"/>
    </row>
    <row r="30871" spans="4:7" ht="15" x14ac:dyDescent="0.3">
      <c r="D30871" s="25"/>
      <c r="F30871" s="21"/>
      <c r="G30871" s="16"/>
    </row>
    <row r="30872" spans="4:7" ht="15" x14ac:dyDescent="0.3">
      <c r="D30872" s="25"/>
      <c r="F30872" s="21"/>
      <c r="G30872" s="16"/>
    </row>
    <row r="30873" spans="4:7" ht="15" x14ac:dyDescent="0.3">
      <c r="D30873" s="25"/>
      <c r="F30873" s="21"/>
      <c r="G30873" s="16"/>
    </row>
    <row r="30874" spans="4:7" ht="15" x14ac:dyDescent="0.3">
      <c r="D30874" s="25"/>
      <c r="F30874" s="21"/>
      <c r="G30874" s="16"/>
    </row>
    <row r="30875" spans="4:7" ht="15" x14ac:dyDescent="0.3">
      <c r="D30875" s="25"/>
      <c r="F30875" s="21"/>
      <c r="G30875" s="16"/>
    </row>
    <row r="30876" spans="4:7" ht="15" x14ac:dyDescent="0.3">
      <c r="D30876" s="25"/>
      <c r="F30876" s="21"/>
      <c r="G30876" s="16"/>
    </row>
    <row r="30877" spans="4:7" ht="15" x14ac:dyDescent="0.3">
      <c r="D30877" s="25"/>
      <c r="F30877" s="21"/>
      <c r="G30877" s="16"/>
    </row>
    <row r="30878" spans="4:7" ht="15" x14ac:dyDescent="0.3">
      <c r="D30878" s="25"/>
      <c r="F30878" s="21"/>
      <c r="G30878" s="16"/>
    </row>
    <row r="30879" spans="4:7" ht="15" x14ac:dyDescent="0.3">
      <c r="D30879" s="25"/>
      <c r="F30879" s="21"/>
      <c r="G30879" s="16"/>
    </row>
    <row r="30880" spans="4:7" ht="15" x14ac:dyDescent="0.3">
      <c r="D30880" s="25"/>
      <c r="F30880" s="21"/>
      <c r="G30880" s="16"/>
    </row>
    <row r="30881" spans="4:7" ht="15" x14ac:dyDescent="0.3">
      <c r="D30881" s="25"/>
      <c r="F30881" s="21"/>
      <c r="G30881" s="16"/>
    </row>
    <row r="30882" spans="4:7" ht="15" x14ac:dyDescent="0.3">
      <c r="D30882" s="25"/>
      <c r="F30882" s="21"/>
      <c r="G30882" s="16"/>
    </row>
    <row r="30883" spans="4:7" ht="15" x14ac:dyDescent="0.3">
      <c r="D30883" s="25"/>
      <c r="F30883" s="21"/>
      <c r="G30883" s="16"/>
    </row>
    <row r="30884" spans="4:7" ht="15" x14ac:dyDescent="0.3">
      <c r="D30884" s="25"/>
      <c r="F30884" s="21"/>
      <c r="G30884" s="16"/>
    </row>
    <row r="30885" spans="4:7" ht="15" x14ac:dyDescent="0.3">
      <c r="D30885" s="25"/>
      <c r="F30885" s="21"/>
      <c r="G30885" s="16"/>
    </row>
    <row r="30886" spans="4:7" ht="15" x14ac:dyDescent="0.3">
      <c r="D30886" s="25"/>
      <c r="F30886" s="21"/>
      <c r="G30886" s="16"/>
    </row>
    <row r="30887" spans="4:7" ht="15" x14ac:dyDescent="0.3">
      <c r="D30887" s="25"/>
      <c r="F30887" s="21"/>
      <c r="G30887" s="16"/>
    </row>
    <row r="30888" spans="4:7" ht="15" x14ac:dyDescent="0.3">
      <c r="D30888" s="25"/>
      <c r="F30888" s="21"/>
      <c r="G30888" s="16"/>
    </row>
    <row r="30889" spans="4:7" ht="15" x14ac:dyDescent="0.3">
      <c r="D30889" s="25"/>
      <c r="F30889" s="21"/>
      <c r="G30889" s="16"/>
    </row>
    <row r="30890" spans="4:7" ht="15" x14ac:dyDescent="0.3">
      <c r="D30890" s="25"/>
      <c r="F30890" s="21"/>
      <c r="G30890" s="16"/>
    </row>
    <row r="30891" spans="4:7" ht="15" x14ac:dyDescent="0.3">
      <c r="D30891" s="25"/>
      <c r="F30891" s="21"/>
      <c r="G30891" s="16"/>
    </row>
    <row r="30892" spans="4:7" ht="15" x14ac:dyDescent="0.3">
      <c r="D30892" s="25"/>
      <c r="F30892" s="21"/>
      <c r="G30892" s="16"/>
    </row>
    <row r="30893" spans="4:7" ht="15" x14ac:dyDescent="0.3">
      <c r="D30893" s="25"/>
      <c r="F30893" s="21"/>
      <c r="G30893" s="16"/>
    </row>
    <row r="30894" spans="4:7" ht="15" x14ac:dyDescent="0.3">
      <c r="D30894" s="25"/>
      <c r="F30894" s="21"/>
      <c r="G30894" s="16"/>
    </row>
    <row r="30895" spans="4:7" ht="15" x14ac:dyDescent="0.3">
      <c r="D30895" s="25"/>
      <c r="F30895" s="21"/>
      <c r="G30895" s="16"/>
    </row>
    <row r="30896" spans="4:7" ht="15" x14ac:dyDescent="0.3">
      <c r="D30896" s="25"/>
      <c r="F30896" s="21"/>
      <c r="G30896" s="16"/>
    </row>
    <row r="30897" spans="4:7" ht="15" x14ac:dyDescent="0.3">
      <c r="D30897" s="25"/>
      <c r="F30897" s="21"/>
      <c r="G30897" s="16"/>
    </row>
    <row r="30898" spans="4:7" ht="15" x14ac:dyDescent="0.3">
      <c r="D30898" s="25"/>
      <c r="F30898" s="21"/>
      <c r="G30898" s="16"/>
    </row>
    <row r="30899" spans="4:7" ht="15" x14ac:dyDescent="0.3">
      <c r="D30899" s="25"/>
      <c r="F30899" s="21"/>
      <c r="G30899" s="16"/>
    </row>
    <row r="30900" spans="4:7" ht="15" x14ac:dyDescent="0.3">
      <c r="D30900" s="25"/>
      <c r="F30900" s="21"/>
      <c r="G30900" s="16"/>
    </row>
    <row r="30901" spans="4:7" ht="15" x14ac:dyDescent="0.3">
      <c r="D30901" s="25"/>
      <c r="F30901" s="21"/>
      <c r="G30901" s="16"/>
    </row>
    <row r="30902" spans="4:7" ht="15" x14ac:dyDescent="0.3">
      <c r="D30902" s="25"/>
      <c r="F30902" s="21"/>
      <c r="G30902" s="16"/>
    </row>
    <row r="30903" spans="4:7" ht="15" x14ac:dyDescent="0.3">
      <c r="D30903" s="25"/>
      <c r="F30903" s="21"/>
      <c r="G30903" s="16"/>
    </row>
    <row r="30904" spans="4:7" ht="15" x14ac:dyDescent="0.3">
      <c r="D30904" s="25"/>
      <c r="F30904" s="21"/>
      <c r="G30904" s="16"/>
    </row>
    <row r="30905" spans="4:7" ht="15" x14ac:dyDescent="0.3">
      <c r="D30905" s="25"/>
      <c r="F30905" s="21"/>
      <c r="G30905" s="16"/>
    </row>
    <row r="30906" spans="4:7" ht="15" x14ac:dyDescent="0.3">
      <c r="D30906" s="25"/>
      <c r="F30906" s="21"/>
      <c r="G30906" s="16"/>
    </row>
    <row r="30907" spans="4:7" ht="15" x14ac:dyDescent="0.3">
      <c r="D30907" s="25"/>
      <c r="F30907" s="21"/>
      <c r="G30907" s="16"/>
    </row>
    <row r="30908" spans="4:7" ht="15" x14ac:dyDescent="0.3">
      <c r="D30908" s="25"/>
      <c r="F30908" s="21"/>
      <c r="G30908" s="16"/>
    </row>
    <row r="30909" spans="4:7" ht="15" x14ac:dyDescent="0.3">
      <c r="D30909" s="25"/>
      <c r="F30909" s="21"/>
      <c r="G30909" s="16"/>
    </row>
    <row r="30910" spans="4:7" ht="15" x14ac:dyDescent="0.3">
      <c r="D30910" s="25"/>
      <c r="F30910" s="21"/>
      <c r="G30910" s="16"/>
    </row>
    <row r="30911" spans="4:7" ht="15" x14ac:dyDescent="0.3">
      <c r="D30911" s="25"/>
      <c r="F30911" s="21"/>
      <c r="G30911" s="16"/>
    </row>
    <row r="30912" spans="4:7" ht="15" x14ac:dyDescent="0.3">
      <c r="D30912" s="25"/>
      <c r="F30912" s="21"/>
      <c r="G30912" s="16"/>
    </row>
    <row r="30913" spans="4:7" ht="15" x14ac:dyDescent="0.3">
      <c r="D30913" s="25"/>
      <c r="F30913" s="21"/>
      <c r="G30913" s="16"/>
    </row>
    <row r="30914" spans="4:7" ht="15" x14ac:dyDescent="0.3">
      <c r="D30914" s="25"/>
      <c r="F30914" s="21"/>
      <c r="G30914" s="16"/>
    </row>
    <row r="30915" spans="4:7" ht="15" x14ac:dyDescent="0.3">
      <c r="D30915" s="25"/>
      <c r="F30915" s="21"/>
      <c r="G30915" s="16"/>
    </row>
    <row r="30916" spans="4:7" ht="15" x14ac:dyDescent="0.3">
      <c r="D30916" s="25"/>
      <c r="F30916" s="21"/>
      <c r="G30916" s="16"/>
    </row>
    <row r="30917" spans="4:7" ht="15" x14ac:dyDescent="0.3">
      <c r="D30917" s="25"/>
      <c r="F30917" s="21"/>
      <c r="G30917" s="16"/>
    </row>
    <row r="30918" spans="4:7" ht="15" x14ac:dyDescent="0.3">
      <c r="D30918" s="25"/>
      <c r="F30918" s="21"/>
      <c r="G30918" s="16"/>
    </row>
    <row r="30919" spans="4:7" ht="15" x14ac:dyDescent="0.3">
      <c r="D30919" s="25"/>
      <c r="F30919" s="21"/>
      <c r="G30919" s="16"/>
    </row>
    <row r="30920" spans="4:7" ht="15" x14ac:dyDescent="0.3">
      <c r="D30920" s="25"/>
      <c r="F30920" s="21"/>
      <c r="G30920" s="16"/>
    </row>
    <row r="30921" spans="4:7" ht="15" x14ac:dyDescent="0.3">
      <c r="D30921" s="25"/>
      <c r="F30921" s="21"/>
      <c r="G30921" s="16"/>
    </row>
    <row r="30922" spans="4:7" ht="15" x14ac:dyDescent="0.3">
      <c r="D30922" s="25"/>
      <c r="F30922" s="21"/>
      <c r="G30922" s="16"/>
    </row>
    <row r="30923" spans="4:7" ht="15" x14ac:dyDescent="0.3">
      <c r="D30923" s="25"/>
      <c r="F30923" s="21"/>
      <c r="G30923" s="16"/>
    </row>
    <row r="30924" spans="4:7" ht="15" x14ac:dyDescent="0.3">
      <c r="D30924" s="25"/>
      <c r="F30924" s="21"/>
      <c r="G30924" s="16"/>
    </row>
    <row r="30925" spans="4:7" ht="15" x14ac:dyDescent="0.3">
      <c r="D30925" s="25"/>
      <c r="F30925" s="21"/>
      <c r="G30925" s="16"/>
    </row>
    <row r="30926" spans="4:7" ht="15" x14ac:dyDescent="0.3">
      <c r="D30926" s="25"/>
      <c r="F30926" s="21"/>
      <c r="G30926" s="16"/>
    </row>
    <row r="30927" spans="4:7" ht="15" x14ac:dyDescent="0.3">
      <c r="D30927" s="25"/>
      <c r="F30927" s="21"/>
      <c r="G30927" s="16"/>
    </row>
    <row r="30928" spans="4:7" ht="15" x14ac:dyDescent="0.3">
      <c r="D30928" s="25"/>
      <c r="F30928" s="21"/>
      <c r="G30928" s="16"/>
    </row>
    <row r="30929" spans="4:7" ht="15" x14ac:dyDescent="0.3">
      <c r="D30929" s="25"/>
      <c r="F30929" s="21"/>
      <c r="G30929" s="16"/>
    </row>
    <row r="30930" spans="4:7" ht="15" x14ac:dyDescent="0.3">
      <c r="D30930" s="25"/>
      <c r="F30930" s="21"/>
      <c r="G30930" s="16"/>
    </row>
    <row r="30931" spans="4:7" ht="15" x14ac:dyDescent="0.3">
      <c r="D30931" s="25"/>
      <c r="F30931" s="21"/>
      <c r="G30931" s="16"/>
    </row>
    <row r="30932" spans="4:7" ht="15" x14ac:dyDescent="0.3">
      <c r="D30932" s="25"/>
      <c r="F30932" s="21"/>
      <c r="G30932" s="16"/>
    </row>
    <row r="30933" spans="4:7" ht="15" x14ac:dyDescent="0.3">
      <c r="D30933" s="25"/>
      <c r="F30933" s="21"/>
      <c r="G30933" s="16"/>
    </row>
    <row r="30934" spans="4:7" ht="15" x14ac:dyDescent="0.3">
      <c r="D30934" s="25"/>
      <c r="F30934" s="21"/>
      <c r="G30934" s="16"/>
    </row>
    <row r="30935" spans="4:7" ht="15" x14ac:dyDescent="0.3">
      <c r="D30935" s="25"/>
      <c r="F30935" s="21"/>
      <c r="G30935" s="16"/>
    </row>
    <row r="30936" spans="4:7" ht="15" x14ac:dyDescent="0.3">
      <c r="D30936" s="25"/>
      <c r="F30936" s="21"/>
      <c r="G30936" s="16"/>
    </row>
    <row r="30937" spans="4:7" ht="15" x14ac:dyDescent="0.3">
      <c r="D30937" s="25"/>
      <c r="F30937" s="21"/>
      <c r="G30937" s="16"/>
    </row>
    <row r="30938" spans="4:7" ht="15" x14ac:dyDescent="0.3">
      <c r="D30938" s="25"/>
      <c r="F30938" s="21"/>
      <c r="G30938" s="16"/>
    </row>
    <row r="30939" spans="4:7" ht="15" x14ac:dyDescent="0.3">
      <c r="D30939" s="25"/>
      <c r="F30939" s="21"/>
      <c r="G30939" s="16"/>
    </row>
    <row r="30940" spans="4:7" ht="15" x14ac:dyDescent="0.3">
      <c r="D30940" s="25"/>
      <c r="F30940" s="21"/>
      <c r="G30940" s="16"/>
    </row>
    <row r="30941" spans="4:7" ht="15" x14ac:dyDescent="0.3">
      <c r="D30941" s="25"/>
      <c r="F30941" s="21"/>
      <c r="G30941" s="16"/>
    </row>
    <row r="30942" spans="4:7" ht="15" x14ac:dyDescent="0.3">
      <c r="D30942" s="25"/>
      <c r="F30942" s="21"/>
      <c r="G30942" s="16"/>
    </row>
    <row r="30943" spans="4:7" ht="15" x14ac:dyDescent="0.3">
      <c r="D30943" s="25"/>
      <c r="F30943" s="21"/>
      <c r="G30943" s="16"/>
    </row>
    <row r="30944" spans="4:7" ht="15" x14ac:dyDescent="0.3">
      <c r="D30944" s="25"/>
      <c r="F30944" s="21"/>
      <c r="G30944" s="16"/>
    </row>
    <row r="30945" spans="4:7" ht="15" x14ac:dyDescent="0.3">
      <c r="D30945" s="25"/>
      <c r="F30945" s="21"/>
      <c r="G30945" s="16"/>
    </row>
    <row r="30946" spans="4:7" ht="15" x14ac:dyDescent="0.3">
      <c r="D30946" s="25"/>
      <c r="F30946" s="21"/>
      <c r="G30946" s="16"/>
    </row>
    <row r="30947" spans="4:7" ht="15" x14ac:dyDescent="0.3">
      <c r="D30947" s="25"/>
      <c r="F30947" s="21"/>
      <c r="G30947" s="16"/>
    </row>
    <row r="30948" spans="4:7" ht="15" x14ac:dyDescent="0.3">
      <c r="D30948" s="25"/>
      <c r="F30948" s="21"/>
      <c r="G30948" s="16"/>
    </row>
    <row r="30949" spans="4:7" ht="15" x14ac:dyDescent="0.3">
      <c r="D30949" s="25"/>
      <c r="F30949" s="21"/>
      <c r="G30949" s="16"/>
    </row>
    <row r="30950" spans="4:7" ht="15" x14ac:dyDescent="0.3">
      <c r="D30950" s="25"/>
      <c r="F30950" s="21"/>
      <c r="G30950" s="16"/>
    </row>
    <row r="30951" spans="4:7" ht="15" x14ac:dyDescent="0.3">
      <c r="D30951" s="25"/>
      <c r="F30951" s="21"/>
      <c r="G30951" s="16"/>
    </row>
    <row r="30952" spans="4:7" ht="15" x14ac:dyDescent="0.3">
      <c r="D30952" s="25"/>
      <c r="F30952" s="21"/>
      <c r="G30952" s="16"/>
    </row>
    <row r="30953" spans="4:7" ht="15" x14ac:dyDescent="0.3">
      <c r="D30953" s="25"/>
      <c r="F30953" s="21"/>
      <c r="G30953" s="16"/>
    </row>
    <row r="30954" spans="4:7" ht="15" x14ac:dyDescent="0.3">
      <c r="D30954" s="25"/>
      <c r="F30954" s="21"/>
      <c r="G30954" s="16"/>
    </row>
    <row r="30955" spans="4:7" ht="15" x14ac:dyDescent="0.3">
      <c r="D30955" s="25"/>
      <c r="F30955" s="21"/>
      <c r="G30955" s="16"/>
    </row>
    <row r="30956" spans="4:7" ht="15" x14ac:dyDescent="0.3">
      <c r="D30956" s="25"/>
      <c r="F30956" s="21"/>
      <c r="G30956" s="16"/>
    </row>
    <row r="30957" spans="4:7" ht="15" x14ac:dyDescent="0.3">
      <c r="D30957" s="25"/>
      <c r="F30957" s="21"/>
      <c r="G30957" s="16"/>
    </row>
    <row r="30958" spans="4:7" ht="15" x14ac:dyDescent="0.3">
      <c r="D30958" s="25"/>
      <c r="F30958" s="21"/>
      <c r="G30958" s="16"/>
    </row>
    <row r="30959" spans="4:7" ht="15" x14ac:dyDescent="0.3">
      <c r="D30959" s="25"/>
      <c r="F30959" s="21"/>
      <c r="G30959" s="16"/>
    </row>
    <row r="30960" spans="4:7" ht="15" x14ac:dyDescent="0.3">
      <c r="D30960" s="25"/>
      <c r="F30960" s="21"/>
      <c r="G30960" s="16"/>
    </row>
    <row r="30961" spans="4:7" ht="15" x14ac:dyDescent="0.3">
      <c r="D30961" s="25"/>
      <c r="F30961" s="21"/>
      <c r="G30961" s="16"/>
    </row>
    <row r="30962" spans="4:7" ht="15" x14ac:dyDescent="0.3">
      <c r="D30962" s="25"/>
      <c r="F30962" s="21"/>
      <c r="G30962" s="16"/>
    </row>
    <row r="30963" spans="4:7" ht="15" x14ac:dyDescent="0.3">
      <c r="D30963" s="25"/>
      <c r="F30963" s="21"/>
      <c r="G30963" s="16"/>
    </row>
    <row r="30964" spans="4:7" ht="15" x14ac:dyDescent="0.3">
      <c r="D30964" s="25"/>
      <c r="F30964" s="21"/>
      <c r="G30964" s="16"/>
    </row>
    <row r="30965" spans="4:7" ht="15" x14ac:dyDescent="0.3">
      <c r="D30965" s="25"/>
      <c r="F30965" s="21"/>
      <c r="G30965" s="16"/>
    </row>
    <row r="30966" spans="4:7" ht="15" x14ac:dyDescent="0.3">
      <c r="D30966" s="25"/>
      <c r="F30966" s="21"/>
      <c r="G30966" s="16"/>
    </row>
    <row r="30967" spans="4:7" ht="15" x14ac:dyDescent="0.3">
      <c r="D30967" s="25"/>
      <c r="F30967" s="21"/>
      <c r="G30967" s="16"/>
    </row>
    <row r="30968" spans="4:7" ht="15" x14ac:dyDescent="0.3">
      <c r="D30968" s="25"/>
      <c r="F30968" s="21"/>
      <c r="G30968" s="16"/>
    </row>
    <row r="30969" spans="4:7" ht="15" x14ac:dyDescent="0.3">
      <c r="D30969" s="25"/>
      <c r="F30969" s="21"/>
      <c r="G30969" s="16"/>
    </row>
    <row r="30970" spans="4:7" ht="15" x14ac:dyDescent="0.3">
      <c r="D30970" s="25"/>
      <c r="F30970" s="21"/>
      <c r="G30970" s="16"/>
    </row>
    <row r="30971" spans="4:7" ht="15" x14ac:dyDescent="0.3">
      <c r="D30971" s="25"/>
      <c r="F30971" s="21"/>
      <c r="G30971" s="16"/>
    </row>
    <row r="30972" spans="4:7" ht="15" x14ac:dyDescent="0.3">
      <c r="D30972" s="25"/>
      <c r="F30972" s="21"/>
      <c r="G30972" s="16"/>
    </row>
    <row r="30973" spans="4:7" ht="15" x14ac:dyDescent="0.3">
      <c r="D30973" s="25"/>
      <c r="F30973" s="21"/>
      <c r="G30973" s="16"/>
    </row>
    <row r="30974" spans="4:7" ht="15" x14ac:dyDescent="0.3">
      <c r="D30974" s="25"/>
      <c r="F30974" s="21"/>
      <c r="G30974" s="16"/>
    </row>
    <row r="30975" spans="4:7" ht="15" x14ac:dyDescent="0.3">
      <c r="D30975" s="25"/>
      <c r="F30975" s="21"/>
      <c r="G30975" s="16"/>
    </row>
    <row r="30976" spans="4:7" ht="15" x14ac:dyDescent="0.3">
      <c r="D30976" s="25"/>
      <c r="F30976" s="21"/>
      <c r="G30976" s="16"/>
    </row>
    <row r="30977" spans="4:7" ht="15" x14ac:dyDescent="0.3">
      <c r="D30977" s="25"/>
      <c r="F30977" s="21"/>
      <c r="G30977" s="16"/>
    </row>
    <row r="30978" spans="4:7" ht="15" x14ac:dyDescent="0.3">
      <c r="D30978" s="25"/>
      <c r="F30978" s="21"/>
      <c r="G30978" s="16"/>
    </row>
    <row r="30979" spans="4:7" ht="15" x14ac:dyDescent="0.3">
      <c r="D30979" s="25"/>
      <c r="F30979" s="21"/>
      <c r="G30979" s="16"/>
    </row>
    <row r="30980" spans="4:7" ht="15" x14ac:dyDescent="0.3">
      <c r="D30980" s="25"/>
      <c r="F30980" s="21"/>
      <c r="G30980" s="16"/>
    </row>
    <row r="30981" spans="4:7" ht="15" x14ac:dyDescent="0.3">
      <c r="D30981" s="25"/>
      <c r="F30981" s="21"/>
      <c r="G30981" s="16"/>
    </row>
    <row r="30982" spans="4:7" ht="15" x14ac:dyDescent="0.3">
      <c r="D30982" s="25"/>
      <c r="F30982" s="21"/>
      <c r="G30982" s="16"/>
    </row>
    <row r="30983" spans="4:7" ht="15" x14ac:dyDescent="0.3">
      <c r="D30983" s="25"/>
      <c r="F30983" s="21"/>
      <c r="G30983" s="16"/>
    </row>
    <row r="30984" spans="4:7" ht="15" x14ac:dyDescent="0.3">
      <c r="D30984" s="25"/>
      <c r="F30984" s="21"/>
      <c r="G30984" s="16"/>
    </row>
    <row r="30985" spans="4:7" ht="15" x14ac:dyDescent="0.3">
      <c r="D30985" s="25"/>
      <c r="F30985" s="21"/>
      <c r="G30985" s="16"/>
    </row>
    <row r="30986" spans="4:7" ht="15" x14ac:dyDescent="0.3">
      <c r="D30986" s="25"/>
      <c r="F30986" s="21"/>
      <c r="G30986" s="16"/>
    </row>
    <row r="30987" spans="4:7" ht="15" x14ac:dyDescent="0.3">
      <c r="D30987" s="25"/>
      <c r="F30987" s="21"/>
      <c r="G30987" s="16"/>
    </row>
    <row r="30988" spans="4:7" ht="15" x14ac:dyDescent="0.3">
      <c r="D30988" s="25"/>
      <c r="F30988" s="21"/>
      <c r="G30988" s="16"/>
    </row>
    <row r="30989" spans="4:7" ht="15" x14ac:dyDescent="0.3">
      <c r="D30989" s="25"/>
      <c r="F30989" s="21"/>
      <c r="G30989" s="16"/>
    </row>
    <row r="30990" spans="4:7" ht="15" x14ac:dyDescent="0.3">
      <c r="D30990" s="25"/>
      <c r="F30990" s="21"/>
      <c r="G30990" s="16"/>
    </row>
    <row r="30991" spans="4:7" ht="15" x14ac:dyDescent="0.3">
      <c r="D30991" s="25"/>
      <c r="F30991" s="21"/>
      <c r="G30991" s="16"/>
    </row>
    <row r="30992" spans="4:7" ht="15" x14ac:dyDescent="0.3">
      <c r="D30992" s="25"/>
      <c r="F30992" s="21"/>
      <c r="G30992" s="16"/>
    </row>
    <row r="30993" spans="4:7" ht="15" x14ac:dyDescent="0.3">
      <c r="D30993" s="25"/>
      <c r="F30993" s="21"/>
      <c r="G30993" s="16"/>
    </row>
    <row r="30994" spans="4:7" ht="15" x14ac:dyDescent="0.3">
      <c r="D30994" s="25"/>
      <c r="F30994" s="21"/>
      <c r="G30994" s="16"/>
    </row>
    <row r="30995" spans="4:7" ht="15" x14ac:dyDescent="0.3">
      <c r="D30995" s="25"/>
      <c r="F30995" s="21"/>
      <c r="G30995" s="16"/>
    </row>
    <row r="30996" spans="4:7" ht="15" x14ac:dyDescent="0.3">
      <c r="D30996" s="25"/>
      <c r="F30996" s="21"/>
      <c r="G30996" s="16"/>
    </row>
    <row r="30997" spans="4:7" ht="15" x14ac:dyDescent="0.3">
      <c r="D30997" s="25"/>
      <c r="F30997" s="21"/>
      <c r="G30997" s="16"/>
    </row>
    <row r="30998" spans="4:7" ht="15" x14ac:dyDescent="0.3">
      <c r="D30998" s="25"/>
      <c r="F30998" s="21"/>
      <c r="G30998" s="16"/>
    </row>
    <row r="30999" spans="4:7" ht="15" x14ac:dyDescent="0.3">
      <c r="D30999" s="25"/>
      <c r="F30999" s="21"/>
      <c r="G30999" s="16"/>
    </row>
    <row r="31000" spans="4:7" ht="15" x14ac:dyDescent="0.3">
      <c r="D31000" s="25"/>
      <c r="F31000" s="21"/>
      <c r="G31000" s="16"/>
    </row>
    <row r="31001" spans="4:7" ht="15" x14ac:dyDescent="0.3">
      <c r="D31001" s="25"/>
      <c r="F31001" s="21"/>
      <c r="G31001" s="16"/>
    </row>
    <row r="31002" spans="4:7" ht="15" x14ac:dyDescent="0.3">
      <c r="D31002" s="25"/>
      <c r="F31002" s="21"/>
      <c r="G31002" s="16"/>
    </row>
    <row r="31003" spans="4:7" ht="15" x14ac:dyDescent="0.3">
      <c r="D31003" s="25"/>
      <c r="F31003" s="21"/>
      <c r="G31003" s="16"/>
    </row>
    <row r="31004" spans="4:7" ht="15" x14ac:dyDescent="0.3">
      <c r="D31004" s="25"/>
      <c r="F31004" s="21"/>
      <c r="G31004" s="16"/>
    </row>
    <row r="31005" spans="4:7" ht="15" x14ac:dyDescent="0.3">
      <c r="D31005" s="25"/>
      <c r="F31005" s="21"/>
      <c r="G31005" s="16"/>
    </row>
    <row r="31006" spans="4:7" ht="15" x14ac:dyDescent="0.3">
      <c r="D31006" s="25"/>
      <c r="F31006" s="21"/>
      <c r="G31006" s="16"/>
    </row>
    <row r="31007" spans="4:7" ht="15" x14ac:dyDescent="0.3">
      <c r="D31007" s="25"/>
      <c r="F31007" s="21"/>
      <c r="G31007" s="16"/>
    </row>
    <row r="31008" spans="4:7" ht="15" x14ac:dyDescent="0.3">
      <c r="D31008" s="25"/>
      <c r="F31008" s="21"/>
      <c r="G31008" s="16"/>
    </row>
    <row r="31009" spans="4:7" ht="15" x14ac:dyDescent="0.3">
      <c r="D31009" s="25"/>
      <c r="F31009" s="21"/>
      <c r="G31009" s="16"/>
    </row>
    <row r="31010" spans="4:7" ht="15" x14ac:dyDescent="0.3">
      <c r="D31010" s="25"/>
      <c r="F31010" s="21"/>
      <c r="G31010" s="16"/>
    </row>
    <row r="31011" spans="4:7" ht="15" x14ac:dyDescent="0.3">
      <c r="D31011" s="25"/>
      <c r="F31011" s="21"/>
      <c r="G31011" s="16"/>
    </row>
    <row r="31012" spans="4:7" ht="15" x14ac:dyDescent="0.3">
      <c r="D31012" s="25"/>
      <c r="F31012" s="21"/>
      <c r="G31012" s="16"/>
    </row>
    <row r="31013" spans="4:7" ht="15" x14ac:dyDescent="0.3">
      <c r="D31013" s="25"/>
      <c r="F31013" s="21"/>
      <c r="G31013" s="16"/>
    </row>
    <row r="31014" spans="4:7" ht="15" x14ac:dyDescent="0.3">
      <c r="D31014" s="25"/>
      <c r="F31014" s="21"/>
      <c r="G31014" s="16"/>
    </row>
    <row r="31015" spans="4:7" ht="15" x14ac:dyDescent="0.3">
      <c r="D31015" s="25"/>
      <c r="F31015" s="21"/>
      <c r="G31015" s="16"/>
    </row>
    <row r="31016" spans="4:7" ht="15" x14ac:dyDescent="0.3">
      <c r="D31016" s="25"/>
      <c r="F31016" s="21"/>
      <c r="G31016" s="16"/>
    </row>
    <row r="31017" spans="4:7" ht="15" x14ac:dyDescent="0.3">
      <c r="D31017" s="25"/>
      <c r="F31017" s="21"/>
      <c r="G31017" s="16"/>
    </row>
    <row r="31018" spans="4:7" ht="15" x14ac:dyDescent="0.3">
      <c r="D31018" s="25"/>
      <c r="F31018" s="21"/>
      <c r="G31018" s="16"/>
    </row>
    <row r="31019" spans="4:7" ht="15" x14ac:dyDescent="0.3">
      <c r="D31019" s="25"/>
      <c r="F31019" s="21"/>
      <c r="G31019" s="16"/>
    </row>
    <row r="31020" spans="4:7" ht="15" x14ac:dyDescent="0.3">
      <c r="D31020" s="25"/>
      <c r="F31020" s="21"/>
      <c r="G31020" s="16"/>
    </row>
    <row r="31021" spans="4:7" ht="15" x14ac:dyDescent="0.3">
      <c r="D31021" s="25"/>
      <c r="F31021" s="21"/>
      <c r="G31021" s="16"/>
    </row>
    <row r="31022" spans="4:7" ht="15" x14ac:dyDescent="0.3">
      <c r="D31022" s="25"/>
      <c r="F31022" s="21"/>
      <c r="G31022" s="16"/>
    </row>
    <row r="31023" spans="4:7" ht="15" x14ac:dyDescent="0.3">
      <c r="D31023" s="25"/>
      <c r="F31023" s="21"/>
      <c r="G31023" s="16"/>
    </row>
    <row r="31024" spans="4:7" ht="15" x14ac:dyDescent="0.3">
      <c r="D31024" s="25"/>
      <c r="F31024" s="21"/>
      <c r="G31024" s="16"/>
    </row>
    <row r="31025" spans="4:7" ht="15" x14ac:dyDescent="0.3">
      <c r="D31025" s="25"/>
      <c r="F31025" s="21"/>
      <c r="G31025" s="16"/>
    </row>
    <row r="31026" spans="4:7" ht="15" x14ac:dyDescent="0.3">
      <c r="D31026" s="25"/>
      <c r="F31026" s="21"/>
      <c r="G31026" s="16"/>
    </row>
    <row r="31027" spans="4:7" ht="15" x14ac:dyDescent="0.3">
      <c r="D31027" s="25"/>
      <c r="F31027" s="21"/>
      <c r="G31027" s="16"/>
    </row>
    <row r="31028" spans="4:7" ht="15" x14ac:dyDescent="0.3">
      <c r="D31028" s="25"/>
      <c r="F31028" s="21"/>
      <c r="G31028" s="16"/>
    </row>
    <row r="31029" spans="4:7" ht="15" x14ac:dyDescent="0.3">
      <c r="D31029" s="25"/>
      <c r="F31029" s="21"/>
      <c r="G31029" s="16"/>
    </row>
    <row r="31030" spans="4:7" ht="15" x14ac:dyDescent="0.3">
      <c r="D31030" s="25"/>
      <c r="F31030" s="21"/>
      <c r="G31030" s="16"/>
    </row>
    <row r="31031" spans="4:7" ht="15" x14ac:dyDescent="0.3">
      <c r="D31031" s="25"/>
      <c r="F31031" s="21"/>
      <c r="G31031" s="16"/>
    </row>
    <row r="31032" spans="4:7" ht="15" x14ac:dyDescent="0.3">
      <c r="D31032" s="25"/>
      <c r="F31032" s="21"/>
      <c r="G31032" s="16"/>
    </row>
    <row r="31033" spans="4:7" ht="15" x14ac:dyDescent="0.3">
      <c r="D31033" s="25"/>
      <c r="F31033" s="21"/>
      <c r="G31033" s="16"/>
    </row>
    <row r="31034" spans="4:7" ht="15" x14ac:dyDescent="0.3">
      <c r="D31034" s="25"/>
      <c r="F31034" s="21"/>
      <c r="G31034" s="16"/>
    </row>
    <row r="31035" spans="4:7" ht="15" x14ac:dyDescent="0.3">
      <c r="D31035" s="25"/>
      <c r="F31035" s="21"/>
      <c r="G31035" s="16"/>
    </row>
    <row r="31036" spans="4:7" ht="15" x14ac:dyDescent="0.3">
      <c r="D31036" s="25"/>
      <c r="F31036" s="21"/>
      <c r="G31036" s="16"/>
    </row>
    <row r="31037" spans="4:7" ht="15" x14ac:dyDescent="0.3">
      <c r="D31037" s="25"/>
      <c r="F31037" s="21"/>
      <c r="G31037" s="16"/>
    </row>
    <row r="31038" spans="4:7" ht="15" x14ac:dyDescent="0.3">
      <c r="D31038" s="25"/>
      <c r="F31038" s="21"/>
      <c r="G31038" s="16"/>
    </row>
    <row r="31039" spans="4:7" ht="15" x14ac:dyDescent="0.3">
      <c r="D31039" s="25"/>
      <c r="F31039" s="21"/>
      <c r="G31039" s="16"/>
    </row>
    <row r="31040" spans="4:7" ht="15" x14ac:dyDescent="0.3">
      <c r="D31040" s="25"/>
      <c r="F31040" s="21"/>
      <c r="G31040" s="16"/>
    </row>
    <row r="31041" spans="4:7" ht="15" x14ac:dyDescent="0.3">
      <c r="D31041" s="25"/>
      <c r="F31041" s="21"/>
      <c r="G31041" s="16"/>
    </row>
    <row r="31042" spans="4:7" ht="15" x14ac:dyDescent="0.3">
      <c r="D31042" s="25"/>
      <c r="F31042" s="21"/>
      <c r="G31042" s="16"/>
    </row>
    <row r="31043" spans="4:7" ht="15" x14ac:dyDescent="0.3">
      <c r="D31043" s="25"/>
      <c r="F31043" s="21"/>
      <c r="G31043" s="16"/>
    </row>
    <row r="31044" spans="4:7" ht="15" x14ac:dyDescent="0.3">
      <c r="D31044" s="25"/>
      <c r="F31044" s="21"/>
      <c r="G31044" s="16"/>
    </row>
    <row r="31045" spans="4:7" ht="15" x14ac:dyDescent="0.3">
      <c r="D31045" s="25"/>
      <c r="F31045" s="21"/>
      <c r="G31045" s="16"/>
    </row>
    <row r="31046" spans="4:7" ht="15" x14ac:dyDescent="0.3">
      <c r="D31046" s="25"/>
      <c r="F31046" s="21"/>
      <c r="G31046" s="16"/>
    </row>
    <row r="31047" spans="4:7" ht="15" x14ac:dyDescent="0.3">
      <c r="D31047" s="25"/>
      <c r="F31047" s="21"/>
      <c r="G31047" s="16"/>
    </row>
    <row r="31048" spans="4:7" ht="15" x14ac:dyDescent="0.3">
      <c r="D31048" s="25"/>
      <c r="F31048" s="21"/>
      <c r="G31048" s="16"/>
    </row>
    <row r="31049" spans="4:7" ht="15" x14ac:dyDescent="0.3">
      <c r="D31049" s="25"/>
      <c r="F31049" s="21"/>
      <c r="G31049" s="16"/>
    </row>
    <row r="31050" spans="4:7" ht="15" x14ac:dyDescent="0.3">
      <c r="D31050" s="25"/>
      <c r="F31050" s="21"/>
      <c r="G31050" s="16"/>
    </row>
    <row r="31051" spans="4:7" ht="15" x14ac:dyDescent="0.3">
      <c r="D31051" s="25"/>
      <c r="F31051" s="21"/>
      <c r="G31051" s="16"/>
    </row>
    <row r="31052" spans="4:7" ht="15" x14ac:dyDescent="0.3">
      <c r="D31052" s="25"/>
      <c r="F31052" s="21"/>
      <c r="G31052" s="16"/>
    </row>
    <row r="31053" spans="4:7" ht="15" x14ac:dyDescent="0.3">
      <c r="D31053" s="25"/>
      <c r="F31053" s="21"/>
      <c r="G31053" s="16"/>
    </row>
    <row r="31054" spans="4:7" ht="15" x14ac:dyDescent="0.3">
      <c r="D31054" s="25"/>
      <c r="F31054" s="21"/>
      <c r="G31054" s="16"/>
    </row>
    <row r="31055" spans="4:7" ht="15" x14ac:dyDescent="0.3">
      <c r="D31055" s="25"/>
      <c r="F31055" s="21"/>
      <c r="G31055" s="16"/>
    </row>
    <row r="31056" spans="4:7" ht="15" x14ac:dyDescent="0.3">
      <c r="D31056" s="25"/>
      <c r="F31056" s="21"/>
      <c r="G31056" s="16"/>
    </row>
    <row r="31057" spans="4:7" ht="15" x14ac:dyDescent="0.3">
      <c r="D31057" s="25"/>
      <c r="F31057" s="21"/>
      <c r="G31057" s="16"/>
    </row>
    <row r="31058" spans="4:7" ht="15" x14ac:dyDescent="0.3">
      <c r="D31058" s="25"/>
      <c r="F31058" s="21"/>
      <c r="G31058" s="16"/>
    </row>
    <row r="31059" spans="4:7" ht="15" x14ac:dyDescent="0.3">
      <c r="D31059" s="25"/>
      <c r="F31059" s="21"/>
      <c r="G31059" s="16"/>
    </row>
    <row r="31060" spans="4:7" ht="15" x14ac:dyDescent="0.3">
      <c r="D31060" s="25"/>
      <c r="F31060" s="21"/>
      <c r="G31060" s="16"/>
    </row>
    <row r="31061" spans="4:7" ht="15" x14ac:dyDescent="0.3">
      <c r="D31061" s="25"/>
      <c r="F31061" s="21"/>
      <c r="G31061" s="16"/>
    </row>
    <row r="31062" spans="4:7" ht="15" x14ac:dyDescent="0.3">
      <c r="D31062" s="25"/>
      <c r="F31062" s="21"/>
      <c r="G31062" s="16"/>
    </row>
    <row r="31063" spans="4:7" ht="15" x14ac:dyDescent="0.3">
      <c r="D31063" s="25"/>
      <c r="F31063" s="21"/>
      <c r="G31063" s="16"/>
    </row>
    <row r="31064" spans="4:7" ht="15" x14ac:dyDescent="0.3">
      <c r="D31064" s="25"/>
      <c r="F31064" s="21"/>
      <c r="G31064" s="16"/>
    </row>
    <row r="31065" spans="4:7" ht="15" x14ac:dyDescent="0.3">
      <c r="D31065" s="25"/>
      <c r="F31065" s="21"/>
      <c r="G31065" s="16"/>
    </row>
    <row r="31066" spans="4:7" ht="15" x14ac:dyDescent="0.3">
      <c r="D31066" s="25"/>
      <c r="F31066" s="21"/>
      <c r="G31066" s="16"/>
    </row>
    <row r="31067" spans="4:7" ht="15" x14ac:dyDescent="0.3">
      <c r="D31067" s="25"/>
      <c r="F31067" s="21"/>
      <c r="G31067" s="16"/>
    </row>
    <row r="31068" spans="4:7" ht="15" x14ac:dyDescent="0.3">
      <c r="D31068" s="25"/>
      <c r="F31068" s="21"/>
      <c r="G31068" s="16"/>
    </row>
    <row r="31069" spans="4:7" ht="15" x14ac:dyDescent="0.3">
      <c r="D31069" s="25"/>
      <c r="F31069" s="21"/>
      <c r="G31069" s="16"/>
    </row>
    <row r="31070" spans="4:7" ht="15" x14ac:dyDescent="0.3">
      <c r="D31070" s="25"/>
      <c r="F31070" s="21"/>
      <c r="G31070" s="16"/>
    </row>
    <row r="31071" spans="4:7" ht="15" x14ac:dyDescent="0.3">
      <c r="D31071" s="25"/>
      <c r="F31071" s="21"/>
      <c r="G31071" s="16"/>
    </row>
    <row r="31072" spans="4:7" ht="15" x14ac:dyDescent="0.3">
      <c r="D31072" s="25"/>
      <c r="F31072" s="21"/>
      <c r="G31072" s="16"/>
    </row>
    <row r="31073" spans="4:7" ht="15" x14ac:dyDescent="0.3">
      <c r="D31073" s="25"/>
      <c r="F31073" s="21"/>
      <c r="G31073" s="16"/>
    </row>
    <row r="31074" spans="4:7" ht="15" x14ac:dyDescent="0.3">
      <c r="D31074" s="25"/>
      <c r="F31074" s="21"/>
      <c r="G31074" s="16"/>
    </row>
    <row r="31075" spans="4:7" ht="15" x14ac:dyDescent="0.3">
      <c r="D31075" s="25"/>
      <c r="F31075" s="21"/>
      <c r="G31075" s="16"/>
    </row>
    <row r="31076" spans="4:7" ht="15" x14ac:dyDescent="0.3">
      <c r="D31076" s="25"/>
      <c r="F31076" s="21"/>
      <c r="G31076" s="16"/>
    </row>
    <row r="31077" spans="4:7" ht="15" x14ac:dyDescent="0.3">
      <c r="D31077" s="25"/>
      <c r="F31077" s="21"/>
      <c r="G31077" s="16"/>
    </row>
    <row r="31078" spans="4:7" ht="15" x14ac:dyDescent="0.3">
      <c r="D31078" s="25"/>
      <c r="F31078" s="21"/>
      <c r="G31078" s="16"/>
    </row>
    <row r="31079" spans="4:7" ht="15" x14ac:dyDescent="0.3">
      <c r="D31079" s="25"/>
      <c r="F31079" s="21"/>
      <c r="G31079" s="16"/>
    </row>
    <row r="31080" spans="4:7" ht="15" x14ac:dyDescent="0.3">
      <c r="D31080" s="25"/>
      <c r="F31080" s="21"/>
      <c r="G31080" s="16"/>
    </row>
    <row r="31081" spans="4:7" ht="15" x14ac:dyDescent="0.3">
      <c r="D31081" s="25"/>
      <c r="F31081" s="21"/>
      <c r="G31081" s="16"/>
    </row>
    <row r="31082" spans="4:7" ht="15" x14ac:dyDescent="0.3">
      <c r="D31082" s="25"/>
      <c r="F31082" s="21"/>
      <c r="G31082" s="16"/>
    </row>
    <row r="31083" spans="4:7" ht="15" x14ac:dyDescent="0.3">
      <c r="D31083" s="25"/>
      <c r="F31083" s="21"/>
      <c r="G31083" s="16"/>
    </row>
    <row r="31084" spans="4:7" ht="15" x14ac:dyDescent="0.3">
      <c r="D31084" s="25"/>
      <c r="F31084" s="21"/>
      <c r="G31084" s="16"/>
    </row>
    <row r="31085" spans="4:7" ht="15" x14ac:dyDescent="0.3">
      <c r="D31085" s="25"/>
      <c r="F31085" s="21"/>
      <c r="G31085" s="16"/>
    </row>
    <row r="31086" spans="4:7" ht="15" x14ac:dyDescent="0.3">
      <c r="D31086" s="25"/>
      <c r="F31086" s="21"/>
      <c r="G31086" s="16"/>
    </row>
    <row r="31087" spans="4:7" ht="15" x14ac:dyDescent="0.3">
      <c r="D31087" s="25"/>
      <c r="F31087" s="21"/>
      <c r="G31087" s="16"/>
    </row>
    <row r="31088" spans="4:7" ht="15" x14ac:dyDescent="0.3">
      <c r="D31088" s="25"/>
      <c r="F31088" s="21"/>
      <c r="G31088" s="16"/>
    </row>
    <row r="31089" spans="4:7" ht="15" x14ac:dyDescent="0.3">
      <c r="D31089" s="25"/>
      <c r="F31089" s="21"/>
      <c r="G31089" s="16"/>
    </row>
    <row r="31090" spans="4:7" ht="15" x14ac:dyDescent="0.3">
      <c r="D31090" s="25"/>
      <c r="F31090" s="21"/>
      <c r="G31090" s="16"/>
    </row>
    <row r="31091" spans="4:7" ht="15" x14ac:dyDescent="0.3">
      <c r="D31091" s="25"/>
      <c r="F31091" s="21"/>
      <c r="G31091" s="16"/>
    </row>
    <row r="31092" spans="4:7" ht="15" x14ac:dyDescent="0.3">
      <c r="D31092" s="25"/>
      <c r="F31092" s="21"/>
      <c r="G31092" s="16"/>
    </row>
    <row r="31093" spans="4:7" ht="15" x14ac:dyDescent="0.3">
      <c r="D31093" s="25"/>
      <c r="F31093" s="21"/>
      <c r="G31093" s="16"/>
    </row>
    <row r="31094" spans="4:7" ht="15" x14ac:dyDescent="0.3">
      <c r="D31094" s="25"/>
      <c r="F31094" s="21"/>
      <c r="G31094" s="16"/>
    </row>
    <row r="31095" spans="4:7" ht="15" x14ac:dyDescent="0.3">
      <c r="D31095" s="25"/>
      <c r="F31095" s="21"/>
      <c r="G31095" s="16"/>
    </row>
    <row r="31096" spans="4:7" ht="15" x14ac:dyDescent="0.3">
      <c r="D31096" s="25"/>
      <c r="F31096" s="21"/>
      <c r="G31096" s="16"/>
    </row>
    <row r="31097" spans="4:7" ht="15" x14ac:dyDescent="0.3">
      <c r="D31097" s="25"/>
      <c r="F31097" s="21"/>
      <c r="G31097" s="16"/>
    </row>
    <row r="31098" spans="4:7" ht="15" x14ac:dyDescent="0.3">
      <c r="D31098" s="25"/>
      <c r="F31098" s="21"/>
      <c r="G31098" s="16"/>
    </row>
    <row r="31099" spans="4:7" ht="15" x14ac:dyDescent="0.3">
      <c r="D31099" s="25"/>
      <c r="F31099" s="21"/>
      <c r="G31099" s="16"/>
    </row>
    <row r="31100" spans="4:7" ht="15" x14ac:dyDescent="0.3">
      <c r="D31100" s="25"/>
      <c r="F31100" s="21"/>
      <c r="G31100" s="16"/>
    </row>
    <row r="31101" spans="4:7" ht="15" x14ac:dyDescent="0.3">
      <c r="D31101" s="25"/>
      <c r="F31101" s="21"/>
      <c r="G31101" s="16"/>
    </row>
    <row r="31102" spans="4:7" ht="15" x14ac:dyDescent="0.3">
      <c r="D31102" s="25"/>
      <c r="F31102" s="21"/>
      <c r="G31102" s="16"/>
    </row>
    <row r="31103" spans="4:7" ht="15" x14ac:dyDescent="0.3">
      <c r="D31103" s="25"/>
      <c r="F31103" s="21"/>
      <c r="G31103" s="16"/>
    </row>
    <row r="31104" spans="4:7" ht="15" x14ac:dyDescent="0.3">
      <c r="D31104" s="25"/>
      <c r="F31104" s="21"/>
      <c r="G31104" s="16"/>
    </row>
    <row r="31105" spans="4:7" ht="15" x14ac:dyDescent="0.3">
      <c r="D31105" s="25"/>
      <c r="F31105" s="21"/>
      <c r="G31105" s="16"/>
    </row>
    <row r="31106" spans="4:7" ht="15" x14ac:dyDescent="0.3">
      <c r="D31106" s="25"/>
      <c r="F31106" s="21"/>
      <c r="G31106" s="16"/>
    </row>
    <row r="31107" spans="4:7" ht="15" x14ac:dyDescent="0.3">
      <c r="D31107" s="25"/>
      <c r="F31107" s="21"/>
      <c r="G31107" s="16"/>
    </row>
    <row r="31108" spans="4:7" ht="15" x14ac:dyDescent="0.3">
      <c r="D31108" s="25"/>
      <c r="F31108" s="21"/>
      <c r="G31108" s="16"/>
    </row>
    <row r="31109" spans="4:7" ht="15" x14ac:dyDescent="0.3">
      <c r="D31109" s="25"/>
      <c r="F31109" s="21"/>
      <c r="G31109" s="16"/>
    </row>
    <row r="31110" spans="4:7" ht="15" x14ac:dyDescent="0.3">
      <c r="D31110" s="25"/>
      <c r="F31110" s="21"/>
      <c r="G31110" s="16"/>
    </row>
    <row r="31111" spans="4:7" ht="15" x14ac:dyDescent="0.3">
      <c r="D31111" s="25"/>
      <c r="F31111" s="21"/>
      <c r="G31111" s="16"/>
    </row>
    <row r="31112" spans="4:7" ht="15" x14ac:dyDescent="0.3">
      <c r="D31112" s="25"/>
      <c r="F31112" s="21"/>
      <c r="G31112" s="16"/>
    </row>
    <row r="31113" spans="4:7" ht="15" x14ac:dyDescent="0.3">
      <c r="D31113" s="25"/>
      <c r="F31113" s="21"/>
      <c r="G31113" s="16"/>
    </row>
    <row r="31114" spans="4:7" ht="15" x14ac:dyDescent="0.3">
      <c r="D31114" s="25"/>
      <c r="F31114" s="21"/>
      <c r="G31114" s="16"/>
    </row>
    <row r="31115" spans="4:7" ht="15" x14ac:dyDescent="0.3">
      <c r="D31115" s="25"/>
      <c r="F31115" s="21"/>
      <c r="G31115" s="16"/>
    </row>
    <row r="31116" spans="4:7" ht="15" x14ac:dyDescent="0.3">
      <c r="D31116" s="25"/>
      <c r="F31116" s="21"/>
      <c r="G31116" s="16"/>
    </row>
    <row r="31117" spans="4:7" ht="15" x14ac:dyDescent="0.3">
      <c r="D31117" s="25"/>
      <c r="F31117" s="21"/>
      <c r="G31117" s="16"/>
    </row>
    <row r="31118" spans="4:7" ht="15" x14ac:dyDescent="0.3">
      <c r="D31118" s="25"/>
      <c r="F31118" s="21"/>
      <c r="G31118" s="16"/>
    </row>
    <row r="31119" spans="4:7" ht="15" x14ac:dyDescent="0.3">
      <c r="D31119" s="25"/>
      <c r="F31119" s="21"/>
      <c r="G31119" s="16"/>
    </row>
    <row r="31120" spans="4:7" ht="15" x14ac:dyDescent="0.3">
      <c r="D31120" s="25"/>
      <c r="F31120" s="21"/>
      <c r="G31120" s="16"/>
    </row>
    <row r="31121" spans="4:7" ht="15" x14ac:dyDescent="0.3">
      <c r="D31121" s="25"/>
      <c r="F31121" s="21"/>
      <c r="G31121" s="16"/>
    </row>
    <row r="31122" spans="4:7" ht="15" x14ac:dyDescent="0.3">
      <c r="D31122" s="25"/>
      <c r="F31122" s="21"/>
      <c r="G31122" s="16"/>
    </row>
    <row r="31123" spans="4:7" ht="15" x14ac:dyDescent="0.3">
      <c r="D31123" s="25"/>
      <c r="F31123" s="21"/>
      <c r="G31123" s="16"/>
    </row>
    <row r="31124" spans="4:7" ht="15" x14ac:dyDescent="0.3">
      <c r="D31124" s="25"/>
      <c r="F31124" s="21"/>
      <c r="G31124" s="16"/>
    </row>
    <row r="31125" spans="4:7" ht="15" x14ac:dyDescent="0.3">
      <c r="D31125" s="25"/>
      <c r="F31125" s="21"/>
      <c r="G31125" s="16"/>
    </row>
    <row r="31126" spans="4:7" ht="15" x14ac:dyDescent="0.3">
      <c r="D31126" s="25"/>
      <c r="F31126" s="21"/>
      <c r="G31126" s="16"/>
    </row>
    <row r="31127" spans="4:7" ht="15" x14ac:dyDescent="0.3">
      <c r="D31127" s="25"/>
      <c r="F31127" s="21"/>
      <c r="G31127" s="16"/>
    </row>
    <row r="31128" spans="4:7" ht="15" x14ac:dyDescent="0.3">
      <c r="D31128" s="25"/>
      <c r="F31128" s="21"/>
      <c r="G31128" s="16"/>
    </row>
    <row r="31129" spans="4:7" ht="15" x14ac:dyDescent="0.3">
      <c r="D31129" s="25"/>
      <c r="F31129" s="21"/>
      <c r="G31129" s="16"/>
    </row>
    <row r="31130" spans="4:7" ht="15" x14ac:dyDescent="0.3">
      <c r="D31130" s="25"/>
      <c r="F31130" s="21"/>
      <c r="G31130" s="16"/>
    </row>
    <row r="31131" spans="4:7" ht="15" x14ac:dyDescent="0.3">
      <c r="D31131" s="25"/>
      <c r="F31131" s="21"/>
      <c r="G31131" s="16"/>
    </row>
    <row r="31132" spans="4:7" ht="15" x14ac:dyDescent="0.3">
      <c r="D31132" s="25"/>
      <c r="F31132" s="21"/>
      <c r="G31132" s="16"/>
    </row>
    <row r="31133" spans="4:7" ht="15" x14ac:dyDescent="0.3">
      <c r="D31133" s="25"/>
      <c r="F31133" s="21"/>
      <c r="G31133" s="16"/>
    </row>
    <row r="31134" spans="4:7" ht="15" x14ac:dyDescent="0.3">
      <c r="D31134" s="25"/>
      <c r="F31134" s="21"/>
      <c r="G31134" s="16"/>
    </row>
    <row r="31135" spans="4:7" ht="15" x14ac:dyDescent="0.3">
      <c r="D31135" s="25"/>
      <c r="F31135" s="21"/>
      <c r="G31135" s="16"/>
    </row>
    <row r="31136" spans="4:7" ht="15" x14ac:dyDescent="0.3">
      <c r="D31136" s="25"/>
      <c r="F31136" s="21"/>
      <c r="G31136" s="16"/>
    </row>
    <row r="31137" spans="4:7" ht="15" x14ac:dyDescent="0.3">
      <c r="D31137" s="25"/>
      <c r="F31137" s="21"/>
      <c r="G31137" s="16"/>
    </row>
    <row r="31138" spans="4:7" ht="15" x14ac:dyDescent="0.3">
      <c r="D31138" s="25"/>
      <c r="F31138" s="21"/>
      <c r="G31138" s="16"/>
    </row>
    <row r="31139" spans="4:7" ht="15" x14ac:dyDescent="0.3">
      <c r="D31139" s="25"/>
      <c r="F31139" s="21"/>
      <c r="G31139" s="16"/>
    </row>
    <row r="31140" spans="4:7" ht="15" x14ac:dyDescent="0.3">
      <c r="D31140" s="25"/>
      <c r="F31140" s="21"/>
      <c r="G31140" s="16"/>
    </row>
    <row r="31141" spans="4:7" ht="15" x14ac:dyDescent="0.3">
      <c r="D31141" s="25"/>
      <c r="F31141" s="21"/>
      <c r="G31141" s="16"/>
    </row>
    <row r="31142" spans="4:7" ht="15" x14ac:dyDescent="0.3">
      <c r="D31142" s="25"/>
      <c r="F31142" s="21"/>
      <c r="G31142" s="16"/>
    </row>
    <row r="31143" spans="4:7" ht="15" x14ac:dyDescent="0.3">
      <c r="D31143" s="25"/>
      <c r="F31143" s="21"/>
      <c r="G31143" s="16"/>
    </row>
    <row r="31144" spans="4:7" ht="15" x14ac:dyDescent="0.3">
      <c r="D31144" s="25"/>
      <c r="F31144" s="21"/>
      <c r="G31144" s="16"/>
    </row>
    <row r="31145" spans="4:7" ht="15" x14ac:dyDescent="0.3">
      <c r="D31145" s="25"/>
      <c r="F31145" s="21"/>
      <c r="G31145" s="16"/>
    </row>
    <row r="31146" spans="4:7" ht="15" x14ac:dyDescent="0.3">
      <c r="D31146" s="25"/>
      <c r="F31146" s="21"/>
      <c r="G31146" s="16"/>
    </row>
    <row r="31147" spans="4:7" ht="15" x14ac:dyDescent="0.3">
      <c r="D31147" s="25"/>
      <c r="F31147" s="21"/>
      <c r="G31147" s="16"/>
    </row>
    <row r="31148" spans="4:7" ht="15" x14ac:dyDescent="0.3">
      <c r="D31148" s="25"/>
      <c r="F31148" s="21"/>
      <c r="G31148" s="16"/>
    </row>
    <row r="31149" spans="4:7" ht="15" x14ac:dyDescent="0.3">
      <c r="D31149" s="25"/>
      <c r="F31149" s="21"/>
      <c r="G31149" s="16"/>
    </row>
    <row r="31150" spans="4:7" ht="15" x14ac:dyDescent="0.3">
      <c r="D31150" s="25"/>
      <c r="F31150" s="21"/>
      <c r="G31150" s="16"/>
    </row>
    <row r="31151" spans="4:7" ht="15" x14ac:dyDescent="0.3">
      <c r="D31151" s="25"/>
      <c r="F31151" s="21"/>
      <c r="G31151" s="16"/>
    </row>
    <row r="31152" spans="4:7" ht="15" x14ac:dyDescent="0.3">
      <c r="D31152" s="25"/>
      <c r="F31152" s="21"/>
      <c r="G31152" s="16"/>
    </row>
    <row r="31153" spans="4:7" ht="15" x14ac:dyDescent="0.3">
      <c r="D31153" s="25"/>
      <c r="F31153" s="21"/>
      <c r="G31153" s="16"/>
    </row>
    <row r="31154" spans="4:7" ht="15" x14ac:dyDescent="0.3">
      <c r="D31154" s="25"/>
      <c r="F31154" s="21"/>
      <c r="G31154" s="16"/>
    </row>
    <row r="31155" spans="4:7" ht="15" x14ac:dyDescent="0.3">
      <c r="D31155" s="25"/>
      <c r="F31155" s="21"/>
      <c r="G31155" s="16"/>
    </row>
    <row r="31156" spans="4:7" ht="15" x14ac:dyDescent="0.3">
      <c r="D31156" s="25"/>
      <c r="F31156" s="21"/>
      <c r="G31156" s="16"/>
    </row>
    <row r="31157" spans="4:7" ht="15" x14ac:dyDescent="0.3">
      <c r="D31157" s="25"/>
      <c r="F31157" s="21"/>
      <c r="G31157" s="16"/>
    </row>
    <row r="31158" spans="4:7" ht="15" x14ac:dyDescent="0.3">
      <c r="D31158" s="25"/>
      <c r="F31158" s="21"/>
      <c r="G31158" s="16"/>
    </row>
    <row r="31159" spans="4:7" ht="15" x14ac:dyDescent="0.3">
      <c r="D31159" s="25"/>
      <c r="F31159" s="21"/>
      <c r="G31159" s="16"/>
    </row>
    <row r="31160" spans="4:7" ht="15" x14ac:dyDescent="0.3">
      <c r="D31160" s="25"/>
      <c r="F31160" s="21"/>
      <c r="G31160" s="16"/>
    </row>
    <row r="31161" spans="4:7" ht="15" x14ac:dyDescent="0.3">
      <c r="D31161" s="25"/>
      <c r="F31161" s="21"/>
      <c r="G31161" s="16"/>
    </row>
    <row r="31162" spans="4:7" ht="15" x14ac:dyDescent="0.3">
      <c r="D31162" s="25"/>
      <c r="F31162" s="21"/>
      <c r="G31162" s="16"/>
    </row>
    <row r="31163" spans="4:7" ht="15" x14ac:dyDescent="0.3">
      <c r="D31163" s="25"/>
      <c r="F31163" s="21"/>
      <c r="G31163" s="16"/>
    </row>
    <row r="31164" spans="4:7" ht="15" x14ac:dyDescent="0.3">
      <c r="D31164" s="25"/>
      <c r="F31164" s="21"/>
      <c r="G31164" s="16"/>
    </row>
    <row r="31165" spans="4:7" ht="15" x14ac:dyDescent="0.3">
      <c r="D31165" s="25"/>
      <c r="F31165" s="21"/>
      <c r="G31165" s="16"/>
    </row>
    <row r="31166" spans="4:7" ht="15" x14ac:dyDescent="0.3">
      <c r="D31166" s="25"/>
      <c r="F31166" s="21"/>
      <c r="G31166" s="16"/>
    </row>
    <row r="31167" spans="4:7" ht="15" x14ac:dyDescent="0.3">
      <c r="D31167" s="25"/>
      <c r="F31167" s="21"/>
      <c r="G31167" s="16"/>
    </row>
    <row r="31168" spans="4:7" ht="15" x14ac:dyDescent="0.3">
      <c r="D31168" s="25"/>
      <c r="F31168" s="21"/>
      <c r="G31168" s="16"/>
    </row>
    <row r="31169" spans="4:7" ht="15" x14ac:dyDescent="0.3">
      <c r="D31169" s="25"/>
      <c r="F31169" s="21"/>
      <c r="G31169" s="16"/>
    </row>
    <row r="31170" spans="4:7" ht="15" x14ac:dyDescent="0.3">
      <c r="D31170" s="25"/>
      <c r="F31170" s="21"/>
      <c r="G31170" s="16"/>
    </row>
    <row r="31171" spans="4:7" ht="15" x14ac:dyDescent="0.3">
      <c r="D31171" s="25"/>
      <c r="F31171" s="21"/>
      <c r="G31171" s="16"/>
    </row>
    <row r="31172" spans="4:7" ht="15" x14ac:dyDescent="0.3">
      <c r="D31172" s="25"/>
      <c r="F31172" s="21"/>
      <c r="G31172" s="16"/>
    </row>
    <row r="31173" spans="4:7" ht="15" x14ac:dyDescent="0.3">
      <c r="D31173" s="25"/>
      <c r="F31173" s="21"/>
      <c r="G31173" s="16"/>
    </row>
    <row r="31174" spans="4:7" ht="15" x14ac:dyDescent="0.3">
      <c r="D31174" s="25"/>
      <c r="F31174" s="21"/>
      <c r="G31174" s="16"/>
    </row>
    <row r="31175" spans="4:7" ht="15" x14ac:dyDescent="0.3">
      <c r="D31175" s="25"/>
      <c r="F31175" s="21"/>
      <c r="G31175" s="16"/>
    </row>
    <row r="31176" spans="4:7" ht="15" x14ac:dyDescent="0.3">
      <c r="D31176" s="25"/>
      <c r="F31176" s="21"/>
      <c r="G31176" s="16"/>
    </row>
    <row r="31177" spans="4:7" ht="15" x14ac:dyDescent="0.3">
      <c r="D31177" s="25"/>
      <c r="F31177" s="21"/>
      <c r="G31177" s="16"/>
    </row>
    <row r="31178" spans="4:7" ht="15" x14ac:dyDescent="0.3">
      <c r="D31178" s="25"/>
      <c r="F31178" s="21"/>
      <c r="G31178" s="16"/>
    </row>
    <row r="31179" spans="4:7" ht="15" x14ac:dyDescent="0.3">
      <c r="D31179" s="25"/>
      <c r="F31179" s="21"/>
      <c r="G31179" s="16"/>
    </row>
    <row r="31180" spans="4:7" ht="15" x14ac:dyDescent="0.3">
      <c r="D31180" s="25"/>
      <c r="F31180" s="21"/>
      <c r="G31180" s="16"/>
    </row>
    <row r="31181" spans="4:7" ht="15" x14ac:dyDescent="0.3">
      <c r="D31181" s="25"/>
      <c r="F31181" s="21"/>
      <c r="G31181" s="16"/>
    </row>
    <row r="31182" spans="4:7" ht="15" x14ac:dyDescent="0.3">
      <c r="D31182" s="25"/>
      <c r="F31182" s="21"/>
      <c r="G31182" s="16"/>
    </row>
    <row r="31183" spans="4:7" ht="15" x14ac:dyDescent="0.3">
      <c r="D31183" s="25"/>
      <c r="F31183" s="21"/>
      <c r="G31183" s="16"/>
    </row>
    <row r="31184" spans="4:7" ht="15" x14ac:dyDescent="0.3">
      <c r="D31184" s="25"/>
      <c r="F31184" s="21"/>
      <c r="G31184" s="16"/>
    </row>
    <row r="31185" spans="4:7" ht="15" x14ac:dyDescent="0.3">
      <c r="D31185" s="25"/>
      <c r="F31185" s="21"/>
      <c r="G31185" s="16"/>
    </row>
    <row r="31186" spans="4:7" ht="15" x14ac:dyDescent="0.3">
      <c r="D31186" s="25"/>
      <c r="F31186" s="21"/>
      <c r="G31186" s="16"/>
    </row>
    <row r="31187" spans="4:7" ht="15" x14ac:dyDescent="0.3">
      <c r="D31187" s="25"/>
      <c r="F31187" s="21"/>
      <c r="G31187" s="16"/>
    </row>
    <row r="31188" spans="4:7" ht="15" x14ac:dyDescent="0.3">
      <c r="D31188" s="25"/>
      <c r="F31188" s="21"/>
      <c r="G31188" s="16"/>
    </row>
    <row r="31189" spans="4:7" ht="15" x14ac:dyDescent="0.3">
      <c r="D31189" s="25"/>
      <c r="F31189" s="21"/>
      <c r="G31189" s="16"/>
    </row>
    <row r="31190" spans="4:7" ht="15" x14ac:dyDescent="0.3">
      <c r="D31190" s="25"/>
      <c r="F31190" s="21"/>
      <c r="G31190" s="16"/>
    </row>
    <row r="31191" spans="4:7" ht="15" x14ac:dyDescent="0.3">
      <c r="D31191" s="25"/>
      <c r="F31191" s="21"/>
      <c r="G31191" s="16"/>
    </row>
    <row r="31192" spans="4:7" ht="15" x14ac:dyDescent="0.3">
      <c r="D31192" s="25"/>
      <c r="F31192" s="21"/>
      <c r="G31192" s="16"/>
    </row>
    <row r="31193" spans="4:7" ht="15" x14ac:dyDescent="0.3">
      <c r="D31193" s="25"/>
      <c r="F31193" s="21"/>
      <c r="G31193" s="16"/>
    </row>
    <row r="31194" spans="4:7" ht="15" x14ac:dyDescent="0.3">
      <c r="D31194" s="25"/>
      <c r="F31194" s="21"/>
      <c r="G31194" s="16"/>
    </row>
    <row r="31195" spans="4:7" ht="15" x14ac:dyDescent="0.3">
      <c r="D31195" s="25"/>
      <c r="F31195" s="21"/>
      <c r="G31195" s="16"/>
    </row>
    <row r="31196" spans="4:7" ht="15" x14ac:dyDescent="0.3">
      <c r="D31196" s="25"/>
      <c r="F31196" s="21"/>
      <c r="G31196" s="16"/>
    </row>
    <row r="31197" spans="4:7" ht="15" x14ac:dyDescent="0.3">
      <c r="D31197" s="25"/>
      <c r="F31197" s="21"/>
      <c r="G31197" s="16"/>
    </row>
    <row r="31198" spans="4:7" ht="15" x14ac:dyDescent="0.3">
      <c r="D31198" s="25"/>
      <c r="F31198" s="21"/>
      <c r="G31198" s="16"/>
    </row>
    <row r="31199" spans="4:7" ht="15" x14ac:dyDescent="0.3">
      <c r="D31199" s="25"/>
      <c r="F31199" s="21"/>
      <c r="G31199" s="16"/>
    </row>
    <row r="31200" spans="4:7" ht="15" x14ac:dyDescent="0.3">
      <c r="D31200" s="25"/>
      <c r="F31200" s="21"/>
      <c r="G31200" s="16"/>
    </row>
    <row r="31201" spans="4:7" ht="15" x14ac:dyDescent="0.3">
      <c r="D31201" s="25"/>
      <c r="F31201" s="21"/>
      <c r="G31201" s="16"/>
    </row>
    <row r="31202" spans="4:7" ht="15" x14ac:dyDescent="0.3">
      <c r="D31202" s="25"/>
      <c r="F31202" s="21"/>
      <c r="G31202" s="16"/>
    </row>
    <row r="31203" spans="4:7" ht="15" x14ac:dyDescent="0.3">
      <c r="D31203" s="25"/>
      <c r="F31203" s="21"/>
      <c r="G31203" s="16"/>
    </row>
    <row r="31204" spans="4:7" ht="15" x14ac:dyDescent="0.3">
      <c r="D31204" s="25"/>
      <c r="F31204" s="21"/>
      <c r="G31204" s="16"/>
    </row>
    <row r="31205" spans="4:7" ht="15" x14ac:dyDescent="0.3">
      <c r="D31205" s="25"/>
      <c r="F31205" s="21"/>
      <c r="G31205" s="16"/>
    </row>
    <row r="31206" spans="4:7" ht="15" x14ac:dyDescent="0.3">
      <c r="D31206" s="25"/>
      <c r="F31206" s="21"/>
      <c r="G31206" s="16"/>
    </row>
    <row r="31207" spans="4:7" ht="15" x14ac:dyDescent="0.3">
      <c r="D31207" s="25"/>
      <c r="F31207" s="21"/>
      <c r="G31207" s="16"/>
    </row>
    <row r="31208" spans="4:7" ht="15" x14ac:dyDescent="0.3">
      <c r="D31208" s="25"/>
      <c r="F31208" s="21"/>
      <c r="G31208" s="16"/>
    </row>
    <row r="31209" spans="4:7" ht="15" x14ac:dyDescent="0.3">
      <c r="D31209" s="25"/>
      <c r="F31209" s="21"/>
      <c r="G31209" s="16"/>
    </row>
    <row r="31210" spans="4:7" ht="15" x14ac:dyDescent="0.3">
      <c r="D31210" s="25"/>
      <c r="F31210" s="21"/>
      <c r="G31210" s="16"/>
    </row>
    <row r="31211" spans="4:7" ht="15" x14ac:dyDescent="0.3">
      <c r="D31211" s="25"/>
      <c r="F31211" s="21"/>
      <c r="G31211" s="16"/>
    </row>
    <row r="31212" spans="4:7" ht="15" x14ac:dyDescent="0.3">
      <c r="D31212" s="25"/>
      <c r="F31212" s="21"/>
      <c r="G31212" s="16"/>
    </row>
    <row r="31213" spans="4:7" ht="15" x14ac:dyDescent="0.3">
      <c r="D31213" s="25"/>
      <c r="F31213" s="21"/>
      <c r="G31213" s="16"/>
    </row>
    <row r="31214" spans="4:7" ht="15" x14ac:dyDescent="0.3">
      <c r="D31214" s="25"/>
      <c r="F31214" s="21"/>
      <c r="G31214" s="16"/>
    </row>
    <row r="31215" spans="4:7" ht="15" x14ac:dyDescent="0.3">
      <c r="D31215" s="25"/>
      <c r="F31215" s="21"/>
      <c r="G31215" s="16"/>
    </row>
    <row r="31216" spans="4:7" ht="15" x14ac:dyDescent="0.3">
      <c r="D31216" s="25"/>
      <c r="F31216" s="21"/>
      <c r="G31216" s="16"/>
    </row>
    <row r="31217" spans="4:7" ht="15" x14ac:dyDescent="0.3">
      <c r="D31217" s="25"/>
      <c r="F31217" s="21"/>
      <c r="G31217" s="16"/>
    </row>
    <row r="31218" spans="4:7" ht="15" x14ac:dyDescent="0.3">
      <c r="D31218" s="25"/>
      <c r="F31218" s="21"/>
      <c r="G31218" s="16"/>
    </row>
    <row r="31219" spans="4:7" ht="15" x14ac:dyDescent="0.3">
      <c r="D31219" s="25"/>
      <c r="F31219" s="21"/>
      <c r="G31219" s="16"/>
    </row>
    <row r="31220" spans="4:7" ht="15" x14ac:dyDescent="0.3">
      <c r="D31220" s="25"/>
      <c r="F31220" s="21"/>
      <c r="G31220" s="16"/>
    </row>
    <row r="31221" spans="4:7" ht="15" x14ac:dyDescent="0.3">
      <c r="D31221" s="25"/>
      <c r="F31221" s="21"/>
      <c r="G31221" s="16"/>
    </row>
    <row r="31222" spans="4:7" ht="15" x14ac:dyDescent="0.3">
      <c r="D31222" s="25"/>
      <c r="F31222" s="21"/>
      <c r="G31222" s="16"/>
    </row>
    <row r="31223" spans="4:7" ht="15" x14ac:dyDescent="0.3">
      <c r="D31223" s="25"/>
      <c r="F31223" s="21"/>
      <c r="G31223" s="16"/>
    </row>
    <row r="31224" spans="4:7" ht="15" x14ac:dyDescent="0.3">
      <c r="D31224" s="25"/>
      <c r="F31224" s="21"/>
      <c r="G31224" s="16"/>
    </row>
    <row r="31225" spans="4:7" ht="15" x14ac:dyDescent="0.3">
      <c r="D31225" s="25"/>
      <c r="F31225" s="21"/>
      <c r="G31225" s="16"/>
    </row>
    <row r="31226" spans="4:7" ht="15" x14ac:dyDescent="0.3">
      <c r="D31226" s="25"/>
      <c r="F31226" s="21"/>
      <c r="G31226" s="16"/>
    </row>
    <row r="31227" spans="4:7" ht="15" x14ac:dyDescent="0.3">
      <c r="D31227" s="25"/>
      <c r="F31227" s="21"/>
      <c r="G31227" s="16"/>
    </row>
    <row r="31228" spans="4:7" ht="15" x14ac:dyDescent="0.3">
      <c r="D31228" s="25"/>
      <c r="F31228" s="21"/>
      <c r="G31228" s="16"/>
    </row>
    <row r="31229" spans="4:7" ht="15" x14ac:dyDescent="0.3">
      <c r="D31229" s="25"/>
      <c r="F31229" s="21"/>
      <c r="G31229" s="16"/>
    </row>
    <row r="31230" spans="4:7" ht="15" x14ac:dyDescent="0.3">
      <c r="D31230" s="25"/>
      <c r="F31230" s="21"/>
      <c r="G31230" s="16"/>
    </row>
    <row r="31231" spans="4:7" ht="15" x14ac:dyDescent="0.3">
      <c r="D31231" s="25"/>
      <c r="F31231" s="21"/>
      <c r="G31231" s="16"/>
    </row>
    <row r="31232" spans="4:7" ht="15" x14ac:dyDescent="0.3">
      <c r="D31232" s="25"/>
      <c r="F31232" s="21"/>
      <c r="G31232" s="16"/>
    </row>
    <row r="31233" spans="4:7" ht="15" x14ac:dyDescent="0.3">
      <c r="D31233" s="25"/>
      <c r="F31233" s="21"/>
      <c r="G31233" s="16"/>
    </row>
    <row r="31234" spans="4:7" ht="15" x14ac:dyDescent="0.3">
      <c r="D31234" s="25"/>
      <c r="F31234" s="21"/>
      <c r="G31234" s="16"/>
    </row>
    <row r="31235" spans="4:7" ht="15" x14ac:dyDescent="0.3">
      <c r="D31235" s="25"/>
      <c r="F31235" s="21"/>
      <c r="G31235" s="16"/>
    </row>
    <row r="31236" spans="4:7" ht="15" x14ac:dyDescent="0.3">
      <c r="D31236" s="25"/>
      <c r="F31236" s="21"/>
      <c r="G31236" s="16"/>
    </row>
    <row r="31237" spans="4:7" ht="15" x14ac:dyDescent="0.3">
      <c r="D31237" s="25"/>
      <c r="F31237" s="21"/>
      <c r="G31237" s="16"/>
    </row>
    <row r="31238" spans="4:7" ht="15" x14ac:dyDescent="0.3">
      <c r="D31238" s="25"/>
      <c r="F31238" s="21"/>
      <c r="G31238" s="16"/>
    </row>
    <row r="31239" spans="4:7" ht="15" x14ac:dyDescent="0.3">
      <c r="D31239" s="25"/>
      <c r="F31239" s="21"/>
      <c r="G31239" s="16"/>
    </row>
    <row r="31240" spans="4:7" ht="15" x14ac:dyDescent="0.3">
      <c r="D31240" s="25"/>
      <c r="F31240" s="21"/>
      <c r="G31240" s="16"/>
    </row>
    <row r="31241" spans="4:7" ht="15" x14ac:dyDescent="0.3">
      <c r="D31241" s="25"/>
      <c r="F31241" s="21"/>
      <c r="G31241" s="16"/>
    </row>
    <row r="31242" spans="4:7" ht="15" x14ac:dyDescent="0.3">
      <c r="D31242" s="25"/>
      <c r="F31242" s="21"/>
      <c r="G31242" s="16"/>
    </row>
    <row r="31243" spans="4:7" ht="15" x14ac:dyDescent="0.3">
      <c r="D31243" s="25"/>
      <c r="F31243" s="21"/>
      <c r="G31243" s="16"/>
    </row>
    <row r="31244" spans="4:7" ht="15" x14ac:dyDescent="0.3">
      <c r="D31244" s="25"/>
      <c r="F31244" s="21"/>
      <c r="G31244" s="16"/>
    </row>
    <row r="31245" spans="4:7" ht="15" x14ac:dyDescent="0.3">
      <c r="D31245" s="25"/>
      <c r="F31245" s="21"/>
      <c r="G31245" s="16"/>
    </row>
    <row r="31246" spans="4:7" ht="15" x14ac:dyDescent="0.3">
      <c r="D31246" s="25"/>
      <c r="F31246" s="21"/>
      <c r="G31246" s="16"/>
    </row>
    <row r="31247" spans="4:7" ht="15" x14ac:dyDescent="0.3">
      <c r="D31247" s="25"/>
      <c r="F31247" s="21"/>
      <c r="G31247" s="16"/>
    </row>
    <row r="31248" spans="4:7" ht="15" x14ac:dyDescent="0.3">
      <c r="D31248" s="25"/>
      <c r="F31248" s="21"/>
      <c r="G31248" s="16"/>
    </row>
    <row r="31249" spans="4:7" ht="15" x14ac:dyDescent="0.3">
      <c r="D31249" s="25"/>
      <c r="F31249" s="21"/>
      <c r="G31249" s="16"/>
    </row>
    <row r="31250" spans="4:7" ht="15" x14ac:dyDescent="0.3">
      <c r="D31250" s="25"/>
      <c r="F31250" s="21"/>
      <c r="G31250" s="16"/>
    </row>
    <row r="31251" spans="4:7" ht="15" x14ac:dyDescent="0.3">
      <c r="D31251" s="25"/>
      <c r="F31251" s="21"/>
      <c r="G31251" s="16"/>
    </row>
    <row r="31252" spans="4:7" ht="15" x14ac:dyDescent="0.3">
      <c r="D31252" s="25"/>
      <c r="F31252" s="21"/>
      <c r="G31252" s="16"/>
    </row>
    <row r="31253" spans="4:7" ht="15" x14ac:dyDescent="0.3">
      <c r="D31253" s="25"/>
      <c r="F31253" s="21"/>
      <c r="G31253" s="16"/>
    </row>
    <row r="31254" spans="4:7" ht="15" x14ac:dyDescent="0.3">
      <c r="D31254" s="25"/>
      <c r="F31254" s="21"/>
      <c r="G31254" s="16"/>
    </row>
    <row r="31255" spans="4:7" ht="15" x14ac:dyDescent="0.3">
      <c r="D31255" s="25"/>
      <c r="F31255" s="21"/>
      <c r="G31255" s="16"/>
    </row>
    <row r="31256" spans="4:7" ht="15" x14ac:dyDescent="0.3">
      <c r="D31256" s="25"/>
      <c r="F31256" s="21"/>
      <c r="G31256" s="16"/>
    </row>
    <row r="31257" spans="4:7" ht="15" x14ac:dyDescent="0.3">
      <c r="D31257" s="25"/>
      <c r="F31257" s="21"/>
      <c r="G31257" s="16"/>
    </row>
    <row r="31258" spans="4:7" ht="15" x14ac:dyDescent="0.3">
      <c r="D31258" s="25"/>
      <c r="F31258" s="21"/>
      <c r="G31258" s="16"/>
    </row>
    <row r="31259" spans="4:7" ht="15" x14ac:dyDescent="0.3">
      <c r="D31259" s="25"/>
      <c r="F31259" s="21"/>
      <c r="G31259" s="16"/>
    </row>
    <row r="31260" spans="4:7" ht="15" x14ac:dyDescent="0.3">
      <c r="D31260" s="25"/>
      <c r="F31260" s="21"/>
      <c r="G31260" s="16"/>
    </row>
    <row r="31261" spans="4:7" ht="15" x14ac:dyDescent="0.3">
      <c r="D31261" s="25"/>
      <c r="F31261" s="21"/>
      <c r="G31261" s="16"/>
    </row>
    <row r="31262" spans="4:7" ht="15" x14ac:dyDescent="0.3">
      <c r="D31262" s="25"/>
      <c r="F31262" s="21"/>
      <c r="G31262" s="16"/>
    </row>
    <row r="31263" spans="4:7" ht="15" x14ac:dyDescent="0.3">
      <c r="D31263" s="25"/>
      <c r="F31263" s="21"/>
      <c r="G31263" s="16"/>
    </row>
    <row r="31264" spans="4:7" ht="15" x14ac:dyDescent="0.3">
      <c r="D31264" s="25"/>
      <c r="F31264" s="21"/>
      <c r="G31264" s="16"/>
    </row>
    <row r="31265" spans="4:7" ht="15" x14ac:dyDescent="0.3">
      <c r="D31265" s="25"/>
      <c r="F31265" s="21"/>
      <c r="G31265" s="16"/>
    </row>
    <row r="31266" spans="4:7" ht="15" x14ac:dyDescent="0.3">
      <c r="D31266" s="25"/>
      <c r="F31266" s="21"/>
      <c r="G31266" s="16"/>
    </row>
    <row r="31267" spans="4:7" ht="15" x14ac:dyDescent="0.3">
      <c r="D31267" s="25"/>
      <c r="F31267" s="21"/>
      <c r="G31267" s="16"/>
    </row>
    <row r="31268" spans="4:7" ht="15" x14ac:dyDescent="0.3">
      <c r="D31268" s="25"/>
      <c r="F31268" s="21"/>
      <c r="G31268" s="16"/>
    </row>
    <row r="31269" spans="4:7" ht="15" x14ac:dyDescent="0.3">
      <c r="D31269" s="25"/>
      <c r="F31269" s="21"/>
      <c r="G31269" s="16"/>
    </row>
    <row r="31270" spans="4:7" ht="15" x14ac:dyDescent="0.3">
      <c r="D31270" s="25"/>
      <c r="F31270" s="21"/>
      <c r="G31270" s="16"/>
    </row>
    <row r="31271" spans="4:7" ht="15" x14ac:dyDescent="0.3">
      <c r="D31271" s="25"/>
      <c r="F31271" s="21"/>
      <c r="G31271" s="16"/>
    </row>
    <row r="31272" spans="4:7" ht="15" x14ac:dyDescent="0.3">
      <c r="D31272" s="25"/>
      <c r="F31272" s="21"/>
      <c r="G31272" s="16"/>
    </row>
    <row r="31273" spans="4:7" ht="15" x14ac:dyDescent="0.3">
      <c r="D31273" s="25"/>
      <c r="F31273" s="21"/>
      <c r="G31273" s="16"/>
    </row>
    <row r="31274" spans="4:7" ht="15" x14ac:dyDescent="0.3">
      <c r="D31274" s="25"/>
      <c r="F31274" s="21"/>
      <c r="G31274" s="16"/>
    </row>
    <row r="31275" spans="4:7" ht="15" x14ac:dyDescent="0.3">
      <c r="D31275" s="25"/>
      <c r="F31275" s="21"/>
      <c r="G31275" s="16"/>
    </row>
    <row r="31276" spans="4:7" ht="15" x14ac:dyDescent="0.3">
      <c r="D31276" s="25"/>
      <c r="F31276" s="21"/>
      <c r="G31276" s="16"/>
    </row>
    <row r="31277" spans="4:7" ht="15" x14ac:dyDescent="0.3">
      <c r="D31277" s="25"/>
      <c r="F31277" s="21"/>
      <c r="G31277" s="16"/>
    </row>
    <row r="31278" spans="4:7" ht="15" x14ac:dyDescent="0.3">
      <c r="D31278" s="25"/>
      <c r="F31278" s="21"/>
      <c r="G31278" s="16"/>
    </row>
    <row r="31279" spans="4:7" ht="15" x14ac:dyDescent="0.3">
      <c r="D31279" s="25"/>
      <c r="F31279" s="21"/>
      <c r="G31279" s="16"/>
    </row>
    <row r="31280" spans="4:7" ht="15" x14ac:dyDescent="0.3">
      <c r="D31280" s="25"/>
      <c r="F31280" s="21"/>
      <c r="G31280" s="16"/>
    </row>
    <row r="31281" spans="4:7" ht="15" x14ac:dyDescent="0.3">
      <c r="D31281" s="25"/>
      <c r="F31281" s="21"/>
      <c r="G31281" s="16"/>
    </row>
    <row r="31282" spans="4:7" ht="15" x14ac:dyDescent="0.3">
      <c r="D31282" s="25"/>
      <c r="F31282" s="21"/>
      <c r="G31282" s="16"/>
    </row>
    <row r="31283" spans="4:7" ht="15" x14ac:dyDescent="0.3">
      <c r="D31283" s="25"/>
      <c r="F31283" s="21"/>
      <c r="G31283" s="16"/>
    </row>
    <row r="31284" spans="4:7" ht="15" x14ac:dyDescent="0.3">
      <c r="D31284" s="25"/>
      <c r="F31284" s="21"/>
      <c r="G31284" s="16"/>
    </row>
    <row r="31285" spans="4:7" ht="15" x14ac:dyDescent="0.3">
      <c r="D31285" s="25"/>
      <c r="F31285" s="21"/>
      <c r="G31285" s="16"/>
    </row>
    <row r="31286" spans="4:7" ht="15" x14ac:dyDescent="0.3">
      <c r="D31286" s="25"/>
      <c r="F31286" s="21"/>
      <c r="G31286" s="16"/>
    </row>
    <row r="31287" spans="4:7" ht="15" x14ac:dyDescent="0.3">
      <c r="D31287" s="25"/>
      <c r="F31287" s="21"/>
      <c r="G31287" s="16"/>
    </row>
    <row r="31288" spans="4:7" ht="15" x14ac:dyDescent="0.3">
      <c r="D31288" s="25"/>
      <c r="F31288" s="21"/>
      <c r="G31288" s="16"/>
    </row>
    <row r="31289" spans="4:7" ht="15" x14ac:dyDescent="0.3">
      <c r="D31289" s="25"/>
      <c r="F31289" s="21"/>
      <c r="G31289" s="16"/>
    </row>
    <row r="31290" spans="4:7" ht="15" x14ac:dyDescent="0.3">
      <c r="D31290" s="25"/>
      <c r="F31290" s="21"/>
      <c r="G31290" s="16"/>
    </row>
    <row r="31291" spans="4:7" ht="15" x14ac:dyDescent="0.3">
      <c r="D31291" s="25"/>
      <c r="F31291" s="21"/>
      <c r="G31291" s="16"/>
    </row>
    <row r="31292" spans="4:7" ht="15" x14ac:dyDescent="0.3">
      <c r="D31292" s="25"/>
      <c r="F31292" s="21"/>
      <c r="G31292" s="16"/>
    </row>
    <row r="31293" spans="4:7" ht="15" x14ac:dyDescent="0.3">
      <c r="D31293" s="25"/>
      <c r="F31293" s="21"/>
      <c r="G31293" s="16"/>
    </row>
    <row r="31294" spans="4:7" ht="15" x14ac:dyDescent="0.3">
      <c r="D31294" s="25"/>
      <c r="F31294" s="21"/>
      <c r="G31294" s="16"/>
    </row>
    <row r="31295" spans="4:7" ht="15" x14ac:dyDescent="0.3">
      <c r="D31295" s="25"/>
      <c r="F31295" s="21"/>
      <c r="G31295" s="16"/>
    </row>
    <row r="31296" spans="4:7" ht="15" x14ac:dyDescent="0.3">
      <c r="D31296" s="25"/>
      <c r="F31296" s="21"/>
      <c r="G31296" s="16"/>
    </row>
    <row r="31297" spans="4:7" ht="15" x14ac:dyDescent="0.3">
      <c r="D31297" s="25"/>
      <c r="F31297" s="21"/>
      <c r="G31297" s="16"/>
    </row>
    <row r="31298" spans="4:7" ht="15" x14ac:dyDescent="0.3">
      <c r="D31298" s="25"/>
      <c r="F31298" s="21"/>
      <c r="G31298" s="16"/>
    </row>
    <row r="31299" spans="4:7" ht="15" x14ac:dyDescent="0.3">
      <c r="D31299" s="25"/>
      <c r="F31299" s="21"/>
      <c r="G31299" s="16"/>
    </row>
    <row r="31300" spans="4:7" ht="15" x14ac:dyDescent="0.3">
      <c r="D31300" s="25"/>
      <c r="F31300" s="21"/>
      <c r="G31300" s="16"/>
    </row>
    <row r="31301" spans="4:7" ht="15" x14ac:dyDescent="0.3">
      <c r="D31301" s="25"/>
      <c r="F31301" s="21"/>
      <c r="G31301" s="16"/>
    </row>
    <row r="31302" spans="4:7" ht="15" x14ac:dyDescent="0.3">
      <c r="D31302" s="25"/>
      <c r="F31302" s="21"/>
      <c r="G31302" s="16"/>
    </row>
    <row r="31303" spans="4:7" ht="15" x14ac:dyDescent="0.3">
      <c r="D31303" s="25"/>
      <c r="F31303" s="21"/>
      <c r="G31303" s="16"/>
    </row>
    <row r="31304" spans="4:7" ht="15" x14ac:dyDescent="0.3">
      <c r="D31304" s="25"/>
      <c r="F31304" s="21"/>
      <c r="G31304" s="16"/>
    </row>
    <row r="31305" spans="4:7" ht="15" x14ac:dyDescent="0.3">
      <c r="D31305" s="25"/>
      <c r="F31305" s="21"/>
      <c r="G31305" s="16"/>
    </row>
    <row r="31306" spans="4:7" ht="15" x14ac:dyDescent="0.3">
      <c r="D31306" s="25"/>
      <c r="F31306" s="21"/>
      <c r="G31306" s="16"/>
    </row>
    <row r="31307" spans="4:7" ht="15" x14ac:dyDescent="0.3">
      <c r="D31307" s="25"/>
      <c r="F31307" s="21"/>
      <c r="G31307" s="16"/>
    </row>
    <row r="31308" spans="4:7" ht="15" x14ac:dyDescent="0.3">
      <c r="D31308" s="25"/>
      <c r="F31308" s="21"/>
      <c r="G31308" s="16"/>
    </row>
    <row r="31309" spans="4:7" ht="15" x14ac:dyDescent="0.3">
      <c r="D31309" s="25"/>
      <c r="F31309" s="21"/>
      <c r="G31309" s="16"/>
    </row>
    <row r="31310" spans="4:7" ht="15" x14ac:dyDescent="0.3">
      <c r="D31310" s="25"/>
      <c r="F31310" s="21"/>
      <c r="G31310" s="16"/>
    </row>
    <row r="31311" spans="4:7" ht="15" x14ac:dyDescent="0.3">
      <c r="D31311" s="25"/>
      <c r="F31311" s="21"/>
      <c r="G31311" s="16"/>
    </row>
    <row r="31312" spans="4:7" ht="15" x14ac:dyDescent="0.3">
      <c r="D31312" s="25"/>
      <c r="F31312" s="21"/>
      <c r="G31312" s="16"/>
    </row>
    <row r="31313" spans="4:7" ht="15" x14ac:dyDescent="0.3">
      <c r="D31313" s="25"/>
      <c r="F31313" s="21"/>
      <c r="G31313" s="16"/>
    </row>
    <row r="31314" spans="4:7" ht="15" x14ac:dyDescent="0.3">
      <c r="D31314" s="25"/>
      <c r="F31314" s="21"/>
      <c r="G31314" s="16"/>
    </row>
    <row r="31315" spans="4:7" ht="15" x14ac:dyDescent="0.3">
      <c r="D31315" s="25"/>
      <c r="F31315" s="21"/>
      <c r="G31315" s="16"/>
    </row>
    <row r="31316" spans="4:7" ht="15" x14ac:dyDescent="0.3">
      <c r="D31316" s="25"/>
      <c r="F31316" s="21"/>
      <c r="G31316" s="16"/>
    </row>
    <row r="31317" spans="4:7" ht="15" x14ac:dyDescent="0.3">
      <c r="D31317" s="25"/>
      <c r="F31317" s="21"/>
      <c r="G31317" s="16"/>
    </row>
    <row r="31318" spans="4:7" ht="15" x14ac:dyDescent="0.3">
      <c r="D31318" s="25"/>
      <c r="F31318" s="21"/>
      <c r="G31318" s="16"/>
    </row>
    <row r="31319" spans="4:7" ht="15" x14ac:dyDescent="0.3">
      <c r="D31319" s="25"/>
      <c r="F31319" s="21"/>
      <c r="G31319" s="16"/>
    </row>
    <row r="31320" spans="4:7" ht="15" x14ac:dyDescent="0.3">
      <c r="D31320" s="25"/>
      <c r="F31320" s="21"/>
      <c r="G31320" s="16"/>
    </row>
    <row r="31321" spans="4:7" ht="15" x14ac:dyDescent="0.3">
      <c r="D31321" s="25"/>
      <c r="F31321" s="21"/>
      <c r="G31321" s="16"/>
    </row>
    <row r="31322" spans="4:7" ht="15" x14ac:dyDescent="0.3">
      <c r="D31322" s="25"/>
      <c r="F31322" s="21"/>
      <c r="G31322" s="16"/>
    </row>
    <row r="31323" spans="4:7" ht="15" x14ac:dyDescent="0.3">
      <c r="D31323" s="25"/>
      <c r="F31323" s="21"/>
      <c r="G31323" s="16"/>
    </row>
    <row r="31324" spans="4:7" ht="15" x14ac:dyDescent="0.3">
      <c r="D31324" s="25"/>
      <c r="F31324" s="21"/>
      <c r="G31324" s="16"/>
    </row>
    <row r="31325" spans="4:7" ht="15" x14ac:dyDescent="0.3">
      <c r="D31325" s="25"/>
      <c r="F31325" s="21"/>
      <c r="G31325" s="16"/>
    </row>
    <row r="31326" spans="4:7" ht="15" x14ac:dyDescent="0.3">
      <c r="D31326" s="25"/>
      <c r="F31326" s="21"/>
      <c r="G31326" s="16"/>
    </row>
    <row r="31327" spans="4:7" ht="15" x14ac:dyDescent="0.3">
      <c r="D31327" s="25"/>
      <c r="F31327" s="21"/>
      <c r="G31327" s="16"/>
    </row>
    <row r="31328" spans="4:7" ht="15" x14ac:dyDescent="0.3">
      <c r="D31328" s="25"/>
      <c r="F31328" s="21"/>
      <c r="G31328" s="16"/>
    </row>
    <row r="31329" spans="4:7" ht="15" x14ac:dyDescent="0.3">
      <c r="D31329" s="25"/>
      <c r="F31329" s="21"/>
      <c r="G31329" s="16"/>
    </row>
    <row r="31330" spans="4:7" ht="15" x14ac:dyDescent="0.3">
      <c r="D31330" s="25"/>
      <c r="F31330" s="21"/>
      <c r="G31330" s="16"/>
    </row>
    <row r="31331" spans="4:7" ht="15" x14ac:dyDescent="0.3">
      <c r="D31331" s="25"/>
      <c r="F31331" s="21"/>
      <c r="G31331" s="16"/>
    </row>
    <row r="31332" spans="4:7" ht="15" x14ac:dyDescent="0.3">
      <c r="D31332" s="25"/>
      <c r="F31332" s="21"/>
      <c r="G31332" s="16"/>
    </row>
    <row r="31333" spans="4:7" ht="15" x14ac:dyDescent="0.3">
      <c r="D31333" s="25"/>
      <c r="F31333" s="21"/>
      <c r="G31333" s="16"/>
    </row>
    <row r="31334" spans="4:7" ht="15" x14ac:dyDescent="0.3">
      <c r="D31334" s="25"/>
      <c r="F31334" s="21"/>
      <c r="G31334" s="16"/>
    </row>
    <row r="31335" spans="4:7" ht="15" x14ac:dyDescent="0.3">
      <c r="D31335" s="25"/>
      <c r="F31335" s="21"/>
      <c r="G31335" s="16"/>
    </row>
    <row r="31336" spans="4:7" ht="15" x14ac:dyDescent="0.3">
      <c r="D31336" s="25"/>
      <c r="F31336" s="21"/>
      <c r="G31336" s="16"/>
    </row>
    <row r="31337" spans="4:7" ht="15" x14ac:dyDescent="0.3">
      <c r="D31337" s="25"/>
      <c r="F31337" s="21"/>
      <c r="G31337" s="16"/>
    </row>
    <row r="31338" spans="4:7" ht="15" x14ac:dyDescent="0.3">
      <c r="D31338" s="25"/>
      <c r="F31338" s="21"/>
      <c r="G31338" s="16"/>
    </row>
    <row r="31339" spans="4:7" ht="15" x14ac:dyDescent="0.3">
      <c r="D31339" s="25"/>
      <c r="F31339" s="21"/>
      <c r="G31339" s="16"/>
    </row>
    <row r="31340" spans="4:7" ht="15" x14ac:dyDescent="0.3">
      <c r="D31340" s="25"/>
      <c r="F31340" s="21"/>
      <c r="G31340" s="16"/>
    </row>
    <row r="31341" spans="4:7" ht="15" x14ac:dyDescent="0.3">
      <c r="D31341" s="25"/>
      <c r="F31341" s="21"/>
      <c r="G31341" s="16"/>
    </row>
    <row r="31342" spans="4:7" ht="15" x14ac:dyDescent="0.3">
      <c r="D31342" s="25"/>
      <c r="F31342" s="21"/>
      <c r="G31342" s="16"/>
    </row>
    <row r="31343" spans="4:7" ht="15" x14ac:dyDescent="0.3">
      <c r="D31343" s="25"/>
      <c r="F31343" s="21"/>
      <c r="G31343" s="16"/>
    </row>
    <row r="31344" spans="4:7" ht="15" x14ac:dyDescent="0.3">
      <c r="D31344" s="25"/>
      <c r="F31344" s="21"/>
      <c r="G31344" s="16"/>
    </row>
    <row r="31345" spans="4:7" ht="15" x14ac:dyDescent="0.3">
      <c r="D31345" s="25"/>
      <c r="F31345" s="21"/>
      <c r="G31345" s="16"/>
    </row>
    <row r="31346" spans="4:7" ht="15" x14ac:dyDescent="0.3">
      <c r="D31346" s="25"/>
      <c r="F31346" s="21"/>
      <c r="G31346" s="16"/>
    </row>
    <row r="31347" spans="4:7" ht="15" x14ac:dyDescent="0.3">
      <c r="D31347" s="25"/>
      <c r="F31347" s="21"/>
      <c r="G31347" s="16"/>
    </row>
    <row r="31348" spans="4:7" ht="15" x14ac:dyDescent="0.3">
      <c r="D31348" s="25"/>
      <c r="F31348" s="21"/>
      <c r="G31348" s="16"/>
    </row>
    <row r="31349" spans="4:7" ht="15" x14ac:dyDescent="0.3">
      <c r="D31349" s="25"/>
      <c r="F31349" s="21"/>
      <c r="G31349" s="16"/>
    </row>
    <row r="31350" spans="4:7" ht="15" x14ac:dyDescent="0.3">
      <c r="D31350" s="25"/>
      <c r="F31350" s="21"/>
      <c r="G31350" s="16"/>
    </row>
    <row r="31351" spans="4:7" ht="15" x14ac:dyDescent="0.3">
      <c r="D31351" s="25"/>
      <c r="F31351" s="21"/>
      <c r="G31351" s="16"/>
    </row>
    <row r="31352" spans="4:7" ht="15" x14ac:dyDescent="0.3">
      <c r="D31352" s="25"/>
      <c r="F31352" s="21"/>
      <c r="G31352" s="16"/>
    </row>
    <row r="31353" spans="4:7" ht="15" x14ac:dyDescent="0.3">
      <c r="D31353" s="25"/>
      <c r="F31353" s="21"/>
      <c r="G31353" s="16"/>
    </row>
    <row r="31354" spans="4:7" ht="15" x14ac:dyDescent="0.3">
      <c r="D31354" s="25"/>
      <c r="F31354" s="21"/>
      <c r="G31354" s="16"/>
    </row>
    <row r="31355" spans="4:7" ht="15" x14ac:dyDescent="0.3">
      <c r="D31355" s="25"/>
      <c r="F31355" s="21"/>
      <c r="G31355" s="16"/>
    </row>
    <row r="31356" spans="4:7" ht="15" x14ac:dyDescent="0.3">
      <c r="D31356" s="25"/>
      <c r="F31356" s="21"/>
      <c r="G31356" s="16"/>
    </row>
    <row r="31357" spans="4:7" ht="15" x14ac:dyDescent="0.3">
      <c r="D31357" s="25"/>
      <c r="F31357" s="21"/>
      <c r="G31357" s="16"/>
    </row>
    <row r="31358" spans="4:7" ht="15" x14ac:dyDescent="0.3">
      <c r="D31358" s="25"/>
      <c r="F31358" s="21"/>
      <c r="G31358" s="16"/>
    </row>
    <row r="31359" spans="4:7" ht="15" x14ac:dyDescent="0.3">
      <c r="D31359" s="25"/>
      <c r="F31359" s="21"/>
      <c r="G31359" s="16"/>
    </row>
    <row r="31360" spans="4:7" ht="15" x14ac:dyDescent="0.3">
      <c r="D31360" s="25"/>
      <c r="F31360" s="21"/>
      <c r="G31360" s="16"/>
    </row>
    <row r="31361" spans="4:7" ht="15" x14ac:dyDescent="0.3">
      <c r="D31361" s="25"/>
      <c r="F31361" s="21"/>
      <c r="G31361" s="16"/>
    </row>
    <row r="31362" spans="4:7" ht="15" x14ac:dyDescent="0.3">
      <c r="D31362" s="25"/>
      <c r="F31362" s="21"/>
      <c r="G31362" s="16"/>
    </row>
    <row r="31363" spans="4:7" ht="15" x14ac:dyDescent="0.3">
      <c r="D31363" s="25"/>
      <c r="F31363" s="21"/>
      <c r="G31363" s="16"/>
    </row>
    <row r="31364" spans="4:7" ht="15" x14ac:dyDescent="0.3">
      <c r="D31364" s="25"/>
      <c r="F31364" s="21"/>
      <c r="G31364" s="16"/>
    </row>
    <row r="31365" spans="4:7" ht="15" x14ac:dyDescent="0.3">
      <c r="D31365" s="25"/>
      <c r="F31365" s="21"/>
      <c r="G31365" s="16"/>
    </row>
    <row r="31366" spans="4:7" ht="15" x14ac:dyDescent="0.3">
      <c r="D31366" s="25"/>
      <c r="F31366" s="21"/>
      <c r="G31366" s="16"/>
    </row>
    <row r="31367" spans="4:7" ht="15" x14ac:dyDescent="0.3">
      <c r="D31367" s="25"/>
      <c r="F31367" s="21"/>
      <c r="G31367" s="16"/>
    </row>
    <row r="31368" spans="4:7" ht="15" x14ac:dyDescent="0.3">
      <c r="D31368" s="25"/>
      <c r="F31368" s="21"/>
      <c r="G31368" s="16"/>
    </row>
    <row r="31369" spans="4:7" ht="15" x14ac:dyDescent="0.3">
      <c r="D31369" s="25"/>
      <c r="F31369" s="21"/>
      <c r="G31369" s="16"/>
    </row>
    <row r="31370" spans="4:7" ht="15" x14ac:dyDescent="0.3">
      <c r="D31370" s="25"/>
      <c r="F31370" s="21"/>
      <c r="G31370" s="16"/>
    </row>
    <row r="31371" spans="4:7" ht="15" x14ac:dyDescent="0.3">
      <c r="D31371" s="25"/>
      <c r="F31371" s="21"/>
      <c r="G31371" s="16"/>
    </row>
    <row r="31372" spans="4:7" ht="15" x14ac:dyDescent="0.3">
      <c r="D31372" s="25"/>
      <c r="F31372" s="21"/>
      <c r="G31372" s="16"/>
    </row>
    <row r="31373" spans="4:7" ht="15" x14ac:dyDescent="0.3">
      <c r="D31373" s="25"/>
      <c r="F31373" s="21"/>
      <c r="G31373" s="16"/>
    </row>
    <row r="31374" spans="4:7" ht="15" x14ac:dyDescent="0.3">
      <c r="D31374" s="25"/>
      <c r="F31374" s="21"/>
      <c r="G31374" s="16"/>
    </row>
    <row r="31375" spans="4:7" ht="15" x14ac:dyDescent="0.3">
      <c r="D31375" s="25"/>
      <c r="F31375" s="21"/>
      <c r="G31375" s="16"/>
    </row>
    <row r="31376" spans="4:7" ht="15" x14ac:dyDescent="0.3">
      <c r="D31376" s="25"/>
      <c r="F31376" s="21"/>
      <c r="G31376" s="16"/>
    </row>
    <row r="31377" spans="4:7" ht="15" x14ac:dyDescent="0.3">
      <c r="D31377" s="25"/>
      <c r="F31377" s="21"/>
      <c r="G31377" s="16"/>
    </row>
    <row r="31378" spans="4:7" ht="15" x14ac:dyDescent="0.3">
      <c r="D31378" s="25"/>
      <c r="F31378" s="21"/>
      <c r="G31378" s="16"/>
    </row>
    <row r="31379" spans="4:7" ht="15" x14ac:dyDescent="0.3">
      <c r="D31379" s="25"/>
      <c r="F31379" s="21"/>
      <c r="G31379" s="16"/>
    </row>
    <row r="31380" spans="4:7" ht="15" x14ac:dyDescent="0.3">
      <c r="D31380" s="25"/>
      <c r="F31380" s="21"/>
      <c r="G31380" s="16"/>
    </row>
    <row r="31381" spans="4:7" ht="15" x14ac:dyDescent="0.3">
      <c r="D31381" s="25"/>
      <c r="F31381" s="21"/>
      <c r="G31381" s="16"/>
    </row>
    <row r="31382" spans="4:7" ht="15" x14ac:dyDescent="0.3">
      <c r="D31382" s="25"/>
      <c r="F31382" s="21"/>
      <c r="G31382" s="16"/>
    </row>
    <row r="31383" spans="4:7" ht="15" x14ac:dyDescent="0.3">
      <c r="D31383" s="25"/>
      <c r="F31383" s="21"/>
      <c r="G31383" s="16"/>
    </row>
    <row r="31384" spans="4:7" ht="15" x14ac:dyDescent="0.3">
      <c r="D31384" s="25"/>
      <c r="F31384" s="21"/>
      <c r="G31384" s="16"/>
    </row>
    <row r="31385" spans="4:7" ht="15" x14ac:dyDescent="0.3">
      <c r="D31385" s="25"/>
      <c r="F31385" s="21"/>
      <c r="G31385" s="16"/>
    </row>
    <row r="31386" spans="4:7" ht="15" x14ac:dyDescent="0.3">
      <c r="D31386" s="25"/>
      <c r="F31386" s="21"/>
      <c r="G31386" s="16"/>
    </row>
    <row r="31387" spans="4:7" ht="15" x14ac:dyDescent="0.3">
      <c r="D31387" s="25"/>
      <c r="F31387" s="21"/>
      <c r="G31387" s="16"/>
    </row>
    <row r="31388" spans="4:7" ht="15" x14ac:dyDescent="0.3">
      <c r="D31388" s="25"/>
      <c r="F31388" s="21"/>
      <c r="G31388" s="16"/>
    </row>
    <row r="31389" spans="4:7" ht="15" x14ac:dyDescent="0.3">
      <c r="D31389" s="25"/>
      <c r="F31389" s="21"/>
      <c r="G31389" s="16"/>
    </row>
    <row r="31390" spans="4:7" ht="15" x14ac:dyDescent="0.3">
      <c r="D31390" s="25"/>
      <c r="F31390" s="21"/>
      <c r="G31390" s="16"/>
    </row>
    <row r="31391" spans="4:7" ht="15" x14ac:dyDescent="0.3">
      <c r="D31391" s="25"/>
      <c r="F31391" s="21"/>
      <c r="G31391" s="16"/>
    </row>
    <row r="31392" spans="4:7" ht="15" x14ac:dyDescent="0.3">
      <c r="D31392" s="25"/>
      <c r="F31392" s="21"/>
      <c r="G31392" s="16"/>
    </row>
    <row r="31393" spans="4:7" ht="15" x14ac:dyDescent="0.3">
      <c r="D31393" s="25"/>
      <c r="F31393" s="21"/>
      <c r="G31393" s="16"/>
    </row>
    <row r="31394" spans="4:7" ht="15" x14ac:dyDescent="0.3">
      <c r="D31394" s="25"/>
      <c r="F31394" s="21"/>
      <c r="G31394" s="16"/>
    </row>
    <row r="31395" spans="4:7" ht="15" x14ac:dyDescent="0.3">
      <c r="D31395" s="25"/>
      <c r="F31395" s="21"/>
      <c r="G31395" s="16"/>
    </row>
    <row r="31396" spans="4:7" ht="15" x14ac:dyDescent="0.3">
      <c r="D31396" s="25"/>
      <c r="F31396" s="21"/>
      <c r="G31396" s="16"/>
    </row>
    <row r="31397" spans="4:7" ht="15" x14ac:dyDescent="0.3">
      <c r="D31397" s="25"/>
      <c r="F31397" s="21"/>
      <c r="G31397" s="16"/>
    </row>
    <row r="31398" spans="4:7" ht="15" x14ac:dyDescent="0.3">
      <c r="D31398" s="25"/>
      <c r="F31398" s="21"/>
      <c r="G31398" s="16"/>
    </row>
    <row r="31399" spans="4:7" ht="15" x14ac:dyDescent="0.3">
      <c r="D31399" s="25"/>
      <c r="F31399" s="21"/>
      <c r="G31399" s="16"/>
    </row>
    <row r="31400" spans="4:7" ht="15" x14ac:dyDescent="0.3">
      <c r="D31400" s="25"/>
      <c r="F31400" s="21"/>
      <c r="G31400" s="16"/>
    </row>
    <row r="31401" spans="4:7" ht="15" x14ac:dyDescent="0.3">
      <c r="D31401" s="25"/>
      <c r="F31401" s="21"/>
      <c r="G31401" s="16"/>
    </row>
    <row r="31402" spans="4:7" ht="15" x14ac:dyDescent="0.3">
      <c r="D31402" s="25"/>
      <c r="F31402" s="21"/>
      <c r="G31402" s="16"/>
    </row>
    <row r="31403" spans="4:7" ht="15" x14ac:dyDescent="0.3">
      <c r="D31403" s="25"/>
      <c r="F31403" s="21"/>
      <c r="G31403" s="16"/>
    </row>
    <row r="31404" spans="4:7" ht="15" x14ac:dyDescent="0.3">
      <c r="D31404" s="25"/>
      <c r="F31404" s="21"/>
      <c r="G31404" s="16"/>
    </row>
    <row r="31405" spans="4:7" ht="15" x14ac:dyDescent="0.3">
      <c r="D31405" s="25"/>
      <c r="F31405" s="21"/>
      <c r="G31405" s="16"/>
    </row>
    <row r="31406" spans="4:7" ht="15" x14ac:dyDescent="0.3">
      <c r="D31406" s="25"/>
      <c r="F31406" s="21"/>
      <c r="G31406" s="16"/>
    </row>
    <row r="31407" spans="4:7" ht="15" x14ac:dyDescent="0.3">
      <c r="D31407" s="25"/>
      <c r="F31407" s="21"/>
      <c r="G31407" s="16"/>
    </row>
    <row r="31408" spans="4:7" ht="15" x14ac:dyDescent="0.3">
      <c r="D31408" s="25"/>
      <c r="F31408" s="21"/>
      <c r="G31408" s="16"/>
    </row>
    <row r="31409" spans="4:7" ht="15" x14ac:dyDescent="0.3">
      <c r="D31409" s="25"/>
      <c r="F31409" s="21"/>
      <c r="G31409" s="16"/>
    </row>
    <row r="31410" spans="4:7" ht="15" x14ac:dyDescent="0.3">
      <c r="D31410" s="25"/>
      <c r="F31410" s="21"/>
      <c r="G31410" s="16"/>
    </row>
    <row r="31411" spans="4:7" ht="15" x14ac:dyDescent="0.3">
      <c r="D31411" s="25"/>
      <c r="F31411" s="21"/>
      <c r="G31411" s="16"/>
    </row>
    <row r="31412" spans="4:7" ht="15" x14ac:dyDescent="0.3">
      <c r="D31412" s="25"/>
      <c r="F31412" s="21"/>
      <c r="G31412" s="16"/>
    </row>
    <row r="31413" spans="4:7" ht="15" x14ac:dyDescent="0.3">
      <c r="D31413" s="25"/>
      <c r="F31413" s="21"/>
      <c r="G31413" s="16"/>
    </row>
    <row r="31414" spans="4:7" ht="15" x14ac:dyDescent="0.3">
      <c r="D31414" s="25"/>
      <c r="F31414" s="21"/>
      <c r="G31414" s="16"/>
    </row>
    <row r="31415" spans="4:7" ht="15" x14ac:dyDescent="0.3">
      <c r="D31415" s="25"/>
      <c r="F31415" s="21"/>
      <c r="G31415" s="16"/>
    </row>
    <row r="31416" spans="4:7" ht="15" x14ac:dyDescent="0.3">
      <c r="D31416" s="25"/>
      <c r="F31416" s="21"/>
      <c r="G31416" s="16"/>
    </row>
    <row r="31417" spans="4:7" ht="15" x14ac:dyDescent="0.3">
      <c r="D31417" s="25"/>
      <c r="F31417" s="21"/>
      <c r="G31417" s="16"/>
    </row>
    <row r="31418" spans="4:7" ht="15" x14ac:dyDescent="0.3">
      <c r="D31418" s="25"/>
      <c r="F31418" s="21"/>
      <c r="G31418" s="16"/>
    </row>
    <row r="31419" spans="4:7" ht="15" x14ac:dyDescent="0.3">
      <c r="D31419" s="25"/>
      <c r="F31419" s="21"/>
      <c r="G31419" s="16"/>
    </row>
    <row r="31420" spans="4:7" ht="15" x14ac:dyDescent="0.3">
      <c r="D31420" s="25"/>
      <c r="F31420" s="21"/>
      <c r="G31420" s="16"/>
    </row>
    <row r="31421" spans="4:7" ht="15" x14ac:dyDescent="0.3">
      <c r="D31421" s="25"/>
      <c r="F31421" s="21"/>
      <c r="G31421" s="16"/>
    </row>
    <row r="31422" spans="4:7" ht="15" x14ac:dyDescent="0.3">
      <c r="D31422" s="25"/>
      <c r="F31422" s="21"/>
      <c r="G31422" s="16"/>
    </row>
    <row r="31423" spans="4:7" ht="15" x14ac:dyDescent="0.3">
      <c r="D31423" s="25"/>
      <c r="F31423" s="21"/>
      <c r="G31423" s="16"/>
    </row>
    <row r="31424" spans="4:7" ht="15" x14ac:dyDescent="0.3">
      <c r="D31424" s="25"/>
      <c r="F31424" s="21"/>
      <c r="G31424" s="16"/>
    </row>
    <row r="31425" spans="4:7" ht="15" x14ac:dyDescent="0.3">
      <c r="D31425" s="25"/>
      <c r="F31425" s="21"/>
      <c r="G31425" s="16"/>
    </row>
    <row r="31426" spans="4:7" ht="15" x14ac:dyDescent="0.3">
      <c r="D31426" s="25"/>
      <c r="F31426" s="21"/>
      <c r="G31426" s="16"/>
    </row>
    <row r="31427" spans="4:7" ht="15" x14ac:dyDescent="0.3">
      <c r="D31427" s="25"/>
      <c r="F31427" s="21"/>
      <c r="G31427" s="16"/>
    </row>
    <row r="31428" spans="4:7" ht="15" x14ac:dyDescent="0.3">
      <c r="D31428" s="25"/>
      <c r="F31428" s="21"/>
      <c r="G31428" s="16"/>
    </row>
    <row r="31429" spans="4:7" ht="15" x14ac:dyDescent="0.3">
      <c r="D31429" s="25"/>
      <c r="F31429" s="21"/>
      <c r="G31429" s="16"/>
    </row>
    <row r="31430" spans="4:7" ht="15" x14ac:dyDescent="0.3">
      <c r="D31430" s="25"/>
      <c r="F31430" s="21"/>
      <c r="G31430" s="16"/>
    </row>
    <row r="31431" spans="4:7" ht="15" x14ac:dyDescent="0.3">
      <c r="D31431" s="25"/>
      <c r="F31431" s="21"/>
      <c r="G31431" s="16"/>
    </row>
    <row r="31432" spans="4:7" ht="15" x14ac:dyDescent="0.3">
      <c r="D31432" s="25"/>
      <c r="F31432" s="21"/>
      <c r="G31432" s="16"/>
    </row>
    <row r="31433" spans="4:7" ht="15" x14ac:dyDescent="0.3">
      <c r="D31433" s="25"/>
      <c r="F31433" s="21"/>
      <c r="G31433" s="16"/>
    </row>
    <row r="31434" spans="4:7" ht="15" x14ac:dyDescent="0.3">
      <c r="D31434" s="25"/>
      <c r="F31434" s="21"/>
      <c r="G31434" s="16"/>
    </row>
    <row r="31435" spans="4:7" ht="15" x14ac:dyDescent="0.3">
      <c r="D31435" s="25"/>
      <c r="F31435" s="21"/>
      <c r="G31435" s="16"/>
    </row>
    <row r="31436" spans="4:7" ht="15" x14ac:dyDescent="0.3">
      <c r="D31436" s="25"/>
      <c r="F31436" s="21"/>
      <c r="G31436" s="16"/>
    </row>
    <row r="31437" spans="4:7" ht="15" x14ac:dyDescent="0.3">
      <c r="D31437" s="25"/>
      <c r="F31437" s="21"/>
      <c r="G31437" s="16"/>
    </row>
    <row r="31438" spans="4:7" ht="15" x14ac:dyDescent="0.3">
      <c r="D31438" s="25"/>
      <c r="F31438" s="21"/>
      <c r="G31438" s="16"/>
    </row>
    <row r="31439" spans="4:7" ht="15" x14ac:dyDescent="0.3">
      <c r="D31439" s="25"/>
      <c r="F31439" s="21"/>
      <c r="G31439" s="16"/>
    </row>
    <row r="31440" spans="4:7" ht="15" x14ac:dyDescent="0.3">
      <c r="D31440" s="25"/>
      <c r="F31440" s="21"/>
      <c r="G31440" s="16"/>
    </row>
    <row r="31441" spans="4:7" ht="15" x14ac:dyDescent="0.3">
      <c r="D31441" s="25"/>
      <c r="F31441" s="21"/>
      <c r="G31441" s="16"/>
    </row>
    <row r="31442" spans="4:7" ht="15" x14ac:dyDescent="0.3">
      <c r="D31442" s="25"/>
      <c r="F31442" s="21"/>
      <c r="G31442" s="16"/>
    </row>
    <row r="31443" spans="4:7" ht="15" x14ac:dyDescent="0.3">
      <c r="D31443" s="25"/>
      <c r="F31443" s="21"/>
      <c r="G31443" s="16"/>
    </row>
    <row r="31444" spans="4:7" ht="15" x14ac:dyDescent="0.3">
      <c r="D31444" s="25"/>
      <c r="F31444" s="21"/>
      <c r="G31444" s="16"/>
    </row>
    <row r="31445" spans="4:7" ht="15" x14ac:dyDescent="0.3">
      <c r="D31445" s="25"/>
      <c r="F31445" s="21"/>
      <c r="G31445" s="16"/>
    </row>
    <row r="31446" spans="4:7" ht="15" x14ac:dyDescent="0.3">
      <c r="D31446" s="25"/>
      <c r="F31446" s="21"/>
      <c r="G31446" s="16"/>
    </row>
    <row r="31447" spans="4:7" ht="15" x14ac:dyDescent="0.3">
      <c r="D31447" s="25"/>
      <c r="F31447" s="21"/>
      <c r="G31447" s="16"/>
    </row>
    <row r="31448" spans="4:7" ht="15" x14ac:dyDescent="0.3">
      <c r="D31448" s="25"/>
      <c r="F31448" s="21"/>
      <c r="G31448" s="16"/>
    </row>
    <row r="31449" spans="4:7" ht="15" x14ac:dyDescent="0.3">
      <c r="D31449" s="25"/>
      <c r="F31449" s="21"/>
      <c r="G31449" s="16"/>
    </row>
    <row r="31450" spans="4:7" ht="15" x14ac:dyDescent="0.3">
      <c r="D31450" s="25"/>
      <c r="F31450" s="21"/>
      <c r="G31450" s="16"/>
    </row>
    <row r="31451" spans="4:7" ht="15" x14ac:dyDescent="0.3">
      <c r="D31451" s="25"/>
      <c r="F31451" s="21"/>
      <c r="G31451" s="16"/>
    </row>
    <row r="31452" spans="4:7" ht="15" x14ac:dyDescent="0.3">
      <c r="D31452" s="25"/>
      <c r="F31452" s="21"/>
      <c r="G31452" s="16"/>
    </row>
    <row r="31453" spans="4:7" ht="15" x14ac:dyDescent="0.3">
      <c r="D31453" s="25"/>
      <c r="F31453" s="21"/>
      <c r="G31453" s="16"/>
    </row>
    <row r="31454" spans="4:7" ht="15" x14ac:dyDescent="0.3">
      <c r="D31454" s="25"/>
      <c r="F31454" s="21"/>
      <c r="G31454" s="16"/>
    </row>
    <row r="31455" spans="4:7" ht="15" x14ac:dyDescent="0.3">
      <c r="D31455" s="25"/>
      <c r="F31455" s="21"/>
      <c r="G31455" s="16"/>
    </row>
    <row r="31456" spans="4:7" ht="15" x14ac:dyDescent="0.3">
      <c r="D31456" s="25"/>
      <c r="F31456" s="21"/>
      <c r="G31456" s="16"/>
    </row>
    <row r="31457" spans="4:7" ht="15" x14ac:dyDescent="0.3">
      <c r="D31457" s="25"/>
      <c r="F31457" s="21"/>
      <c r="G31457" s="16"/>
    </row>
    <row r="31458" spans="4:7" ht="15" x14ac:dyDescent="0.3">
      <c r="D31458" s="25"/>
      <c r="F31458" s="21"/>
      <c r="G31458" s="16"/>
    </row>
    <row r="31459" spans="4:7" ht="15" x14ac:dyDescent="0.3">
      <c r="D31459" s="25"/>
      <c r="F31459" s="21"/>
      <c r="G31459" s="16"/>
    </row>
    <row r="31460" spans="4:7" ht="15" x14ac:dyDescent="0.3">
      <c r="D31460" s="25"/>
      <c r="F31460" s="21"/>
      <c r="G31460" s="16"/>
    </row>
    <row r="31461" spans="4:7" ht="15" x14ac:dyDescent="0.3">
      <c r="D31461" s="25"/>
      <c r="F31461" s="21"/>
      <c r="G31461" s="16"/>
    </row>
    <row r="31462" spans="4:7" ht="15" x14ac:dyDescent="0.3">
      <c r="D31462" s="25"/>
      <c r="F31462" s="21"/>
      <c r="G31462" s="16"/>
    </row>
    <row r="31463" spans="4:7" ht="15" x14ac:dyDescent="0.3">
      <c r="D31463" s="25"/>
      <c r="F31463" s="21"/>
      <c r="G31463" s="16"/>
    </row>
    <row r="31464" spans="4:7" ht="15" x14ac:dyDescent="0.3">
      <c r="D31464" s="25"/>
      <c r="F31464" s="21"/>
      <c r="G31464" s="16"/>
    </row>
    <row r="31465" spans="4:7" ht="15" x14ac:dyDescent="0.3">
      <c r="D31465" s="25"/>
      <c r="F31465" s="21"/>
      <c r="G31465" s="16"/>
    </row>
    <row r="31466" spans="4:7" ht="15" x14ac:dyDescent="0.3">
      <c r="D31466" s="25"/>
      <c r="F31466" s="21"/>
      <c r="G31466" s="16"/>
    </row>
    <row r="31467" spans="4:7" ht="15" x14ac:dyDescent="0.3">
      <c r="D31467" s="25"/>
      <c r="F31467" s="21"/>
      <c r="G31467" s="16"/>
    </row>
    <row r="31468" spans="4:7" ht="15" x14ac:dyDescent="0.3">
      <c r="D31468" s="25"/>
      <c r="F31468" s="21"/>
      <c r="G31468" s="16"/>
    </row>
    <row r="31469" spans="4:7" ht="15" x14ac:dyDescent="0.3">
      <c r="D31469" s="25"/>
      <c r="F31469" s="21"/>
      <c r="G31469" s="16"/>
    </row>
    <row r="31470" spans="4:7" ht="15" x14ac:dyDescent="0.3">
      <c r="D31470" s="25"/>
      <c r="F31470" s="21"/>
      <c r="G31470" s="16"/>
    </row>
    <row r="31471" spans="4:7" ht="15" x14ac:dyDescent="0.3">
      <c r="D31471" s="25"/>
      <c r="F31471" s="21"/>
      <c r="G31471" s="16"/>
    </row>
    <row r="31472" spans="4:7" ht="15" x14ac:dyDescent="0.3">
      <c r="D31472" s="25"/>
      <c r="F31472" s="21"/>
      <c r="G31472" s="16"/>
    </row>
    <row r="31473" spans="4:7" ht="15" x14ac:dyDescent="0.3">
      <c r="D31473" s="25"/>
      <c r="F31473" s="21"/>
      <c r="G31473" s="16"/>
    </row>
    <row r="31474" spans="4:7" ht="15" x14ac:dyDescent="0.3">
      <c r="D31474" s="25"/>
      <c r="F31474" s="21"/>
      <c r="G31474" s="16"/>
    </row>
    <row r="31475" spans="4:7" ht="15" x14ac:dyDescent="0.3">
      <c r="D31475" s="25"/>
      <c r="F31475" s="21"/>
      <c r="G31475" s="16"/>
    </row>
    <row r="31476" spans="4:7" ht="15" x14ac:dyDescent="0.3">
      <c r="D31476" s="25"/>
      <c r="F31476" s="21"/>
      <c r="G31476" s="16"/>
    </row>
    <row r="31477" spans="4:7" ht="15" x14ac:dyDescent="0.3">
      <c r="D31477" s="25"/>
      <c r="F31477" s="21"/>
      <c r="G31477" s="16"/>
    </row>
    <row r="31478" spans="4:7" ht="15" x14ac:dyDescent="0.3">
      <c r="D31478" s="25"/>
      <c r="F31478" s="21"/>
      <c r="G31478" s="16"/>
    </row>
    <row r="31479" spans="4:7" ht="15" x14ac:dyDescent="0.3">
      <c r="D31479" s="25"/>
      <c r="F31479" s="21"/>
      <c r="G31479" s="16"/>
    </row>
    <row r="31480" spans="4:7" ht="15" x14ac:dyDescent="0.3">
      <c r="D31480" s="25"/>
      <c r="F31480" s="21"/>
      <c r="G31480" s="16"/>
    </row>
    <row r="31481" spans="4:7" ht="15" x14ac:dyDescent="0.3">
      <c r="D31481" s="25"/>
      <c r="F31481" s="21"/>
      <c r="G31481" s="16"/>
    </row>
    <row r="31482" spans="4:7" ht="15" x14ac:dyDescent="0.3">
      <c r="D31482" s="25"/>
      <c r="F31482" s="21"/>
      <c r="G31482" s="16"/>
    </row>
    <row r="31483" spans="4:7" ht="15" x14ac:dyDescent="0.3">
      <c r="D31483" s="25"/>
      <c r="F31483" s="21"/>
      <c r="G31483" s="16"/>
    </row>
    <row r="31484" spans="4:7" ht="15" x14ac:dyDescent="0.3">
      <c r="D31484" s="25"/>
      <c r="F31484" s="21"/>
      <c r="G31484" s="16"/>
    </row>
    <row r="31485" spans="4:7" ht="15" x14ac:dyDescent="0.3">
      <c r="D31485" s="25"/>
      <c r="F31485" s="21"/>
      <c r="G31485" s="16"/>
    </row>
    <row r="31486" spans="4:7" ht="15" x14ac:dyDescent="0.3">
      <c r="D31486" s="25"/>
      <c r="F31486" s="21"/>
      <c r="G31486" s="16"/>
    </row>
    <row r="31487" spans="4:7" ht="15" x14ac:dyDescent="0.3">
      <c r="D31487" s="25"/>
      <c r="F31487" s="21"/>
      <c r="G31487" s="16"/>
    </row>
    <row r="31488" spans="4:7" ht="15" x14ac:dyDescent="0.3">
      <c r="D31488" s="25"/>
      <c r="F31488" s="21"/>
      <c r="G31488" s="16"/>
    </row>
    <row r="31489" spans="4:7" ht="15" x14ac:dyDescent="0.3">
      <c r="D31489" s="25"/>
      <c r="F31489" s="21"/>
      <c r="G31489" s="16"/>
    </row>
    <row r="31490" spans="4:7" ht="15" x14ac:dyDescent="0.3">
      <c r="D31490" s="25"/>
      <c r="F31490" s="21"/>
      <c r="G31490" s="16"/>
    </row>
    <row r="31491" spans="4:7" ht="15" x14ac:dyDescent="0.3">
      <c r="D31491" s="25"/>
      <c r="F31491" s="21"/>
      <c r="G31491" s="16"/>
    </row>
    <row r="31492" spans="4:7" ht="15" x14ac:dyDescent="0.3">
      <c r="D31492" s="25"/>
      <c r="F31492" s="21"/>
      <c r="G31492" s="16"/>
    </row>
    <row r="31493" spans="4:7" ht="15" x14ac:dyDescent="0.3">
      <c r="D31493" s="25"/>
      <c r="F31493" s="21"/>
      <c r="G31493" s="16"/>
    </row>
    <row r="31494" spans="4:7" ht="15" x14ac:dyDescent="0.3">
      <c r="D31494" s="25"/>
      <c r="F31494" s="21"/>
      <c r="G31494" s="16"/>
    </row>
    <row r="31495" spans="4:7" ht="15" x14ac:dyDescent="0.3">
      <c r="D31495" s="25"/>
      <c r="F31495" s="21"/>
      <c r="G31495" s="16"/>
    </row>
    <row r="31496" spans="4:7" ht="15" x14ac:dyDescent="0.3">
      <c r="D31496" s="25"/>
      <c r="F31496" s="21"/>
      <c r="G31496" s="16"/>
    </row>
    <row r="31497" spans="4:7" ht="15" x14ac:dyDescent="0.3">
      <c r="D31497" s="25"/>
      <c r="F31497" s="21"/>
      <c r="G31497" s="16"/>
    </row>
    <row r="31498" spans="4:7" ht="15" x14ac:dyDescent="0.3">
      <c r="D31498" s="25"/>
      <c r="F31498" s="21"/>
      <c r="G31498" s="16"/>
    </row>
    <row r="31499" spans="4:7" ht="15" x14ac:dyDescent="0.3">
      <c r="D31499" s="25"/>
      <c r="F31499" s="21"/>
      <c r="G31499" s="16"/>
    </row>
    <row r="31500" spans="4:7" ht="15" x14ac:dyDescent="0.3">
      <c r="D31500" s="25"/>
      <c r="F31500" s="21"/>
      <c r="G31500" s="16"/>
    </row>
    <row r="31501" spans="4:7" ht="15" x14ac:dyDescent="0.3">
      <c r="D31501" s="25"/>
      <c r="F31501" s="21"/>
      <c r="G31501" s="16"/>
    </row>
    <row r="31502" spans="4:7" ht="15" x14ac:dyDescent="0.3">
      <c r="D31502" s="25"/>
      <c r="F31502" s="21"/>
      <c r="G31502" s="16"/>
    </row>
    <row r="31503" spans="4:7" ht="15" x14ac:dyDescent="0.3">
      <c r="D31503" s="25"/>
      <c r="F31503" s="21"/>
      <c r="G31503" s="16"/>
    </row>
    <row r="31504" spans="4:7" ht="15" x14ac:dyDescent="0.3">
      <c r="D31504" s="25"/>
      <c r="F31504" s="21"/>
      <c r="G31504" s="16"/>
    </row>
    <row r="31505" spans="4:7" ht="15" x14ac:dyDescent="0.3">
      <c r="D31505" s="25"/>
      <c r="F31505" s="21"/>
      <c r="G31505" s="16"/>
    </row>
    <row r="31506" spans="4:7" ht="15" x14ac:dyDescent="0.3">
      <c r="D31506" s="25"/>
      <c r="F31506" s="21"/>
      <c r="G31506" s="16"/>
    </row>
    <row r="31507" spans="4:7" ht="15" x14ac:dyDescent="0.3">
      <c r="D31507" s="25"/>
      <c r="F31507" s="21"/>
      <c r="G31507" s="16"/>
    </row>
    <row r="31508" spans="4:7" ht="15" x14ac:dyDescent="0.3">
      <c r="D31508" s="25"/>
      <c r="F31508" s="21"/>
      <c r="G31508" s="16"/>
    </row>
    <row r="31509" spans="4:7" ht="15" x14ac:dyDescent="0.3">
      <c r="D31509" s="25"/>
      <c r="F31509" s="21"/>
      <c r="G31509" s="16"/>
    </row>
    <row r="31510" spans="4:7" ht="15" x14ac:dyDescent="0.3">
      <c r="D31510" s="25"/>
      <c r="F31510" s="21"/>
      <c r="G31510" s="16"/>
    </row>
    <row r="31511" spans="4:7" ht="15" x14ac:dyDescent="0.3">
      <c r="D31511" s="25"/>
      <c r="F31511" s="21"/>
      <c r="G31511" s="16"/>
    </row>
    <row r="31512" spans="4:7" ht="15" x14ac:dyDescent="0.3">
      <c r="D31512" s="25"/>
      <c r="F31512" s="21"/>
      <c r="G31512" s="16"/>
    </row>
    <row r="31513" spans="4:7" ht="15" x14ac:dyDescent="0.3">
      <c r="D31513" s="25"/>
      <c r="F31513" s="21"/>
      <c r="G31513" s="16"/>
    </row>
    <row r="31514" spans="4:7" ht="15" x14ac:dyDescent="0.3">
      <c r="D31514" s="25"/>
      <c r="F31514" s="21"/>
      <c r="G31514" s="16"/>
    </row>
    <row r="31515" spans="4:7" ht="15" x14ac:dyDescent="0.3">
      <c r="D31515" s="25"/>
      <c r="F31515" s="21"/>
      <c r="G31515" s="16"/>
    </row>
    <row r="31516" spans="4:7" ht="15" x14ac:dyDescent="0.3">
      <c r="D31516" s="25"/>
      <c r="F31516" s="21"/>
      <c r="G31516" s="16"/>
    </row>
    <row r="31517" spans="4:7" ht="15" x14ac:dyDescent="0.3">
      <c r="D31517" s="25"/>
      <c r="F31517" s="21"/>
      <c r="G31517" s="16"/>
    </row>
    <row r="31518" spans="4:7" ht="15" x14ac:dyDescent="0.3">
      <c r="D31518" s="25"/>
      <c r="F31518" s="21"/>
      <c r="G31518" s="16"/>
    </row>
    <row r="31519" spans="4:7" ht="15" x14ac:dyDescent="0.3">
      <c r="D31519" s="25"/>
      <c r="F31519" s="21"/>
      <c r="G31519" s="16"/>
    </row>
    <row r="31520" spans="4:7" ht="15" x14ac:dyDescent="0.3">
      <c r="D31520" s="25"/>
      <c r="F31520" s="21"/>
      <c r="G31520" s="16"/>
    </row>
    <row r="31521" spans="4:7" ht="15" x14ac:dyDescent="0.3">
      <c r="D31521" s="25"/>
      <c r="F31521" s="21"/>
      <c r="G31521" s="16"/>
    </row>
    <row r="31522" spans="4:7" ht="15" x14ac:dyDescent="0.3">
      <c r="D31522" s="25"/>
      <c r="F31522" s="21"/>
      <c r="G31522" s="16"/>
    </row>
    <row r="31523" spans="4:7" ht="15" x14ac:dyDescent="0.3">
      <c r="D31523" s="25"/>
      <c r="F31523" s="21"/>
      <c r="G31523" s="16"/>
    </row>
    <row r="31524" spans="4:7" ht="15" x14ac:dyDescent="0.3">
      <c r="D31524" s="25"/>
      <c r="F31524" s="21"/>
      <c r="G31524" s="16"/>
    </row>
    <row r="31525" spans="4:7" ht="15" x14ac:dyDescent="0.3">
      <c r="D31525" s="25"/>
      <c r="F31525" s="21"/>
      <c r="G31525" s="16"/>
    </row>
    <row r="31526" spans="4:7" ht="15" x14ac:dyDescent="0.3">
      <c r="D31526" s="25"/>
      <c r="F31526" s="21"/>
      <c r="G31526" s="16"/>
    </row>
    <row r="31527" spans="4:7" ht="15" x14ac:dyDescent="0.3">
      <c r="D31527" s="25"/>
      <c r="F31527" s="21"/>
      <c r="G31527" s="16"/>
    </row>
    <row r="31528" spans="4:7" ht="15" x14ac:dyDescent="0.3">
      <c r="D31528" s="25"/>
      <c r="F31528" s="21"/>
      <c r="G31528" s="16"/>
    </row>
    <row r="31529" spans="4:7" ht="15" x14ac:dyDescent="0.3">
      <c r="D31529" s="25"/>
      <c r="F31529" s="21"/>
      <c r="G31529" s="16"/>
    </row>
    <row r="31530" spans="4:7" ht="15" x14ac:dyDescent="0.3">
      <c r="D31530" s="25"/>
      <c r="F31530" s="21"/>
      <c r="G31530" s="16"/>
    </row>
    <row r="31531" spans="4:7" ht="15" x14ac:dyDescent="0.3">
      <c r="D31531" s="25"/>
      <c r="F31531" s="21"/>
      <c r="G31531" s="16"/>
    </row>
    <row r="31532" spans="4:7" ht="15" x14ac:dyDescent="0.3">
      <c r="D31532" s="25"/>
      <c r="F31532" s="21"/>
      <c r="G31532" s="16"/>
    </row>
    <row r="31533" spans="4:7" ht="15" x14ac:dyDescent="0.3">
      <c r="D31533" s="25"/>
      <c r="F31533" s="21"/>
      <c r="G31533" s="16"/>
    </row>
    <row r="31534" spans="4:7" ht="15" x14ac:dyDescent="0.3">
      <c r="D31534" s="25"/>
      <c r="F31534" s="21"/>
      <c r="G31534" s="16"/>
    </row>
    <row r="31535" spans="4:7" ht="15" x14ac:dyDescent="0.3">
      <c r="D31535" s="25"/>
      <c r="F31535" s="21"/>
      <c r="G31535" s="16"/>
    </row>
    <row r="31536" spans="4:7" ht="15" x14ac:dyDescent="0.3">
      <c r="D31536" s="25"/>
      <c r="F31536" s="21"/>
      <c r="G31536" s="16"/>
    </row>
    <row r="31537" spans="4:7" ht="15" x14ac:dyDescent="0.3">
      <c r="D31537" s="25"/>
      <c r="F31537" s="21"/>
      <c r="G31537" s="16"/>
    </row>
    <row r="31538" spans="4:7" ht="15" x14ac:dyDescent="0.3">
      <c r="D31538" s="25"/>
      <c r="F31538" s="21"/>
      <c r="G31538" s="16"/>
    </row>
    <row r="31539" spans="4:7" ht="15" x14ac:dyDescent="0.3">
      <c r="D31539" s="25"/>
      <c r="F31539" s="21"/>
      <c r="G31539" s="16"/>
    </row>
    <row r="31540" spans="4:7" ht="15" x14ac:dyDescent="0.3">
      <c r="D31540" s="25"/>
      <c r="F31540" s="21"/>
      <c r="G31540" s="16"/>
    </row>
    <row r="31541" spans="4:7" ht="15" x14ac:dyDescent="0.3">
      <c r="D31541" s="25"/>
      <c r="F31541" s="21"/>
      <c r="G31541" s="16"/>
    </row>
    <row r="31542" spans="4:7" ht="15" x14ac:dyDescent="0.3">
      <c r="D31542" s="25"/>
      <c r="F31542" s="21"/>
      <c r="G31542" s="16"/>
    </row>
    <row r="31543" spans="4:7" ht="15" x14ac:dyDescent="0.3">
      <c r="D31543" s="25"/>
      <c r="F31543" s="21"/>
      <c r="G31543" s="16"/>
    </row>
    <row r="31544" spans="4:7" ht="15" x14ac:dyDescent="0.3">
      <c r="D31544" s="25"/>
      <c r="F31544" s="21"/>
      <c r="G31544" s="16"/>
    </row>
    <row r="31545" spans="4:7" ht="15" x14ac:dyDescent="0.3">
      <c r="D31545" s="25"/>
      <c r="F31545" s="21"/>
      <c r="G31545" s="16"/>
    </row>
    <row r="31546" spans="4:7" ht="15" x14ac:dyDescent="0.3">
      <c r="D31546" s="25"/>
      <c r="F31546" s="21"/>
      <c r="G31546" s="16"/>
    </row>
    <row r="31547" spans="4:7" ht="15" x14ac:dyDescent="0.3">
      <c r="D31547" s="25"/>
      <c r="F31547" s="21"/>
      <c r="G31547" s="16"/>
    </row>
    <row r="31548" spans="4:7" ht="15" x14ac:dyDescent="0.3">
      <c r="D31548" s="25"/>
      <c r="F31548" s="21"/>
      <c r="G31548" s="16"/>
    </row>
    <row r="31549" spans="4:7" ht="15" x14ac:dyDescent="0.3">
      <c r="D31549" s="25"/>
      <c r="F31549" s="21"/>
      <c r="G31549" s="16"/>
    </row>
    <row r="31550" spans="4:7" ht="15" x14ac:dyDescent="0.3">
      <c r="D31550" s="25"/>
      <c r="F31550" s="21"/>
      <c r="G31550" s="16"/>
    </row>
    <row r="31551" spans="4:7" ht="15" x14ac:dyDescent="0.3">
      <c r="D31551" s="25"/>
      <c r="F31551" s="21"/>
      <c r="G31551" s="16"/>
    </row>
    <row r="31552" spans="4:7" ht="15" x14ac:dyDescent="0.3">
      <c r="D31552" s="25"/>
      <c r="F31552" s="21"/>
      <c r="G31552" s="16"/>
    </row>
    <row r="31553" spans="4:7" ht="15" x14ac:dyDescent="0.3">
      <c r="D31553" s="25"/>
      <c r="F31553" s="21"/>
      <c r="G31553" s="16"/>
    </row>
    <row r="31554" spans="4:7" ht="15" x14ac:dyDescent="0.3">
      <c r="D31554" s="25"/>
      <c r="F31554" s="21"/>
      <c r="G31554" s="16"/>
    </row>
    <row r="31555" spans="4:7" ht="15" x14ac:dyDescent="0.3">
      <c r="D31555" s="25"/>
      <c r="F31555" s="21"/>
      <c r="G31555" s="16"/>
    </row>
    <row r="31556" spans="4:7" ht="15" x14ac:dyDescent="0.3">
      <c r="D31556" s="25"/>
      <c r="F31556" s="21"/>
      <c r="G31556" s="16"/>
    </row>
    <row r="31557" spans="4:7" ht="15" x14ac:dyDescent="0.3">
      <c r="D31557" s="25"/>
      <c r="F31557" s="21"/>
      <c r="G31557" s="16"/>
    </row>
    <row r="31558" spans="4:7" ht="15" x14ac:dyDescent="0.3">
      <c r="D31558" s="25"/>
      <c r="F31558" s="21"/>
      <c r="G31558" s="16"/>
    </row>
    <row r="31559" spans="4:7" ht="15" x14ac:dyDescent="0.3">
      <c r="D31559" s="25"/>
      <c r="F31559" s="21"/>
      <c r="G31559" s="16"/>
    </row>
    <row r="31560" spans="4:7" ht="15" x14ac:dyDescent="0.3">
      <c r="D31560" s="25"/>
      <c r="F31560" s="21"/>
      <c r="G31560" s="16"/>
    </row>
    <row r="31561" spans="4:7" ht="15" x14ac:dyDescent="0.3">
      <c r="D31561" s="25"/>
      <c r="F31561" s="21"/>
      <c r="G31561" s="16"/>
    </row>
    <row r="31562" spans="4:7" ht="15" x14ac:dyDescent="0.3">
      <c r="D31562" s="25"/>
      <c r="F31562" s="21"/>
      <c r="G31562" s="16"/>
    </row>
    <row r="31563" spans="4:7" ht="15" x14ac:dyDescent="0.3">
      <c r="D31563" s="25"/>
      <c r="F31563" s="21"/>
      <c r="G31563" s="16"/>
    </row>
    <row r="31564" spans="4:7" ht="15" x14ac:dyDescent="0.3">
      <c r="D31564" s="25"/>
      <c r="F31564" s="21"/>
      <c r="G31564" s="16"/>
    </row>
    <row r="31565" spans="4:7" ht="15" x14ac:dyDescent="0.3">
      <c r="D31565" s="25"/>
      <c r="F31565" s="21"/>
      <c r="G31565" s="16"/>
    </row>
    <row r="31566" spans="4:7" ht="15" x14ac:dyDescent="0.3">
      <c r="D31566" s="25"/>
      <c r="F31566" s="21"/>
      <c r="G31566" s="16"/>
    </row>
    <row r="31567" spans="4:7" ht="15" x14ac:dyDescent="0.3">
      <c r="D31567" s="25"/>
      <c r="F31567" s="21"/>
      <c r="G31567" s="16"/>
    </row>
    <row r="31568" spans="4:7" ht="15" x14ac:dyDescent="0.3">
      <c r="D31568" s="25"/>
      <c r="F31568" s="21"/>
      <c r="G31568" s="16"/>
    </row>
    <row r="31569" spans="4:7" ht="15" x14ac:dyDescent="0.3">
      <c r="D31569" s="25"/>
      <c r="F31569" s="21"/>
      <c r="G31569" s="16"/>
    </row>
    <row r="31570" spans="4:7" ht="15" x14ac:dyDescent="0.3">
      <c r="D31570" s="25"/>
      <c r="F31570" s="21"/>
      <c r="G31570" s="16"/>
    </row>
    <row r="31571" spans="4:7" ht="15" x14ac:dyDescent="0.3">
      <c r="D31571" s="25"/>
      <c r="F31571" s="21"/>
      <c r="G31571" s="16"/>
    </row>
    <row r="31572" spans="4:7" ht="15" x14ac:dyDescent="0.3">
      <c r="D31572" s="25"/>
      <c r="F31572" s="21"/>
      <c r="G31572" s="16"/>
    </row>
    <row r="31573" spans="4:7" ht="15" x14ac:dyDescent="0.3">
      <c r="D31573" s="25"/>
      <c r="F31573" s="21"/>
      <c r="G31573" s="16"/>
    </row>
    <row r="31574" spans="4:7" ht="15" x14ac:dyDescent="0.3">
      <c r="D31574" s="25"/>
      <c r="F31574" s="21"/>
      <c r="G31574" s="16"/>
    </row>
    <row r="31575" spans="4:7" ht="15" x14ac:dyDescent="0.3">
      <c r="D31575" s="25"/>
      <c r="F31575" s="21"/>
      <c r="G31575" s="16"/>
    </row>
    <row r="31576" spans="4:7" ht="15" x14ac:dyDescent="0.3">
      <c r="D31576" s="25"/>
      <c r="F31576" s="21"/>
      <c r="G31576" s="16"/>
    </row>
    <row r="31577" spans="4:7" ht="15" x14ac:dyDescent="0.3">
      <c r="D31577" s="25"/>
      <c r="F31577" s="21"/>
      <c r="G31577" s="16"/>
    </row>
    <row r="31578" spans="4:7" ht="15" x14ac:dyDescent="0.3">
      <c r="D31578" s="25"/>
      <c r="F31578" s="21"/>
      <c r="G31578" s="16"/>
    </row>
    <row r="31579" spans="4:7" ht="15" x14ac:dyDescent="0.3">
      <c r="D31579" s="25"/>
      <c r="F31579" s="21"/>
      <c r="G31579" s="16"/>
    </row>
    <row r="31580" spans="4:7" ht="15" x14ac:dyDescent="0.3">
      <c r="D31580" s="25"/>
      <c r="F31580" s="21"/>
      <c r="G31580" s="16"/>
    </row>
    <row r="31581" spans="4:7" ht="15" x14ac:dyDescent="0.3">
      <c r="D31581" s="25"/>
      <c r="F31581" s="21"/>
      <c r="G31581" s="16"/>
    </row>
    <row r="31582" spans="4:7" ht="15" x14ac:dyDescent="0.3">
      <c r="D31582" s="25"/>
      <c r="F31582" s="21"/>
      <c r="G31582" s="16"/>
    </row>
    <row r="31583" spans="4:7" ht="15" x14ac:dyDescent="0.3">
      <c r="D31583" s="25"/>
      <c r="F31583" s="21"/>
      <c r="G31583" s="16"/>
    </row>
    <row r="31584" spans="4:7" ht="15" x14ac:dyDescent="0.3">
      <c r="D31584" s="25"/>
      <c r="F31584" s="21"/>
      <c r="G31584" s="16"/>
    </row>
    <row r="31585" spans="4:7" ht="15" x14ac:dyDescent="0.3">
      <c r="D31585" s="25"/>
      <c r="F31585" s="21"/>
      <c r="G31585" s="16"/>
    </row>
    <row r="31586" spans="4:7" ht="15" x14ac:dyDescent="0.3">
      <c r="D31586" s="25"/>
      <c r="F31586" s="21"/>
      <c r="G31586" s="16"/>
    </row>
    <row r="31587" spans="4:7" ht="15" x14ac:dyDescent="0.3">
      <c r="D31587" s="25"/>
      <c r="F31587" s="21"/>
      <c r="G31587" s="16"/>
    </row>
    <row r="31588" spans="4:7" ht="15" x14ac:dyDescent="0.3">
      <c r="D31588" s="25"/>
      <c r="F31588" s="21"/>
      <c r="G31588" s="16"/>
    </row>
    <row r="31589" spans="4:7" ht="15" x14ac:dyDescent="0.3">
      <c r="D31589" s="25"/>
      <c r="F31589" s="21"/>
      <c r="G31589" s="16"/>
    </row>
    <row r="31590" spans="4:7" ht="15" x14ac:dyDescent="0.3">
      <c r="D31590" s="25"/>
      <c r="F31590" s="21"/>
      <c r="G31590" s="16"/>
    </row>
    <row r="31591" spans="4:7" ht="15" x14ac:dyDescent="0.3">
      <c r="D31591" s="25"/>
      <c r="F31591" s="21"/>
      <c r="G31591" s="16"/>
    </row>
    <row r="31592" spans="4:7" ht="15" x14ac:dyDescent="0.3">
      <c r="D31592" s="25"/>
      <c r="F31592" s="21"/>
      <c r="G31592" s="16"/>
    </row>
    <row r="31593" spans="4:7" ht="15" x14ac:dyDescent="0.3">
      <c r="D31593" s="25"/>
      <c r="F31593" s="21"/>
      <c r="G31593" s="16"/>
    </row>
    <row r="31594" spans="4:7" ht="15" x14ac:dyDescent="0.3">
      <c r="D31594" s="25"/>
      <c r="F31594" s="21"/>
      <c r="G31594" s="16"/>
    </row>
    <row r="31595" spans="4:7" ht="15" x14ac:dyDescent="0.3">
      <c r="D31595" s="25"/>
      <c r="F31595" s="21"/>
      <c r="G31595" s="16"/>
    </row>
    <row r="31596" spans="4:7" ht="15" x14ac:dyDescent="0.3">
      <c r="D31596" s="25"/>
      <c r="F31596" s="21"/>
      <c r="G31596" s="16"/>
    </row>
    <row r="31597" spans="4:7" ht="15" x14ac:dyDescent="0.3">
      <c r="D31597" s="25"/>
      <c r="F31597" s="21"/>
      <c r="G31597" s="16"/>
    </row>
    <row r="31598" spans="4:7" ht="15" x14ac:dyDescent="0.3">
      <c r="D31598" s="25"/>
      <c r="F31598" s="21"/>
      <c r="G31598" s="16"/>
    </row>
    <row r="31599" spans="4:7" ht="15" x14ac:dyDescent="0.3">
      <c r="D31599" s="25"/>
      <c r="F31599" s="21"/>
      <c r="G31599" s="16"/>
    </row>
    <row r="31600" spans="4:7" ht="15" x14ac:dyDescent="0.3">
      <c r="D31600" s="25"/>
      <c r="F31600" s="21"/>
      <c r="G31600" s="16"/>
    </row>
    <row r="31601" spans="4:7" ht="15" x14ac:dyDescent="0.3">
      <c r="D31601" s="25"/>
      <c r="F31601" s="21"/>
      <c r="G31601" s="16"/>
    </row>
    <row r="31602" spans="4:7" ht="15" x14ac:dyDescent="0.3">
      <c r="D31602" s="25"/>
      <c r="F31602" s="21"/>
      <c r="G31602" s="16"/>
    </row>
    <row r="31603" spans="4:7" ht="15" x14ac:dyDescent="0.3">
      <c r="D31603" s="25"/>
      <c r="F31603" s="21"/>
      <c r="G31603" s="16"/>
    </row>
    <row r="31604" spans="4:7" ht="15" x14ac:dyDescent="0.3">
      <c r="D31604" s="25"/>
      <c r="F31604" s="21"/>
      <c r="G31604" s="16"/>
    </row>
    <row r="31605" spans="4:7" ht="15" x14ac:dyDescent="0.3">
      <c r="D31605" s="25"/>
      <c r="F31605" s="21"/>
      <c r="G31605" s="16"/>
    </row>
    <row r="31606" spans="4:7" ht="15" x14ac:dyDescent="0.3">
      <c r="D31606" s="25"/>
      <c r="F31606" s="21"/>
      <c r="G31606" s="16"/>
    </row>
    <row r="31607" spans="4:7" ht="15" x14ac:dyDescent="0.3">
      <c r="D31607" s="25"/>
      <c r="F31607" s="21"/>
      <c r="G31607" s="16"/>
    </row>
    <row r="31608" spans="4:7" ht="15" x14ac:dyDescent="0.3">
      <c r="D31608" s="25"/>
      <c r="F31608" s="21"/>
      <c r="G31608" s="16"/>
    </row>
    <row r="31609" spans="4:7" ht="15" x14ac:dyDescent="0.3">
      <c r="D31609" s="25"/>
      <c r="F31609" s="21"/>
      <c r="G31609" s="16"/>
    </row>
    <row r="31610" spans="4:7" ht="15" x14ac:dyDescent="0.3">
      <c r="D31610" s="25"/>
      <c r="F31610" s="21"/>
      <c r="G31610" s="16"/>
    </row>
    <row r="31611" spans="4:7" ht="15" x14ac:dyDescent="0.3">
      <c r="D31611" s="25"/>
      <c r="F31611" s="21"/>
      <c r="G31611" s="16"/>
    </row>
    <row r="31612" spans="4:7" ht="15" x14ac:dyDescent="0.3">
      <c r="D31612" s="25"/>
      <c r="F31612" s="21"/>
      <c r="G31612" s="16"/>
    </row>
    <row r="31613" spans="4:7" ht="15" x14ac:dyDescent="0.3">
      <c r="D31613" s="25"/>
      <c r="F31613" s="21"/>
      <c r="G31613" s="16"/>
    </row>
    <row r="31614" spans="4:7" ht="15" x14ac:dyDescent="0.3">
      <c r="D31614" s="25"/>
      <c r="F31614" s="21"/>
      <c r="G31614" s="16"/>
    </row>
    <row r="31615" spans="4:7" ht="15" x14ac:dyDescent="0.3">
      <c r="D31615" s="25"/>
      <c r="F31615" s="21"/>
      <c r="G31615" s="16"/>
    </row>
    <row r="31616" spans="4:7" ht="15" x14ac:dyDescent="0.3">
      <c r="D31616" s="25"/>
      <c r="F31616" s="21"/>
      <c r="G31616" s="16"/>
    </row>
    <row r="31617" spans="4:7" ht="15" x14ac:dyDescent="0.3">
      <c r="D31617" s="25"/>
      <c r="F31617" s="21"/>
      <c r="G31617" s="16"/>
    </row>
    <row r="31618" spans="4:7" ht="15" x14ac:dyDescent="0.3">
      <c r="D31618" s="25"/>
      <c r="F31618" s="21"/>
      <c r="G31618" s="16"/>
    </row>
    <row r="31619" spans="4:7" ht="15" x14ac:dyDescent="0.3">
      <c r="D31619" s="25"/>
      <c r="F31619" s="21"/>
      <c r="G31619" s="16"/>
    </row>
    <row r="31620" spans="4:7" ht="15" x14ac:dyDescent="0.3">
      <c r="D31620" s="25"/>
      <c r="F31620" s="21"/>
      <c r="G31620" s="16"/>
    </row>
    <row r="31621" spans="4:7" ht="15" x14ac:dyDescent="0.3">
      <c r="D31621" s="25"/>
      <c r="F31621" s="21"/>
      <c r="G31621" s="16"/>
    </row>
    <row r="31622" spans="4:7" ht="15" x14ac:dyDescent="0.3">
      <c r="D31622" s="25"/>
      <c r="F31622" s="21"/>
      <c r="G31622" s="16"/>
    </row>
    <row r="31623" spans="4:7" ht="15" x14ac:dyDescent="0.3">
      <c r="D31623" s="25"/>
      <c r="F31623" s="21"/>
      <c r="G31623" s="16"/>
    </row>
    <row r="31624" spans="4:7" ht="15" x14ac:dyDescent="0.3">
      <c r="D31624" s="25"/>
      <c r="F31624" s="21"/>
      <c r="G31624" s="16"/>
    </row>
    <row r="31625" spans="4:7" ht="15" x14ac:dyDescent="0.3">
      <c r="D31625" s="25"/>
      <c r="F31625" s="21"/>
      <c r="G31625" s="16"/>
    </row>
    <row r="31626" spans="4:7" ht="15" x14ac:dyDescent="0.3">
      <c r="D31626" s="25"/>
      <c r="F31626" s="21"/>
      <c r="G31626" s="16"/>
    </row>
    <row r="31627" spans="4:7" ht="15" x14ac:dyDescent="0.3">
      <c r="D31627" s="25"/>
      <c r="F31627" s="21"/>
      <c r="G31627" s="16"/>
    </row>
    <row r="31628" spans="4:7" ht="15" x14ac:dyDescent="0.3">
      <c r="D31628" s="25"/>
      <c r="F31628" s="21"/>
      <c r="G31628" s="16"/>
    </row>
    <row r="31629" spans="4:7" ht="15" x14ac:dyDescent="0.3">
      <c r="D31629" s="25"/>
      <c r="F31629" s="21"/>
      <c r="G31629" s="16"/>
    </row>
    <row r="31630" spans="4:7" ht="15" x14ac:dyDescent="0.3">
      <c r="D31630" s="25"/>
      <c r="F31630" s="21"/>
      <c r="G31630" s="16"/>
    </row>
    <row r="31631" spans="4:7" ht="15" x14ac:dyDescent="0.3">
      <c r="D31631" s="25"/>
      <c r="F31631" s="21"/>
      <c r="G31631" s="16"/>
    </row>
    <row r="31632" spans="4:7" ht="15" x14ac:dyDescent="0.3">
      <c r="D31632" s="25"/>
      <c r="F31632" s="21"/>
      <c r="G31632" s="16"/>
    </row>
    <row r="31633" spans="4:7" ht="15" x14ac:dyDescent="0.3">
      <c r="D31633" s="25"/>
      <c r="F31633" s="21"/>
      <c r="G31633" s="16"/>
    </row>
    <row r="31634" spans="4:7" ht="15" x14ac:dyDescent="0.3">
      <c r="D31634" s="25"/>
      <c r="F31634" s="21"/>
      <c r="G31634" s="16"/>
    </row>
    <row r="31635" spans="4:7" ht="15" x14ac:dyDescent="0.3">
      <c r="D31635" s="25"/>
      <c r="F31635" s="21"/>
      <c r="G31635" s="16"/>
    </row>
    <row r="31636" spans="4:7" ht="15" x14ac:dyDescent="0.3">
      <c r="D31636" s="25"/>
      <c r="F31636" s="21"/>
      <c r="G31636" s="16"/>
    </row>
    <row r="31637" spans="4:7" ht="15" x14ac:dyDescent="0.3">
      <c r="D31637" s="25"/>
      <c r="F31637" s="21"/>
      <c r="G31637" s="16"/>
    </row>
    <row r="31638" spans="4:7" ht="15" x14ac:dyDescent="0.3">
      <c r="D31638" s="25"/>
      <c r="F31638" s="21"/>
      <c r="G31638" s="16"/>
    </row>
    <row r="31639" spans="4:7" ht="15" x14ac:dyDescent="0.3">
      <c r="D31639" s="25"/>
      <c r="F31639" s="21"/>
      <c r="G31639" s="16"/>
    </row>
    <row r="31640" spans="4:7" ht="15" x14ac:dyDescent="0.3">
      <c r="D31640" s="25"/>
      <c r="F31640" s="21"/>
      <c r="G31640" s="16"/>
    </row>
    <row r="31641" spans="4:7" ht="15" x14ac:dyDescent="0.3">
      <c r="D31641" s="25"/>
      <c r="F31641" s="21"/>
      <c r="G31641" s="16"/>
    </row>
    <row r="31642" spans="4:7" ht="15" x14ac:dyDescent="0.3">
      <c r="D31642" s="25"/>
      <c r="F31642" s="21"/>
      <c r="G31642" s="16"/>
    </row>
    <row r="31643" spans="4:7" ht="15" x14ac:dyDescent="0.3">
      <c r="D31643" s="25"/>
      <c r="F31643" s="21"/>
      <c r="G31643" s="16"/>
    </row>
    <row r="31644" spans="4:7" ht="15" x14ac:dyDescent="0.3">
      <c r="D31644" s="25"/>
      <c r="F31644" s="21"/>
      <c r="G31644" s="16"/>
    </row>
    <row r="31645" spans="4:7" ht="15" x14ac:dyDescent="0.3">
      <c r="D31645" s="25"/>
      <c r="F31645" s="21"/>
      <c r="G31645" s="16"/>
    </row>
    <row r="31646" spans="4:7" ht="15" x14ac:dyDescent="0.3">
      <c r="D31646" s="25"/>
      <c r="F31646" s="21"/>
      <c r="G31646" s="16"/>
    </row>
    <row r="31647" spans="4:7" ht="15" x14ac:dyDescent="0.3">
      <c r="D31647" s="25"/>
      <c r="F31647" s="21"/>
      <c r="G31647" s="16"/>
    </row>
    <row r="31648" spans="4:7" ht="15" x14ac:dyDescent="0.3">
      <c r="D31648" s="25"/>
      <c r="F31648" s="21"/>
      <c r="G31648" s="16"/>
    </row>
    <row r="31649" spans="4:7" ht="15" x14ac:dyDescent="0.3">
      <c r="D31649" s="25"/>
      <c r="F31649" s="21"/>
      <c r="G31649" s="16"/>
    </row>
    <row r="31650" spans="4:7" ht="15" x14ac:dyDescent="0.3">
      <c r="D31650" s="25"/>
      <c r="F31650" s="21"/>
      <c r="G31650" s="16"/>
    </row>
    <row r="31651" spans="4:7" ht="15" x14ac:dyDescent="0.3">
      <c r="D31651" s="25"/>
      <c r="F31651" s="21"/>
      <c r="G31651" s="16"/>
    </row>
    <row r="31652" spans="4:7" ht="15" x14ac:dyDescent="0.3">
      <c r="D31652" s="25"/>
      <c r="F31652" s="21"/>
      <c r="G31652" s="16"/>
    </row>
    <row r="31653" spans="4:7" ht="15" x14ac:dyDescent="0.3">
      <c r="D31653" s="25"/>
      <c r="F31653" s="21"/>
      <c r="G31653" s="16"/>
    </row>
    <row r="31654" spans="4:7" ht="15" x14ac:dyDescent="0.3">
      <c r="D31654" s="25"/>
      <c r="F31654" s="21"/>
      <c r="G31654" s="16"/>
    </row>
    <row r="31655" spans="4:7" ht="15" x14ac:dyDescent="0.3">
      <c r="D31655" s="25"/>
      <c r="F31655" s="21"/>
      <c r="G31655" s="16"/>
    </row>
    <row r="31656" spans="4:7" ht="15" x14ac:dyDescent="0.3">
      <c r="D31656" s="25"/>
      <c r="F31656" s="21"/>
      <c r="G31656" s="16"/>
    </row>
    <row r="31657" spans="4:7" ht="15" x14ac:dyDescent="0.3">
      <c r="D31657" s="25"/>
      <c r="F31657" s="21"/>
      <c r="G31657" s="16"/>
    </row>
    <row r="31658" spans="4:7" ht="15" x14ac:dyDescent="0.3">
      <c r="D31658" s="25"/>
      <c r="F31658" s="21"/>
      <c r="G31658" s="16"/>
    </row>
    <row r="31659" spans="4:7" ht="15" x14ac:dyDescent="0.3">
      <c r="D31659" s="25"/>
      <c r="F31659" s="21"/>
      <c r="G31659" s="16"/>
    </row>
    <row r="31660" spans="4:7" ht="15" x14ac:dyDescent="0.3">
      <c r="D31660" s="25"/>
      <c r="F31660" s="21"/>
      <c r="G31660" s="16"/>
    </row>
    <row r="31661" spans="4:7" ht="15" x14ac:dyDescent="0.3">
      <c r="D31661" s="25"/>
      <c r="F31661" s="21"/>
      <c r="G31661" s="16"/>
    </row>
    <row r="31662" spans="4:7" ht="15" x14ac:dyDescent="0.3">
      <c r="D31662" s="25"/>
      <c r="F31662" s="21"/>
      <c r="G31662" s="16"/>
    </row>
    <row r="31663" spans="4:7" ht="15" x14ac:dyDescent="0.3">
      <c r="D31663" s="25"/>
      <c r="F31663" s="21"/>
      <c r="G31663" s="16"/>
    </row>
    <row r="31664" spans="4:7" ht="15" x14ac:dyDescent="0.3">
      <c r="D31664" s="25"/>
      <c r="F31664" s="21"/>
      <c r="G31664" s="16"/>
    </row>
    <row r="31665" spans="4:7" ht="15" x14ac:dyDescent="0.3">
      <c r="D31665" s="25"/>
      <c r="F31665" s="21"/>
      <c r="G31665" s="16"/>
    </row>
    <row r="31666" spans="4:7" ht="15" x14ac:dyDescent="0.3">
      <c r="D31666" s="25"/>
      <c r="F31666" s="21"/>
      <c r="G31666" s="16"/>
    </row>
    <row r="31667" spans="4:7" ht="15" x14ac:dyDescent="0.3">
      <c r="D31667" s="25"/>
      <c r="F31667" s="21"/>
      <c r="G31667" s="16"/>
    </row>
    <row r="31668" spans="4:7" ht="15" x14ac:dyDescent="0.3">
      <c r="D31668" s="25"/>
      <c r="F31668" s="21"/>
      <c r="G31668" s="16"/>
    </row>
    <row r="31669" spans="4:7" ht="15" x14ac:dyDescent="0.3">
      <c r="D31669" s="25"/>
      <c r="F31669" s="21"/>
      <c r="G31669" s="16"/>
    </row>
    <row r="31670" spans="4:7" ht="15" x14ac:dyDescent="0.3">
      <c r="D31670" s="25"/>
      <c r="F31670" s="21"/>
      <c r="G31670" s="16"/>
    </row>
    <row r="31671" spans="4:7" ht="15" x14ac:dyDescent="0.3">
      <c r="D31671" s="25"/>
      <c r="F31671" s="21"/>
      <c r="G31671" s="16"/>
    </row>
    <row r="31672" spans="4:7" ht="15" x14ac:dyDescent="0.3">
      <c r="D31672" s="25"/>
      <c r="F31672" s="21"/>
      <c r="G31672" s="16"/>
    </row>
    <row r="31673" spans="4:7" ht="15" x14ac:dyDescent="0.3">
      <c r="D31673" s="25"/>
      <c r="F31673" s="21"/>
      <c r="G31673" s="16"/>
    </row>
    <row r="31674" spans="4:7" ht="15" x14ac:dyDescent="0.3">
      <c r="D31674" s="25"/>
      <c r="F31674" s="21"/>
      <c r="G31674" s="16"/>
    </row>
    <row r="31675" spans="4:7" ht="15" x14ac:dyDescent="0.3">
      <c r="D31675" s="25"/>
      <c r="F31675" s="21"/>
      <c r="G31675" s="16"/>
    </row>
    <row r="31676" spans="4:7" ht="15" x14ac:dyDescent="0.3">
      <c r="D31676" s="25"/>
      <c r="F31676" s="21"/>
      <c r="G31676" s="16"/>
    </row>
    <row r="31677" spans="4:7" ht="15" x14ac:dyDescent="0.3">
      <c r="D31677" s="25"/>
      <c r="F31677" s="21"/>
      <c r="G31677" s="16"/>
    </row>
    <row r="31678" spans="4:7" ht="15" x14ac:dyDescent="0.3">
      <c r="D31678" s="25"/>
      <c r="F31678" s="21"/>
      <c r="G31678" s="16"/>
    </row>
    <row r="31679" spans="4:7" ht="15" x14ac:dyDescent="0.3">
      <c r="D31679" s="25"/>
      <c r="F31679" s="21"/>
      <c r="G31679" s="16"/>
    </row>
    <row r="31680" spans="4:7" ht="15" x14ac:dyDescent="0.3">
      <c r="D31680" s="25"/>
      <c r="F31680" s="21"/>
      <c r="G31680" s="16"/>
    </row>
    <row r="31681" spans="4:7" ht="15" x14ac:dyDescent="0.3">
      <c r="D31681" s="25"/>
      <c r="F31681" s="21"/>
      <c r="G31681" s="16"/>
    </row>
    <row r="31682" spans="4:7" ht="15" x14ac:dyDescent="0.3">
      <c r="D31682" s="25"/>
      <c r="F31682" s="21"/>
      <c r="G31682" s="16"/>
    </row>
    <row r="31683" spans="4:7" ht="15" x14ac:dyDescent="0.3">
      <c r="D31683" s="25"/>
      <c r="F31683" s="21"/>
      <c r="G31683" s="16"/>
    </row>
    <row r="31684" spans="4:7" ht="15" x14ac:dyDescent="0.3">
      <c r="D31684" s="25"/>
      <c r="F31684" s="21"/>
      <c r="G31684" s="16"/>
    </row>
    <row r="31685" spans="4:7" ht="15" x14ac:dyDescent="0.3">
      <c r="D31685" s="25"/>
      <c r="F31685" s="21"/>
      <c r="G31685" s="16"/>
    </row>
    <row r="31686" spans="4:7" ht="15" x14ac:dyDescent="0.3">
      <c r="D31686" s="25"/>
      <c r="F31686" s="21"/>
      <c r="G31686" s="16"/>
    </row>
    <row r="31687" spans="4:7" ht="15" x14ac:dyDescent="0.3">
      <c r="D31687" s="25"/>
      <c r="F31687" s="21"/>
      <c r="G31687" s="16"/>
    </row>
    <row r="31688" spans="4:7" ht="15" x14ac:dyDescent="0.3">
      <c r="D31688" s="25"/>
      <c r="F31688" s="21"/>
      <c r="G31688" s="16"/>
    </row>
    <row r="31689" spans="4:7" ht="15" x14ac:dyDescent="0.3">
      <c r="D31689" s="25"/>
      <c r="F31689" s="21"/>
      <c r="G31689" s="16"/>
    </row>
    <row r="31690" spans="4:7" ht="15" x14ac:dyDescent="0.3">
      <c r="D31690" s="25"/>
      <c r="F31690" s="21"/>
      <c r="G31690" s="16"/>
    </row>
    <row r="31691" spans="4:7" ht="15" x14ac:dyDescent="0.3">
      <c r="D31691" s="25"/>
      <c r="F31691" s="21"/>
      <c r="G31691" s="16"/>
    </row>
    <row r="31692" spans="4:7" ht="15" x14ac:dyDescent="0.3">
      <c r="D31692" s="25"/>
      <c r="F31692" s="21"/>
      <c r="G31692" s="16"/>
    </row>
    <row r="31693" spans="4:7" ht="15" x14ac:dyDescent="0.3">
      <c r="D31693" s="25"/>
      <c r="F31693" s="21"/>
      <c r="G31693" s="16"/>
    </row>
    <row r="31694" spans="4:7" ht="15" x14ac:dyDescent="0.3">
      <c r="D31694" s="25"/>
      <c r="F31694" s="21"/>
      <c r="G31694" s="16"/>
    </row>
    <row r="31695" spans="4:7" ht="15" x14ac:dyDescent="0.3">
      <c r="D31695" s="25"/>
      <c r="F31695" s="21"/>
      <c r="G31695" s="16"/>
    </row>
    <row r="31696" spans="4:7" ht="15" x14ac:dyDescent="0.3">
      <c r="D31696" s="25"/>
      <c r="F31696" s="21"/>
      <c r="G31696" s="16"/>
    </row>
    <row r="31697" spans="4:7" ht="15" x14ac:dyDescent="0.3">
      <c r="D31697" s="25"/>
      <c r="F31697" s="21"/>
      <c r="G31697" s="16"/>
    </row>
    <row r="31698" spans="4:7" ht="15" x14ac:dyDescent="0.3">
      <c r="D31698" s="25"/>
      <c r="F31698" s="21"/>
      <c r="G31698" s="16"/>
    </row>
    <row r="31699" spans="4:7" ht="15" x14ac:dyDescent="0.3">
      <c r="D31699" s="25"/>
      <c r="F31699" s="21"/>
      <c r="G31699" s="16"/>
    </row>
    <row r="31700" spans="4:7" ht="15" x14ac:dyDescent="0.3">
      <c r="D31700" s="25"/>
      <c r="F31700" s="21"/>
      <c r="G31700" s="16"/>
    </row>
    <row r="31701" spans="4:7" ht="15" x14ac:dyDescent="0.3">
      <c r="D31701" s="25"/>
      <c r="F31701" s="21"/>
      <c r="G31701" s="16"/>
    </row>
    <row r="31702" spans="4:7" ht="15" x14ac:dyDescent="0.3">
      <c r="D31702" s="25"/>
      <c r="F31702" s="21"/>
      <c r="G31702" s="16"/>
    </row>
    <row r="31703" spans="4:7" ht="15" x14ac:dyDescent="0.3">
      <c r="D31703" s="25"/>
      <c r="F31703" s="21"/>
      <c r="G31703" s="16"/>
    </row>
    <row r="31704" spans="4:7" ht="15" x14ac:dyDescent="0.3">
      <c r="D31704" s="25"/>
      <c r="F31704" s="21"/>
      <c r="G31704" s="16"/>
    </row>
    <row r="31705" spans="4:7" ht="15" x14ac:dyDescent="0.3">
      <c r="D31705" s="25"/>
      <c r="F31705" s="21"/>
      <c r="G31705" s="16"/>
    </row>
    <row r="31706" spans="4:7" ht="15" x14ac:dyDescent="0.3">
      <c r="D31706" s="25"/>
      <c r="F31706" s="21"/>
      <c r="G31706" s="16"/>
    </row>
    <row r="31707" spans="4:7" ht="15" x14ac:dyDescent="0.3">
      <c r="D31707" s="25"/>
      <c r="F31707" s="21"/>
      <c r="G31707" s="16"/>
    </row>
    <row r="31708" spans="4:7" ht="15" x14ac:dyDescent="0.3">
      <c r="D31708" s="25"/>
      <c r="F31708" s="21"/>
      <c r="G31708" s="16"/>
    </row>
    <row r="31709" spans="4:7" ht="15" x14ac:dyDescent="0.3">
      <c r="D31709" s="25"/>
      <c r="F31709" s="21"/>
      <c r="G31709" s="16"/>
    </row>
    <row r="31710" spans="4:7" ht="15" x14ac:dyDescent="0.3">
      <c r="D31710" s="25"/>
      <c r="F31710" s="21"/>
      <c r="G31710" s="16"/>
    </row>
    <row r="31711" spans="4:7" ht="15" x14ac:dyDescent="0.3">
      <c r="D31711" s="25"/>
      <c r="F31711" s="21"/>
      <c r="G31711" s="16"/>
    </row>
    <row r="31712" spans="4:7" ht="15" x14ac:dyDescent="0.3">
      <c r="D31712" s="25"/>
      <c r="F31712" s="21"/>
      <c r="G31712" s="16"/>
    </row>
    <row r="31713" spans="4:7" ht="15" x14ac:dyDescent="0.3">
      <c r="D31713" s="25"/>
      <c r="F31713" s="21"/>
      <c r="G31713" s="16"/>
    </row>
    <row r="31714" spans="4:7" ht="15" x14ac:dyDescent="0.3">
      <c r="D31714" s="25"/>
      <c r="F31714" s="21"/>
      <c r="G31714" s="16"/>
    </row>
    <row r="31715" spans="4:7" ht="15" x14ac:dyDescent="0.3">
      <c r="D31715" s="25"/>
      <c r="F31715" s="21"/>
      <c r="G31715" s="16"/>
    </row>
    <row r="31716" spans="4:7" ht="15" x14ac:dyDescent="0.3">
      <c r="D31716" s="25"/>
      <c r="F31716" s="21"/>
      <c r="G31716" s="16"/>
    </row>
    <row r="31717" spans="4:7" ht="15" x14ac:dyDescent="0.3">
      <c r="D31717" s="25"/>
      <c r="F31717" s="21"/>
      <c r="G31717" s="16"/>
    </row>
    <row r="31718" spans="4:7" ht="15" x14ac:dyDescent="0.3">
      <c r="D31718" s="25"/>
      <c r="F31718" s="21"/>
      <c r="G31718" s="16"/>
    </row>
    <row r="31719" spans="4:7" ht="15" x14ac:dyDescent="0.3">
      <c r="D31719" s="25"/>
      <c r="F31719" s="21"/>
      <c r="G31719" s="16"/>
    </row>
    <row r="31720" spans="4:7" ht="15" x14ac:dyDescent="0.3">
      <c r="D31720" s="25"/>
      <c r="F31720" s="21"/>
      <c r="G31720" s="16"/>
    </row>
    <row r="31721" spans="4:7" ht="15" x14ac:dyDescent="0.3">
      <c r="D31721" s="25"/>
      <c r="F31721" s="21"/>
      <c r="G31721" s="16"/>
    </row>
    <row r="31722" spans="4:7" ht="15" x14ac:dyDescent="0.3">
      <c r="D31722" s="25"/>
      <c r="F31722" s="21"/>
      <c r="G31722" s="16"/>
    </row>
    <row r="31723" spans="4:7" ht="15" x14ac:dyDescent="0.3">
      <c r="D31723" s="25"/>
      <c r="F31723" s="21"/>
      <c r="G31723" s="16"/>
    </row>
    <row r="31724" spans="4:7" ht="15" x14ac:dyDescent="0.3">
      <c r="D31724" s="25"/>
      <c r="F31724" s="21"/>
      <c r="G31724" s="16"/>
    </row>
    <row r="31725" spans="4:7" ht="15" x14ac:dyDescent="0.3">
      <c r="D31725" s="25"/>
      <c r="F31725" s="21"/>
      <c r="G31725" s="16"/>
    </row>
    <row r="31726" spans="4:7" ht="15" x14ac:dyDescent="0.3">
      <c r="D31726" s="25"/>
      <c r="F31726" s="21"/>
      <c r="G31726" s="16"/>
    </row>
    <row r="31727" spans="4:7" ht="15" x14ac:dyDescent="0.3">
      <c r="D31727" s="25"/>
      <c r="F31727" s="21"/>
      <c r="G31727" s="16"/>
    </row>
    <row r="31728" spans="4:7" ht="15" x14ac:dyDescent="0.3">
      <c r="D31728" s="25"/>
      <c r="F31728" s="21"/>
      <c r="G31728" s="16"/>
    </row>
    <row r="31729" spans="4:7" ht="15" x14ac:dyDescent="0.3">
      <c r="D31729" s="25"/>
      <c r="F31729" s="21"/>
      <c r="G31729" s="16"/>
    </row>
    <row r="31730" spans="4:7" ht="15" x14ac:dyDescent="0.3">
      <c r="D31730" s="25"/>
      <c r="F31730" s="21"/>
      <c r="G31730" s="16"/>
    </row>
    <row r="31731" spans="4:7" ht="15" x14ac:dyDescent="0.3">
      <c r="D31731" s="25"/>
      <c r="F31731" s="21"/>
      <c r="G31731" s="16"/>
    </row>
    <row r="31732" spans="4:7" ht="15" x14ac:dyDescent="0.3">
      <c r="D31732" s="25"/>
      <c r="F31732" s="21"/>
      <c r="G31732" s="16"/>
    </row>
    <row r="31733" spans="4:7" ht="15" x14ac:dyDescent="0.3">
      <c r="D31733" s="25"/>
      <c r="F31733" s="21"/>
      <c r="G31733" s="16"/>
    </row>
    <row r="31734" spans="4:7" ht="15" x14ac:dyDescent="0.3">
      <c r="D31734" s="25"/>
      <c r="F31734" s="21"/>
      <c r="G31734" s="16"/>
    </row>
    <row r="31735" spans="4:7" ht="15" x14ac:dyDescent="0.3">
      <c r="D31735" s="25"/>
      <c r="F31735" s="21"/>
      <c r="G31735" s="16"/>
    </row>
    <row r="31736" spans="4:7" ht="15" x14ac:dyDescent="0.3">
      <c r="D31736" s="25"/>
      <c r="F31736" s="21"/>
      <c r="G31736" s="16"/>
    </row>
    <row r="31737" spans="4:7" ht="15" x14ac:dyDescent="0.3">
      <c r="D31737" s="25"/>
      <c r="F31737" s="21"/>
      <c r="G31737" s="16"/>
    </row>
    <row r="31738" spans="4:7" ht="15" x14ac:dyDescent="0.3">
      <c r="D31738" s="25"/>
      <c r="F31738" s="21"/>
      <c r="G31738" s="16"/>
    </row>
    <row r="31739" spans="4:7" ht="15" x14ac:dyDescent="0.3">
      <c r="D31739" s="25"/>
      <c r="F31739" s="21"/>
      <c r="G31739" s="16"/>
    </row>
    <row r="31740" spans="4:7" ht="15" x14ac:dyDescent="0.3">
      <c r="D31740" s="25"/>
      <c r="F31740" s="21"/>
      <c r="G31740" s="16"/>
    </row>
    <row r="31741" spans="4:7" ht="15" x14ac:dyDescent="0.3">
      <c r="D31741" s="25"/>
      <c r="F31741" s="21"/>
      <c r="G31741" s="16"/>
    </row>
    <row r="31742" spans="4:7" ht="15" x14ac:dyDescent="0.3">
      <c r="D31742" s="25"/>
      <c r="F31742" s="21"/>
      <c r="G31742" s="16"/>
    </row>
    <row r="31743" spans="4:7" ht="15" x14ac:dyDescent="0.3">
      <c r="D31743" s="25"/>
      <c r="F31743" s="21"/>
      <c r="G31743" s="16"/>
    </row>
    <row r="31744" spans="4:7" ht="15" x14ac:dyDescent="0.3">
      <c r="D31744" s="25"/>
      <c r="F31744" s="21"/>
      <c r="G31744" s="16"/>
    </row>
    <row r="31745" spans="4:7" ht="15" x14ac:dyDescent="0.3">
      <c r="D31745" s="25"/>
      <c r="F31745" s="21"/>
      <c r="G31745" s="16"/>
    </row>
    <row r="31746" spans="4:7" ht="15" x14ac:dyDescent="0.3">
      <c r="D31746" s="25"/>
      <c r="F31746" s="21"/>
      <c r="G31746" s="16"/>
    </row>
    <row r="31747" spans="4:7" ht="15" x14ac:dyDescent="0.3">
      <c r="D31747" s="25"/>
      <c r="F31747" s="21"/>
      <c r="G31747" s="16"/>
    </row>
    <row r="31748" spans="4:7" ht="15" x14ac:dyDescent="0.3">
      <c r="D31748" s="25"/>
      <c r="F31748" s="21"/>
      <c r="G31748" s="16"/>
    </row>
    <row r="31749" spans="4:7" ht="15" x14ac:dyDescent="0.3">
      <c r="D31749" s="25"/>
      <c r="F31749" s="21"/>
      <c r="G31749" s="16"/>
    </row>
    <row r="31750" spans="4:7" ht="15" x14ac:dyDescent="0.3">
      <c r="D31750" s="25"/>
      <c r="F31750" s="21"/>
      <c r="G31750" s="16"/>
    </row>
    <row r="31751" spans="4:7" ht="15" x14ac:dyDescent="0.3">
      <c r="D31751" s="25"/>
      <c r="F31751" s="21"/>
      <c r="G31751" s="16"/>
    </row>
    <row r="31752" spans="4:7" ht="15" x14ac:dyDescent="0.3">
      <c r="D31752" s="25"/>
      <c r="F31752" s="21"/>
      <c r="G31752" s="16"/>
    </row>
    <row r="31753" spans="4:7" ht="15" x14ac:dyDescent="0.3">
      <c r="D31753" s="25"/>
      <c r="F31753" s="21"/>
      <c r="G31753" s="16"/>
    </row>
    <row r="31754" spans="4:7" ht="15" x14ac:dyDescent="0.3">
      <c r="D31754" s="25"/>
      <c r="F31754" s="21"/>
      <c r="G31754" s="16"/>
    </row>
    <row r="31755" spans="4:7" ht="15" x14ac:dyDescent="0.3">
      <c r="D31755" s="25"/>
      <c r="F31755" s="21"/>
      <c r="G31755" s="16"/>
    </row>
    <row r="31756" spans="4:7" ht="15" x14ac:dyDescent="0.3">
      <c r="D31756" s="25"/>
      <c r="F31756" s="21"/>
      <c r="G31756" s="16"/>
    </row>
    <row r="31757" spans="4:7" ht="15" x14ac:dyDescent="0.3">
      <c r="D31757" s="25"/>
      <c r="F31757" s="21"/>
      <c r="G31757" s="16"/>
    </row>
    <row r="31758" spans="4:7" ht="15" x14ac:dyDescent="0.3">
      <c r="D31758" s="25"/>
      <c r="F31758" s="21"/>
      <c r="G31758" s="16"/>
    </row>
    <row r="31759" spans="4:7" ht="15" x14ac:dyDescent="0.3">
      <c r="D31759" s="25"/>
      <c r="F31759" s="21"/>
      <c r="G31759" s="16"/>
    </row>
    <row r="31760" spans="4:7" ht="15" x14ac:dyDescent="0.3">
      <c r="D31760" s="25"/>
      <c r="F31760" s="21"/>
      <c r="G31760" s="16"/>
    </row>
    <row r="31761" spans="4:7" ht="15" x14ac:dyDescent="0.3">
      <c r="D31761" s="25"/>
      <c r="F31761" s="21"/>
      <c r="G31761" s="16"/>
    </row>
    <row r="31762" spans="4:7" ht="15" x14ac:dyDescent="0.3">
      <c r="D31762" s="25"/>
      <c r="F31762" s="21"/>
      <c r="G31762" s="16"/>
    </row>
    <row r="31763" spans="4:7" ht="15" x14ac:dyDescent="0.3">
      <c r="D31763" s="25"/>
      <c r="F31763" s="21"/>
      <c r="G31763" s="16"/>
    </row>
    <row r="31764" spans="4:7" ht="15" x14ac:dyDescent="0.3">
      <c r="D31764" s="25"/>
      <c r="F31764" s="21"/>
      <c r="G31764" s="16"/>
    </row>
    <row r="31765" spans="4:7" ht="15" x14ac:dyDescent="0.3">
      <c r="D31765" s="25"/>
      <c r="F31765" s="21"/>
      <c r="G31765" s="16"/>
    </row>
    <row r="31766" spans="4:7" ht="15" x14ac:dyDescent="0.3">
      <c r="D31766" s="25"/>
      <c r="F31766" s="21"/>
      <c r="G31766" s="16"/>
    </row>
    <row r="31767" spans="4:7" ht="15" x14ac:dyDescent="0.3">
      <c r="D31767" s="25"/>
      <c r="F31767" s="21"/>
      <c r="G31767" s="16"/>
    </row>
    <row r="31768" spans="4:7" ht="15" x14ac:dyDescent="0.3">
      <c r="D31768" s="25"/>
      <c r="F31768" s="21"/>
      <c r="G31768" s="16"/>
    </row>
    <row r="31769" spans="4:7" ht="15" x14ac:dyDescent="0.3">
      <c r="D31769" s="25"/>
      <c r="F31769" s="21"/>
      <c r="G31769" s="16"/>
    </row>
    <row r="31770" spans="4:7" ht="15" x14ac:dyDescent="0.3">
      <c r="D31770" s="25"/>
      <c r="F31770" s="21"/>
      <c r="G31770" s="16"/>
    </row>
    <row r="31771" spans="4:7" ht="15" x14ac:dyDescent="0.3">
      <c r="D31771" s="25"/>
      <c r="F31771" s="21"/>
      <c r="G31771" s="16"/>
    </row>
    <row r="31772" spans="4:7" ht="15" x14ac:dyDescent="0.3">
      <c r="D31772" s="25"/>
      <c r="F31772" s="21"/>
      <c r="G31772" s="16"/>
    </row>
    <row r="31773" spans="4:7" ht="15" x14ac:dyDescent="0.3">
      <c r="D31773" s="25"/>
      <c r="F31773" s="21"/>
      <c r="G31773" s="16"/>
    </row>
    <row r="31774" spans="4:7" ht="15" x14ac:dyDescent="0.3">
      <c r="D31774" s="25"/>
      <c r="F31774" s="21"/>
      <c r="G31774" s="16"/>
    </row>
    <row r="31775" spans="4:7" ht="15" x14ac:dyDescent="0.3">
      <c r="D31775" s="25"/>
      <c r="F31775" s="21"/>
      <c r="G31775" s="16"/>
    </row>
    <row r="31776" spans="4:7" ht="15" x14ac:dyDescent="0.3">
      <c r="D31776" s="25"/>
      <c r="F31776" s="21"/>
      <c r="G31776" s="16"/>
    </row>
    <row r="31777" spans="4:7" ht="15" x14ac:dyDescent="0.3">
      <c r="D31777" s="25"/>
      <c r="F31777" s="21"/>
      <c r="G31777" s="16"/>
    </row>
    <row r="31778" spans="4:7" ht="15" x14ac:dyDescent="0.3">
      <c r="D31778" s="25"/>
      <c r="F31778" s="21"/>
      <c r="G31778" s="16"/>
    </row>
    <row r="31779" spans="4:7" ht="15" x14ac:dyDescent="0.3">
      <c r="D31779" s="25"/>
      <c r="F31779" s="21"/>
      <c r="G31779" s="16"/>
    </row>
    <row r="31780" spans="4:7" ht="15" x14ac:dyDescent="0.3">
      <c r="D31780" s="25"/>
      <c r="F31780" s="21"/>
      <c r="G31780" s="16"/>
    </row>
    <row r="31781" spans="4:7" ht="15" x14ac:dyDescent="0.3">
      <c r="D31781" s="25"/>
      <c r="F31781" s="21"/>
      <c r="G31781" s="16"/>
    </row>
    <row r="31782" spans="4:7" ht="15" x14ac:dyDescent="0.3">
      <c r="D31782" s="25"/>
      <c r="F31782" s="21"/>
      <c r="G31782" s="16"/>
    </row>
    <row r="31783" spans="4:7" ht="15" x14ac:dyDescent="0.3">
      <c r="D31783" s="25"/>
      <c r="F31783" s="21"/>
      <c r="G31783" s="16"/>
    </row>
    <row r="31784" spans="4:7" ht="15" x14ac:dyDescent="0.3">
      <c r="D31784" s="25"/>
      <c r="F31784" s="21"/>
      <c r="G31784" s="16"/>
    </row>
    <row r="31785" spans="4:7" ht="15" x14ac:dyDescent="0.3">
      <c r="D31785" s="25"/>
      <c r="F31785" s="21"/>
      <c r="G31785" s="16"/>
    </row>
    <row r="31786" spans="4:7" ht="15" x14ac:dyDescent="0.3">
      <c r="D31786" s="25"/>
      <c r="F31786" s="21"/>
      <c r="G31786" s="16"/>
    </row>
    <row r="31787" spans="4:7" ht="15" x14ac:dyDescent="0.3">
      <c r="D31787" s="25"/>
      <c r="F31787" s="21"/>
      <c r="G31787" s="16"/>
    </row>
    <row r="31788" spans="4:7" ht="15" x14ac:dyDescent="0.3">
      <c r="D31788" s="25"/>
      <c r="F31788" s="21"/>
      <c r="G31788" s="16"/>
    </row>
    <row r="31789" spans="4:7" ht="15" x14ac:dyDescent="0.3">
      <c r="D31789" s="25"/>
      <c r="F31789" s="21"/>
      <c r="G31789" s="16"/>
    </row>
    <row r="31790" spans="4:7" ht="15" x14ac:dyDescent="0.3">
      <c r="D31790" s="25"/>
      <c r="F31790" s="21"/>
      <c r="G31790" s="16"/>
    </row>
    <row r="31791" spans="4:7" ht="15" x14ac:dyDescent="0.3">
      <c r="D31791" s="25"/>
      <c r="F31791" s="21"/>
      <c r="G31791" s="16"/>
    </row>
    <row r="31792" spans="4:7" ht="15" x14ac:dyDescent="0.3">
      <c r="D31792" s="25"/>
      <c r="F31792" s="21"/>
      <c r="G31792" s="16"/>
    </row>
    <row r="31793" spans="4:7" ht="15" x14ac:dyDescent="0.3">
      <c r="D31793" s="25"/>
      <c r="F31793" s="21"/>
      <c r="G31793" s="16"/>
    </row>
    <row r="31794" spans="4:7" ht="15" x14ac:dyDescent="0.3">
      <c r="D31794" s="25"/>
      <c r="F31794" s="21"/>
      <c r="G31794" s="16"/>
    </row>
    <row r="31795" spans="4:7" ht="15" x14ac:dyDescent="0.3">
      <c r="D31795" s="25"/>
      <c r="F31795" s="21"/>
      <c r="G31795" s="16"/>
    </row>
    <row r="31796" spans="4:7" x14ac:dyDescent="0.2">
      <c r="D31796" s="25"/>
      <c r="F31796" s="21"/>
    </row>
    <row r="31797" spans="4:7" ht="15" x14ac:dyDescent="0.3">
      <c r="D31797" s="25"/>
      <c r="F31797" s="21"/>
      <c r="G31797" s="16"/>
    </row>
    <row r="31798" spans="4:7" ht="15" x14ac:dyDescent="0.3">
      <c r="D31798" s="25"/>
      <c r="F31798" s="21"/>
      <c r="G31798" s="16"/>
    </row>
    <row r="31799" spans="4:7" ht="15" x14ac:dyDescent="0.3">
      <c r="D31799" s="25"/>
      <c r="F31799" s="21"/>
      <c r="G31799" s="16"/>
    </row>
    <row r="31800" spans="4:7" ht="15" x14ac:dyDescent="0.3">
      <c r="D31800" s="25"/>
      <c r="F31800" s="21"/>
      <c r="G31800" s="16"/>
    </row>
    <row r="31801" spans="4:7" ht="15" x14ac:dyDescent="0.3">
      <c r="D31801" s="25"/>
      <c r="F31801" s="21"/>
      <c r="G31801" s="16"/>
    </row>
    <row r="31802" spans="4:7" ht="15" x14ac:dyDescent="0.3">
      <c r="D31802" s="25"/>
      <c r="F31802" s="21"/>
      <c r="G31802" s="16"/>
    </row>
    <row r="31803" spans="4:7" ht="15" x14ac:dyDescent="0.3">
      <c r="D31803" s="25"/>
      <c r="F31803" s="21"/>
      <c r="G31803" s="16"/>
    </row>
    <row r="31804" spans="4:7" ht="15" x14ac:dyDescent="0.3">
      <c r="D31804" s="25"/>
      <c r="F31804" s="21"/>
      <c r="G31804" s="16"/>
    </row>
    <row r="31805" spans="4:7" ht="15" x14ac:dyDescent="0.3">
      <c r="D31805" s="25"/>
      <c r="F31805" s="21"/>
      <c r="G31805" s="16"/>
    </row>
    <row r="31806" spans="4:7" ht="15" x14ac:dyDescent="0.3">
      <c r="D31806" s="25"/>
      <c r="F31806" s="21"/>
      <c r="G31806" s="16"/>
    </row>
    <row r="31807" spans="4:7" ht="15" x14ac:dyDescent="0.3">
      <c r="D31807" s="25"/>
      <c r="F31807" s="21"/>
      <c r="G31807" s="16"/>
    </row>
    <row r="31808" spans="4:7" ht="15" x14ac:dyDescent="0.3">
      <c r="D31808" s="25"/>
      <c r="F31808" s="21"/>
      <c r="G31808" s="16"/>
    </row>
    <row r="31809" spans="4:7" ht="15" x14ac:dyDescent="0.3">
      <c r="D31809" s="25"/>
      <c r="F31809" s="21"/>
      <c r="G31809" s="16"/>
    </row>
    <row r="31810" spans="4:7" ht="15" x14ac:dyDescent="0.3">
      <c r="D31810" s="25"/>
      <c r="F31810" s="21"/>
      <c r="G31810" s="16"/>
    </row>
    <row r="31811" spans="4:7" ht="15" x14ac:dyDescent="0.3">
      <c r="D31811" s="25"/>
      <c r="F31811" s="21"/>
      <c r="G31811" s="16"/>
    </row>
    <row r="31812" spans="4:7" ht="15" x14ac:dyDescent="0.3">
      <c r="D31812" s="25"/>
      <c r="F31812" s="21"/>
      <c r="G31812" s="16"/>
    </row>
    <row r="31813" spans="4:7" ht="15" x14ac:dyDescent="0.3">
      <c r="D31813" s="25"/>
      <c r="F31813" s="21"/>
      <c r="G31813" s="16"/>
    </row>
    <row r="31814" spans="4:7" ht="15" x14ac:dyDescent="0.3">
      <c r="D31814" s="25"/>
      <c r="F31814" s="21"/>
      <c r="G31814" s="16"/>
    </row>
    <row r="31815" spans="4:7" ht="15" x14ac:dyDescent="0.3">
      <c r="D31815" s="25"/>
      <c r="F31815" s="21"/>
      <c r="G31815" s="16"/>
    </row>
    <row r="31816" spans="4:7" ht="15" x14ac:dyDescent="0.3">
      <c r="D31816" s="25"/>
      <c r="F31816" s="21"/>
      <c r="G31816" s="16"/>
    </row>
    <row r="31817" spans="4:7" ht="15" x14ac:dyDescent="0.3">
      <c r="D31817" s="25"/>
      <c r="F31817" s="21"/>
      <c r="G31817" s="16"/>
    </row>
    <row r="31818" spans="4:7" ht="15" x14ac:dyDescent="0.3">
      <c r="D31818" s="25"/>
      <c r="F31818" s="21"/>
      <c r="G31818" s="16"/>
    </row>
    <row r="31819" spans="4:7" ht="15" x14ac:dyDescent="0.3">
      <c r="D31819" s="25"/>
      <c r="F31819" s="21"/>
      <c r="G31819" s="16"/>
    </row>
    <row r="31820" spans="4:7" ht="15" x14ac:dyDescent="0.3">
      <c r="D31820" s="25"/>
      <c r="F31820" s="21"/>
      <c r="G31820" s="16"/>
    </row>
    <row r="31821" spans="4:7" ht="15" x14ac:dyDescent="0.3">
      <c r="D31821" s="25"/>
      <c r="F31821" s="21"/>
      <c r="G31821" s="16"/>
    </row>
    <row r="31822" spans="4:7" ht="15" x14ac:dyDescent="0.3">
      <c r="D31822" s="25"/>
      <c r="F31822" s="21"/>
      <c r="G31822" s="16"/>
    </row>
    <row r="31823" spans="4:7" ht="15" x14ac:dyDescent="0.3">
      <c r="D31823" s="25"/>
      <c r="F31823" s="21"/>
      <c r="G31823" s="16"/>
    </row>
    <row r="31824" spans="4:7" ht="15" x14ac:dyDescent="0.3">
      <c r="D31824" s="25"/>
      <c r="F31824" s="21"/>
      <c r="G31824" s="16"/>
    </row>
    <row r="31825" spans="4:7" ht="15" x14ac:dyDescent="0.3">
      <c r="D31825" s="25"/>
      <c r="F31825" s="21"/>
      <c r="G31825" s="16"/>
    </row>
    <row r="31826" spans="4:7" ht="15" x14ac:dyDescent="0.3">
      <c r="D31826" s="25"/>
      <c r="F31826" s="21"/>
      <c r="G31826" s="16"/>
    </row>
    <row r="31827" spans="4:7" ht="15" x14ac:dyDescent="0.3">
      <c r="D31827" s="25"/>
      <c r="F31827" s="21"/>
      <c r="G31827" s="16"/>
    </row>
    <row r="31828" spans="4:7" ht="15" x14ac:dyDescent="0.3">
      <c r="D31828" s="25"/>
      <c r="F31828" s="21"/>
      <c r="G31828" s="16"/>
    </row>
    <row r="31829" spans="4:7" ht="15" x14ac:dyDescent="0.3">
      <c r="D31829" s="25"/>
      <c r="F31829" s="21"/>
      <c r="G31829" s="16"/>
    </row>
    <row r="31830" spans="4:7" ht="15" x14ac:dyDescent="0.3">
      <c r="D31830" s="25"/>
      <c r="F31830" s="21"/>
      <c r="G31830" s="16"/>
    </row>
    <row r="31831" spans="4:7" ht="15" x14ac:dyDescent="0.3">
      <c r="D31831" s="25"/>
      <c r="F31831" s="21"/>
      <c r="G31831" s="16"/>
    </row>
    <row r="31832" spans="4:7" ht="15" x14ac:dyDescent="0.3">
      <c r="D31832" s="25"/>
      <c r="F31832" s="21"/>
      <c r="G31832" s="16"/>
    </row>
    <row r="31833" spans="4:7" ht="15" x14ac:dyDescent="0.3">
      <c r="D31833" s="25"/>
      <c r="F31833" s="21"/>
      <c r="G31833" s="16"/>
    </row>
    <row r="31834" spans="4:7" ht="15" x14ac:dyDescent="0.3">
      <c r="D31834" s="25"/>
      <c r="F31834" s="21"/>
      <c r="G31834" s="16"/>
    </row>
    <row r="31835" spans="4:7" ht="15" x14ac:dyDescent="0.3">
      <c r="D31835" s="25"/>
      <c r="F31835" s="21"/>
      <c r="G31835" s="16"/>
    </row>
    <row r="31836" spans="4:7" ht="15" x14ac:dyDescent="0.3">
      <c r="D31836" s="25"/>
      <c r="F31836" s="21"/>
      <c r="G31836" s="16"/>
    </row>
    <row r="31837" spans="4:7" ht="15" x14ac:dyDescent="0.3">
      <c r="D31837" s="25"/>
      <c r="F31837" s="21"/>
      <c r="G31837" s="16"/>
    </row>
    <row r="31838" spans="4:7" ht="15" x14ac:dyDescent="0.3">
      <c r="D31838" s="25"/>
      <c r="F31838" s="21"/>
      <c r="G31838" s="16"/>
    </row>
    <row r="31839" spans="4:7" ht="15" x14ac:dyDescent="0.3">
      <c r="D31839" s="25"/>
      <c r="F31839" s="21"/>
      <c r="G31839" s="16"/>
    </row>
    <row r="31840" spans="4:7" ht="15" x14ac:dyDescent="0.3">
      <c r="D31840" s="25"/>
      <c r="F31840" s="21"/>
      <c r="G31840" s="16"/>
    </row>
    <row r="31841" spans="4:7" ht="15" x14ac:dyDescent="0.3">
      <c r="D31841" s="25"/>
      <c r="F31841" s="21"/>
      <c r="G31841" s="16"/>
    </row>
    <row r="31842" spans="4:7" ht="15" x14ac:dyDescent="0.3">
      <c r="D31842" s="25"/>
      <c r="F31842" s="21"/>
      <c r="G31842" s="16"/>
    </row>
    <row r="31843" spans="4:7" ht="15" x14ac:dyDescent="0.3">
      <c r="D31843" s="25"/>
      <c r="F31843" s="21"/>
      <c r="G31843" s="16"/>
    </row>
    <row r="31844" spans="4:7" ht="15" x14ac:dyDescent="0.3">
      <c r="D31844" s="25"/>
      <c r="F31844" s="21"/>
      <c r="G31844" s="16"/>
    </row>
    <row r="31845" spans="4:7" ht="15" x14ac:dyDescent="0.3">
      <c r="D31845" s="25"/>
      <c r="F31845" s="21"/>
      <c r="G31845" s="16"/>
    </row>
    <row r="31846" spans="4:7" ht="15" x14ac:dyDescent="0.3">
      <c r="D31846" s="25"/>
      <c r="F31846" s="21"/>
      <c r="G31846" s="16"/>
    </row>
    <row r="31847" spans="4:7" ht="15" x14ac:dyDescent="0.3">
      <c r="D31847" s="25"/>
      <c r="F31847" s="21"/>
      <c r="G31847" s="16"/>
    </row>
    <row r="31848" spans="4:7" ht="15" x14ac:dyDescent="0.3">
      <c r="D31848" s="25"/>
      <c r="F31848" s="21"/>
      <c r="G31848" s="16"/>
    </row>
    <row r="31849" spans="4:7" ht="15" x14ac:dyDescent="0.3">
      <c r="D31849" s="25"/>
      <c r="F31849" s="21"/>
      <c r="G31849" s="16"/>
    </row>
    <row r="31850" spans="4:7" ht="15" x14ac:dyDescent="0.3">
      <c r="D31850" s="25"/>
      <c r="F31850" s="21"/>
      <c r="G31850" s="16"/>
    </row>
    <row r="31851" spans="4:7" ht="15" x14ac:dyDescent="0.3">
      <c r="D31851" s="25"/>
      <c r="F31851" s="21"/>
      <c r="G31851" s="16"/>
    </row>
    <row r="31852" spans="4:7" ht="15" x14ac:dyDescent="0.3">
      <c r="D31852" s="25"/>
      <c r="F31852" s="21"/>
      <c r="G31852" s="16"/>
    </row>
    <row r="31853" spans="4:7" ht="15" x14ac:dyDescent="0.3">
      <c r="D31853" s="25"/>
      <c r="F31853" s="21"/>
      <c r="G31853" s="16"/>
    </row>
    <row r="31854" spans="4:7" ht="15" x14ac:dyDescent="0.3">
      <c r="D31854" s="25"/>
      <c r="F31854" s="21"/>
      <c r="G31854" s="16"/>
    </row>
    <row r="31855" spans="4:7" ht="15" x14ac:dyDescent="0.3">
      <c r="D31855" s="25"/>
      <c r="F31855" s="21"/>
      <c r="G31855" s="16"/>
    </row>
    <row r="31856" spans="4:7" ht="15" x14ac:dyDescent="0.3">
      <c r="D31856" s="25"/>
      <c r="F31856" s="21"/>
      <c r="G31856" s="16"/>
    </row>
    <row r="31857" spans="4:7" ht="15" x14ac:dyDescent="0.3">
      <c r="D31857" s="25"/>
      <c r="F31857" s="21"/>
      <c r="G31857" s="16"/>
    </row>
    <row r="31858" spans="4:7" ht="15" x14ac:dyDescent="0.3">
      <c r="D31858" s="25"/>
      <c r="F31858" s="21"/>
      <c r="G31858" s="16"/>
    </row>
    <row r="31859" spans="4:7" ht="15" x14ac:dyDescent="0.3">
      <c r="D31859" s="25"/>
      <c r="F31859" s="21"/>
      <c r="G31859" s="16"/>
    </row>
    <row r="31860" spans="4:7" ht="15" x14ac:dyDescent="0.3">
      <c r="D31860" s="25"/>
      <c r="F31860" s="21"/>
      <c r="G31860" s="16"/>
    </row>
    <row r="31861" spans="4:7" ht="15" x14ac:dyDescent="0.3">
      <c r="D31861" s="25"/>
      <c r="F31861" s="21"/>
      <c r="G31861" s="16"/>
    </row>
    <row r="31862" spans="4:7" ht="15" x14ac:dyDescent="0.3">
      <c r="D31862" s="25"/>
      <c r="F31862" s="21"/>
      <c r="G31862" s="16"/>
    </row>
    <row r="31863" spans="4:7" ht="15" x14ac:dyDescent="0.3">
      <c r="D31863" s="25"/>
      <c r="F31863" s="21"/>
      <c r="G31863" s="16"/>
    </row>
    <row r="31864" spans="4:7" ht="15" x14ac:dyDescent="0.3">
      <c r="D31864" s="25"/>
      <c r="F31864" s="21"/>
      <c r="G31864" s="16"/>
    </row>
    <row r="31865" spans="4:7" ht="15" x14ac:dyDescent="0.3">
      <c r="D31865" s="25"/>
      <c r="F31865" s="21"/>
      <c r="G31865" s="16"/>
    </row>
    <row r="31866" spans="4:7" ht="15" x14ac:dyDescent="0.3">
      <c r="D31866" s="25"/>
      <c r="F31866" s="21"/>
      <c r="G31866" s="16"/>
    </row>
    <row r="31867" spans="4:7" ht="15" x14ac:dyDescent="0.3">
      <c r="D31867" s="25"/>
      <c r="F31867" s="21"/>
      <c r="G31867" s="16"/>
    </row>
    <row r="31868" spans="4:7" ht="15" x14ac:dyDescent="0.3">
      <c r="D31868" s="25"/>
      <c r="F31868" s="21"/>
      <c r="G31868" s="16"/>
    </row>
    <row r="31869" spans="4:7" ht="15" x14ac:dyDescent="0.3">
      <c r="D31869" s="25"/>
      <c r="F31869" s="21"/>
      <c r="G31869" s="16"/>
    </row>
    <row r="31870" spans="4:7" ht="15" x14ac:dyDescent="0.3">
      <c r="D31870" s="25"/>
      <c r="F31870" s="21"/>
      <c r="G31870" s="16"/>
    </row>
    <row r="31871" spans="4:7" ht="15" x14ac:dyDescent="0.3">
      <c r="D31871" s="25"/>
      <c r="F31871" s="21"/>
      <c r="G31871" s="16"/>
    </row>
    <row r="31872" spans="4:7" ht="15" x14ac:dyDescent="0.3">
      <c r="D31872" s="25"/>
      <c r="F31872" s="21"/>
      <c r="G31872" s="16"/>
    </row>
    <row r="31873" spans="4:7" ht="15" x14ac:dyDescent="0.3">
      <c r="D31873" s="25"/>
      <c r="F31873" s="21"/>
      <c r="G31873" s="16"/>
    </row>
    <row r="31874" spans="4:7" ht="15" x14ac:dyDescent="0.3">
      <c r="D31874" s="25"/>
      <c r="F31874" s="21"/>
      <c r="G31874" s="16"/>
    </row>
    <row r="31875" spans="4:7" ht="15" x14ac:dyDescent="0.3">
      <c r="D31875" s="25"/>
      <c r="F31875" s="21"/>
      <c r="G31875" s="16"/>
    </row>
    <row r="31876" spans="4:7" ht="15" x14ac:dyDescent="0.3">
      <c r="D31876" s="25"/>
      <c r="F31876" s="21"/>
      <c r="G31876" s="16"/>
    </row>
    <row r="31877" spans="4:7" ht="15" x14ac:dyDescent="0.3">
      <c r="D31877" s="25"/>
      <c r="F31877" s="21"/>
      <c r="G31877" s="16"/>
    </row>
    <row r="31878" spans="4:7" ht="15" x14ac:dyDescent="0.3">
      <c r="D31878" s="25"/>
      <c r="F31878" s="21"/>
      <c r="G31878" s="16"/>
    </row>
    <row r="31879" spans="4:7" ht="15" x14ac:dyDescent="0.3">
      <c r="D31879" s="25"/>
      <c r="F31879" s="21"/>
      <c r="G31879" s="16"/>
    </row>
    <row r="31880" spans="4:7" ht="15" x14ac:dyDescent="0.3">
      <c r="D31880" s="25"/>
      <c r="F31880" s="21"/>
      <c r="G31880" s="16"/>
    </row>
    <row r="31881" spans="4:7" ht="15" x14ac:dyDescent="0.3">
      <c r="D31881" s="25"/>
      <c r="F31881" s="21"/>
      <c r="G31881" s="16"/>
    </row>
    <row r="31882" spans="4:7" ht="15" x14ac:dyDescent="0.3">
      <c r="D31882" s="25"/>
      <c r="F31882" s="21"/>
      <c r="G31882" s="16"/>
    </row>
    <row r="31883" spans="4:7" ht="15" x14ac:dyDescent="0.3">
      <c r="D31883" s="25"/>
      <c r="F31883" s="21"/>
      <c r="G31883" s="16"/>
    </row>
    <row r="31884" spans="4:7" ht="15" x14ac:dyDescent="0.3">
      <c r="D31884" s="25"/>
      <c r="F31884" s="21"/>
      <c r="G31884" s="16"/>
    </row>
    <row r="31885" spans="4:7" ht="15" x14ac:dyDescent="0.3">
      <c r="D31885" s="25"/>
      <c r="F31885" s="21"/>
      <c r="G31885" s="16"/>
    </row>
    <row r="31886" spans="4:7" ht="15" x14ac:dyDescent="0.3">
      <c r="D31886" s="25"/>
      <c r="F31886" s="21"/>
      <c r="G31886" s="16"/>
    </row>
    <row r="31887" spans="4:7" ht="15" x14ac:dyDescent="0.3">
      <c r="D31887" s="25"/>
      <c r="F31887" s="21"/>
      <c r="G31887" s="16"/>
    </row>
    <row r="31888" spans="4:7" ht="15" x14ac:dyDescent="0.3">
      <c r="D31888" s="25"/>
      <c r="F31888" s="21"/>
      <c r="G31888" s="16"/>
    </row>
    <row r="31889" spans="4:7" ht="15" x14ac:dyDescent="0.3">
      <c r="D31889" s="25"/>
      <c r="F31889" s="21"/>
      <c r="G31889" s="16"/>
    </row>
    <row r="31890" spans="4:7" ht="15" x14ac:dyDescent="0.3">
      <c r="D31890" s="25"/>
      <c r="F31890" s="21"/>
      <c r="G31890" s="16"/>
    </row>
    <row r="31891" spans="4:7" ht="15" x14ac:dyDescent="0.3">
      <c r="D31891" s="25"/>
      <c r="F31891" s="21"/>
      <c r="G31891" s="16"/>
    </row>
    <row r="31892" spans="4:7" ht="15" x14ac:dyDescent="0.3">
      <c r="D31892" s="25"/>
      <c r="F31892" s="21"/>
      <c r="G31892" s="16"/>
    </row>
    <row r="31893" spans="4:7" ht="15" x14ac:dyDescent="0.3">
      <c r="D31893" s="25"/>
      <c r="F31893" s="21"/>
      <c r="G31893" s="16"/>
    </row>
    <row r="31894" spans="4:7" ht="15" x14ac:dyDescent="0.3">
      <c r="D31894" s="25"/>
      <c r="F31894" s="21"/>
      <c r="G31894" s="16"/>
    </row>
    <row r="31895" spans="4:7" ht="15" x14ac:dyDescent="0.3">
      <c r="D31895" s="25"/>
      <c r="F31895" s="21"/>
      <c r="G31895" s="16"/>
    </row>
    <row r="31896" spans="4:7" ht="15" x14ac:dyDescent="0.3">
      <c r="D31896" s="25"/>
      <c r="F31896" s="21"/>
      <c r="G31896" s="16"/>
    </row>
    <row r="31897" spans="4:7" ht="15" x14ac:dyDescent="0.3">
      <c r="D31897" s="25"/>
      <c r="F31897" s="21"/>
      <c r="G31897" s="16"/>
    </row>
    <row r="31898" spans="4:7" ht="15" x14ac:dyDescent="0.3">
      <c r="D31898" s="25"/>
      <c r="F31898" s="21"/>
      <c r="G31898" s="16"/>
    </row>
    <row r="31899" spans="4:7" ht="15" x14ac:dyDescent="0.3">
      <c r="D31899" s="25"/>
      <c r="F31899" s="21"/>
      <c r="G31899" s="16"/>
    </row>
    <row r="31900" spans="4:7" ht="15" x14ac:dyDescent="0.3">
      <c r="D31900" s="25"/>
      <c r="F31900" s="21"/>
      <c r="G31900" s="16"/>
    </row>
    <row r="31901" spans="4:7" ht="15" x14ac:dyDescent="0.3">
      <c r="D31901" s="25"/>
      <c r="F31901" s="21"/>
      <c r="G31901" s="16"/>
    </row>
    <row r="31902" spans="4:7" ht="15" x14ac:dyDescent="0.3">
      <c r="D31902" s="25"/>
      <c r="F31902" s="21"/>
      <c r="G31902" s="16"/>
    </row>
    <row r="31903" spans="4:7" ht="15" x14ac:dyDescent="0.3">
      <c r="D31903" s="25"/>
      <c r="F31903" s="21"/>
      <c r="G31903" s="16"/>
    </row>
    <row r="31904" spans="4:7" ht="15" x14ac:dyDescent="0.3">
      <c r="D31904" s="25"/>
      <c r="F31904" s="21"/>
      <c r="G31904" s="16"/>
    </row>
    <row r="31905" spans="4:7" ht="15" x14ac:dyDescent="0.3">
      <c r="D31905" s="25"/>
      <c r="F31905" s="21"/>
      <c r="G31905" s="16"/>
    </row>
    <row r="31906" spans="4:7" ht="15" x14ac:dyDescent="0.3">
      <c r="D31906" s="25"/>
      <c r="F31906" s="21"/>
      <c r="G31906" s="16"/>
    </row>
    <row r="31907" spans="4:7" ht="15" x14ac:dyDescent="0.3">
      <c r="D31907" s="25"/>
      <c r="F31907" s="21"/>
      <c r="G31907" s="16"/>
    </row>
    <row r="31908" spans="4:7" ht="15" x14ac:dyDescent="0.3">
      <c r="D31908" s="25"/>
      <c r="F31908" s="21"/>
      <c r="G31908" s="16"/>
    </row>
    <row r="31909" spans="4:7" ht="15" x14ac:dyDescent="0.3">
      <c r="D31909" s="25"/>
      <c r="F31909" s="21"/>
      <c r="G31909" s="16"/>
    </row>
    <row r="31910" spans="4:7" ht="15" x14ac:dyDescent="0.3">
      <c r="D31910" s="25"/>
      <c r="F31910" s="21"/>
      <c r="G31910" s="16"/>
    </row>
    <row r="31911" spans="4:7" ht="15" x14ac:dyDescent="0.3">
      <c r="D31911" s="25"/>
      <c r="F31911" s="21"/>
      <c r="G31911" s="16"/>
    </row>
    <row r="31912" spans="4:7" ht="15" x14ac:dyDescent="0.3">
      <c r="D31912" s="25"/>
      <c r="F31912" s="21"/>
      <c r="G31912" s="16"/>
    </row>
    <row r="31913" spans="4:7" ht="15" x14ac:dyDescent="0.3">
      <c r="D31913" s="25"/>
      <c r="F31913" s="21"/>
      <c r="G31913" s="16"/>
    </row>
    <row r="31914" spans="4:7" ht="15" x14ac:dyDescent="0.3">
      <c r="D31914" s="25"/>
      <c r="F31914" s="21"/>
      <c r="G31914" s="16"/>
    </row>
    <row r="31915" spans="4:7" ht="15" x14ac:dyDescent="0.3">
      <c r="D31915" s="25"/>
      <c r="F31915" s="21"/>
      <c r="G31915" s="16"/>
    </row>
    <row r="31916" spans="4:7" ht="15" x14ac:dyDescent="0.3">
      <c r="D31916" s="25"/>
      <c r="F31916" s="21"/>
      <c r="G31916" s="16"/>
    </row>
    <row r="31917" spans="4:7" ht="15" x14ac:dyDescent="0.3">
      <c r="D31917" s="25"/>
      <c r="F31917" s="21"/>
      <c r="G31917" s="16"/>
    </row>
    <row r="31918" spans="4:7" ht="15" x14ac:dyDescent="0.3">
      <c r="D31918" s="25"/>
      <c r="F31918" s="21"/>
      <c r="G31918" s="16"/>
    </row>
    <row r="31919" spans="4:7" ht="15" x14ac:dyDescent="0.3">
      <c r="D31919" s="25"/>
      <c r="F31919" s="21"/>
      <c r="G31919" s="16"/>
    </row>
    <row r="31920" spans="4:7" ht="15" x14ac:dyDescent="0.3">
      <c r="D31920" s="25"/>
      <c r="F31920" s="21"/>
      <c r="G31920" s="16"/>
    </row>
    <row r="31921" spans="4:7" ht="15" x14ac:dyDescent="0.3">
      <c r="D31921" s="25"/>
      <c r="F31921" s="21"/>
      <c r="G31921" s="16"/>
    </row>
    <row r="31922" spans="4:7" ht="15" x14ac:dyDescent="0.3">
      <c r="D31922" s="25"/>
      <c r="F31922" s="21"/>
      <c r="G31922" s="16"/>
    </row>
    <row r="31923" spans="4:7" ht="15" x14ac:dyDescent="0.3">
      <c r="D31923" s="25"/>
      <c r="F31923" s="21"/>
      <c r="G31923" s="16"/>
    </row>
    <row r="31924" spans="4:7" ht="15" x14ac:dyDescent="0.3">
      <c r="D31924" s="25"/>
      <c r="F31924" s="21"/>
      <c r="G31924" s="16"/>
    </row>
    <row r="31925" spans="4:7" ht="15" x14ac:dyDescent="0.3">
      <c r="D31925" s="25"/>
      <c r="F31925" s="21"/>
      <c r="G31925" s="16"/>
    </row>
    <row r="31926" spans="4:7" ht="15" x14ac:dyDescent="0.3">
      <c r="D31926" s="25"/>
      <c r="F31926" s="21"/>
      <c r="G31926" s="16"/>
    </row>
    <row r="31927" spans="4:7" ht="15" x14ac:dyDescent="0.3">
      <c r="D31927" s="25"/>
      <c r="F31927" s="21"/>
      <c r="G31927" s="16"/>
    </row>
    <row r="31928" spans="4:7" ht="15" x14ac:dyDescent="0.3">
      <c r="D31928" s="25"/>
      <c r="F31928" s="21"/>
      <c r="G31928" s="16"/>
    </row>
    <row r="31929" spans="4:7" ht="15" x14ac:dyDescent="0.3">
      <c r="D31929" s="25"/>
      <c r="F31929" s="21"/>
      <c r="G31929" s="16"/>
    </row>
    <row r="31930" spans="4:7" ht="15" x14ac:dyDescent="0.3">
      <c r="D31930" s="25"/>
      <c r="F31930" s="21"/>
      <c r="G31930" s="16"/>
    </row>
    <row r="31931" spans="4:7" ht="15" x14ac:dyDescent="0.3">
      <c r="D31931" s="25"/>
      <c r="F31931" s="21"/>
      <c r="G31931" s="16"/>
    </row>
    <row r="31932" spans="4:7" ht="15" x14ac:dyDescent="0.3">
      <c r="D31932" s="25"/>
      <c r="F31932" s="21"/>
      <c r="G31932" s="16"/>
    </row>
    <row r="31933" spans="4:7" ht="15" x14ac:dyDescent="0.3">
      <c r="D31933" s="25"/>
      <c r="F31933" s="21"/>
      <c r="G31933" s="16"/>
    </row>
    <row r="31934" spans="4:7" ht="15" x14ac:dyDescent="0.3">
      <c r="D31934" s="25"/>
      <c r="F31934" s="21"/>
      <c r="G31934" s="16"/>
    </row>
    <row r="31935" spans="4:7" ht="15" x14ac:dyDescent="0.3">
      <c r="D31935" s="25"/>
      <c r="F31935" s="21"/>
      <c r="G31935" s="16"/>
    </row>
    <row r="31936" spans="4:7" ht="15" x14ac:dyDescent="0.3">
      <c r="D31936" s="25"/>
      <c r="F31936" s="21"/>
      <c r="G31936" s="16"/>
    </row>
    <row r="31937" spans="4:7" ht="15" x14ac:dyDescent="0.3">
      <c r="D31937" s="25"/>
      <c r="F31937" s="21"/>
      <c r="G31937" s="16"/>
    </row>
    <row r="31938" spans="4:7" ht="15" x14ac:dyDescent="0.3">
      <c r="D31938" s="25"/>
      <c r="F31938" s="21"/>
      <c r="G31938" s="16"/>
    </row>
    <row r="31939" spans="4:7" ht="15" x14ac:dyDescent="0.3">
      <c r="D31939" s="25"/>
      <c r="F31939" s="21"/>
      <c r="G31939" s="16"/>
    </row>
    <row r="31940" spans="4:7" ht="15" x14ac:dyDescent="0.3">
      <c r="D31940" s="25"/>
      <c r="F31940" s="21"/>
      <c r="G31940" s="16"/>
    </row>
    <row r="31941" spans="4:7" ht="15" x14ac:dyDescent="0.3">
      <c r="D31941" s="25"/>
      <c r="F31941" s="21"/>
      <c r="G31941" s="16"/>
    </row>
    <row r="31942" spans="4:7" ht="15" x14ac:dyDescent="0.3">
      <c r="D31942" s="25"/>
      <c r="F31942" s="21"/>
      <c r="G31942" s="16"/>
    </row>
    <row r="31943" spans="4:7" ht="15" x14ac:dyDescent="0.3">
      <c r="D31943" s="25"/>
      <c r="F31943" s="21"/>
      <c r="G31943" s="16"/>
    </row>
    <row r="31944" spans="4:7" ht="15" x14ac:dyDescent="0.3">
      <c r="D31944" s="25"/>
      <c r="F31944" s="21"/>
      <c r="G31944" s="16"/>
    </row>
    <row r="31945" spans="4:7" ht="15" x14ac:dyDescent="0.3">
      <c r="D31945" s="25"/>
      <c r="F31945" s="21"/>
      <c r="G31945" s="16"/>
    </row>
    <row r="31946" spans="4:7" ht="15" x14ac:dyDescent="0.3">
      <c r="D31946" s="25"/>
      <c r="F31946" s="21"/>
      <c r="G31946" s="16"/>
    </row>
    <row r="31947" spans="4:7" ht="15" x14ac:dyDescent="0.3">
      <c r="D31947" s="25"/>
      <c r="F31947" s="21"/>
      <c r="G31947" s="16"/>
    </row>
    <row r="31948" spans="4:7" ht="15" x14ac:dyDescent="0.3">
      <c r="D31948" s="25"/>
      <c r="F31948" s="21"/>
      <c r="G31948" s="16"/>
    </row>
    <row r="31949" spans="4:7" ht="15" x14ac:dyDescent="0.3">
      <c r="D31949" s="25"/>
      <c r="F31949" s="21"/>
      <c r="G31949" s="16"/>
    </row>
    <row r="31950" spans="4:7" ht="15" x14ac:dyDescent="0.3">
      <c r="D31950" s="25"/>
      <c r="F31950" s="21"/>
      <c r="G31950" s="16"/>
    </row>
    <row r="31951" spans="4:7" ht="15" x14ac:dyDescent="0.3">
      <c r="D31951" s="25"/>
      <c r="F31951" s="21"/>
      <c r="G31951" s="16"/>
    </row>
    <row r="31952" spans="4:7" ht="15" x14ac:dyDescent="0.3">
      <c r="D31952" s="25"/>
      <c r="F31952" s="21"/>
      <c r="G31952" s="16"/>
    </row>
    <row r="31953" spans="4:7" ht="15" x14ac:dyDescent="0.3">
      <c r="D31953" s="25"/>
      <c r="F31953" s="21"/>
      <c r="G31953" s="16"/>
    </row>
    <row r="31954" spans="4:7" ht="15" x14ac:dyDescent="0.3">
      <c r="D31954" s="25"/>
      <c r="F31954" s="21"/>
      <c r="G31954" s="16"/>
    </row>
    <row r="31955" spans="4:7" ht="15" x14ac:dyDescent="0.3">
      <c r="D31955" s="25"/>
      <c r="F31955" s="21"/>
      <c r="G31955" s="16"/>
    </row>
    <row r="31956" spans="4:7" ht="15" x14ac:dyDescent="0.3">
      <c r="D31956" s="25"/>
      <c r="F31956" s="21"/>
      <c r="G31956" s="16"/>
    </row>
    <row r="31957" spans="4:7" ht="15" x14ac:dyDescent="0.3">
      <c r="D31957" s="25"/>
      <c r="F31957" s="21"/>
      <c r="G31957" s="16"/>
    </row>
    <row r="31958" spans="4:7" ht="15" x14ac:dyDescent="0.3">
      <c r="D31958" s="25"/>
      <c r="F31958" s="21"/>
      <c r="G31958" s="16"/>
    </row>
    <row r="31959" spans="4:7" ht="15" x14ac:dyDescent="0.3">
      <c r="D31959" s="25"/>
      <c r="F31959" s="21"/>
      <c r="G31959" s="16"/>
    </row>
    <row r="31960" spans="4:7" ht="15" x14ac:dyDescent="0.3">
      <c r="D31960" s="25"/>
      <c r="F31960" s="21"/>
      <c r="G31960" s="16"/>
    </row>
    <row r="31961" spans="4:7" ht="15" x14ac:dyDescent="0.3">
      <c r="D31961" s="25"/>
      <c r="F31961" s="21"/>
      <c r="G31961" s="16"/>
    </row>
    <row r="31962" spans="4:7" ht="15" x14ac:dyDescent="0.3">
      <c r="D31962" s="25"/>
      <c r="F31962" s="21"/>
      <c r="G31962" s="16"/>
    </row>
    <row r="31963" spans="4:7" ht="15" x14ac:dyDescent="0.3">
      <c r="D31963" s="25"/>
      <c r="F31963" s="21"/>
      <c r="G31963" s="16"/>
    </row>
    <row r="31964" spans="4:7" ht="15" x14ac:dyDescent="0.3">
      <c r="D31964" s="25"/>
      <c r="F31964" s="21"/>
      <c r="G31964" s="16"/>
    </row>
    <row r="31965" spans="4:7" ht="15" x14ac:dyDescent="0.3">
      <c r="D31965" s="25"/>
      <c r="F31965" s="21"/>
      <c r="G31965" s="16"/>
    </row>
    <row r="31966" spans="4:7" ht="15" x14ac:dyDescent="0.3">
      <c r="D31966" s="25"/>
      <c r="F31966" s="21"/>
      <c r="G31966" s="16"/>
    </row>
    <row r="31967" spans="4:7" ht="15" x14ac:dyDescent="0.3">
      <c r="D31967" s="25"/>
      <c r="F31967" s="21"/>
      <c r="G31967" s="16"/>
    </row>
    <row r="31968" spans="4:7" ht="15" x14ac:dyDescent="0.3">
      <c r="D31968" s="25"/>
      <c r="F31968" s="21"/>
      <c r="G31968" s="16"/>
    </row>
    <row r="31969" spans="4:7" ht="15" x14ac:dyDescent="0.3">
      <c r="D31969" s="25"/>
      <c r="F31969" s="21"/>
      <c r="G31969" s="16"/>
    </row>
    <row r="31970" spans="4:7" ht="15" x14ac:dyDescent="0.3">
      <c r="D31970" s="25"/>
      <c r="F31970" s="21"/>
      <c r="G31970" s="16"/>
    </row>
    <row r="31971" spans="4:7" ht="15" x14ac:dyDescent="0.3">
      <c r="D31971" s="25"/>
      <c r="F31971" s="21"/>
      <c r="G31971" s="16"/>
    </row>
    <row r="31972" spans="4:7" ht="15" x14ac:dyDescent="0.3">
      <c r="D31972" s="25"/>
      <c r="F31972" s="21"/>
      <c r="G31972" s="16"/>
    </row>
    <row r="31973" spans="4:7" ht="15" x14ac:dyDescent="0.3">
      <c r="D31973" s="25"/>
      <c r="F31973" s="21"/>
      <c r="G31973" s="16"/>
    </row>
    <row r="31974" spans="4:7" ht="15" x14ac:dyDescent="0.3">
      <c r="D31974" s="25"/>
      <c r="F31974" s="21"/>
      <c r="G31974" s="16"/>
    </row>
    <row r="31975" spans="4:7" ht="15" x14ac:dyDescent="0.3">
      <c r="D31975" s="25"/>
      <c r="F31975" s="21"/>
      <c r="G31975" s="16"/>
    </row>
    <row r="31976" spans="4:7" ht="15" x14ac:dyDescent="0.3">
      <c r="D31976" s="25"/>
      <c r="F31976" s="21"/>
      <c r="G31976" s="16"/>
    </row>
    <row r="31977" spans="4:7" ht="15" x14ac:dyDescent="0.3">
      <c r="D31977" s="25"/>
      <c r="F31977" s="21"/>
      <c r="G31977" s="16"/>
    </row>
    <row r="31978" spans="4:7" ht="15" x14ac:dyDescent="0.3">
      <c r="D31978" s="25"/>
      <c r="F31978" s="21"/>
      <c r="G31978" s="16"/>
    </row>
    <row r="31979" spans="4:7" ht="15" x14ac:dyDescent="0.3">
      <c r="D31979" s="25"/>
      <c r="F31979" s="21"/>
      <c r="G31979" s="16"/>
    </row>
    <row r="31980" spans="4:7" ht="15" x14ac:dyDescent="0.3">
      <c r="D31980" s="25"/>
      <c r="F31980" s="21"/>
      <c r="G31980" s="16"/>
    </row>
    <row r="31981" spans="4:7" ht="15" x14ac:dyDescent="0.3">
      <c r="D31981" s="25"/>
      <c r="F31981" s="21"/>
      <c r="G31981" s="16"/>
    </row>
    <row r="31982" spans="4:7" ht="15" x14ac:dyDescent="0.3">
      <c r="D31982" s="25"/>
      <c r="F31982" s="21"/>
      <c r="G31982" s="16"/>
    </row>
    <row r="31983" spans="4:7" ht="15" x14ac:dyDescent="0.3">
      <c r="D31983" s="25"/>
      <c r="F31983" s="21"/>
      <c r="G31983" s="16"/>
    </row>
    <row r="31984" spans="4:7" ht="15" x14ac:dyDescent="0.3">
      <c r="D31984" s="25"/>
      <c r="F31984" s="21"/>
      <c r="G31984" s="16"/>
    </row>
    <row r="31985" spans="4:7" ht="15" x14ac:dyDescent="0.3">
      <c r="D31985" s="25"/>
      <c r="F31985" s="21"/>
      <c r="G31985" s="16"/>
    </row>
    <row r="31986" spans="4:7" ht="15" x14ac:dyDescent="0.3">
      <c r="D31986" s="25"/>
      <c r="F31986" s="21"/>
      <c r="G31986" s="16"/>
    </row>
    <row r="31987" spans="4:7" ht="15" x14ac:dyDescent="0.3">
      <c r="D31987" s="25"/>
      <c r="F31987" s="21"/>
      <c r="G31987" s="16"/>
    </row>
    <row r="31988" spans="4:7" ht="15" x14ac:dyDescent="0.3">
      <c r="D31988" s="25"/>
      <c r="F31988" s="21"/>
      <c r="G31988" s="16"/>
    </row>
    <row r="31989" spans="4:7" x14ac:dyDescent="0.2">
      <c r="D31989" s="25"/>
      <c r="F31989" s="21"/>
    </row>
    <row r="31990" spans="4:7" ht="15" x14ac:dyDescent="0.3">
      <c r="D31990" s="25"/>
      <c r="F31990" s="21"/>
      <c r="G31990" s="16"/>
    </row>
    <row r="31991" spans="4:7" ht="15" x14ac:dyDescent="0.3">
      <c r="D31991" s="25"/>
      <c r="F31991" s="21"/>
      <c r="G31991" s="16"/>
    </row>
    <row r="31992" spans="4:7" ht="15" x14ac:dyDescent="0.3">
      <c r="D31992" s="25"/>
      <c r="F31992" s="21"/>
      <c r="G31992" s="16"/>
    </row>
    <row r="31993" spans="4:7" ht="15" x14ac:dyDescent="0.3">
      <c r="D31993" s="25"/>
      <c r="F31993" s="21"/>
      <c r="G31993" s="16"/>
    </row>
    <row r="31994" spans="4:7" ht="15" x14ac:dyDescent="0.3">
      <c r="D31994" s="25"/>
      <c r="F31994" s="21"/>
      <c r="G31994" s="16"/>
    </row>
    <row r="31995" spans="4:7" ht="15" x14ac:dyDescent="0.3">
      <c r="D31995" s="25"/>
      <c r="F31995" s="21"/>
      <c r="G31995" s="16"/>
    </row>
    <row r="31996" spans="4:7" ht="15" x14ac:dyDescent="0.3">
      <c r="D31996" s="25"/>
      <c r="F31996" s="21"/>
      <c r="G31996" s="16"/>
    </row>
    <row r="31997" spans="4:7" ht="15" x14ac:dyDescent="0.3">
      <c r="D31997" s="25"/>
      <c r="F31997" s="21"/>
      <c r="G31997" s="16"/>
    </row>
    <row r="31998" spans="4:7" ht="15" x14ac:dyDescent="0.3">
      <c r="D31998" s="25"/>
      <c r="F31998" s="21"/>
      <c r="G31998" s="16"/>
    </row>
    <row r="31999" spans="4:7" ht="15" x14ac:dyDescent="0.3">
      <c r="D31999" s="25"/>
      <c r="F31999" s="21"/>
      <c r="G31999" s="16"/>
    </row>
    <row r="32000" spans="4:7" ht="15" x14ac:dyDescent="0.3">
      <c r="D32000" s="25"/>
      <c r="F32000" s="21"/>
      <c r="G32000" s="16"/>
    </row>
    <row r="32001" spans="4:7" ht="15" x14ac:dyDescent="0.3">
      <c r="D32001" s="25"/>
      <c r="F32001" s="21"/>
      <c r="G32001" s="16"/>
    </row>
    <row r="32002" spans="4:7" ht="15" x14ac:dyDescent="0.3">
      <c r="D32002" s="25"/>
      <c r="F32002" s="21"/>
      <c r="G32002" s="16"/>
    </row>
    <row r="32003" spans="4:7" ht="15" x14ac:dyDescent="0.3">
      <c r="D32003" s="25"/>
      <c r="F32003" s="21"/>
      <c r="G32003" s="16"/>
    </row>
    <row r="32004" spans="4:7" ht="15" x14ac:dyDescent="0.3">
      <c r="D32004" s="25"/>
      <c r="F32004" s="21"/>
      <c r="G32004" s="16"/>
    </row>
    <row r="32005" spans="4:7" ht="15" x14ac:dyDescent="0.3">
      <c r="D32005" s="25"/>
      <c r="F32005" s="21"/>
      <c r="G32005" s="16"/>
    </row>
    <row r="32006" spans="4:7" ht="15" x14ac:dyDescent="0.3">
      <c r="D32006" s="25"/>
      <c r="F32006" s="21"/>
      <c r="G32006" s="16"/>
    </row>
    <row r="32007" spans="4:7" ht="15" x14ac:dyDescent="0.3">
      <c r="D32007" s="25"/>
      <c r="F32007" s="21"/>
      <c r="G32007" s="16"/>
    </row>
    <row r="32008" spans="4:7" ht="15" x14ac:dyDescent="0.3">
      <c r="D32008" s="25"/>
      <c r="F32008" s="21"/>
      <c r="G32008" s="16"/>
    </row>
    <row r="32009" spans="4:7" ht="15" x14ac:dyDescent="0.3">
      <c r="D32009" s="25"/>
      <c r="F32009" s="21"/>
      <c r="G32009" s="16"/>
    </row>
    <row r="32010" spans="4:7" ht="15" x14ac:dyDescent="0.3">
      <c r="D32010" s="25"/>
      <c r="F32010" s="21"/>
      <c r="G32010" s="16"/>
    </row>
    <row r="32011" spans="4:7" ht="15" x14ac:dyDescent="0.3">
      <c r="D32011" s="25"/>
      <c r="F32011" s="21"/>
      <c r="G32011" s="16"/>
    </row>
    <row r="32012" spans="4:7" ht="15" x14ac:dyDescent="0.3">
      <c r="D32012" s="25"/>
      <c r="F32012" s="21"/>
      <c r="G32012" s="16"/>
    </row>
    <row r="32013" spans="4:7" ht="15" x14ac:dyDescent="0.3">
      <c r="D32013" s="25"/>
      <c r="F32013" s="21"/>
      <c r="G32013" s="16"/>
    </row>
    <row r="32014" spans="4:7" ht="15" x14ac:dyDescent="0.3">
      <c r="D32014" s="25"/>
      <c r="F32014" s="21"/>
      <c r="G32014" s="16"/>
    </row>
    <row r="32015" spans="4:7" ht="15" x14ac:dyDescent="0.3">
      <c r="D32015" s="25"/>
      <c r="F32015" s="21"/>
      <c r="G32015" s="16"/>
    </row>
    <row r="32016" spans="4:7" ht="15" x14ac:dyDescent="0.3">
      <c r="D32016" s="25"/>
      <c r="F32016" s="21"/>
      <c r="G32016" s="16"/>
    </row>
    <row r="32017" spans="4:7" ht="15" x14ac:dyDescent="0.3">
      <c r="D32017" s="25"/>
      <c r="F32017" s="21"/>
      <c r="G32017" s="16"/>
    </row>
    <row r="32018" spans="4:7" ht="15" x14ac:dyDescent="0.3">
      <c r="D32018" s="25"/>
      <c r="F32018" s="21"/>
      <c r="G32018" s="16"/>
    </row>
    <row r="32019" spans="4:7" ht="15" x14ac:dyDescent="0.3">
      <c r="D32019" s="25"/>
      <c r="F32019" s="21"/>
      <c r="G32019" s="16"/>
    </row>
    <row r="32020" spans="4:7" ht="15" x14ac:dyDescent="0.3">
      <c r="D32020" s="25"/>
      <c r="F32020" s="21"/>
      <c r="G32020" s="16"/>
    </row>
    <row r="32021" spans="4:7" ht="15" x14ac:dyDescent="0.3">
      <c r="D32021" s="25"/>
      <c r="F32021" s="21"/>
      <c r="G32021" s="16"/>
    </row>
    <row r="32022" spans="4:7" ht="15" x14ac:dyDescent="0.3">
      <c r="D32022" s="25"/>
      <c r="F32022" s="21"/>
      <c r="G32022" s="16"/>
    </row>
    <row r="32023" spans="4:7" ht="15" x14ac:dyDescent="0.3">
      <c r="D32023" s="25"/>
      <c r="F32023" s="21"/>
      <c r="G32023" s="16"/>
    </row>
    <row r="32024" spans="4:7" ht="15" x14ac:dyDescent="0.3">
      <c r="D32024" s="25"/>
      <c r="F32024" s="21"/>
      <c r="G32024" s="16"/>
    </row>
    <row r="32025" spans="4:7" ht="15" x14ac:dyDescent="0.3">
      <c r="D32025" s="25"/>
      <c r="F32025" s="21"/>
      <c r="G32025" s="16"/>
    </row>
    <row r="32026" spans="4:7" ht="15" x14ac:dyDescent="0.3">
      <c r="D32026" s="25"/>
      <c r="F32026" s="21"/>
      <c r="G32026" s="16"/>
    </row>
    <row r="32027" spans="4:7" ht="15" x14ac:dyDescent="0.3">
      <c r="D32027" s="25"/>
      <c r="F32027" s="21"/>
      <c r="G32027" s="16"/>
    </row>
    <row r="32028" spans="4:7" ht="15" x14ac:dyDescent="0.3">
      <c r="D32028" s="25"/>
      <c r="F32028" s="21"/>
      <c r="G32028" s="16"/>
    </row>
    <row r="32029" spans="4:7" ht="15" x14ac:dyDescent="0.3">
      <c r="D32029" s="25"/>
      <c r="F32029" s="21"/>
      <c r="G32029" s="16"/>
    </row>
    <row r="32030" spans="4:7" ht="15" x14ac:dyDescent="0.3">
      <c r="D32030" s="25"/>
      <c r="F32030" s="21"/>
      <c r="G32030" s="16"/>
    </row>
    <row r="32031" spans="4:7" ht="15" x14ac:dyDescent="0.3">
      <c r="D32031" s="25"/>
      <c r="F32031" s="21"/>
      <c r="G32031" s="16"/>
    </row>
    <row r="32032" spans="4:7" ht="15" x14ac:dyDescent="0.3">
      <c r="D32032" s="25"/>
      <c r="F32032" s="21"/>
      <c r="G32032" s="16"/>
    </row>
    <row r="32033" spans="4:7" ht="15" x14ac:dyDescent="0.3">
      <c r="D32033" s="25"/>
      <c r="F32033" s="21"/>
      <c r="G32033" s="16"/>
    </row>
    <row r="32034" spans="4:7" ht="15" x14ac:dyDescent="0.3">
      <c r="D32034" s="25"/>
      <c r="F32034" s="21"/>
      <c r="G32034" s="16"/>
    </row>
    <row r="32035" spans="4:7" ht="15" x14ac:dyDescent="0.3">
      <c r="D32035" s="25"/>
      <c r="F32035" s="21"/>
      <c r="G32035" s="16"/>
    </row>
    <row r="32036" spans="4:7" ht="15" x14ac:dyDescent="0.3">
      <c r="D32036" s="25"/>
      <c r="F32036" s="21"/>
      <c r="G32036" s="16"/>
    </row>
    <row r="32037" spans="4:7" ht="15" x14ac:dyDescent="0.3">
      <c r="D32037" s="25"/>
      <c r="F32037" s="21"/>
      <c r="G32037" s="16"/>
    </row>
    <row r="32038" spans="4:7" ht="15" x14ac:dyDescent="0.3">
      <c r="D32038" s="25"/>
      <c r="F32038" s="21"/>
      <c r="G32038" s="16"/>
    </row>
    <row r="32039" spans="4:7" ht="15" x14ac:dyDescent="0.3">
      <c r="D32039" s="25"/>
      <c r="F32039" s="21"/>
      <c r="G32039" s="16"/>
    </row>
    <row r="32040" spans="4:7" ht="15" x14ac:dyDescent="0.3">
      <c r="D32040" s="25"/>
      <c r="F32040" s="21"/>
      <c r="G32040" s="16"/>
    </row>
    <row r="32041" spans="4:7" ht="15" x14ac:dyDescent="0.3">
      <c r="D32041" s="25"/>
      <c r="F32041" s="21"/>
      <c r="G32041" s="16"/>
    </row>
    <row r="32042" spans="4:7" ht="15" x14ac:dyDescent="0.3">
      <c r="D32042" s="25"/>
      <c r="F32042" s="21"/>
      <c r="G32042" s="16"/>
    </row>
    <row r="32043" spans="4:7" ht="15" x14ac:dyDescent="0.3">
      <c r="D32043" s="25"/>
      <c r="F32043" s="21"/>
      <c r="G32043" s="16"/>
    </row>
    <row r="32044" spans="4:7" ht="15" x14ac:dyDescent="0.3">
      <c r="D32044" s="25"/>
      <c r="F32044" s="21"/>
      <c r="G32044" s="16"/>
    </row>
    <row r="32045" spans="4:7" ht="15" x14ac:dyDescent="0.3">
      <c r="D32045" s="25"/>
      <c r="F32045" s="21"/>
      <c r="G32045" s="16"/>
    </row>
    <row r="32046" spans="4:7" ht="15" x14ac:dyDescent="0.3">
      <c r="D32046" s="25"/>
      <c r="F32046" s="21"/>
      <c r="G32046" s="16"/>
    </row>
    <row r="32047" spans="4:7" ht="15" x14ac:dyDescent="0.3">
      <c r="D32047" s="25"/>
      <c r="F32047" s="21"/>
      <c r="G32047" s="16"/>
    </row>
    <row r="32048" spans="4:7" ht="15" x14ac:dyDescent="0.3">
      <c r="D32048" s="25"/>
      <c r="F32048" s="21"/>
      <c r="G32048" s="16"/>
    </row>
    <row r="32049" spans="4:7" ht="15" x14ac:dyDescent="0.3">
      <c r="D32049" s="25"/>
      <c r="F32049" s="21"/>
      <c r="G32049" s="16"/>
    </row>
    <row r="32050" spans="4:7" ht="15" x14ac:dyDescent="0.3">
      <c r="D32050" s="25"/>
      <c r="F32050" s="21"/>
      <c r="G32050" s="16"/>
    </row>
    <row r="32051" spans="4:7" ht="15" x14ac:dyDescent="0.3">
      <c r="D32051" s="25"/>
      <c r="F32051" s="21"/>
      <c r="G32051" s="16"/>
    </row>
    <row r="32052" spans="4:7" ht="15" x14ac:dyDescent="0.3">
      <c r="D32052" s="25"/>
      <c r="F32052" s="21"/>
      <c r="G32052" s="16"/>
    </row>
    <row r="32053" spans="4:7" ht="15" x14ac:dyDescent="0.3">
      <c r="D32053" s="25"/>
      <c r="F32053" s="21"/>
      <c r="G32053" s="16"/>
    </row>
    <row r="32054" spans="4:7" ht="15" x14ac:dyDescent="0.3">
      <c r="D32054" s="25"/>
      <c r="F32054" s="21"/>
      <c r="G32054" s="16"/>
    </row>
    <row r="32055" spans="4:7" ht="15" x14ac:dyDescent="0.3">
      <c r="D32055" s="25"/>
      <c r="F32055" s="21"/>
      <c r="G32055" s="16"/>
    </row>
    <row r="32056" spans="4:7" ht="15" x14ac:dyDescent="0.3">
      <c r="D32056" s="25"/>
      <c r="F32056" s="21"/>
      <c r="G32056" s="16"/>
    </row>
    <row r="32057" spans="4:7" ht="15" x14ac:dyDescent="0.3">
      <c r="D32057" s="25"/>
      <c r="F32057" s="21"/>
      <c r="G32057" s="16"/>
    </row>
    <row r="32058" spans="4:7" ht="15" x14ac:dyDescent="0.3">
      <c r="D32058" s="25"/>
      <c r="F32058" s="21"/>
      <c r="G32058" s="16"/>
    </row>
    <row r="32059" spans="4:7" ht="15" x14ac:dyDescent="0.3">
      <c r="D32059" s="25"/>
      <c r="F32059" s="21"/>
      <c r="G32059" s="16"/>
    </row>
    <row r="32060" spans="4:7" ht="15" x14ac:dyDescent="0.3">
      <c r="D32060" s="25"/>
      <c r="F32060" s="21"/>
      <c r="G32060" s="16"/>
    </row>
    <row r="32061" spans="4:7" ht="15" x14ac:dyDescent="0.3">
      <c r="D32061" s="25"/>
      <c r="F32061" s="21"/>
      <c r="G32061" s="16"/>
    </row>
    <row r="32062" spans="4:7" ht="15" x14ac:dyDescent="0.3">
      <c r="D32062" s="25"/>
      <c r="F32062" s="21"/>
      <c r="G32062" s="16"/>
    </row>
    <row r="32063" spans="4:7" ht="15" x14ac:dyDescent="0.3">
      <c r="D32063" s="25"/>
      <c r="F32063" s="21"/>
      <c r="G32063" s="16"/>
    </row>
    <row r="32064" spans="4:7" ht="15" x14ac:dyDescent="0.3">
      <c r="D32064" s="25"/>
      <c r="F32064" s="21"/>
      <c r="G32064" s="16"/>
    </row>
    <row r="32065" spans="4:7" ht="15" x14ac:dyDescent="0.3">
      <c r="D32065" s="25"/>
      <c r="F32065" s="21"/>
      <c r="G32065" s="16"/>
    </row>
    <row r="32066" spans="4:7" ht="15" x14ac:dyDescent="0.3">
      <c r="D32066" s="25"/>
      <c r="F32066" s="21"/>
      <c r="G32066" s="16"/>
    </row>
    <row r="32067" spans="4:7" ht="15" x14ac:dyDescent="0.3">
      <c r="D32067" s="25"/>
      <c r="F32067" s="21"/>
      <c r="G32067" s="16"/>
    </row>
    <row r="32068" spans="4:7" ht="15" x14ac:dyDescent="0.3">
      <c r="D32068" s="25"/>
      <c r="F32068" s="21"/>
      <c r="G32068" s="16"/>
    </row>
    <row r="32069" spans="4:7" ht="15" x14ac:dyDescent="0.3">
      <c r="D32069" s="25"/>
      <c r="F32069" s="21"/>
      <c r="G32069" s="16"/>
    </row>
    <row r="32070" spans="4:7" ht="15" x14ac:dyDescent="0.3">
      <c r="D32070" s="25"/>
      <c r="F32070" s="21"/>
      <c r="G32070" s="16"/>
    </row>
    <row r="32071" spans="4:7" ht="15" x14ac:dyDescent="0.3">
      <c r="D32071" s="25"/>
      <c r="F32071" s="21"/>
      <c r="G32071" s="16"/>
    </row>
    <row r="32072" spans="4:7" ht="15" x14ac:dyDescent="0.3">
      <c r="D32072" s="25"/>
      <c r="F32072" s="21"/>
      <c r="G32072" s="16"/>
    </row>
    <row r="32073" spans="4:7" ht="15" x14ac:dyDescent="0.3">
      <c r="D32073" s="25"/>
      <c r="F32073" s="21"/>
      <c r="G32073" s="16"/>
    </row>
    <row r="32074" spans="4:7" ht="15" x14ac:dyDescent="0.3">
      <c r="D32074" s="25"/>
      <c r="F32074" s="21"/>
      <c r="G32074" s="16"/>
    </row>
    <row r="32075" spans="4:7" ht="15" x14ac:dyDescent="0.3">
      <c r="D32075" s="25"/>
      <c r="F32075" s="21"/>
      <c r="G32075" s="16"/>
    </row>
    <row r="32076" spans="4:7" ht="15" x14ac:dyDescent="0.3">
      <c r="D32076" s="25"/>
      <c r="F32076" s="21"/>
      <c r="G32076" s="16"/>
    </row>
    <row r="32077" spans="4:7" ht="15" x14ac:dyDescent="0.3">
      <c r="D32077" s="25"/>
      <c r="F32077" s="21"/>
      <c r="G32077" s="16"/>
    </row>
    <row r="32078" spans="4:7" ht="15" x14ac:dyDescent="0.3">
      <c r="D32078" s="25"/>
      <c r="F32078" s="21"/>
      <c r="G32078" s="16"/>
    </row>
    <row r="32079" spans="4:7" ht="15" x14ac:dyDescent="0.3">
      <c r="D32079" s="25"/>
      <c r="F32079" s="21"/>
      <c r="G32079" s="16"/>
    </row>
    <row r="32080" spans="4:7" ht="15" x14ac:dyDescent="0.3">
      <c r="D32080" s="25"/>
      <c r="F32080" s="21"/>
      <c r="G32080" s="16"/>
    </row>
    <row r="32081" spans="4:7" ht="15" x14ac:dyDescent="0.3">
      <c r="D32081" s="25"/>
      <c r="F32081" s="21"/>
      <c r="G32081" s="16"/>
    </row>
    <row r="32082" spans="4:7" ht="15" x14ac:dyDescent="0.3">
      <c r="D32082" s="25"/>
      <c r="F32082" s="21"/>
      <c r="G32082" s="16"/>
    </row>
    <row r="32083" spans="4:7" ht="15" x14ac:dyDescent="0.3">
      <c r="D32083" s="25"/>
      <c r="F32083" s="21"/>
      <c r="G32083" s="16"/>
    </row>
    <row r="32084" spans="4:7" ht="15" x14ac:dyDescent="0.3">
      <c r="D32084" s="25"/>
      <c r="F32084" s="21"/>
      <c r="G32084" s="16"/>
    </row>
    <row r="32085" spans="4:7" ht="15" x14ac:dyDescent="0.3">
      <c r="D32085" s="25"/>
      <c r="F32085" s="21"/>
      <c r="G32085" s="16"/>
    </row>
    <row r="32086" spans="4:7" ht="15" x14ac:dyDescent="0.3">
      <c r="D32086" s="25"/>
      <c r="F32086" s="21"/>
      <c r="G32086" s="16"/>
    </row>
    <row r="32087" spans="4:7" ht="15" x14ac:dyDescent="0.3">
      <c r="D32087" s="25"/>
      <c r="F32087" s="21"/>
      <c r="G32087" s="16"/>
    </row>
    <row r="32088" spans="4:7" ht="15" x14ac:dyDescent="0.3">
      <c r="D32088" s="25"/>
      <c r="F32088" s="21"/>
      <c r="G32088" s="16"/>
    </row>
    <row r="32089" spans="4:7" ht="15" x14ac:dyDescent="0.3">
      <c r="D32089" s="25"/>
      <c r="F32089" s="21"/>
      <c r="G32089" s="16"/>
    </row>
    <row r="32090" spans="4:7" ht="15" x14ac:dyDescent="0.3">
      <c r="D32090" s="25"/>
      <c r="F32090" s="21"/>
      <c r="G32090" s="16"/>
    </row>
    <row r="32091" spans="4:7" ht="15" x14ac:dyDescent="0.3">
      <c r="D32091" s="25"/>
      <c r="F32091" s="21"/>
      <c r="G32091" s="16"/>
    </row>
    <row r="32092" spans="4:7" ht="15" x14ac:dyDescent="0.3">
      <c r="D32092" s="25"/>
      <c r="F32092" s="21"/>
      <c r="G32092" s="16"/>
    </row>
    <row r="32093" spans="4:7" ht="15" x14ac:dyDescent="0.3">
      <c r="D32093" s="25"/>
      <c r="F32093" s="21"/>
      <c r="G32093" s="16"/>
    </row>
    <row r="32094" spans="4:7" ht="15" x14ac:dyDescent="0.3">
      <c r="D32094" s="25"/>
      <c r="F32094" s="21"/>
      <c r="G32094" s="16"/>
    </row>
    <row r="32095" spans="4:7" ht="15" x14ac:dyDescent="0.3">
      <c r="D32095" s="25"/>
      <c r="F32095" s="21"/>
      <c r="G32095" s="16"/>
    </row>
    <row r="32096" spans="4:7" ht="15" x14ac:dyDescent="0.3">
      <c r="D32096" s="25"/>
      <c r="F32096" s="21"/>
      <c r="G32096" s="16"/>
    </row>
    <row r="32097" spans="4:7" ht="15" x14ac:dyDescent="0.3">
      <c r="D32097" s="25"/>
      <c r="F32097" s="21"/>
      <c r="G32097" s="16"/>
    </row>
    <row r="32098" spans="4:7" ht="15" x14ac:dyDescent="0.3">
      <c r="D32098" s="25"/>
      <c r="F32098" s="21"/>
      <c r="G32098" s="16"/>
    </row>
    <row r="32099" spans="4:7" ht="15" x14ac:dyDescent="0.3">
      <c r="D32099" s="25"/>
      <c r="F32099" s="21"/>
      <c r="G32099" s="16"/>
    </row>
    <row r="32100" spans="4:7" ht="15" x14ac:dyDescent="0.3">
      <c r="D32100" s="25"/>
      <c r="F32100" s="21"/>
      <c r="G32100" s="16"/>
    </row>
    <row r="32101" spans="4:7" ht="15" x14ac:dyDescent="0.3">
      <c r="D32101" s="25"/>
      <c r="F32101" s="21"/>
      <c r="G32101" s="16"/>
    </row>
    <row r="32102" spans="4:7" ht="15" x14ac:dyDescent="0.3">
      <c r="D32102" s="25"/>
      <c r="F32102" s="21"/>
      <c r="G32102" s="16"/>
    </row>
    <row r="32103" spans="4:7" ht="15" x14ac:dyDescent="0.3">
      <c r="D32103" s="25"/>
      <c r="F32103" s="21"/>
      <c r="G32103" s="16"/>
    </row>
    <row r="32104" spans="4:7" ht="15" x14ac:dyDescent="0.3">
      <c r="D32104" s="25"/>
      <c r="F32104" s="21"/>
      <c r="G32104" s="16"/>
    </row>
    <row r="32105" spans="4:7" ht="15" x14ac:dyDescent="0.3">
      <c r="D32105" s="25"/>
      <c r="F32105" s="21"/>
      <c r="G32105" s="16"/>
    </row>
    <row r="32106" spans="4:7" ht="15" x14ac:dyDescent="0.3">
      <c r="D32106" s="25"/>
      <c r="F32106" s="21"/>
      <c r="G32106" s="16"/>
    </row>
    <row r="32107" spans="4:7" ht="15" x14ac:dyDescent="0.3">
      <c r="D32107" s="25"/>
      <c r="F32107" s="21"/>
      <c r="G32107" s="16"/>
    </row>
    <row r="32108" spans="4:7" ht="15" x14ac:dyDescent="0.3">
      <c r="D32108" s="25"/>
      <c r="F32108" s="21"/>
      <c r="G32108" s="16"/>
    </row>
    <row r="32109" spans="4:7" ht="15" x14ac:dyDescent="0.3">
      <c r="D32109" s="25"/>
      <c r="F32109" s="21"/>
      <c r="G32109" s="16"/>
    </row>
    <row r="32110" spans="4:7" ht="15" x14ac:dyDescent="0.3">
      <c r="D32110" s="25"/>
      <c r="F32110" s="21"/>
      <c r="G32110" s="16"/>
    </row>
    <row r="32111" spans="4:7" ht="15" x14ac:dyDescent="0.3">
      <c r="D32111" s="25"/>
      <c r="F32111" s="21"/>
      <c r="G32111" s="16"/>
    </row>
    <row r="32112" spans="4:7" ht="15" x14ac:dyDescent="0.3">
      <c r="D32112" s="25"/>
      <c r="F32112" s="21"/>
      <c r="G32112" s="16"/>
    </row>
    <row r="32113" spans="4:7" ht="15" x14ac:dyDescent="0.3">
      <c r="D32113" s="25"/>
      <c r="F32113" s="21"/>
      <c r="G32113" s="16"/>
    </row>
    <row r="32114" spans="4:7" ht="15" x14ac:dyDescent="0.3">
      <c r="D32114" s="25"/>
      <c r="F32114" s="21"/>
      <c r="G32114" s="16"/>
    </row>
    <row r="32115" spans="4:7" ht="15" x14ac:dyDescent="0.3">
      <c r="D32115" s="25"/>
      <c r="F32115" s="21"/>
      <c r="G32115" s="16"/>
    </row>
    <row r="32116" spans="4:7" ht="15" x14ac:dyDescent="0.3">
      <c r="D32116" s="25"/>
      <c r="F32116" s="21"/>
      <c r="G32116" s="16"/>
    </row>
    <row r="32117" spans="4:7" ht="15" x14ac:dyDescent="0.3">
      <c r="D32117" s="25"/>
      <c r="F32117" s="21"/>
      <c r="G32117" s="16"/>
    </row>
    <row r="32118" spans="4:7" ht="15" x14ac:dyDescent="0.3">
      <c r="D32118" s="25"/>
      <c r="F32118" s="21"/>
      <c r="G32118" s="16"/>
    </row>
    <row r="32119" spans="4:7" ht="15" x14ac:dyDescent="0.3">
      <c r="D32119" s="25"/>
      <c r="F32119" s="21"/>
      <c r="G32119" s="16"/>
    </row>
    <row r="32120" spans="4:7" ht="15" x14ac:dyDescent="0.3">
      <c r="D32120" s="25"/>
      <c r="F32120" s="21"/>
      <c r="G32120" s="16"/>
    </row>
    <row r="32121" spans="4:7" ht="15" x14ac:dyDescent="0.3">
      <c r="D32121" s="25"/>
      <c r="F32121" s="21"/>
      <c r="G32121" s="16"/>
    </row>
    <row r="32122" spans="4:7" ht="15" x14ac:dyDescent="0.3">
      <c r="D32122" s="25"/>
      <c r="F32122" s="21"/>
      <c r="G32122" s="16"/>
    </row>
    <row r="32123" spans="4:7" ht="15" x14ac:dyDescent="0.3">
      <c r="D32123" s="25"/>
      <c r="F32123" s="21"/>
      <c r="G32123" s="16"/>
    </row>
    <row r="32124" spans="4:7" ht="15" x14ac:dyDescent="0.3">
      <c r="D32124" s="25"/>
      <c r="F32124" s="21"/>
      <c r="G32124" s="16"/>
    </row>
    <row r="32125" spans="4:7" ht="15" x14ac:dyDescent="0.3">
      <c r="D32125" s="25"/>
      <c r="F32125" s="21"/>
      <c r="G32125" s="16"/>
    </row>
    <row r="32126" spans="4:7" ht="15" x14ac:dyDescent="0.3">
      <c r="D32126" s="25"/>
      <c r="F32126" s="21"/>
      <c r="G32126" s="16"/>
    </row>
    <row r="32127" spans="4:7" ht="15" x14ac:dyDescent="0.3">
      <c r="D32127" s="25"/>
      <c r="F32127" s="21"/>
      <c r="G32127" s="16"/>
    </row>
    <row r="32128" spans="4:7" ht="15" x14ac:dyDescent="0.3">
      <c r="D32128" s="25"/>
      <c r="F32128" s="21"/>
      <c r="G32128" s="16"/>
    </row>
    <row r="32129" spans="4:7" ht="15" x14ac:dyDescent="0.3">
      <c r="D32129" s="25"/>
      <c r="F32129" s="21"/>
      <c r="G32129" s="16"/>
    </row>
    <row r="32130" spans="4:7" ht="15" x14ac:dyDescent="0.3">
      <c r="D32130" s="25"/>
      <c r="F32130" s="21"/>
      <c r="G32130" s="16"/>
    </row>
    <row r="32131" spans="4:7" ht="15" x14ac:dyDescent="0.3">
      <c r="D32131" s="25"/>
      <c r="F32131" s="21"/>
      <c r="G32131" s="16"/>
    </row>
    <row r="32132" spans="4:7" ht="15" x14ac:dyDescent="0.3">
      <c r="D32132" s="25"/>
      <c r="F32132" s="21"/>
      <c r="G32132" s="16"/>
    </row>
    <row r="32133" spans="4:7" ht="15" x14ac:dyDescent="0.3">
      <c r="D32133" s="25"/>
      <c r="F32133" s="21"/>
      <c r="G32133" s="16"/>
    </row>
    <row r="32134" spans="4:7" ht="15" x14ac:dyDescent="0.3">
      <c r="D32134" s="25"/>
      <c r="F32134" s="21"/>
      <c r="G32134" s="16"/>
    </row>
    <row r="32135" spans="4:7" ht="15" x14ac:dyDescent="0.3">
      <c r="D32135" s="25"/>
      <c r="F32135" s="21"/>
      <c r="G32135" s="16"/>
    </row>
    <row r="32136" spans="4:7" ht="15" x14ac:dyDescent="0.3">
      <c r="D32136" s="25"/>
      <c r="F32136" s="21"/>
      <c r="G32136" s="16"/>
    </row>
    <row r="32137" spans="4:7" ht="15" x14ac:dyDescent="0.3">
      <c r="D32137" s="25"/>
      <c r="F32137" s="21"/>
      <c r="G32137" s="16"/>
    </row>
    <row r="32138" spans="4:7" ht="15" x14ac:dyDescent="0.3">
      <c r="D32138" s="25"/>
      <c r="F32138" s="21"/>
      <c r="G32138" s="16"/>
    </row>
    <row r="32139" spans="4:7" ht="15" x14ac:dyDescent="0.3">
      <c r="D32139" s="25"/>
      <c r="F32139" s="21"/>
      <c r="G32139" s="16"/>
    </row>
    <row r="32140" spans="4:7" ht="15" x14ac:dyDescent="0.3">
      <c r="D32140" s="25"/>
      <c r="F32140" s="21"/>
      <c r="G32140" s="16"/>
    </row>
    <row r="32141" spans="4:7" ht="15" x14ac:dyDescent="0.3">
      <c r="D32141" s="25"/>
      <c r="F32141" s="21"/>
      <c r="G32141" s="16"/>
    </row>
    <row r="32142" spans="4:7" ht="15" x14ac:dyDescent="0.3">
      <c r="D32142" s="25"/>
      <c r="F32142" s="21"/>
      <c r="G32142" s="16"/>
    </row>
    <row r="32143" spans="4:7" ht="15" x14ac:dyDescent="0.3">
      <c r="D32143" s="25"/>
      <c r="F32143" s="21"/>
      <c r="G32143" s="16"/>
    </row>
    <row r="32144" spans="4:7" ht="15" x14ac:dyDescent="0.3">
      <c r="D32144" s="25"/>
      <c r="F32144" s="21"/>
      <c r="G32144" s="16"/>
    </row>
    <row r="32145" spans="4:7" ht="15" x14ac:dyDescent="0.3">
      <c r="D32145" s="25"/>
      <c r="F32145" s="21"/>
      <c r="G32145" s="16"/>
    </row>
    <row r="32146" spans="4:7" ht="15" x14ac:dyDescent="0.3">
      <c r="D32146" s="25"/>
      <c r="F32146" s="21"/>
      <c r="G32146" s="16"/>
    </row>
    <row r="32147" spans="4:7" ht="15" x14ac:dyDescent="0.3">
      <c r="D32147" s="25"/>
      <c r="F32147" s="21"/>
      <c r="G32147" s="16"/>
    </row>
    <row r="32148" spans="4:7" ht="15" x14ac:dyDescent="0.3">
      <c r="D32148" s="25"/>
      <c r="F32148" s="21"/>
      <c r="G32148" s="16"/>
    </row>
    <row r="32149" spans="4:7" ht="15" x14ac:dyDescent="0.3">
      <c r="D32149" s="25"/>
      <c r="F32149" s="21"/>
      <c r="G32149" s="16"/>
    </row>
    <row r="32150" spans="4:7" ht="15" x14ac:dyDescent="0.3">
      <c r="D32150" s="25"/>
      <c r="F32150" s="21"/>
      <c r="G32150" s="16"/>
    </row>
    <row r="32151" spans="4:7" ht="15" x14ac:dyDescent="0.3">
      <c r="D32151" s="25"/>
      <c r="F32151" s="21"/>
      <c r="G32151" s="16"/>
    </row>
    <row r="32152" spans="4:7" ht="15" x14ac:dyDescent="0.3">
      <c r="D32152" s="25"/>
      <c r="F32152" s="21"/>
      <c r="G32152" s="16"/>
    </row>
    <row r="32153" spans="4:7" ht="15" x14ac:dyDescent="0.3">
      <c r="D32153" s="25"/>
      <c r="F32153" s="21"/>
      <c r="G32153" s="16"/>
    </row>
    <row r="32154" spans="4:7" ht="15" x14ac:dyDescent="0.3">
      <c r="D32154" s="25"/>
      <c r="F32154" s="21"/>
      <c r="G32154" s="16"/>
    </row>
    <row r="32155" spans="4:7" ht="15" x14ac:dyDescent="0.3">
      <c r="D32155" s="25"/>
      <c r="F32155" s="21"/>
      <c r="G32155" s="16"/>
    </row>
    <row r="32156" spans="4:7" ht="15" x14ac:dyDescent="0.3">
      <c r="D32156" s="25"/>
      <c r="F32156" s="21"/>
      <c r="G32156" s="16"/>
    </row>
    <row r="32157" spans="4:7" ht="15" x14ac:dyDescent="0.3">
      <c r="D32157" s="25"/>
      <c r="F32157" s="21"/>
      <c r="G32157" s="16"/>
    </row>
    <row r="32158" spans="4:7" ht="15" x14ac:dyDescent="0.3">
      <c r="D32158" s="25"/>
      <c r="F32158" s="21"/>
      <c r="G32158" s="16"/>
    </row>
    <row r="32159" spans="4:7" ht="15" x14ac:dyDescent="0.3">
      <c r="D32159" s="25"/>
      <c r="F32159" s="21"/>
      <c r="G32159" s="16"/>
    </row>
    <row r="32160" spans="4:7" ht="15" x14ac:dyDescent="0.3">
      <c r="D32160" s="25"/>
      <c r="F32160" s="21"/>
      <c r="G32160" s="16"/>
    </row>
    <row r="32161" spans="4:7" ht="15" x14ac:dyDescent="0.3">
      <c r="D32161" s="25"/>
      <c r="F32161" s="21"/>
      <c r="G32161" s="16"/>
    </row>
    <row r="32162" spans="4:7" ht="15" x14ac:dyDescent="0.3">
      <c r="D32162" s="25"/>
      <c r="F32162" s="21"/>
      <c r="G32162" s="16"/>
    </row>
    <row r="32163" spans="4:7" ht="15" x14ac:dyDescent="0.3">
      <c r="D32163" s="25"/>
      <c r="F32163" s="21"/>
      <c r="G32163" s="16"/>
    </row>
    <row r="32164" spans="4:7" ht="15" x14ac:dyDescent="0.3">
      <c r="D32164" s="25"/>
      <c r="F32164" s="21"/>
      <c r="G32164" s="16"/>
    </row>
    <row r="32165" spans="4:7" ht="15" x14ac:dyDescent="0.3">
      <c r="D32165" s="25"/>
      <c r="F32165" s="21"/>
      <c r="G32165" s="16"/>
    </row>
    <row r="32166" spans="4:7" ht="15" x14ac:dyDescent="0.3">
      <c r="D32166" s="25"/>
      <c r="F32166" s="21"/>
      <c r="G32166" s="16"/>
    </row>
    <row r="32167" spans="4:7" ht="15" x14ac:dyDescent="0.3">
      <c r="D32167" s="25"/>
      <c r="F32167" s="21"/>
      <c r="G32167" s="16"/>
    </row>
    <row r="32168" spans="4:7" ht="15" x14ac:dyDescent="0.3">
      <c r="D32168" s="25"/>
      <c r="F32168" s="21"/>
      <c r="G32168" s="16"/>
    </row>
    <row r="32169" spans="4:7" ht="15" x14ac:dyDescent="0.3">
      <c r="D32169" s="25"/>
      <c r="F32169" s="21"/>
      <c r="G32169" s="16"/>
    </row>
    <row r="32170" spans="4:7" ht="15" x14ac:dyDescent="0.3">
      <c r="D32170" s="25"/>
      <c r="F32170" s="21"/>
      <c r="G32170" s="16"/>
    </row>
    <row r="32171" spans="4:7" ht="15" x14ac:dyDescent="0.3">
      <c r="D32171" s="25"/>
      <c r="F32171" s="21"/>
      <c r="G32171" s="16"/>
    </row>
    <row r="32172" spans="4:7" ht="15" x14ac:dyDescent="0.3">
      <c r="D32172" s="25"/>
      <c r="F32172" s="21"/>
      <c r="G32172" s="16"/>
    </row>
    <row r="32173" spans="4:7" ht="15" x14ac:dyDescent="0.3">
      <c r="D32173" s="25"/>
      <c r="F32173" s="21"/>
      <c r="G32173" s="16"/>
    </row>
    <row r="32174" spans="4:7" ht="15" x14ac:dyDescent="0.3">
      <c r="D32174" s="25"/>
      <c r="F32174" s="21"/>
      <c r="G32174" s="16"/>
    </row>
    <row r="32175" spans="4:7" ht="15" x14ac:dyDescent="0.3">
      <c r="D32175" s="25"/>
      <c r="F32175" s="21"/>
      <c r="G32175" s="16"/>
    </row>
    <row r="32176" spans="4:7" ht="15" x14ac:dyDescent="0.3">
      <c r="D32176" s="25"/>
      <c r="F32176" s="21"/>
      <c r="G32176" s="16"/>
    </row>
    <row r="32177" spans="4:7" ht="15" x14ac:dyDescent="0.3">
      <c r="D32177" s="25"/>
      <c r="F32177" s="21"/>
      <c r="G32177" s="16"/>
    </row>
    <row r="32178" spans="4:7" ht="15" x14ac:dyDescent="0.3">
      <c r="D32178" s="25"/>
      <c r="F32178" s="21"/>
      <c r="G32178" s="16"/>
    </row>
    <row r="32179" spans="4:7" ht="15" x14ac:dyDescent="0.3">
      <c r="D32179" s="25"/>
      <c r="F32179" s="21"/>
      <c r="G32179" s="16"/>
    </row>
    <row r="32180" spans="4:7" ht="15" x14ac:dyDescent="0.3">
      <c r="D32180" s="25"/>
      <c r="F32180" s="21"/>
      <c r="G32180" s="16"/>
    </row>
    <row r="32181" spans="4:7" ht="15" x14ac:dyDescent="0.3">
      <c r="D32181" s="25"/>
      <c r="F32181" s="21"/>
      <c r="G32181" s="16"/>
    </row>
    <row r="32182" spans="4:7" ht="15" x14ac:dyDescent="0.3">
      <c r="D32182" s="25"/>
      <c r="F32182" s="21"/>
      <c r="G32182" s="16"/>
    </row>
    <row r="32183" spans="4:7" ht="15" x14ac:dyDescent="0.3">
      <c r="D32183" s="25"/>
      <c r="F32183" s="21"/>
      <c r="G32183" s="16"/>
    </row>
    <row r="32184" spans="4:7" ht="15" x14ac:dyDescent="0.3">
      <c r="D32184" s="25"/>
      <c r="F32184" s="21"/>
      <c r="G32184" s="16"/>
    </row>
    <row r="32185" spans="4:7" ht="15" x14ac:dyDescent="0.3">
      <c r="D32185" s="25"/>
      <c r="F32185" s="21"/>
      <c r="G32185" s="16"/>
    </row>
    <row r="32186" spans="4:7" ht="15" x14ac:dyDescent="0.3">
      <c r="D32186" s="25"/>
      <c r="F32186" s="21"/>
      <c r="G32186" s="16"/>
    </row>
    <row r="32187" spans="4:7" ht="15" x14ac:dyDescent="0.3">
      <c r="D32187" s="25"/>
      <c r="F32187" s="21"/>
      <c r="G32187" s="16"/>
    </row>
    <row r="32188" spans="4:7" ht="15" x14ac:dyDescent="0.3">
      <c r="D32188" s="25"/>
      <c r="F32188" s="21"/>
      <c r="G32188" s="16"/>
    </row>
    <row r="32189" spans="4:7" ht="15" x14ac:dyDescent="0.3">
      <c r="D32189" s="25"/>
      <c r="F32189" s="21"/>
      <c r="G32189" s="16"/>
    </row>
    <row r="32190" spans="4:7" ht="15" x14ac:dyDescent="0.3">
      <c r="D32190" s="25"/>
      <c r="F32190" s="21"/>
      <c r="G32190" s="16"/>
    </row>
    <row r="32191" spans="4:7" ht="15" x14ac:dyDescent="0.3">
      <c r="D32191" s="25"/>
      <c r="F32191" s="21"/>
      <c r="G32191" s="16"/>
    </row>
    <row r="32192" spans="4:7" ht="15" x14ac:dyDescent="0.3">
      <c r="D32192" s="25"/>
      <c r="F32192" s="21"/>
      <c r="G32192" s="16"/>
    </row>
    <row r="32193" spans="4:7" ht="15" x14ac:dyDescent="0.3">
      <c r="D32193" s="25"/>
      <c r="F32193" s="21"/>
      <c r="G32193" s="16"/>
    </row>
    <row r="32194" spans="4:7" ht="15" x14ac:dyDescent="0.3">
      <c r="D32194" s="25"/>
      <c r="F32194" s="21"/>
      <c r="G32194" s="16"/>
    </row>
    <row r="32195" spans="4:7" ht="15" x14ac:dyDescent="0.3">
      <c r="D32195" s="25"/>
      <c r="F32195" s="21"/>
      <c r="G32195" s="16"/>
    </row>
    <row r="32196" spans="4:7" ht="15" x14ac:dyDescent="0.3">
      <c r="D32196" s="25"/>
      <c r="F32196" s="21"/>
      <c r="G32196" s="16"/>
    </row>
    <row r="32197" spans="4:7" ht="15" x14ac:dyDescent="0.3">
      <c r="D32197" s="25"/>
      <c r="F32197" s="21"/>
      <c r="G32197" s="16"/>
    </row>
    <row r="32198" spans="4:7" ht="15" x14ac:dyDescent="0.3">
      <c r="D32198" s="25"/>
      <c r="F32198" s="21"/>
      <c r="G32198" s="16"/>
    </row>
    <row r="32199" spans="4:7" ht="15" x14ac:dyDescent="0.3">
      <c r="D32199" s="25"/>
      <c r="F32199" s="21"/>
      <c r="G32199" s="16"/>
    </row>
    <row r="32200" spans="4:7" ht="15" x14ac:dyDescent="0.3">
      <c r="D32200" s="25"/>
      <c r="F32200" s="21"/>
      <c r="G32200" s="16"/>
    </row>
    <row r="32201" spans="4:7" ht="15" x14ac:dyDescent="0.3">
      <c r="D32201" s="25"/>
      <c r="F32201" s="21"/>
      <c r="G32201" s="16"/>
    </row>
    <row r="32202" spans="4:7" ht="15" x14ac:dyDescent="0.3">
      <c r="D32202" s="25"/>
      <c r="F32202" s="21"/>
      <c r="G32202" s="16"/>
    </row>
    <row r="32203" spans="4:7" ht="15" x14ac:dyDescent="0.3">
      <c r="D32203" s="25"/>
      <c r="F32203" s="21"/>
      <c r="G32203" s="16"/>
    </row>
    <row r="32204" spans="4:7" ht="15" x14ac:dyDescent="0.3">
      <c r="D32204" s="25"/>
      <c r="F32204" s="21"/>
      <c r="G32204" s="16"/>
    </row>
    <row r="32205" spans="4:7" ht="15" x14ac:dyDescent="0.3">
      <c r="D32205" s="25"/>
      <c r="F32205" s="21"/>
      <c r="G32205" s="16"/>
    </row>
    <row r="32206" spans="4:7" ht="15" x14ac:dyDescent="0.3">
      <c r="D32206" s="25"/>
      <c r="F32206" s="21"/>
      <c r="G32206" s="16"/>
    </row>
    <row r="32207" spans="4:7" ht="15" x14ac:dyDescent="0.3">
      <c r="D32207" s="25"/>
      <c r="F32207" s="21"/>
      <c r="G32207" s="16"/>
    </row>
    <row r="32208" spans="4:7" ht="15" x14ac:dyDescent="0.3">
      <c r="D32208" s="25"/>
      <c r="F32208" s="21"/>
      <c r="G32208" s="16"/>
    </row>
    <row r="32209" spans="4:7" ht="15" x14ac:dyDescent="0.3">
      <c r="D32209" s="25"/>
      <c r="F32209" s="21"/>
      <c r="G32209" s="16"/>
    </row>
    <row r="32210" spans="4:7" ht="15" x14ac:dyDescent="0.3">
      <c r="D32210" s="25"/>
      <c r="F32210" s="21"/>
      <c r="G32210" s="16"/>
    </row>
    <row r="32211" spans="4:7" ht="15" x14ac:dyDescent="0.3">
      <c r="D32211" s="25"/>
      <c r="F32211" s="21"/>
      <c r="G32211" s="16"/>
    </row>
    <row r="32212" spans="4:7" ht="15" x14ac:dyDescent="0.3">
      <c r="D32212" s="25"/>
      <c r="F32212" s="21"/>
      <c r="G32212" s="16"/>
    </row>
    <row r="32213" spans="4:7" ht="15" x14ac:dyDescent="0.3">
      <c r="D32213" s="25"/>
      <c r="F32213" s="21"/>
      <c r="G32213" s="16"/>
    </row>
    <row r="32214" spans="4:7" ht="15" x14ac:dyDescent="0.3">
      <c r="D32214" s="25"/>
      <c r="F32214" s="21"/>
      <c r="G32214" s="16"/>
    </row>
    <row r="32215" spans="4:7" ht="15" x14ac:dyDescent="0.3">
      <c r="D32215" s="25"/>
      <c r="F32215" s="21"/>
      <c r="G32215" s="16"/>
    </row>
    <row r="32216" spans="4:7" ht="15" x14ac:dyDescent="0.3">
      <c r="D32216" s="25"/>
      <c r="F32216" s="21"/>
      <c r="G32216" s="16"/>
    </row>
    <row r="32217" spans="4:7" ht="15" x14ac:dyDescent="0.3">
      <c r="D32217" s="25"/>
      <c r="F32217" s="21"/>
      <c r="G32217" s="16"/>
    </row>
    <row r="32218" spans="4:7" ht="15" x14ac:dyDescent="0.3">
      <c r="D32218" s="25"/>
      <c r="F32218" s="21"/>
      <c r="G32218" s="16"/>
    </row>
    <row r="32219" spans="4:7" ht="15" x14ac:dyDescent="0.3">
      <c r="D32219" s="25"/>
      <c r="F32219" s="21"/>
      <c r="G32219" s="16"/>
    </row>
    <row r="32220" spans="4:7" ht="15" x14ac:dyDescent="0.3">
      <c r="D32220" s="25"/>
      <c r="F32220" s="21"/>
      <c r="G32220" s="16"/>
    </row>
    <row r="32221" spans="4:7" ht="15" x14ac:dyDescent="0.3">
      <c r="D32221" s="25"/>
      <c r="F32221" s="21"/>
      <c r="G32221" s="16"/>
    </row>
    <row r="32222" spans="4:7" ht="15" x14ac:dyDescent="0.3">
      <c r="D32222" s="25"/>
      <c r="F32222" s="21"/>
      <c r="G32222" s="16"/>
    </row>
    <row r="32223" spans="4:7" ht="15" x14ac:dyDescent="0.3">
      <c r="D32223" s="25"/>
      <c r="F32223" s="21"/>
      <c r="G32223" s="16"/>
    </row>
    <row r="32224" spans="4:7" ht="15" x14ac:dyDescent="0.3">
      <c r="D32224" s="25"/>
      <c r="F32224" s="21"/>
      <c r="G32224" s="16"/>
    </row>
    <row r="32225" spans="4:7" ht="15" x14ac:dyDescent="0.3">
      <c r="D32225" s="25"/>
      <c r="F32225" s="21"/>
      <c r="G32225" s="16"/>
    </row>
    <row r="32226" spans="4:7" ht="15" x14ac:dyDescent="0.3">
      <c r="D32226" s="25"/>
      <c r="F32226" s="21"/>
      <c r="G32226" s="16"/>
    </row>
    <row r="32227" spans="4:7" ht="15" x14ac:dyDescent="0.3">
      <c r="D32227" s="25"/>
      <c r="F32227" s="21"/>
      <c r="G32227" s="16"/>
    </row>
    <row r="32228" spans="4:7" ht="15" x14ac:dyDescent="0.3">
      <c r="D32228" s="25"/>
      <c r="F32228" s="21"/>
      <c r="G32228" s="16"/>
    </row>
    <row r="32229" spans="4:7" ht="15" x14ac:dyDescent="0.3">
      <c r="D32229" s="25"/>
      <c r="F32229" s="21"/>
      <c r="G32229" s="16"/>
    </row>
    <row r="32230" spans="4:7" ht="15" x14ac:dyDescent="0.3">
      <c r="D32230" s="25"/>
      <c r="F32230" s="21"/>
      <c r="G32230" s="16"/>
    </row>
    <row r="32231" spans="4:7" ht="15" x14ac:dyDescent="0.3">
      <c r="D32231" s="25"/>
      <c r="F32231" s="21"/>
      <c r="G32231" s="16"/>
    </row>
    <row r="32232" spans="4:7" ht="15" x14ac:dyDescent="0.3">
      <c r="D32232" s="25"/>
      <c r="F32232" s="21"/>
      <c r="G32232" s="16"/>
    </row>
    <row r="32233" spans="4:7" ht="15" x14ac:dyDescent="0.3">
      <c r="D32233" s="25"/>
      <c r="F32233" s="21"/>
      <c r="G32233" s="16"/>
    </row>
    <row r="32234" spans="4:7" ht="15" x14ac:dyDescent="0.3">
      <c r="D32234" s="25"/>
      <c r="F32234" s="21"/>
      <c r="G32234" s="16"/>
    </row>
    <row r="32235" spans="4:7" ht="15" x14ac:dyDescent="0.3">
      <c r="D32235" s="25"/>
      <c r="F32235" s="21"/>
      <c r="G32235" s="16"/>
    </row>
    <row r="32236" spans="4:7" ht="15" x14ac:dyDescent="0.3">
      <c r="D32236" s="25"/>
      <c r="F32236" s="21"/>
      <c r="G32236" s="16"/>
    </row>
    <row r="32237" spans="4:7" ht="15" x14ac:dyDescent="0.3">
      <c r="D32237" s="25"/>
      <c r="F32237" s="21"/>
      <c r="G32237" s="16"/>
    </row>
    <row r="32238" spans="4:7" ht="15" x14ac:dyDescent="0.3">
      <c r="D32238" s="25"/>
      <c r="F32238" s="21"/>
      <c r="G32238" s="16"/>
    </row>
    <row r="32239" spans="4:7" ht="15" x14ac:dyDescent="0.3">
      <c r="D32239" s="25"/>
      <c r="F32239" s="21"/>
      <c r="G32239" s="16"/>
    </row>
    <row r="32240" spans="4:7" ht="15" x14ac:dyDescent="0.3">
      <c r="D32240" s="25"/>
      <c r="F32240" s="21"/>
      <c r="G32240" s="16"/>
    </row>
    <row r="32241" spans="4:7" ht="15" x14ac:dyDescent="0.3">
      <c r="D32241" s="25"/>
      <c r="F32241" s="21"/>
      <c r="G32241" s="16"/>
    </row>
    <row r="32242" spans="4:7" ht="15" x14ac:dyDescent="0.3">
      <c r="D32242" s="25"/>
      <c r="F32242" s="21"/>
      <c r="G32242" s="16"/>
    </row>
    <row r="32243" spans="4:7" ht="15" x14ac:dyDescent="0.3">
      <c r="D32243" s="25"/>
      <c r="F32243" s="21"/>
      <c r="G32243" s="16"/>
    </row>
    <row r="32244" spans="4:7" ht="15" x14ac:dyDescent="0.3">
      <c r="D32244" s="25"/>
      <c r="F32244" s="21"/>
      <c r="G32244" s="16"/>
    </row>
    <row r="32245" spans="4:7" ht="15" x14ac:dyDescent="0.3">
      <c r="D32245" s="25"/>
      <c r="F32245" s="21"/>
      <c r="G32245" s="16"/>
    </row>
    <row r="32246" spans="4:7" ht="15" x14ac:dyDescent="0.3">
      <c r="D32246" s="25"/>
      <c r="F32246" s="21"/>
      <c r="G32246" s="16"/>
    </row>
    <row r="32247" spans="4:7" ht="15" x14ac:dyDescent="0.3">
      <c r="D32247" s="25"/>
      <c r="F32247" s="21"/>
      <c r="G32247" s="16"/>
    </row>
    <row r="32248" spans="4:7" ht="15" x14ac:dyDescent="0.3">
      <c r="D32248" s="25"/>
      <c r="F32248" s="21"/>
      <c r="G32248" s="16"/>
    </row>
    <row r="32249" spans="4:7" ht="15" x14ac:dyDescent="0.3">
      <c r="D32249" s="25"/>
      <c r="F32249" s="21"/>
      <c r="G32249" s="16"/>
    </row>
    <row r="32250" spans="4:7" ht="15" x14ac:dyDescent="0.3">
      <c r="D32250" s="25"/>
      <c r="F32250" s="21"/>
      <c r="G32250" s="16"/>
    </row>
    <row r="32251" spans="4:7" ht="15" x14ac:dyDescent="0.3">
      <c r="D32251" s="25"/>
      <c r="F32251" s="21"/>
      <c r="G32251" s="16"/>
    </row>
    <row r="32252" spans="4:7" ht="15" x14ac:dyDescent="0.3">
      <c r="D32252" s="25"/>
      <c r="F32252" s="21"/>
      <c r="G32252" s="16"/>
    </row>
    <row r="32253" spans="4:7" ht="15" x14ac:dyDescent="0.3">
      <c r="D32253" s="25"/>
      <c r="F32253" s="21"/>
      <c r="G32253" s="16"/>
    </row>
    <row r="32254" spans="4:7" ht="15" x14ac:dyDescent="0.3">
      <c r="D32254" s="25"/>
      <c r="F32254" s="21"/>
      <c r="G32254" s="16"/>
    </row>
    <row r="32255" spans="4:7" ht="15" x14ac:dyDescent="0.3">
      <c r="D32255" s="25"/>
      <c r="F32255" s="21"/>
      <c r="G32255" s="16"/>
    </row>
    <row r="32256" spans="4:7" ht="15" x14ac:dyDescent="0.3">
      <c r="D32256" s="25"/>
      <c r="F32256" s="21"/>
      <c r="G32256" s="16"/>
    </row>
    <row r="32257" spans="4:7" ht="15" x14ac:dyDescent="0.3">
      <c r="D32257" s="25"/>
      <c r="F32257" s="21"/>
      <c r="G32257" s="16"/>
    </row>
    <row r="32258" spans="4:7" ht="15" x14ac:dyDescent="0.3">
      <c r="D32258" s="25"/>
      <c r="F32258" s="21"/>
      <c r="G32258" s="16"/>
    </row>
    <row r="32259" spans="4:7" ht="15" x14ac:dyDescent="0.3">
      <c r="D32259" s="25"/>
      <c r="F32259" s="21"/>
      <c r="G32259" s="16"/>
    </row>
    <row r="32260" spans="4:7" ht="15" x14ac:dyDescent="0.3">
      <c r="D32260" s="25"/>
      <c r="F32260" s="21"/>
      <c r="G32260" s="16"/>
    </row>
    <row r="32261" spans="4:7" ht="15" x14ac:dyDescent="0.3">
      <c r="D32261" s="25"/>
      <c r="F32261" s="21"/>
      <c r="G32261" s="16"/>
    </row>
    <row r="32262" spans="4:7" ht="15" x14ac:dyDescent="0.3">
      <c r="D32262" s="25"/>
      <c r="F32262" s="21"/>
      <c r="G32262" s="16"/>
    </row>
    <row r="32263" spans="4:7" ht="15" x14ac:dyDescent="0.3">
      <c r="D32263" s="25"/>
      <c r="F32263" s="21"/>
      <c r="G32263" s="16"/>
    </row>
    <row r="32264" spans="4:7" ht="15" x14ac:dyDescent="0.3">
      <c r="D32264" s="25"/>
      <c r="F32264" s="21"/>
      <c r="G32264" s="16"/>
    </row>
    <row r="32265" spans="4:7" ht="15" x14ac:dyDescent="0.3">
      <c r="D32265" s="25"/>
      <c r="F32265" s="21"/>
      <c r="G32265" s="16"/>
    </row>
    <row r="32266" spans="4:7" ht="15" x14ac:dyDescent="0.3">
      <c r="D32266" s="25"/>
      <c r="F32266" s="21"/>
      <c r="G32266" s="16"/>
    </row>
    <row r="32267" spans="4:7" ht="15" x14ac:dyDescent="0.3">
      <c r="D32267" s="25"/>
      <c r="F32267" s="21"/>
      <c r="G32267" s="16"/>
    </row>
    <row r="32268" spans="4:7" ht="15" x14ac:dyDescent="0.3">
      <c r="D32268" s="25"/>
      <c r="F32268" s="21"/>
      <c r="G32268" s="16"/>
    </row>
    <row r="32269" spans="4:7" ht="15" x14ac:dyDescent="0.3">
      <c r="D32269" s="25"/>
      <c r="F32269" s="21"/>
      <c r="G32269" s="16"/>
    </row>
    <row r="32270" spans="4:7" ht="15" x14ac:dyDescent="0.3">
      <c r="D32270" s="25"/>
      <c r="F32270" s="21"/>
      <c r="G32270" s="16"/>
    </row>
    <row r="32271" spans="4:7" ht="15" x14ac:dyDescent="0.3">
      <c r="D32271" s="25"/>
      <c r="F32271" s="21"/>
      <c r="G32271" s="16"/>
    </row>
    <row r="32272" spans="4:7" ht="15" x14ac:dyDescent="0.3">
      <c r="D32272" s="25"/>
      <c r="F32272" s="21"/>
      <c r="G32272" s="16"/>
    </row>
    <row r="32273" spans="4:7" ht="15" x14ac:dyDescent="0.3">
      <c r="D32273" s="25"/>
      <c r="F32273" s="21"/>
      <c r="G32273" s="16"/>
    </row>
    <row r="32274" spans="4:7" ht="15" x14ac:dyDescent="0.3">
      <c r="D32274" s="25"/>
      <c r="F32274" s="21"/>
      <c r="G32274" s="16"/>
    </row>
    <row r="32275" spans="4:7" ht="15" x14ac:dyDescent="0.3">
      <c r="D32275" s="25"/>
      <c r="F32275" s="21"/>
      <c r="G32275" s="16"/>
    </row>
    <row r="32276" spans="4:7" ht="15" x14ac:dyDescent="0.3">
      <c r="D32276" s="25"/>
      <c r="F32276" s="21"/>
      <c r="G32276" s="16"/>
    </row>
    <row r="32277" spans="4:7" ht="15" x14ac:dyDescent="0.3">
      <c r="D32277" s="25"/>
      <c r="F32277" s="21"/>
      <c r="G32277" s="16"/>
    </row>
    <row r="32278" spans="4:7" ht="15" x14ac:dyDescent="0.3">
      <c r="D32278" s="25"/>
      <c r="F32278" s="21"/>
      <c r="G32278" s="16"/>
    </row>
    <row r="32279" spans="4:7" ht="15" x14ac:dyDescent="0.3">
      <c r="D32279" s="25"/>
      <c r="F32279" s="21"/>
      <c r="G32279" s="16"/>
    </row>
    <row r="32280" spans="4:7" ht="15" x14ac:dyDescent="0.3">
      <c r="D32280" s="25"/>
      <c r="F32280" s="21"/>
      <c r="G32280" s="16"/>
    </row>
    <row r="32281" spans="4:7" ht="15" x14ac:dyDescent="0.3">
      <c r="D32281" s="25"/>
      <c r="F32281" s="21"/>
      <c r="G32281" s="16"/>
    </row>
    <row r="32282" spans="4:7" ht="15" x14ac:dyDescent="0.3">
      <c r="D32282" s="25"/>
      <c r="F32282" s="21"/>
      <c r="G32282" s="16"/>
    </row>
    <row r="32283" spans="4:7" ht="15" x14ac:dyDescent="0.3">
      <c r="D32283" s="25"/>
      <c r="F32283" s="21"/>
      <c r="G32283" s="16"/>
    </row>
    <row r="32284" spans="4:7" ht="15" x14ac:dyDescent="0.3">
      <c r="D32284" s="25"/>
      <c r="F32284" s="21"/>
      <c r="G32284" s="16"/>
    </row>
    <row r="32285" spans="4:7" ht="15" x14ac:dyDescent="0.3">
      <c r="D32285" s="25"/>
      <c r="F32285" s="21"/>
      <c r="G32285" s="16"/>
    </row>
    <row r="32286" spans="4:7" ht="15" x14ac:dyDescent="0.3">
      <c r="D32286" s="25"/>
      <c r="F32286" s="21"/>
      <c r="G32286" s="16"/>
    </row>
    <row r="32287" spans="4:7" ht="15" x14ac:dyDescent="0.3">
      <c r="D32287" s="25"/>
      <c r="F32287" s="21"/>
      <c r="G32287" s="16"/>
    </row>
    <row r="32288" spans="4:7" ht="15" x14ac:dyDescent="0.3">
      <c r="D32288" s="25"/>
      <c r="F32288" s="21"/>
      <c r="G32288" s="16"/>
    </row>
    <row r="32289" spans="4:7" ht="15" x14ac:dyDescent="0.3">
      <c r="D32289" s="25"/>
      <c r="F32289" s="21"/>
      <c r="G32289" s="16"/>
    </row>
    <row r="32290" spans="4:7" ht="15" x14ac:dyDescent="0.3">
      <c r="D32290" s="25"/>
      <c r="F32290" s="21"/>
      <c r="G32290" s="16"/>
    </row>
    <row r="32291" spans="4:7" ht="15" x14ac:dyDescent="0.3">
      <c r="D32291" s="25"/>
      <c r="F32291" s="21"/>
      <c r="G32291" s="16"/>
    </row>
    <row r="32292" spans="4:7" ht="15" x14ac:dyDescent="0.3">
      <c r="D32292" s="25"/>
      <c r="F32292" s="21"/>
      <c r="G32292" s="16"/>
    </row>
    <row r="32293" spans="4:7" ht="15" x14ac:dyDescent="0.3">
      <c r="D32293" s="25"/>
      <c r="F32293" s="21"/>
      <c r="G32293" s="16"/>
    </row>
    <row r="32294" spans="4:7" ht="15" x14ac:dyDescent="0.3">
      <c r="D32294" s="25"/>
      <c r="F32294" s="21"/>
      <c r="G32294" s="16"/>
    </row>
    <row r="32295" spans="4:7" ht="15" x14ac:dyDescent="0.3">
      <c r="D32295" s="25"/>
      <c r="F32295" s="21"/>
      <c r="G32295" s="16"/>
    </row>
    <row r="32296" spans="4:7" ht="15" x14ac:dyDescent="0.3">
      <c r="D32296" s="25"/>
      <c r="F32296" s="21"/>
      <c r="G32296" s="16"/>
    </row>
    <row r="32297" spans="4:7" ht="15" x14ac:dyDescent="0.3">
      <c r="D32297" s="25"/>
      <c r="F32297" s="21"/>
      <c r="G32297" s="16"/>
    </row>
    <row r="32298" spans="4:7" ht="15" x14ac:dyDescent="0.3">
      <c r="D32298" s="25"/>
      <c r="F32298" s="21"/>
      <c r="G32298" s="16"/>
    </row>
    <row r="32299" spans="4:7" ht="15" x14ac:dyDescent="0.3">
      <c r="D32299" s="25"/>
      <c r="F32299" s="21"/>
      <c r="G32299" s="16"/>
    </row>
    <row r="32300" spans="4:7" ht="15" x14ac:dyDescent="0.3">
      <c r="D32300" s="25"/>
      <c r="F32300" s="21"/>
      <c r="G32300" s="16"/>
    </row>
    <row r="32301" spans="4:7" ht="15" x14ac:dyDescent="0.3">
      <c r="D32301" s="25"/>
      <c r="F32301" s="21"/>
      <c r="G32301" s="16"/>
    </row>
    <row r="32302" spans="4:7" ht="15" x14ac:dyDescent="0.3">
      <c r="D32302" s="25"/>
      <c r="F32302" s="21"/>
      <c r="G32302" s="16"/>
    </row>
    <row r="32303" spans="4:7" ht="15" x14ac:dyDescent="0.3">
      <c r="D32303" s="25"/>
      <c r="F32303" s="21"/>
      <c r="G32303" s="16"/>
    </row>
    <row r="32304" spans="4:7" ht="15" x14ac:dyDescent="0.3">
      <c r="D32304" s="25"/>
      <c r="F32304" s="21"/>
      <c r="G32304" s="16"/>
    </row>
    <row r="32305" spans="4:7" ht="15" x14ac:dyDescent="0.3">
      <c r="D32305" s="25"/>
      <c r="F32305" s="21"/>
      <c r="G32305" s="16"/>
    </row>
    <row r="32306" spans="4:7" ht="15" x14ac:dyDescent="0.3">
      <c r="D32306" s="25"/>
      <c r="F32306" s="21"/>
      <c r="G32306" s="16"/>
    </row>
    <row r="32307" spans="4:7" ht="15" x14ac:dyDescent="0.3">
      <c r="D32307" s="25"/>
      <c r="F32307" s="21"/>
      <c r="G32307" s="16"/>
    </row>
    <row r="32308" spans="4:7" ht="15" x14ac:dyDescent="0.3">
      <c r="D32308" s="25"/>
      <c r="F32308" s="21"/>
      <c r="G32308" s="16"/>
    </row>
    <row r="32309" spans="4:7" ht="15" x14ac:dyDescent="0.3">
      <c r="D32309" s="25"/>
      <c r="F32309" s="21"/>
      <c r="G32309" s="16"/>
    </row>
    <row r="32310" spans="4:7" ht="15" x14ac:dyDescent="0.3">
      <c r="D32310" s="25"/>
      <c r="F32310" s="21"/>
      <c r="G32310" s="16"/>
    </row>
    <row r="32311" spans="4:7" ht="15" x14ac:dyDescent="0.3">
      <c r="D32311" s="25"/>
      <c r="F32311" s="21"/>
      <c r="G32311" s="16"/>
    </row>
    <row r="32312" spans="4:7" ht="15" x14ac:dyDescent="0.3">
      <c r="D32312" s="25"/>
      <c r="F32312" s="21"/>
      <c r="G32312" s="16"/>
    </row>
    <row r="32313" spans="4:7" ht="15" x14ac:dyDescent="0.3">
      <c r="D32313" s="25"/>
      <c r="F32313" s="21"/>
      <c r="G32313" s="16"/>
    </row>
    <row r="32314" spans="4:7" ht="15" x14ac:dyDescent="0.3">
      <c r="D32314" s="25"/>
      <c r="F32314" s="21"/>
      <c r="G32314" s="16"/>
    </row>
    <row r="32315" spans="4:7" ht="15" x14ac:dyDescent="0.3">
      <c r="D32315" s="25"/>
      <c r="F32315" s="21"/>
      <c r="G32315" s="16"/>
    </row>
    <row r="32316" spans="4:7" ht="15" x14ac:dyDescent="0.3">
      <c r="D32316" s="25"/>
      <c r="F32316" s="21"/>
      <c r="G32316" s="16"/>
    </row>
    <row r="32317" spans="4:7" ht="15" x14ac:dyDescent="0.3">
      <c r="D32317" s="25"/>
      <c r="F32317" s="21"/>
      <c r="G32317" s="16"/>
    </row>
    <row r="32318" spans="4:7" ht="15" x14ac:dyDescent="0.3">
      <c r="D32318" s="25"/>
      <c r="F32318" s="21"/>
      <c r="G32318" s="16"/>
    </row>
    <row r="32319" spans="4:7" ht="15" x14ac:dyDescent="0.3">
      <c r="D32319" s="25"/>
      <c r="F32319" s="21"/>
      <c r="G32319" s="16"/>
    </row>
    <row r="32320" spans="4:7" ht="15" x14ac:dyDescent="0.3">
      <c r="D32320" s="25"/>
      <c r="F32320" s="21"/>
      <c r="G32320" s="16"/>
    </row>
    <row r="32321" spans="4:7" ht="15" x14ac:dyDescent="0.3">
      <c r="D32321" s="25"/>
      <c r="F32321" s="21"/>
      <c r="G32321" s="16"/>
    </row>
    <row r="32322" spans="4:7" ht="15" x14ac:dyDescent="0.3">
      <c r="D32322" s="25"/>
      <c r="F32322" s="21"/>
      <c r="G32322" s="16"/>
    </row>
    <row r="32323" spans="4:7" ht="15" x14ac:dyDescent="0.3">
      <c r="D32323" s="25"/>
      <c r="F32323" s="21"/>
      <c r="G32323" s="16"/>
    </row>
    <row r="32324" spans="4:7" ht="15" x14ac:dyDescent="0.3">
      <c r="D32324" s="25"/>
      <c r="F32324" s="21"/>
      <c r="G32324" s="16"/>
    </row>
    <row r="32325" spans="4:7" ht="15" x14ac:dyDescent="0.3">
      <c r="D32325" s="25"/>
      <c r="F32325" s="21"/>
      <c r="G32325" s="16"/>
    </row>
    <row r="32326" spans="4:7" ht="15" x14ac:dyDescent="0.3">
      <c r="D32326" s="25"/>
      <c r="F32326" s="21"/>
      <c r="G32326" s="16"/>
    </row>
    <row r="32327" spans="4:7" ht="15" x14ac:dyDescent="0.3">
      <c r="D32327" s="25"/>
      <c r="F32327" s="21"/>
      <c r="G32327" s="16"/>
    </row>
    <row r="32328" spans="4:7" ht="15" x14ac:dyDescent="0.3">
      <c r="D32328" s="25"/>
      <c r="F32328" s="21"/>
      <c r="G32328" s="16"/>
    </row>
    <row r="32329" spans="4:7" ht="15" x14ac:dyDescent="0.3">
      <c r="D32329" s="25"/>
      <c r="F32329" s="21"/>
      <c r="G32329" s="16"/>
    </row>
    <row r="32330" spans="4:7" ht="15" x14ac:dyDescent="0.3">
      <c r="D32330" s="25"/>
      <c r="F32330" s="21"/>
      <c r="G32330" s="16"/>
    </row>
    <row r="32331" spans="4:7" ht="15" x14ac:dyDescent="0.3">
      <c r="D32331" s="25"/>
      <c r="F32331" s="21"/>
      <c r="G32331" s="16"/>
    </row>
    <row r="32332" spans="4:7" ht="15" x14ac:dyDescent="0.3">
      <c r="D32332" s="25"/>
      <c r="F32332" s="21"/>
      <c r="G32332" s="16"/>
    </row>
    <row r="32333" spans="4:7" ht="15" x14ac:dyDescent="0.3">
      <c r="D32333" s="25"/>
      <c r="F32333" s="21"/>
      <c r="G32333" s="16"/>
    </row>
    <row r="32334" spans="4:7" ht="15" x14ac:dyDescent="0.3">
      <c r="D32334" s="25"/>
      <c r="F32334" s="21"/>
      <c r="G32334" s="16"/>
    </row>
    <row r="32335" spans="4:7" ht="15" x14ac:dyDescent="0.3">
      <c r="D32335" s="25"/>
      <c r="F32335" s="21"/>
      <c r="G32335" s="16"/>
    </row>
    <row r="32336" spans="4:7" ht="15" x14ac:dyDescent="0.3">
      <c r="D32336" s="25"/>
      <c r="F32336" s="21"/>
      <c r="G32336" s="16"/>
    </row>
    <row r="32337" spans="4:7" ht="15" x14ac:dyDescent="0.3">
      <c r="D32337" s="25"/>
      <c r="F32337" s="21"/>
      <c r="G32337" s="16"/>
    </row>
    <row r="32338" spans="4:7" ht="15" x14ac:dyDescent="0.3">
      <c r="D32338" s="25"/>
      <c r="F32338" s="21"/>
      <c r="G32338" s="16"/>
    </row>
    <row r="32339" spans="4:7" ht="15" x14ac:dyDescent="0.3">
      <c r="D32339" s="25"/>
      <c r="F32339" s="21"/>
      <c r="G32339" s="16"/>
    </row>
    <row r="32340" spans="4:7" ht="15" x14ac:dyDescent="0.3">
      <c r="D32340" s="25"/>
      <c r="F32340" s="21"/>
      <c r="G32340" s="16"/>
    </row>
  </sheetData>
  <phoneticPr fontId="1"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546" r:id="rId3" name="Button 66">
              <controlPr defaultSize="0" print="0" autoFill="0" autoPict="0" macro="[0]!geocodeSelectedRows">
                <anchor moveWithCells="1" sizeWithCells="1">
                  <from>
                    <xdr:col>0</xdr:col>
                    <xdr:colOff>0</xdr:colOff>
                    <xdr:row>0</xdr:row>
                    <xdr:rowOff>0</xdr:rowOff>
                  </from>
                  <to>
                    <xdr:col>2</xdr:col>
                    <xdr:colOff>85725</xdr:colOff>
                    <xdr:row>0</xdr:row>
                    <xdr:rowOff>276225</xdr:rowOff>
                  </to>
                </anchor>
              </controlPr>
            </control>
          </mc:Choice>
        </mc:AlternateContent>
        <mc:AlternateContent xmlns:mc="http://schemas.openxmlformats.org/markup-compatibility/2006">
          <mc:Choice Requires="x14">
            <control shapeId="20547" r:id="rId4" name="Button 67">
              <controlPr defaultSize="0" print="0" autoFill="0" autoPict="0" macro="[0]!geocodeAllRows">
                <anchor moveWithCells="1" sizeWithCells="1">
                  <from>
                    <xdr:col>0</xdr:col>
                    <xdr:colOff>0</xdr:colOff>
                    <xdr:row>0</xdr:row>
                    <xdr:rowOff>276225</xdr:rowOff>
                  </from>
                  <to>
                    <xdr:col>2</xdr:col>
                    <xdr:colOff>85725</xdr:colOff>
                    <xdr:row>2</xdr:row>
                    <xdr:rowOff>38100</xdr:rowOff>
                  </to>
                </anchor>
              </controlPr>
            </control>
          </mc:Choice>
        </mc:AlternateContent>
        <mc:AlternateContent xmlns:mc="http://schemas.openxmlformats.org/markup-compatibility/2006">
          <mc:Choice Requires="x14">
            <control shapeId="20548" r:id="rId5" name="Button 68">
              <controlPr defaultSize="0" print="0" autoFill="0" autoPict="0" macro="[0]!geocodeNotFound">
                <anchor moveWithCells="1" sizeWithCells="1">
                  <from>
                    <xdr:col>0</xdr:col>
                    <xdr:colOff>0</xdr:colOff>
                    <xdr:row>2</xdr:row>
                    <xdr:rowOff>38100</xdr:rowOff>
                  </from>
                  <to>
                    <xdr:col>2</xdr:col>
                    <xdr:colOff>85725</xdr:colOff>
                    <xdr:row>3</xdr:row>
                    <xdr:rowOff>133350</xdr:rowOff>
                  </to>
                </anchor>
              </controlPr>
            </control>
          </mc:Choice>
        </mc:AlternateContent>
        <mc:AlternateContent xmlns:mc="http://schemas.openxmlformats.org/markup-compatibility/2006">
          <mc:Choice Requires="x14">
            <control shapeId="20551" r:id="rId6" name="Button 71">
              <controlPr defaultSize="0" print="0" autoFill="0" autoPict="0" macro="[0]!ClearDataEntryArea">
                <anchor moveWithCells="1" sizeWithCells="1">
                  <from>
                    <xdr:col>0</xdr:col>
                    <xdr:colOff>0</xdr:colOff>
                    <xdr:row>3</xdr:row>
                    <xdr:rowOff>133350</xdr:rowOff>
                  </from>
                  <to>
                    <xdr:col>2</xdr:col>
                    <xdr:colOff>85725</xdr:colOff>
                    <xdr:row>5</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Settings and Instructions</vt:lpstr>
      <vt:lpstr>Geocode</vt:lpstr>
      <vt:lpstr>bingMapsKey</vt:lpstr>
      <vt:lpstr>debugMode</vt:lpstr>
      <vt:lpstr>geocoderToUse</vt:lpstr>
      <vt:lpstr>proxyIP</vt:lpstr>
      <vt:lpstr>useProxy</vt:lpstr>
    </vt:vector>
  </TitlesOfParts>
  <Company>Juice Analytics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Geocoding Tool</dc:title>
  <dc:creator>max@maxrice.com</dc:creator>
  <cp:keywords>geocoding</cp:keywords>
  <cp:lastModifiedBy>Greta Anderson</cp:lastModifiedBy>
  <cp:lastPrinted>2006-02-08T16:34:10Z</cp:lastPrinted>
  <dcterms:created xsi:type="dcterms:W3CDTF">2005-08-22T17:08:46Z</dcterms:created>
  <dcterms:modified xsi:type="dcterms:W3CDTF">2017-03-29T22:29:55Z</dcterms:modified>
</cp:coreProperties>
</file>